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iranchawla/Documents/GitHub/loss-and-damage/"/>
    </mc:Choice>
  </mc:AlternateContent>
  <xr:revisionPtr revIDLastSave="0" documentId="13_ncr:1_{6CCAC0CA-F683-0143-9353-0E2D2B044626}" xr6:coauthVersionLast="47" xr6:coauthVersionMax="47" xr10:uidLastSave="{00000000-0000-0000-0000-000000000000}"/>
  <bookViews>
    <workbookView xWindow="0" yWindow="740" windowWidth="30240" windowHeight="18900" tabRatio="819" firstSheet="5" activeTab="21" xr2:uid="{00000000-000D-0000-FFFF-FFFF00000000}"/>
  </bookViews>
  <sheets>
    <sheet name="How to Solve" sheetId="20" r:id="rId1"/>
    <sheet name="Results" sheetId="59" r:id="rId2"/>
    <sheet name="Controls" sheetId="55" r:id="rId3"/>
    <sheet name="TemperatureRiseData" sheetId="62" r:id="rId4"/>
    <sheet name="Parameters" sheetId="27" r:id="rId5"/>
    <sheet name="Data" sheetId="51" r:id="rId6"/>
    <sheet name="Copen" sheetId="57" r:id="rId7"/>
    <sheet name="Graphs" sheetId="60" r:id="rId8"/>
    <sheet name="Diag" sheetId="61" r:id="rId9"/>
    <sheet name="Global" sheetId="33" r:id="rId10"/>
    <sheet name="US" sheetId="1" r:id="rId11"/>
    <sheet name="EU" sheetId="32" r:id="rId12"/>
    <sheet name="Japan" sheetId="41" r:id="rId13"/>
    <sheet name="Russia" sheetId="42" r:id="rId14"/>
    <sheet name="Eurasia" sheetId="43" r:id="rId15"/>
    <sheet name="China" sheetId="40" r:id="rId16"/>
    <sheet name="India" sheetId="44" r:id="rId17"/>
    <sheet name="MidEast" sheetId="45" r:id="rId18"/>
    <sheet name="Africa" sheetId="46" r:id="rId19"/>
    <sheet name="LatAm" sheetId="47" r:id="rId20"/>
    <sheet name="OHI" sheetId="48" r:id="rId21"/>
    <sheet name="OthAsia" sheetId="49" r:id="rId22"/>
    <sheet name="SLR" sheetId="56" r:id="rId23"/>
    <sheet name="Regions" sheetId="54" r:id="rId24"/>
    <sheet name="Release notes" sheetId="30" r:id="rId25"/>
  </sheets>
  <externalReferences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lssolver_est" localSheetId="10" hidden="1">2</definedName>
    <definedName name="lssolver_itr" localSheetId="10" hidden="1">1000</definedName>
    <definedName name="lssolver_neg" localSheetId="10" hidden="1">0</definedName>
    <definedName name="lssolver_piv" localSheetId="10" hidden="1">0.000001</definedName>
    <definedName name="lssolver_pre" localSheetId="10" hidden="1">0.00000001</definedName>
    <definedName name="lssolver_red" localSheetId="10" hidden="1">0.000001</definedName>
    <definedName name="lssolver_rep" localSheetId="10" hidden="1">2</definedName>
    <definedName name="lssolver_scl" localSheetId="10" hidden="1">0</definedName>
    <definedName name="lssolver_sho" localSheetId="10" hidden="1">2</definedName>
    <definedName name="lssolver_sol" localSheetId="10" hidden="1">0.0001</definedName>
    <definedName name="lssolver_tim" localSheetId="10" hidden="1">1000</definedName>
    <definedName name="lssolver_tol" localSheetId="10" hidden="1">0.05</definedName>
    <definedName name="param_cuthi" localSheetId="2" hidden="1">2E+30</definedName>
    <definedName name="param_cuthi" localSheetId="5" hidden="1">2E+30</definedName>
    <definedName name="param_cuthi" localSheetId="9" hidden="1">2E+30</definedName>
    <definedName name="param_cutlo" localSheetId="2" hidden="1">-2E+30</definedName>
    <definedName name="param_cutlo" localSheetId="5" hidden="1">-2E+30</definedName>
    <definedName name="param_cutlo" localSheetId="9" hidden="1">-2E+30</definedName>
    <definedName name="param_epstep" localSheetId="2" hidden="1">0.000001</definedName>
    <definedName name="param_epstep" localSheetId="5" hidden="1">0.000001</definedName>
    <definedName name="param_epstep" localSheetId="9" hidden="1">0.000001</definedName>
    <definedName name="param_iisbnd" localSheetId="2" hidden="1">0</definedName>
    <definedName name="param_iisbnd" localSheetId="5" hidden="1">0</definedName>
    <definedName name="param_iisbnd" localSheetId="9" hidden="1">0</definedName>
    <definedName name="_xlnm.Print_Area" localSheetId="9">Global!$A$8:$C$19</definedName>
    <definedName name="qpsolver_itr" localSheetId="10" hidden="1">100</definedName>
    <definedName name="qpsolver_lin" localSheetId="10" hidden="1">1</definedName>
    <definedName name="qpsolver_neg" localSheetId="10" hidden="1">0</definedName>
    <definedName name="qpsolver_piv" localSheetId="10" hidden="1">0.000001</definedName>
    <definedName name="qpsolver_pre" localSheetId="10" hidden="1">0.000001</definedName>
    <definedName name="qpsolver_red" localSheetId="10" hidden="1">0.000001</definedName>
    <definedName name="qpsolver_rep" localSheetId="10" hidden="1">2</definedName>
    <definedName name="qpsolver_scl" localSheetId="10" hidden="1">2</definedName>
    <definedName name="qpsolver_sho" localSheetId="10" hidden="1">2</definedName>
    <definedName name="qpsolver_tim" localSheetId="10" hidden="1">100</definedName>
    <definedName name="qpsolver_tol" localSheetId="10" hidden="1">0.05</definedName>
    <definedName name="solver_adj" localSheetId="18" hidden="1">Africa!$C$97:$M$97</definedName>
    <definedName name="solver_adj" localSheetId="15" hidden="1">China!$C$97:$M$97</definedName>
    <definedName name="solver_adj" localSheetId="2" hidden="1">Controls!$C$10:$Z$10</definedName>
    <definedName name="solver_adj" localSheetId="5" hidden="1">Data!$G$102</definedName>
    <definedName name="solver_adj" localSheetId="11" hidden="1">EU!$C$97:$M$97</definedName>
    <definedName name="solver_adj" localSheetId="14" hidden="1">Eurasia!$C$97:$M$97</definedName>
    <definedName name="solver_adj" localSheetId="9" hidden="1">Global!$C$118:$P$118</definedName>
    <definedName name="solver_adj" localSheetId="16" hidden="1">India!$C$97:$M$97</definedName>
    <definedName name="solver_adj" localSheetId="12" hidden="1">Japan!$C$97:$M$97</definedName>
    <definedName name="solver_adj" localSheetId="19" hidden="1">LatAm!$C$97:$M$97</definedName>
    <definedName name="solver_adj" localSheetId="17" hidden="1">MidEast!$C$97:$M$97</definedName>
    <definedName name="solver_adj" localSheetId="20" hidden="1">OHI!$C$97:$M$97</definedName>
    <definedName name="solver_adj" localSheetId="21" hidden="1">OthAsia!$C$97:$M$97</definedName>
    <definedName name="solver_adj" localSheetId="1" hidden="1">Results!$B$8:$G$8</definedName>
    <definedName name="solver_adj" localSheetId="13" hidden="1">Russia!$C$97:$M$97</definedName>
    <definedName name="solver_adj" localSheetId="10" hidden="1">US!$C$97:$M$97</definedName>
    <definedName name="solver_adj_ob" localSheetId="2" hidden="1">1</definedName>
    <definedName name="solver_adj_ob" localSheetId="5" hidden="1">1</definedName>
    <definedName name="solver_adj_ob" localSheetId="9" hidden="1">1</definedName>
    <definedName name="solver_adj_ob" localSheetId="10" hidden="1">1</definedName>
    <definedName name="solver_adj_ob1" localSheetId="2" hidden="1">1</definedName>
    <definedName name="solver_adj_ob1" localSheetId="9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5" hidden="1">0</definedName>
    <definedName name="solver_cha" localSheetId="9" hidden="1">0</definedName>
    <definedName name="solver_chc1" localSheetId="2" hidden="1">0</definedName>
    <definedName name="solver_chc1" localSheetId="5" hidden="1">0</definedName>
    <definedName name="solver_chc1" localSheetId="9" hidden="1">0</definedName>
    <definedName name="solver_chc2" localSheetId="2" hidden="1">0</definedName>
    <definedName name="solver_chc2" localSheetId="5" hidden="1">0</definedName>
    <definedName name="solver_chc2" localSheetId="9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5" hidden="1">4</definedName>
    <definedName name="solver_chn" localSheetId="9" hidden="1">4</definedName>
    <definedName name="solver_chp1" localSheetId="2" hidden="1">0</definedName>
    <definedName name="solver_chp1" localSheetId="5" hidden="1">0</definedName>
    <definedName name="solver_chp1" localSheetId="9" hidden="1">0</definedName>
    <definedName name="solver_chp2" localSheetId="2" hidden="1">0</definedName>
    <definedName name="solver_chp2" localSheetId="5" hidden="1">0</definedName>
    <definedName name="solver_chp2" localSheetId="9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5" hidden="1">0</definedName>
    <definedName name="solver_cht" localSheetId="9" hidden="1">0</definedName>
    <definedName name="solver_cir1" localSheetId="2" hidden="1">1</definedName>
    <definedName name="solver_cir1" localSheetId="5" hidden="1">1</definedName>
    <definedName name="solver_cir1" localSheetId="9" hidden="1">1</definedName>
    <definedName name="solver_cir2" localSheetId="2" hidden="1">1</definedName>
    <definedName name="solver_cir2" localSheetId="5" hidden="1">1</definedName>
    <definedName name="solver_cir2" localSheetId="9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5" hidden="1">" "</definedName>
    <definedName name="solver_con" localSheetId="9" hidden="1">" "</definedName>
    <definedName name="solver_con" localSheetId="10" hidden="1">" "</definedName>
    <definedName name="solver_con1" localSheetId="2" hidden="1">" "</definedName>
    <definedName name="solver_con1" localSheetId="5" hidden="1">" "</definedName>
    <definedName name="solver_con1" localSheetId="9" hidden="1">" "</definedName>
    <definedName name="solver_con2" localSheetId="2" hidden="1">" "</definedName>
    <definedName name="solver_con2" localSheetId="5" hidden="1">" "</definedName>
    <definedName name="solver_con2" localSheetId="9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8" hidden="1">0.0001</definedName>
    <definedName name="solver_cvg" localSheetId="15" hidden="1">0.0001</definedName>
    <definedName name="solver_cvg" localSheetId="2" hidden="1">0.0000001</definedName>
    <definedName name="solver_cvg" localSheetId="5" hidden="1">0.000001</definedName>
    <definedName name="solver_cvg" localSheetId="11" hidden="1">0.0001</definedName>
    <definedName name="solver_cvg" localSheetId="14" hidden="1">0.0001</definedName>
    <definedName name="solver_cvg" localSheetId="9" hidden="1">0.00000001</definedName>
    <definedName name="solver_cvg" localSheetId="16" hidden="1">0.0001</definedName>
    <definedName name="solver_cvg" localSheetId="12" hidden="1">0.0001</definedName>
    <definedName name="solver_cvg" localSheetId="19" hidden="1">0.0001</definedName>
    <definedName name="solver_cvg" localSheetId="17" hidden="1">0.0001</definedName>
    <definedName name="solver_cvg" localSheetId="20" hidden="1">0.0001</definedName>
    <definedName name="solver_cvg" localSheetId="21" hidden="1">0.0001</definedName>
    <definedName name="solver_cvg" localSheetId="4" hidden="1">0.0001</definedName>
    <definedName name="solver_cvg" localSheetId="1" hidden="1">0.0001</definedName>
    <definedName name="solver_cvg" localSheetId="13" hidden="1">0.0001</definedName>
    <definedName name="solver_cvg" localSheetId="10" hidden="1">0.0000001</definedName>
    <definedName name="solver_dia" localSheetId="2" hidden="1">5</definedName>
    <definedName name="solver_dia" localSheetId="5" hidden="1">5</definedName>
    <definedName name="solver_dia" localSheetId="9" hidden="1">5</definedName>
    <definedName name="solver_dia" localSheetId="1" hidden="1">5</definedName>
    <definedName name="solver_dia" localSheetId="10" hidden="1">5</definedName>
    <definedName name="solver_drv" localSheetId="18" hidden="1">1</definedName>
    <definedName name="solver_drv" localSheetId="15" hidden="1">1</definedName>
    <definedName name="solver_drv" localSheetId="2" hidden="1">1</definedName>
    <definedName name="solver_drv" localSheetId="5" hidden="1">1</definedName>
    <definedName name="solver_drv" localSheetId="11" hidden="1">1</definedName>
    <definedName name="solver_drv" localSheetId="14" hidden="1">1</definedName>
    <definedName name="solver_drv" localSheetId="9" hidden="1">1</definedName>
    <definedName name="solver_drv" localSheetId="16" hidden="1">1</definedName>
    <definedName name="solver_drv" localSheetId="12" hidden="1">1</definedName>
    <definedName name="solver_drv" localSheetId="19" hidden="1">1</definedName>
    <definedName name="solver_drv" localSheetId="17" hidden="1">1</definedName>
    <definedName name="solver_drv" localSheetId="20" hidden="1">1</definedName>
    <definedName name="solver_drv" localSheetId="21" hidden="1">1</definedName>
    <definedName name="solver_drv" localSheetId="4" hidden="1">1</definedName>
    <definedName name="solver_drv" localSheetId="1" hidden="1">1</definedName>
    <definedName name="solver_drv" localSheetId="13" hidden="1">1</definedName>
    <definedName name="solver_drv" localSheetId="10" hidden="1">1</definedName>
    <definedName name="solver_eng" localSheetId="2" hidden="1">1</definedName>
    <definedName name="solver_eng" localSheetId="5" hidden="1">1</definedName>
    <definedName name="solver_eng" localSheetId="9" hidden="1">1</definedName>
    <definedName name="solver_eng" localSheetId="10" hidden="1">1</definedName>
    <definedName name="solver_est" localSheetId="18" hidden="1">1</definedName>
    <definedName name="solver_est" localSheetId="15" hidden="1">1</definedName>
    <definedName name="solver_est" localSheetId="2" hidden="1">2</definedName>
    <definedName name="solver_est" localSheetId="5" hidden="1">1</definedName>
    <definedName name="solver_est" localSheetId="11" hidden="1">1</definedName>
    <definedName name="solver_est" localSheetId="14" hidden="1">1</definedName>
    <definedName name="solver_est" localSheetId="9" hidden="1">1</definedName>
    <definedName name="solver_est" localSheetId="16" hidden="1">1</definedName>
    <definedName name="solver_est" localSheetId="12" hidden="1">1</definedName>
    <definedName name="solver_est" localSheetId="19" hidden="1">1</definedName>
    <definedName name="solver_est" localSheetId="17" hidden="1">1</definedName>
    <definedName name="solver_est" localSheetId="20" hidden="1">1</definedName>
    <definedName name="solver_est" localSheetId="21" hidden="1">1</definedName>
    <definedName name="solver_est" localSheetId="4" hidden="1">1</definedName>
    <definedName name="solver_est" localSheetId="1" hidden="1">1</definedName>
    <definedName name="solver_est" localSheetId="13" hidden="1">1</definedName>
    <definedName name="solver_est" localSheetId="10" hidden="1">1</definedName>
    <definedName name="solver_iao" localSheetId="2" hidden="1">0</definedName>
    <definedName name="solver_iao" localSheetId="5" hidden="1">0</definedName>
    <definedName name="solver_iao" localSheetId="9" hidden="1">0</definedName>
    <definedName name="solver_int" localSheetId="2" hidden="1">0</definedName>
    <definedName name="solver_int" localSheetId="5" hidden="1">0</definedName>
    <definedName name="solver_int" localSheetId="9" hidden="1">0</definedName>
    <definedName name="solver_int" localSheetId="1" hidden="1">0</definedName>
    <definedName name="solver_int" localSheetId="10" hidden="1">0</definedName>
    <definedName name="solver_irs" localSheetId="2" hidden="1">0</definedName>
    <definedName name="solver_irs" localSheetId="5" hidden="1">0</definedName>
    <definedName name="solver_irs" localSheetId="9" hidden="1">0</definedName>
    <definedName name="solver_ism" localSheetId="2" hidden="1">0</definedName>
    <definedName name="solver_ism" localSheetId="5" hidden="1">0</definedName>
    <definedName name="solver_ism" localSheetId="9" hidden="1">0</definedName>
    <definedName name="solver_itr" localSheetId="18" hidden="1">100</definedName>
    <definedName name="solver_itr" localSheetId="15" hidden="1">100</definedName>
    <definedName name="solver_itr" localSheetId="2" hidden="1">1000</definedName>
    <definedName name="solver_itr" localSheetId="5" hidden="1">100</definedName>
    <definedName name="solver_itr" localSheetId="11" hidden="1">100</definedName>
    <definedName name="solver_itr" localSheetId="14" hidden="1">100</definedName>
    <definedName name="solver_itr" localSheetId="9" hidden="1">10000</definedName>
    <definedName name="solver_itr" localSheetId="16" hidden="1">100</definedName>
    <definedName name="solver_itr" localSheetId="12" hidden="1">100</definedName>
    <definedName name="solver_itr" localSheetId="19" hidden="1">100</definedName>
    <definedName name="solver_itr" localSheetId="17" hidden="1">100</definedName>
    <definedName name="solver_itr" localSheetId="20" hidden="1">100</definedName>
    <definedName name="solver_itr" localSheetId="21" hidden="1">100</definedName>
    <definedName name="solver_itr" localSheetId="4" hidden="1">100</definedName>
    <definedName name="solver_itr" localSheetId="1" hidden="1">100</definedName>
    <definedName name="solver_itr" localSheetId="13" hidden="1">100</definedName>
    <definedName name="solver_itr" localSheetId="10" hidden="1">1000</definedName>
    <definedName name="solver_kiv" localSheetId="2" hidden="1">2E+30</definedName>
    <definedName name="solver_kiv" localSheetId="5" hidden="1">2E+30</definedName>
    <definedName name="solver_kiv" localSheetId="9" hidden="1">2E+30</definedName>
    <definedName name="solver_lhs_ob1" localSheetId="2" hidden="1">0</definedName>
    <definedName name="solver_lhs_ob1" localSheetId="5" hidden="1">0</definedName>
    <definedName name="solver_lhs_ob1" localSheetId="9" hidden="1">0</definedName>
    <definedName name="solver_lhs_ob2" localSheetId="2" hidden="1">0</definedName>
    <definedName name="solver_lhs_ob2" localSheetId="5" hidden="1">0</definedName>
    <definedName name="solver_lhs_ob2" localSheetId="9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5" hidden="1">Data!$F$169:$F$180</definedName>
    <definedName name="solver_lhs1" localSheetId="11" hidden="1">EU!$C$97:$M$97</definedName>
    <definedName name="solver_lhs1" localSheetId="9" hidden="1">Global!$C$118:$Q$118</definedName>
    <definedName name="solver_lhs1" localSheetId="21" hidden="1">OthAsia!$C$97:$M$97</definedName>
    <definedName name="solver_lhs1" localSheetId="10" hidden="1">US!$B$101:$Z$101</definedName>
    <definedName name="solver_lhs2" localSheetId="2" hidden="1">Controls!$C$28:$M$39</definedName>
    <definedName name="solver_lhs2" localSheetId="5" hidden="1">Data!$F$169:$F$180</definedName>
    <definedName name="solver_lhs2" localSheetId="11" hidden="1">EU!$C$97:$M$97</definedName>
    <definedName name="solver_lhs2" localSheetId="9" hidden="1">Controls!$C$10:$N$10</definedName>
    <definedName name="solver_lhs2" localSheetId="10" hidden="1">US!$B$101:$Z$101</definedName>
    <definedName name="solver_lhs3" localSheetId="2" hidden="1">Controls!$C$28:$M$39</definedName>
    <definedName name="solver_lhs3" localSheetId="9" hidden="1">Global!$B$56:$AE$56</definedName>
    <definedName name="solver_lhs3" localSheetId="10" hidden="1">Global!$B$66</definedName>
    <definedName name="solver_lhs4" localSheetId="2" hidden="1">Global!$B$70:$AC$70</definedName>
    <definedName name="solver_lhs4" localSheetId="9" hidden="1">Global!$C$103</definedName>
    <definedName name="solver_lhs5" localSheetId="2" hidden="1">Global!$B$70:$AC$70</definedName>
    <definedName name="solver_lhs5" localSheetId="9" hidden="1">Controls!$C$10:$J$22</definedName>
    <definedName name="solver_lhs6" localSheetId="9" hidden="1">Controls!$C$10:$J$22</definedName>
    <definedName name="solver_lhs7" localSheetId="9" hidden="1">Controls!$C$10:$J$22</definedName>
    <definedName name="solver_lin" localSheetId="18" hidden="1">2</definedName>
    <definedName name="solver_lin" localSheetId="15" hidden="1">2</definedName>
    <definedName name="solver_lin" localSheetId="2" hidden="1">2</definedName>
    <definedName name="solver_lin" localSheetId="5" hidden="1">2</definedName>
    <definedName name="solver_lin" localSheetId="11" hidden="1">2</definedName>
    <definedName name="solver_lin" localSheetId="14" hidden="1">2</definedName>
    <definedName name="solver_lin" localSheetId="9" hidden="1">2</definedName>
    <definedName name="solver_lin" localSheetId="16" hidden="1">2</definedName>
    <definedName name="solver_lin" localSheetId="12" hidden="1">2</definedName>
    <definedName name="solver_lin" localSheetId="19" hidden="1">2</definedName>
    <definedName name="solver_lin" localSheetId="17" hidden="1">2</definedName>
    <definedName name="solver_lin" localSheetId="20" hidden="1">2</definedName>
    <definedName name="solver_lin" localSheetId="21" hidden="1">2</definedName>
    <definedName name="solver_lin" localSheetId="4" hidden="1">2</definedName>
    <definedName name="solver_lin" localSheetId="1" hidden="1">2</definedName>
    <definedName name="solver_lin" localSheetId="13" hidden="1">2</definedName>
    <definedName name="solver_lin" localSheetId="10" hidden="1">2</definedName>
    <definedName name="solver_lva" localSheetId="2" hidden="1">0</definedName>
    <definedName name="solver_lva" localSheetId="5" hidden="1">0</definedName>
    <definedName name="solver_lva" localSheetId="9" hidden="1">0</definedName>
    <definedName name="solver_mda" localSheetId="2" hidden="1">4</definedName>
    <definedName name="solver_mda" localSheetId="5" hidden="1">4</definedName>
    <definedName name="solver_mda" localSheetId="9" hidden="1">4</definedName>
    <definedName name="solver_mda" localSheetId="1" hidden="1">4</definedName>
    <definedName name="solver_mda" localSheetId="10" hidden="1">4</definedName>
    <definedName name="solver_mip" localSheetId="2" hidden="1">2147483647</definedName>
    <definedName name="solver_mip" localSheetId="5" hidden="1">2147483647</definedName>
    <definedName name="solver_mip" localSheetId="9" hidden="1">2147483647</definedName>
    <definedName name="solver_mod" localSheetId="2" hidden="1">3</definedName>
    <definedName name="solver_mod" localSheetId="5" hidden="1">3</definedName>
    <definedName name="solver_mod" localSheetId="9" hidden="1">3</definedName>
    <definedName name="solver_mod" localSheetId="1" hidden="1">3</definedName>
    <definedName name="solver_mod" localSheetId="10" hidden="1">3</definedName>
    <definedName name="solver_msl" localSheetId="2" hidden="1">0</definedName>
    <definedName name="solver_msl" localSheetId="5" hidden="1">0</definedName>
    <definedName name="solver_msl" localSheetId="9" hidden="1">0</definedName>
    <definedName name="solver_neg" localSheetId="18" hidden="1">2</definedName>
    <definedName name="solver_neg" localSheetId="15" hidden="1">2</definedName>
    <definedName name="solver_neg" localSheetId="2" hidden="1">2</definedName>
    <definedName name="solver_neg" localSheetId="5" hidden="1">2</definedName>
    <definedName name="solver_neg" localSheetId="11" hidden="1">2</definedName>
    <definedName name="solver_neg" localSheetId="14" hidden="1">2</definedName>
    <definedName name="solver_neg" localSheetId="9" hidden="1">2</definedName>
    <definedName name="solver_neg" localSheetId="16" hidden="1">2</definedName>
    <definedName name="solver_neg" localSheetId="12" hidden="1">2</definedName>
    <definedName name="solver_neg" localSheetId="19" hidden="1">2</definedName>
    <definedName name="solver_neg" localSheetId="17" hidden="1">2</definedName>
    <definedName name="solver_neg" localSheetId="20" hidden="1">2</definedName>
    <definedName name="solver_neg" localSheetId="21" hidden="1">2</definedName>
    <definedName name="solver_neg" localSheetId="4" hidden="1">2</definedName>
    <definedName name="solver_neg" localSheetId="1" hidden="1">2</definedName>
    <definedName name="solver_neg" localSheetId="13" hidden="1">2</definedName>
    <definedName name="solver_neg" localSheetId="10" hidden="1">2</definedName>
    <definedName name="solver_nod" localSheetId="2" hidden="1">2147483647</definedName>
    <definedName name="solver_nod" localSheetId="5" hidden="1">2147483647</definedName>
    <definedName name="solver_nod" localSheetId="9" hidden="1">2147483647</definedName>
    <definedName name="solver_ntr" localSheetId="2" hidden="1">0</definedName>
    <definedName name="solver_ntr" localSheetId="5" hidden="1">0</definedName>
    <definedName name="solver_ntr" localSheetId="9" hidden="1">0</definedName>
    <definedName name="solver_ntr" localSheetId="1" hidden="1">0</definedName>
    <definedName name="solver_ntr" localSheetId="10" hidden="1">0</definedName>
    <definedName name="solver_ntri" hidden="1">1000</definedName>
    <definedName name="solver_num" localSheetId="18" hidden="1">0</definedName>
    <definedName name="solver_num" localSheetId="15" hidden="1">0</definedName>
    <definedName name="solver_num" localSheetId="2" hidden="1">4</definedName>
    <definedName name="solver_num" localSheetId="5" hidden="1">2</definedName>
    <definedName name="solver_num" localSheetId="11" hidden="1">2</definedName>
    <definedName name="solver_num" localSheetId="14" hidden="1">0</definedName>
    <definedName name="solver_num" localSheetId="9" hidden="1">1</definedName>
    <definedName name="solver_num" localSheetId="16" hidden="1">0</definedName>
    <definedName name="solver_num" localSheetId="12" hidden="1">0</definedName>
    <definedName name="solver_num" localSheetId="19" hidden="1">0</definedName>
    <definedName name="solver_num" localSheetId="17" hidden="1">0</definedName>
    <definedName name="solver_num" localSheetId="20" hidden="1">0</definedName>
    <definedName name="solver_num" localSheetId="21" hidden="1">1</definedName>
    <definedName name="solver_num" localSheetId="4" hidden="1">0</definedName>
    <definedName name="solver_num" localSheetId="1" hidden="1">0</definedName>
    <definedName name="solver_num" localSheetId="13" hidden="1">0</definedName>
    <definedName name="solver_num" localSheetId="10" hidden="1">0</definedName>
    <definedName name="solver_nwt" localSheetId="18" hidden="1">1</definedName>
    <definedName name="solver_nwt" localSheetId="15" hidden="1">1</definedName>
    <definedName name="solver_nwt" localSheetId="2" hidden="1">2</definedName>
    <definedName name="solver_nwt" localSheetId="5" hidden="1">1</definedName>
    <definedName name="solver_nwt" localSheetId="11" hidden="1">1</definedName>
    <definedName name="solver_nwt" localSheetId="14" hidden="1">1</definedName>
    <definedName name="solver_nwt" localSheetId="9" hidden="1">1</definedName>
    <definedName name="solver_nwt" localSheetId="16" hidden="1">1</definedName>
    <definedName name="solver_nwt" localSheetId="12" hidden="1">1</definedName>
    <definedName name="solver_nwt" localSheetId="19" hidden="1">1</definedName>
    <definedName name="solver_nwt" localSheetId="17" hidden="1">1</definedName>
    <definedName name="solver_nwt" localSheetId="20" hidden="1">1</definedName>
    <definedName name="solver_nwt" localSheetId="21" hidden="1">1</definedName>
    <definedName name="solver_nwt" localSheetId="4" hidden="1">1</definedName>
    <definedName name="solver_nwt" localSheetId="1" hidden="1">1</definedName>
    <definedName name="solver_nwt" localSheetId="13" hidden="1">1</definedName>
    <definedName name="solver_nwt" localSheetId="10" hidden="1">1</definedName>
    <definedName name="solver_obc" localSheetId="2" hidden="1">0</definedName>
    <definedName name="solver_obc" localSheetId="5" hidden="1">0</definedName>
    <definedName name="solver_obc" localSheetId="9" hidden="1">0</definedName>
    <definedName name="solver_obc" localSheetId="10" hidden="1">0</definedName>
    <definedName name="solver_obp" localSheetId="2" hidden="1">0</definedName>
    <definedName name="solver_obp" localSheetId="5" hidden="1">0</definedName>
    <definedName name="solver_obp" localSheetId="9" hidden="1">0</definedName>
    <definedName name="solver_obp" localSheetId="10" hidden="1">0</definedName>
    <definedName name="solver_opt" localSheetId="18" hidden="1">Africa!$B$92</definedName>
    <definedName name="solver_opt" localSheetId="15" hidden="1">China!$B$92</definedName>
    <definedName name="solver_opt" localSheetId="2" hidden="1">Controls!$B$4</definedName>
    <definedName name="solver_opt" localSheetId="5" hidden="1">Data!$H$104</definedName>
    <definedName name="solver_opt" localSheetId="11" hidden="1">EU!$B$92</definedName>
    <definedName name="solver_opt" localSheetId="14" hidden="1">Eurasia!$B$92</definedName>
    <definedName name="solver_opt" localSheetId="9" hidden="1">Global!$B$115</definedName>
    <definedName name="solver_opt" localSheetId="16" hidden="1">India!$B$92</definedName>
    <definedName name="solver_opt" localSheetId="12" hidden="1">Japan!$B$92</definedName>
    <definedName name="solver_opt" localSheetId="19" hidden="1">LatAm!$B$92</definedName>
    <definedName name="solver_opt" localSheetId="17" hidden="1">MidEast!$B$92</definedName>
    <definedName name="solver_opt" localSheetId="20" hidden="1">OHI!$B$92</definedName>
    <definedName name="solver_opt" localSheetId="21" hidden="1">OthAsia!$B$92</definedName>
    <definedName name="solver_opt" localSheetId="1" hidden="1">Results!$I$16</definedName>
    <definedName name="solver_opt" localSheetId="13" hidden="1">Russia!$B$92</definedName>
    <definedName name="solver_opt" localSheetId="10" hidden="1">US!$B$92</definedName>
    <definedName name="solver_opt_ob" localSheetId="2" hidden="1">1</definedName>
    <definedName name="solver_opt_ob" localSheetId="5" hidden="1">1</definedName>
    <definedName name="solver_opt_ob" localSheetId="9" hidden="1">1</definedName>
    <definedName name="solver_opt_ob" localSheetId="10" hidden="1">1</definedName>
    <definedName name="solver_pre" localSheetId="18" hidden="1">0.000001</definedName>
    <definedName name="solver_pre" localSheetId="15" hidden="1">0.000001</definedName>
    <definedName name="solver_pre" localSheetId="2" hidden="1">0.00000001</definedName>
    <definedName name="solver_pre" localSheetId="5" hidden="1">0.00000001</definedName>
    <definedName name="solver_pre" localSheetId="11" hidden="1">0.000001</definedName>
    <definedName name="solver_pre" localSheetId="14" hidden="1">0.000001</definedName>
    <definedName name="solver_pre" localSheetId="9" hidden="1">0.0000000001</definedName>
    <definedName name="solver_pre" localSheetId="16" hidden="1">0.000001</definedName>
    <definedName name="solver_pre" localSheetId="12" hidden="1">0.000001</definedName>
    <definedName name="solver_pre" localSheetId="19" hidden="1">0.000001</definedName>
    <definedName name="solver_pre" localSheetId="17" hidden="1">0.000001</definedName>
    <definedName name="solver_pre" localSheetId="20" hidden="1">0.000001</definedName>
    <definedName name="solver_pre" localSheetId="21" hidden="1">0.000001</definedName>
    <definedName name="solver_pre" localSheetId="4" hidden="1">0.000001</definedName>
    <definedName name="solver_pre" localSheetId="1" hidden="1">0.000001</definedName>
    <definedName name="solver_pre" localSheetId="13" hidden="1">0.000001</definedName>
    <definedName name="solver_pre" localSheetId="10" hidden="1">0.00000001</definedName>
    <definedName name="solver_psi" localSheetId="2" hidden="1">0</definedName>
    <definedName name="solver_psi" localSheetId="5" hidden="1">0</definedName>
    <definedName name="solver_psi" localSheetId="9" hidden="1">0</definedName>
    <definedName name="solver_rbv" localSheetId="2" hidden="1">1</definedName>
    <definedName name="solver_rbv" localSheetId="5" hidden="1">1</definedName>
    <definedName name="solver_rbv" localSheetId="9" hidden="1">1</definedName>
    <definedName name="solver_rdp" localSheetId="2" hidden="1">0</definedName>
    <definedName name="solver_rdp" localSheetId="5" hidden="1">0</definedName>
    <definedName name="solver_rdp" localSheetId="9" hidden="1">0</definedName>
    <definedName name="solver_rel1" localSheetId="2" hidden="1">1</definedName>
    <definedName name="solver_rel1" localSheetId="5" hidden="1">1</definedName>
    <definedName name="solver_rel1" localSheetId="11" hidden="1">1</definedName>
    <definedName name="solver_rel1" localSheetId="9" hidden="1">3</definedName>
    <definedName name="solver_rel1" localSheetId="21" hidden="1">1</definedName>
    <definedName name="solver_rel1" localSheetId="10" hidden="1">3</definedName>
    <definedName name="solver_rel2" localSheetId="2" hidden="1">1</definedName>
    <definedName name="solver_rel2" localSheetId="5" hidden="1">3</definedName>
    <definedName name="solver_rel2" localSheetId="11" hidden="1">3</definedName>
    <definedName name="solver_rel2" localSheetId="9" hidden="1">3</definedName>
    <definedName name="solver_rel2" localSheetId="10" hidden="1">3</definedName>
    <definedName name="solver_rel3" localSheetId="2" hidden="1">3</definedName>
    <definedName name="solver_rel3" localSheetId="9" hidden="1">3</definedName>
    <definedName name="solver_rel3" localSheetId="10" hidden="1">1</definedName>
    <definedName name="solver_rel4" localSheetId="2" hidden="1">1</definedName>
    <definedName name="solver_rel4" localSheetId="9" hidden="1">1</definedName>
    <definedName name="solver_rel5" localSheetId="2" hidden="1">1</definedName>
    <definedName name="solver_rel5" localSheetId="9" hidden="1">3</definedName>
    <definedName name="solver_rel6" localSheetId="9" hidden="1">1</definedName>
    <definedName name="solver_rel7" localSheetId="9" hidden="1">3</definedName>
    <definedName name="solver_rep" localSheetId="2" hidden="1">0</definedName>
    <definedName name="solver_rep" localSheetId="5" hidden="1">0</definedName>
    <definedName name="solver_rep" localSheetId="9" hidden="1">0</definedName>
    <definedName name="solver_rep" localSheetId="10" hidden="1">2</definedName>
    <definedName name="solver_rhs1" localSheetId="2" hidden="1">1000</definedName>
    <definedName name="solver_rhs1" localSheetId="5" hidden="1">0.2</definedName>
    <definedName name="solver_rhs1" localSheetId="11" hidden="1">0.4</definedName>
    <definedName name="solver_rhs1" localSheetId="9" hidden="1">1</definedName>
    <definedName name="solver_rhs1" localSheetId="21" hidden="1">0.999</definedName>
    <definedName name="solver_rhs1" localSheetId="10" hidden="1">0.0001</definedName>
    <definedName name="solver_rhs2" localSheetId="2" hidden="1">0.5</definedName>
    <definedName name="solver_rhs2" localSheetId="5" hidden="1">-0.5</definedName>
    <definedName name="solver_rhs2" localSheetId="11" hidden="1">0.1</definedName>
    <definedName name="solver_rhs2" localSheetId="9" hidden="1">10</definedName>
    <definedName name="solver_rhs2" localSheetId="10" hidden="1">0.0001</definedName>
    <definedName name="solver_rhs3" localSheetId="2" hidden="1">0.05</definedName>
    <definedName name="solver_rhs3" localSheetId="9" hidden="1">0</definedName>
    <definedName name="solver_rhs3" localSheetId="10" hidden="1">1</definedName>
    <definedName name="solver_rhs4" localSheetId="2" hidden="1">2</definedName>
    <definedName name="solver_rhs4" localSheetId="9" hidden="1">0.5</definedName>
    <definedName name="solver_rhs5" localSheetId="2" hidden="1">2</definedName>
    <definedName name="solver_rhs5" localSheetId="9" hidden="1">10</definedName>
    <definedName name="solver_rhs6" localSheetId="9" hidden="1">1000</definedName>
    <definedName name="solver_rhs7" localSheetId="9" hidden="1">10</definedName>
    <definedName name="solver_rlx" localSheetId="2" hidden="1">0</definedName>
    <definedName name="solver_rlx" localSheetId="5" hidden="1">0</definedName>
    <definedName name="solver_rlx" localSheetId="9" hidden="1">0</definedName>
    <definedName name="solver_rsd" localSheetId="2" hidden="1">0</definedName>
    <definedName name="solver_rsd" localSheetId="5" hidden="1">0</definedName>
    <definedName name="solver_rsd" localSheetId="9" hidden="1">0</definedName>
    <definedName name="solver_rsmp" hidden="1">2</definedName>
    <definedName name="solver_rtr" localSheetId="2" hidden="1">0</definedName>
    <definedName name="solver_rtr" localSheetId="5" hidden="1">0</definedName>
    <definedName name="solver_rtr" localSheetId="9" hidden="1">0</definedName>
    <definedName name="solver_rxc1" localSheetId="2" hidden="1">0</definedName>
    <definedName name="solver_rxc1" localSheetId="5" hidden="1">1</definedName>
    <definedName name="solver_rxc1" localSheetId="9" hidden="1">1</definedName>
    <definedName name="solver_rxc2" localSheetId="2" hidden="1">0</definedName>
    <definedName name="solver_rxc2" localSheetId="5" hidden="1">1</definedName>
    <definedName name="solver_rxc2" localSheetId="9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5" hidden="1">1</definedName>
    <definedName name="solver_rxv" localSheetId="9" hidden="1">1</definedName>
    <definedName name="solver_rxv" localSheetId="10" hidden="1">1</definedName>
    <definedName name="solver_rxv1" localSheetId="2" hidden="1">1</definedName>
    <definedName name="solver_scl" localSheetId="18" hidden="1">2</definedName>
    <definedName name="solver_scl" localSheetId="15" hidden="1">2</definedName>
    <definedName name="solver_scl" localSheetId="2" hidden="1">2</definedName>
    <definedName name="solver_scl" localSheetId="5" hidden="1">2</definedName>
    <definedName name="solver_scl" localSheetId="11" hidden="1">2</definedName>
    <definedName name="solver_scl" localSheetId="14" hidden="1">2</definedName>
    <definedName name="solver_scl" localSheetId="9" hidden="1">2</definedName>
    <definedName name="solver_scl" localSheetId="16" hidden="1">2</definedName>
    <definedName name="solver_scl" localSheetId="12" hidden="1">2</definedName>
    <definedName name="solver_scl" localSheetId="19" hidden="1">2</definedName>
    <definedName name="solver_scl" localSheetId="17" hidden="1">2</definedName>
    <definedName name="solver_scl" localSheetId="20" hidden="1">2</definedName>
    <definedName name="solver_scl" localSheetId="21" hidden="1">2</definedName>
    <definedName name="solver_scl" localSheetId="4" hidden="1">2</definedName>
    <definedName name="solver_scl" localSheetId="1" hidden="1">2</definedName>
    <definedName name="solver_scl" localSheetId="13" hidden="1">2</definedName>
    <definedName name="solver_scl" localSheetId="10" hidden="1">2</definedName>
    <definedName name="solver_seed" hidden="1">0</definedName>
    <definedName name="solver_sel" localSheetId="2" hidden="1">1</definedName>
    <definedName name="solver_sel" localSheetId="5" hidden="1">1</definedName>
    <definedName name="solver_sel" localSheetId="9" hidden="1">1</definedName>
    <definedName name="solver_sho" localSheetId="18" hidden="1">2</definedName>
    <definedName name="solver_sho" localSheetId="15" hidden="1">2</definedName>
    <definedName name="solver_sho" localSheetId="2" hidden="1">2</definedName>
    <definedName name="solver_sho" localSheetId="5" hidden="1">2</definedName>
    <definedName name="solver_sho" localSheetId="11" hidden="1">2</definedName>
    <definedName name="solver_sho" localSheetId="14" hidden="1">2</definedName>
    <definedName name="solver_sho" localSheetId="9" hidden="1">2</definedName>
    <definedName name="solver_sho" localSheetId="16" hidden="1">2</definedName>
    <definedName name="solver_sho" localSheetId="12" hidden="1">2</definedName>
    <definedName name="solver_sho" localSheetId="19" hidden="1">2</definedName>
    <definedName name="solver_sho" localSheetId="17" hidden="1">2</definedName>
    <definedName name="solver_sho" localSheetId="20" hidden="1">2</definedName>
    <definedName name="solver_sho" localSheetId="21" hidden="1">2</definedName>
    <definedName name="solver_sho" localSheetId="4" hidden="1">2</definedName>
    <definedName name="solver_sho" localSheetId="1" hidden="1">2</definedName>
    <definedName name="solver_sho" localSheetId="13" hidden="1">2</definedName>
    <definedName name="solver_sho" localSheetId="10" hidden="1">2</definedName>
    <definedName name="solver_slv" localSheetId="2" hidden="1">0</definedName>
    <definedName name="solver_slv" localSheetId="5" hidden="1">0</definedName>
    <definedName name="solver_slv" localSheetId="9" hidden="1">0</definedName>
    <definedName name="solver_slv" localSheetId="1" hidden="1">0</definedName>
    <definedName name="solver_slv" localSheetId="10" hidden="1">0</definedName>
    <definedName name="solver_slvu" localSheetId="2" hidden="1">0</definedName>
    <definedName name="solver_slvu" localSheetId="5" hidden="1">0</definedName>
    <definedName name="solver_slvu" localSheetId="9" hidden="1">0</definedName>
    <definedName name="solver_slvu" localSheetId="1" hidden="1">0</definedName>
    <definedName name="solver_slvu" localSheetId="10" hidden="1">0</definedName>
    <definedName name="solver_ssz" localSheetId="2" hidden="1">0</definedName>
    <definedName name="solver_ssz" localSheetId="5" hidden="1">0</definedName>
    <definedName name="solver_ssz" localSheetId="9" hidden="1">0</definedName>
    <definedName name="solver_tim" localSheetId="18" hidden="1">100</definedName>
    <definedName name="solver_tim" localSheetId="15" hidden="1">100</definedName>
    <definedName name="solver_tim" localSheetId="2" hidden="1">1000</definedName>
    <definedName name="solver_tim" localSheetId="5" hidden="1">100</definedName>
    <definedName name="solver_tim" localSheetId="11" hidden="1">100</definedName>
    <definedName name="solver_tim" localSheetId="14" hidden="1">100</definedName>
    <definedName name="solver_tim" localSheetId="9" hidden="1">10000</definedName>
    <definedName name="solver_tim" localSheetId="16" hidden="1">100</definedName>
    <definedName name="solver_tim" localSheetId="12" hidden="1">100</definedName>
    <definedName name="solver_tim" localSheetId="19" hidden="1">100</definedName>
    <definedName name="solver_tim" localSheetId="17" hidden="1">100</definedName>
    <definedName name="solver_tim" localSheetId="20" hidden="1">100</definedName>
    <definedName name="solver_tim" localSheetId="21" hidden="1">100</definedName>
    <definedName name="solver_tim" localSheetId="4" hidden="1">100</definedName>
    <definedName name="solver_tim" localSheetId="1" hidden="1">100</definedName>
    <definedName name="solver_tim" localSheetId="13" hidden="1">100</definedName>
    <definedName name="solver_tim" localSheetId="10" hidden="1">100</definedName>
    <definedName name="solver_tms" localSheetId="2" hidden="1">0</definedName>
    <definedName name="solver_tms" localSheetId="5" hidden="1">0</definedName>
    <definedName name="solver_tms" localSheetId="9" hidden="1">0</definedName>
    <definedName name="solver_tol" localSheetId="18" hidden="1">0.05</definedName>
    <definedName name="solver_tol" localSheetId="15" hidden="1">0.05</definedName>
    <definedName name="solver_tol" localSheetId="2" hidden="1">0.05</definedName>
    <definedName name="solver_tol" localSheetId="5" hidden="1">0.0005</definedName>
    <definedName name="solver_tol" localSheetId="11" hidden="1">0.05</definedName>
    <definedName name="solver_tol" localSheetId="14" hidden="1">0.05</definedName>
    <definedName name="solver_tol" localSheetId="9" hidden="1">0.000005</definedName>
    <definedName name="solver_tol" localSheetId="16" hidden="1">0.05</definedName>
    <definedName name="solver_tol" localSheetId="12" hidden="1">0.05</definedName>
    <definedName name="solver_tol" localSheetId="19" hidden="1">0.05</definedName>
    <definedName name="solver_tol" localSheetId="17" hidden="1">0.05</definedName>
    <definedName name="solver_tol" localSheetId="20" hidden="1">0.05</definedName>
    <definedName name="solver_tol" localSheetId="21" hidden="1">0.05</definedName>
    <definedName name="solver_tol" localSheetId="4" hidden="1">0.05</definedName>
    <definedName name="solver_tol" localSheetId="1" hidden="1">0.05</definedName>
    <definedName name="solver_tol" localSheetId="13" hidden="1">0.05</definedName>
    <definedName name="solver_tol" localSheetId="10" hidden="1">0.00004</definedName>
    <definedName name="solver_typ" localSheetId="18" hidden="1">1</definedName>
    <definedName name="solver_typ" localSheetId="15" hidden="1">1</definedName>
    <definedName name="solver_typ" localSheetId="2" hidden="1">1</definedName>
    <definedName name="solver_typ" localSheetId="5" hidden="1">2</definedName>
    <definedName name="solver_typ" localSheetId="11" hidden="1">1</definedName>
    <definedName name="solver_typ" localSheetId="14" hidden="1">1</definedName>
    <definedName name="solver_typ" localSheetId="9" hidden="1">2</definedName>
    <definedName name="solver_typ" localSheetId="16" hidden="1">1</definedName>
    <definedName name="solver_typ" localSheetId="12" hidden="1">1</definedName>
    <definedName name="solver_typ" localSheetId="19" hidden="1">1</definedName>
    <definedName name="solver_typ" localSheetId="17" hidden="1">1</definedName>
    <definedName name="solver_typ" localSheetId="20" hidden="1">1</definedName>
    <definedName name="solver_typ" localSheetId="21" hidden="1">1</definedName>
    <definedName name="solver_typ" localSheetId="4" hidden="1">2</definedName>
    <definedName name="solver_typ" localSheetId="1" hidden="1">2</definedName>
    <definedName name="solver_typ" localSheetId="13" hidden="1">1</definedName>
    <definedName name="solver_typ" localSheetId="10" hidden="1">1</definedName>
    <definedName name="solver_umod" localSheetId="2" hidden="1">1</definedName>
    <definedName name="solver_umod" localSheetId="5" hidden="1">1</definedName>
    <definedName name="solver_umod" localSheetId="9" hidden="1">1</definedName>
    <definedName name="solver_urs" localSheetId="2" hidden="1">0</definedName>
    <definedName name="solver_urs" localSheetId="5" hidden="1">0</definedName>
    <definedName name="solver_urs" localSheetId="9" hidden="1">0</definedName>
    <definedName name="solver_urs" localSheetId="1" hidden="1">0</definedName>
    <definedName name="solver_urs" localSheetId="10" hidden="1">0</definedName>
    <definedName name="solver_val" localSheetId="18" hidden="1">0</definedName>
    <definedName name="solver_val" localSheetId="15" hidden="1">0</definedName>
    <definedName name="solver_val" localSheetId="2" hidden="1">0</definedName>
    <definedName name="solver_val" localSheetId="5" hidden="1">0</definedName>
    <definedName name="solver_val" localSheetId="11" hidden="1">0</definedName>
    <definedName name="solver_val" localSheetId="14" hidden="1">0</definedName>
    <definedName name="solver_val" localSheetId="9" hidden="1">0</definedName>
    <definedName name="solver_val" localSheetId="16" hidden="1">0</definedName>
    <definedName name="solver_val" localSheetId="12" hidden="1">0</definedName>
    <definedName name="solver_val" localSheetId="19" hidden="1">0</definedName>
    <definedName name="solver_val" localSheetId="17" hidden="1">0</definedName>
    <definedName name="solver_val" localSheetId="20" hidden="1">0</definedName>
    <definedName name="solver_val" localSheetId="21" hidden="1">0</definedName>
    <definedName name="solver_val" localSheetId="1" hidden="1">1</definedName>
    <definedName name="solver_val" localSheetId="13" hidden="1">0</definedName>
    <definedName name="solver_val" localSheetId="10" hidden="1">0</definedName>
    <definedName name="solver_var" localSheetId="2" hidden="1">" "</definedName>
    <definedName name="solver_var" localSheetId="5" hidden="1">" "</definedName>
    <definedName name="solver_var" localSheetId="9" hidden="1">" "</definedName>
    <definedName name="solver_var" localSheetId="10" hidden="1">" "</definedName>
    <definedName name="solver_var1" localSheetId="2" hidden="1">" "</definedName>
    <definedName name="solver_ver" localSheetId="2" hidden="1">9</definedName>
    <definedName name="solver_ver" localSheetId="5" hidden="1">9</definedName>
    <definedName name="solver_ver" localSheetId="9" hidden="1">9</definedName>
    <definedName name="solver_ver" localSheetId="4" hidden="1">9</definedName>
    <definedName name="solver_ver" localSheetId="1" hidden="1">9</definedName>
    <definedName name="solver_ver" localSheetId="10" hidden="1">9</definedName>
    <definedName name="solver_vir" localSheetId="2" hidden="1">1</definedName>
    <definedName name="solver_vir" localSheetId="5" hidden="1">1</definedName>
    <definedName name="solver_vir" localSheetId="9" hidden="1">1</definedName>
    <definedName name="solver_vir" localSheetId="10" hidden="1">1</definedName>
    <definedName name="solver_vir1" localSheetId="2" hidden="1">1</definedName>
    <definedName name="solver_vol" localSheetId="2" hidden="1">0</definedName>
    <definedName name="solver_vol" localSheetId="5" hidden="1">0</definedName>
    <definedName name="solver_vol" localSheetId="9" hidden="1">0</definedName>
    <definedName name="solver_vst" localSheetId="2" hidden="1">0</definedName>
    <definedName name="solver_vst" localSheetId="5" hidden="1">0</definedName>
    <definedName name="solver_vst" localSheetId="9" hidden="1">0</definedName>
    <definedName name="solver_vst" localSheetId="10" hidden="1">0</definedName>
    <definedName name="solver_vst1" localSheetId="2" hidden="1">0</definedName>
    <definedName name="solveri_ISpPars_J11" localSheetId="4" hidden="1">"RiskSolver.UI.Charts.InputDlgPars:-1000001;1;1;25;12;50;71;0;90;80;0;0;0;0;"</definedName>
    <definedName name="solveri_ISpPars_J12" localSheetId="4" hidden="1">"RiskSolver.UI.Charts.InputDlgPars:-1000001;1;1;45;12;30;71;0;90;80;0;0;0;0;"</definedName>
    <definedName name="solveri_ISpPars_J14" localSheetId="4" hidden="1">"RiskSolver.UI.Charts.InputDlgPars:-1000001;1;1;25;12;50;71;0;90;80;0;0;0;0;"</definedName>
    <definedName name="solveri_ISpPars_J17" localSheetId="4" hidden="1">"RiskSolver.UI.Charts.InputDlgPars:-1000001;1;1;25;12;50;71;0;90;80;0;0;0;0;"</definedName>
    <definedName name="solveri_ISpPars_J18" localSheetId="4" hidden="1">"RiskSolver.UI.Charts.InputDlgPars:-1000001;1;1;25;12;50;71;0;90;80;0;0;0;0;"</definedName>
    <definedName name="solveri_ISpPars_J21" localSheetId="4" hidden="1">"RiskSolver.UI.Charts.InputDlgPars:-1000001;1;1;25;12;50;71;0;90;80;0;0;0;0;"</definedName>
    <definedName name="solveri_ISpPars_J23" localSheetId="4" hidden="1">"RiskSolver.UI.Charts.InputDlgPars:-1000001;1;1;25;12;50;71;0;90;80;0;0;0;0;"</definedName>
    <definedName name="sssolver_cvg" localSheetId="10" hidden="1">0.00001</definedName>
    <definedName name="sssolver_drv" localSheetId="10" hidden="1">1</definedName>
    <definedName name="sssolver_est" localSheetId="10" hidden="1">1</definedName>
    <definedName name="sssolver_itr" localSheetId="10" hidden="1">100</definedName>
    <definedName name="sssolver_lin" localSheetId="10" hidden="1">2</definedName>
    <definedName name="sssolver_neg" localSheetId="10" hidden="1">0</definedName>
    <definedName name="sssolver_nwt" localSheetId="10" hidden="1">1</definedName>
    <definedName name="sssolver_pre" localSheetId="10" hidden="1">0.000001</definedName>
    <definedName name="sssolver_rep" localSheetId="10" hidden="1">2</definedName>
    <definedName name="sssolver_scl" localSheetId="10" hidden="1">2</definedName>
    <definedName name="sssolver_sho" localSheetId="10" hidden="1">2</definedName>
    <definedName name="sssolver_tim" localSheetId="10" hidden="1">100</definedName>
    <definedName name="sssolver_tol" localSheetId="10" hidden="1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4" i="1" l="1"/>
  <c r="B63" i="1"/>
  <c r="E63" i="1"/>
  <c r="D64" i="1"/>
  <c r="B65" i="1"/>
  <c r="B4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Q4" i="49"/>
  <c r="R4" i="49"/>
  <c r="S4" i="49"/>
  <c r="T4" i="49"/>
  <c r="U4" i="49"/>
  <c r="V4" i="49"/>
  <c r="W4" i="49"/>
  <c r="X4" i="49"/>
  <c r="Y4" i="49"/>
  <c r="Z4" i="49"/>
  <c r="AA4" i="49"/>
  <c r="AB4" i="49"/>
  <c r="AC4" i="49"/>
  <c r="AD4" i="49"/>
  <c r="AE4" i="49"/>
  <c r="AF4" i="49"/>
  <c r="AG4" i="49"/>
  <c r="AH4" i="49"/>
  <c r="B4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Q4" i="48"/>
  <c r="R4" i="48"/>
  <c r="S4" i="48"/>
  <c r="T4" i="48"/>
  <c r="U4" i="48"/>
  <c r="V4" i="48"/>
  <c r="W4" i="48"/>
  <c r="X4" i="48"/>
  <c r="Y4" i="48"/>
  <c r="Z4" i="48"/>
  <c r="AA4" i="48"/>
  <c r="AB4" i="48"/>
  <c r="AC4" i="48"/>
  <c r="AD4" i="48"/>
  <c r="AE4" i="48"/>
  <c r="AF4" i="48"/>
  <c r="AG4" i="48"/>
  <c r="AH4" i="48"/>
  <c r="B4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Q4" i="47"/>
  <c r="R4" i="47"/>
  <c r="S4" i="47"/>
  <c r="T4" i="47"/>
  <c r="U4" i="47"/>
  <c r="V4" i="47"/>
  <c r="W4" i="47"/>
  <c r="X4" i="47"/>
  <c r="Y4" i="47"/>
  <c r="Z4" i="47"/>
  <c r="AA4" i="47"/>
  <c r="AB4" i="47"/>
  <c r="AC4" i="47"/>
  <c r="AD4" i="47"/>
  <c r="AE4" i="47"/>
  <c r="AF4" i="47"/>
  <c r="AG4" i="47"/>
  <c r="AH4" i="47"/>
  <c r="B4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Q4" i="46"/>
  <c r="R4" i="46"/>
  <c r="S4" i="46"/>
  <c r="T4" i="46"/>
  <c r="U4" i="46"/>
  <c r="V4" i="46"/>
  <c r="W4" i="46"/>
  <c r="X4" i="46"/>
  <c r="Y4" i="46"/>
  <c r="Z4" i="46"/>
  <c r="AA4" i="46"/>
  <c r="AB4" i="46"/>
  <c r="AC4" i="46"/>
  <c r="AD4" i="46"/>
  <c r="AE4" i="46"/>
  <c r="AF4" i="46"/>
  <c r="AG4" i="46"/>
  <c r="AH4" i="46"/>
  <c r="B4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Q4" i="45"/>
  <c r="R4" i="45"/>
  <c r="S4" i="45"/>
  <c r="T4" i="45"/>
  <c r="U4" i="45"/>
  <c r="V4" i="45"/>
  <c r="W4" i="45"/>
  <c r="X4" i="45"/>
  <c r="Y4" i="45"/>
  <c r="Z4" i="45"/>
  <c r="AA4" i="45"/>
  <c r="AB4" i="45"/>
  <c r="AC4" i="45"/>
  <c r="AD4" i="45"/>
  <c r="AE4" i="45"/>
  <c r="AF4" i="45"/>
  <c r="AG4" i="45"/>
  <c r="AH4" i="45"/>
  <c r="B4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Q4" i="44"/>
  <c r="R4" i="44"/>
  <c r="S4" i="44"/>
  <c r="T4" i="44"/>
  <c r="U4" i="44"/>
  <c r="V4" i="44"/>
  <c r="W4" i="44"/>
  <c r="X4" i="44"/>
  <c r="Y4" i="44"/>
  <c r="Z4" i="44"/>
  <c r="AA4" i="44"/>
  <c r="AB4" i="44"/>
  <c r="AC4" i="44"/>
  <c r="AD4" i="44"/>
  <c r="AE4" i="44"/>
  <c r="AF4" i="44"/>
  <c r="AG4" i="44"/>
  <c r="AH4" i="44"/>
  <c r="B4" i="40"/>
  <c r="C4" i="40"/>
  <c r="D4" i="40"/>
  <c r="E4" i="40"/>
  <c r="F4" i="40"/>
  <c r="G4" i="40"/>
  <c r="H4" i="40"/>
  <c r="I4" i="40"/>
  <c r="J4" i="40"/>
  <c r="K4" i="40"/>
  <c r="L4" i="40"/>
  <c r="M4" i="40"/>
  <c r="N4" i="40"/>
  <c r="O4" i="40"/>
  <c r="P4" i="40"/>
  <c r="Q4" i="40"/>
  <c r="R4" i="40"/>
  <c r="S4" i="40"/>
  <c r="T4" i="40"/>
  <c r="U4" i="40"/>
  <c r="V4" i="40"/>
  <c r="W4" i="40"/>
  <c r="X4" i="40"/>
  <c r="Y4" i="40"/>
  <c r="Z4" i="40"/>
  <c r="AA4" i="40"/>
  <c r="AB4" i="40"/>
  <c r="AC4" i="40"/>
  <c r="AD4" i="40"/>
  <c r="AE4" i="40"/>
  <c r="AF4" i="40"/>
  <c r="AG4" i="40"/>
  <c r="AH4" i="40"/>
  <c r="B4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Q4" i="43"/>
  <c r="R4" i="43"/>
  <c r="S4" i="43"/>
  <c r="T4" i="43"/>
  <c r="U4" i="43"/>
  <c r="V4" i="43"/>
  <c r="W4" i="43"/>
  <c r="X4" i="43"/>
  <c r="Y4" i="43"/>
  <c r="Z4" i="43"/>
  <c r="AA4" i="43"/>
  <c r="AB4" i="43"/>
  <c r="AC4" i="43"/>
  <c r="AD4" i="43"/>
  <c r="AE4" i="43"/>
  <c r="AF4" i="43"/>
  <c r="AG4" i="43"/>
  <c r="AH4" i="43"/>
  <c r="B4" i="42"/>
  <c r="C4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B4" i="41"/>
  <c r="C4" i="41"/>
  <c r="D4" i="41"/>
  <c r="E4" i="41"/>
  <c r="F4" i="41"/>
  <c r="G4" i="41"/>
  <c r="H4" i="41"/>
  <c r="I4" i="41"/>
  <c r="J4" i="41"/>
  <c r="K4" i="41"/>
  <c r="L4" i="41"/>
  <c r="M4" i="41"/>
  <c r="N4" i="41"/>
  <c r="O4" i="41"/>
  <c r="P4" i="41"/>
  <c r="Q4" i="41"/>
  <c r="R4" i="41"/>
  <c r="S4" i="41"/>
  <c r="T4" i="41"/>
  <c r="U4" i="41"/>
  <c r="V4" i="41"/>
  <c r="W4" i="41"/>
  <c r="X4" i="41"/>
  <c r="Y4" i="41"/>
  <c r="Z4" i="41"/>
  <c r="AA4" i="41"/>
  <c r="AB4" i="41"/>
  <c r="AC4" i="41"/>
  <c r="AD4" i="41"/>
  <c r="AE4" i="41"/>
  <c r="AF4" i="41"/>
  <c r="AG4" i="41"/>
  <c r="AH4" i="41"/>
  <c r="B4" i="32"/>
  <c r="C4" i="32"/>
  <c r="D4" i="32"/>
  <c r="E4" i="32"/>
  <c r="F4" i="32"/>
  <c r="G4" i="32"/>
  <c r="H4" i="32"/>
  <c r="I4" i="32"/>
  <c r="J4" i="32"/>
  <c r="K4" i="32"/>
  <c r="L4" i="32"/>
  <c r="M4" i="32"/>
  <c r="N4" i="32"/>
  <c r="O4" i="32"/>
  <c r="P4" i="32"/>
  <c r="Q4" i="32"/>
  <c r="R4" i="32"/>
  <c r="S4" i="32"/>
  <c r="T4" i="32"/>
  <c r="U4" i="32"/>
  <c r="V4" i="32"/>
  <c r="W4" i="32"/>
  <c r="X4" i="32"/>
  <c r="Y4" i="32"/>
  <c r="Z4" i="32"/>
  <c r="AA4" i="32"/>
  <c r="AB4" i="32"/>
  <c r="AC4" i="32"/>
  <c r="AD4" i="32"/>
  <c r="AE4" i="32"/>
  <c r="AF4" i="32"/>
  <c r="AG4" i="32"/>
  <c r="AH4" i="32"/>
  <c r="C2" i="56"/>
  <c r="D2" i="56"/>
  <c r="E2" i="56"/>
  <c r="F2" i="56"/>
  <c r="G2" i="56"/>
  <c r="H2" i="56"/>
  <c r="I2" i="56"/>
  <c r="J2" i="56"/>
  <c r="K2" i="56"/>
  <c r="L2" i="56"/>
  <c r="M2" i="56"/>
  <c r="N2" i="56"/>
  <c r="O2" i="56"/>
  <c r="P2" i="56"/>
  <c r="Q2" i="56"/>
  <c r="R2" i="56"/>
  <c r="S2" i="56"/>
  <c r="T2" i="56"/>
  <c r="U2" i="56"/>
  <c r="V2" i="56"/>
  <c r="W2" i="56"/>
  <c r="X2" i="56"/>
  <c r="Y2" i="56"/>
  <c r="Z2" i="56"/>
  <c r="AA2" i="56"/>
  <c r="AB2" i="56"/>
  <c r="AC2" i="56"/>
  <c r="AD2" i="56"/>
  <c r="AE2" i="56"/>
  <c r="AF2" i="56"/>
  <c r="AG2" i="56"/>
  <c r="AH2" i="56"/>
  <c r="AI2" i="56"/>
  <c r="AJ2" i="56"/>
  <c r="AK2" i="56"/>
  <c r="AL2" i="56"/>
  <c r="AM2" i="56"/>
  <c r="AN2" i="56"/>
  <c r="AO2" i="56"/>
  <c r="AP2" i="56"/>
  <c r="AQ2" i="56"/>
  <c r="AR2" i="56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B2" i="56"/>
  <c r="D4" i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C4" i="1"/>
  <c r="B70" i="33" a="1"/>
  <c r="B70" i="33" s="1"/>
  <c r="D70" i="33"/>
  <c r="E70" i="33"/>
  <c r="F70" i="33"/>
  <c r="M70" i="33"/>
  <c r="N70" i="33"/>
  <c r="U70" i="33"/>
  <c r="V70" i="33"/>
  <c r="AC70" i="33"/>
  <c r="AD70" i="33"/>
  <c r="AH4" i="33"/>
  <c r="AI4" i="33" s="1"/>
  <c r="AJ4" i="33" s="1"/>
  <c r="AK4" i="33" s="1"/>
  <c r="T4" i="33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N4" i="33"/>
  <c r="O4" i="33" s="1"/>
  <c r="P4" i="33" s="1"/>
  <c r="Q4" i="33" s="1"/>
  <c r="R4" i="33" s="1"/>
  <c r="S4" i="33" s="1"/>
  <c r="D4" i="33"/>
  <c r="E4" i="33"/>
  <c r="F4" i="33" s="1"/>
  <c r="G4" i="33" s="1"/>
  <c r="H4" i="33" s="1"/>
  <c r="I4" i="33" s="1"/>
  <c r="J4" i="33" s="1"/>
  <c r="K4" i="33" s="1"/>
  <c r="L4" i="33" s="1"/>
  <c r="M4" i="33" s="1"/>
  <c r="C4" i="33"/>
  <c r="N39" i="55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59" i="33"/>
  <c r="B59" i="33"/>
  <c r="W118" i="33"/>
  <c r="X118" i="33" s="1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H70" i="33" l="1"/>
  <c r="AG70" i="33"/>
  <c r="Y70" i="33"/>
  <c r="Q70" i="33"/>
  <c r="I70" i="33"/>
  <c r="AF70" i="33"/>
  <c r="X70" i="33"/>
  <c r="P70" i="33"/>
  <c r="AE70" i="33"/>
  <c r="W70" i="33"/>
  <c r="O70" i="33"/>
  <c r="G70" i="33"/>
  <c r="AB70" i="33"/>
  <c r="T70" i="33"/>
  <c r="L70" i="33"/>
  <c r="AI70" i="33"/>
  <c r="AA70" i="33"/>
  <c r="S70" i="33"/>
  <c r="K70" i="33"/>
  <c r="C70" i="33"/>
  <c r="AH70" i="33"/>
  <c r="Z70" i="33"/>
  <c r="R70" i="33"/>
  <c r="J70" i="33"/>
  <c r="M101" i="51"/>
  <c r="M100" i="51"/>
  <c r="M99" i="51"/>
  <c r="M98" i="51"/>
  <c r="M97" i="51"/>
  <c r="M96" i="51"/>
  <c r="M95" i="51"/>
  <c r="M94" i="51"/>
  <c r="M93" i="51"/>
  <c r="M92" i="51"/>
  <c r="M91" i="51"/>
  <c r="M90" i="51"/>
  <c r="M89" i="5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C45" i="27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5" i="27"/>
  <c r="C54" i="27"/>
  <c r="B33" i="27"/>
  <c r="C56" i="27" s="1"/>
  <c r="E142" i="27"/>
  <c r="C48" i="49" s="1"/>
  <c r="D142" i="27"/>
  <c r="E141" i="27"/>
  <c r="D141" i="27"/>
  <c r="E140" i="27"/>
  <c r="C48" i="47" s="1"/>
  <c r="D140" i="27"/>
  <c r="E139" i="27"/>
  <c r="D139" i="27"/>
  <c r="B48" i="46" s="1"/>
  <c r="E138" i="27"/>
  <c r="C48" i="45" s="1"/>
  <c r="D138" i="27"/>
  <c r="E137" i="27"/>
  <c r="D137" i="27"/>
  <c r="E136" i="27"/>
  <c r="D136" i="27"/>
  <c r="E135" i="27"/>
  <c r="D135" i="27"/>
  <c r="B48" i="43" s="1"/>
  <c r="E134" i="27"/>
  <c r="C48" i="42" s="1"/>
  <c r="D134" i="27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B48" i="49"/>
  <c r="C48" i="48"/>
  <c r="B48" i="48"/>
  <c r="B48" i="47"/>
  <c r="C48" i="46"/>
  <c r="B48" i="45"/>
  <c r="C48" i="44"/>
  <c r="B48" i="44"/>
  <c r="C48" i="40"/>
  <c r="B48" i="40"/>
  <c r="C48" i="43"/>
  <c r="B48" i="42"/>
  <c r="C48" i="41"/>
  <c r="B48" i="41"/>
  <c r="C48" i="32"/>
  <c r="J147" i="27"/>
  <c r="N120" i="27" s="1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AO2" i="49"/>
  <c r="CD2" i="57" l="1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AO2" i="48"/>
  <c r="CI2" i="57" l="1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AO2" i="47"/>
  <c r="CL2" i="57" l="1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AO2" i="46"/>
  <c r="CP2" i="57" l="1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AO2" i="45"/>
  <c r="CT2" i="57" l="1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AO2" i="40"/>
  <c r="DC2" i="57" l="1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AO2" i="32"/>
  <c r="DW2" i="57" l="1"/>
  <c r="BE189" i="33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DY2" i="57" l="1"/>
  <c r="BG189" i="33"/>
  <c r="AH58" i="1"/>
  <c r="AG58" i="1"/>
  <c r="AF58" i="1"/>
  <c r="DZ2" i="57" l="1"/>
  <c r="BI189" i="33" s="1"/>
  <c r="BH189" i="33"/>
  <c r="D53" i="1"/>
  <c r="B53" i="1"/>
  <c r="B52" i="1"/>
  <c r="A29" i="1" l="1"/>
  <c r="A28" i="1"/>
  <c r="A27" i="1"/>
  <c r="A10" i="1"/>
  <c r="W223" i="57"/>
  <c r="X223" i="57" l="1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Y223" i="57" l="1"/>
  <c r="A83" i="33"/>
  <c r="Z223" i="57" l="1"/>
  <c r="B31" i="33"/>
  <c r="AO3" i="33"/>
  <c r="AA223" i="57" l="1"/>
  <c r="B53" i="56"/>
  <c r="B52" i="56" s="1"/>
  <c r="B46" i="56"/>
  <c r="B41" i="56"/>
  <c r="AB223" i="57" l="1"/>
  <c r="B47" i="56"/>
  <c r="C46" i="56" s="1"/>
  <c r="C47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AC223" i="57"/>
  <c r="AD223" i="57" l="1"/>
  <c r="AE223" i="57" l="1"/>
  <c r="AF223" i="57" l="1"/>
  <c r="AG223" i="57" l="1"/>
  <c r="AH223" i="57" l="1"/>
  <c r="V128" i="57"/>
  <c r="V127" i="57"/>
  <c r="V126" i="57"/>
  <c r="V125" i="57"/>
  <c r="V124" i="57"/>
  <c r="V123" i="57"/>
  <c r="V122" i="57"/>
  <c r="V121" i="57"/>
  <c r="V120" i="57"/>
  <c r="V119" i="57"/>
  <c r="V118" i="57"/>
  <c r="AI223" i="57" l="1"/>
  <c r="V117" i="57"/>
  <c r="AJ223" i="57" l="1"/>
  <c r="S99" i="57"/>
  <c r="S97" i="57"/>
  <c r="S96" i="57"/>
  <c r="S95" i="57"/>
  <c r="S94" i="57"/>
  <c r="S93" i="57"/>
  <c r="S92" i="57"/>
  <c r="AK223" i="57" l="1"/>
  <c r="S91" i="57"/>
  <c r="AL223" i="57" l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AM223" i="57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AN223" i="57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AO223" i="57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AP223" i="57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AQ223" i="57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B15" i="40" s="1"/>
  <c r="M43" i="27"/>
  <c r="O43" i="27"/>
  <c r="B15" i="47" s="1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5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K11" i="55"/>
  <c r="AM11" i="55"/>
  <c r="AO11" i="55"/>
  <c r="AQ11" i="55"/>
  <c r="AS11" i="55"/>
  <c r="AU11" i="55"/>
  <c r="AW11" i="55"/>
  <c r="AY11" i="55"/>
  <c r="BA11" i="55"/>
  <c r="BC11" i="55"/>
  <c r="BE11" i="55"/>
  <c r="BG11" i="55"/>
  <c r="BI11" i="55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L11" i="55"/>
  <c r="AN11" i="55"/>
  <c r="AP11" i="55"/>
  <c r="AR11" i="55"/>
  <c r="AT11" i="55"/>
  <c r="AV11" i="55"/>
  <c r="AX11" i="55"/>
  <c r="AZ11" i="55"/>
  <c r="BB11" i="55"/>
  <c r="BD11" i="55"/>
  <c r="BF11" i="55"/>
  <c r="BH11" i="55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R81" i="33"/>
  <c r="R66" i="59" s="1"/>
  <c r="T36" i="1"/>
  <c r="BR224" i="57" l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B18" i="32"/>
  <c r="D170" i="51" s="1"/>
  <c r="G121" i="51"/>
  <c r="G109" i="51" s="1"/>
  <c r="I109" i="51" s="1"/>
  <c r="B14" i="32"/>
  <c r="C17" i="32" s="1"/>
  <c r="B41" i="1"/>
  <c r="B40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B18" i="1"/>
  <c r="DR232" i="51" s="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D389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E172" i="5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E17" i="1" l="1"/>
  <c r="D135" i="40"/>
  <c r="D135" i="46"/>
  <c r="D386" i="33"/>
  <c r="J84" i="51"/>
  <c r="D200" i="61"/>
  <c r="D197" i="61"/>
  <c r="D135" i="45"/>
  <c r="D185" i="61"/>
  <c r="D199" i="61" s="1"/>
  <c r="E56" i="42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4" i="32"/>
  <c r="F14" i="32" s="1"/>
  <c r="D76" i="44"/>
  <c r="D384" i="33"/>
  <c r="E17" i="40"/>
  <c r="E17" i="32"/>
  <c r="E17" i="44"/>
  <c r="F17" i="44" s="1"/>
  <c r="D135" i="42"/>
  <c r="E388" i="33"/>
  <c r="D135" i="41"/>
  <c r="D388" i="33"/>
  <c r="E389" i="33"/>
  <c r="B132" i="33"/>
  <c r="E135" i="40"/>
  <c r="E384" i="33"/>
  <c r="D382" i="33"/>
  <c r="D135" i="32"/>
  <c r="E56" i="32"/>
  <c r="E179" i="61" s="1"/>
  <c r="E193" i="61" s="1"/>
  <c r="F56" i="42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12" i="49"/>
  <c r="B21" i="48"/>
  <c r="B20" i="48" s="1"/>
  <c r="B12" i="48"/>
  <c r="B21" i="42"/>
  <c r="B20" i="42" s="1"/>
  <c r="B12" i="42"/>
  <c r="F17" i="32" l="1"/>
  <c r="G17" i="32" s="1"/>
  <c r="E135" i="32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G17" i="44"/>
  <c r="F17" i="40"/>
  <c r="F382" i="33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G56" i="41"/>
  <c r="G180" i="61" s="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F135" i="32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B76" i="59" l="1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G42" i="49"/>
  <c r="M83" i="51"/>
  <c r="G42" i="46"/>
  <c r="M80" i="51"/>
  <c r="H14" i="32"/>
  <c r="G76" i="32"/>
  <c r="P122" i="41"/>
  <c r="B21" i="46"/>
  <c r="B20" i="46" s="1"/>
  <c r="B12" i="46"/>
  <c r="B21" i="43"/>
  <c r="B20" i="43" s="1"/>
  <c r="B12" i="43"/>
  <c r="R122" i="45"/>
  <c r="R122" i="46"/>
  <c r="R122" i="44"/>
  <c r="S122" i="43"/>
  <c r="S122" i="49"/>
  <c r="R122" i="32"/>
  <c r="I56" i="42"/>
  <c r="I181" i="61" s="1"/>
  <c r="I195" i="61" s="1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21" i="40"/>
  <c r="B20" i="40" s="1"/>
  <c r="B12" i="40"/>
  <c r="F76" i="1"/>
  <c r="G14" i="1"/>
  <c r="B12" i="44"/>
  <c r="B21" i="44"/>
  <c r="B20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B213" i="61" l="1"/>
  <c r="H56" i="32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56" i="42"/>
  <c r="J181" i="61" s="1"/>
  <c r="J195" i="61" s="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H135" i="32"/>
  <c r="I56" i="32"/>
  <c r="I179" i="61" s="1"/>
  <c r="I193" i="61" s="1"/>
  <c r="H14" i="45"/>
  <c r="I17" i="45" s="1"/>
  <c r="G76" i="45"/>
  <c r="BS49" i="57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B64" i="40" l="1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L76" i="44"/>
  <c r="M14" i="40"/>
  <c r="L76" i="40"/>
  <c r="AK43" i="42"/>
  <c r="AK43" i="45"/>
  <c r="AK43" i="43"/>
  <c r="AK43" i="44"/>
  <c r="AK43" i="40"/>
  <c r="N17" i="44" l="1"/>
  <c r="N17" i="40"/>
  <c r="N17" i="32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45"/>
  <c r="AL43" i="42"/>
  <c r="AL43" i="47"/>
  <c r="O17" i="32" l="1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T76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V17" i="1" l="1"/>
  <c r="W17" i="32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H76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I56" i="43"/>
  <c r="AJ42" i="42" l="1"/>
  <c r="AP75" i="51"/>
  <c r="AP83" i="51"/>
  <c r="AJ42" i="49"/>
  <c r="AP80" i="51"/>
  <c r="AJ42" i="46"/>
  <c r="AJ76" i="32"/>
  <c r="AK14" i="32"/>
  <c r="AL17" i="32" s="1"/>
  <c r="AP72" i="5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45"/>
  <c r="AK17" i="45" s="1"/>
  <c r="AI76" i="45"/>
  <c r="AK56" i="32"/>
  <c r="AY56" i="4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42" i="42" l="1"/>
  <c r="AQ75" i="51"/>
  <c r="AK42" i="49"/>
  <c r="AQ83" i="51"/>
  <c r="AQ80" i="51"/>
  <c r="AK42" i="46"/>
  <c r="AK76" i="32"/>
  <c r="AL14" i="32"/>
  <c r="AM17" i="32" s="1"/>
  <c r="AK42" i="47"/>
  <c r="AQ81" i="5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Y72" i="5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J72" i="5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D14" i="46"/>
  <c r="BE17" i="46" s="1"/>
  <c r="BC76" i="46"/>
  <c r="BE14" i="44"/>
  <c r="BF17" i="44" s="1"/>
  <c r="BD76" i="44"/>
  <c r="BE14" i="40"/>
  <c r="BF17" i="40" s="1"/>
  <c r="BD76" i="40"/>
  <c r="BE42" i="42" l="1"/>
  <c r="BK75" i="51"/>
  <c r="BK83" i="51"/>
  <c r="BE42" i="49"/>
  <c r="BK80" i="51"/>
  <c r="BE42" i="46"/>
  <c r="BF14" i="32"/>
  <c r="BG17" i="32" s="1"/>
  <c r="BE76" i="32"/>
  <c r="BE42" i="47"/>
  <c r="BK81" i="51"/>
  <c r="BK72" i="5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N72" i="5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59" i="32"/>
  <c r="BI14" i="45"/>
  <c r="BI76" i="45" s="1"/>
  <c r="BH76" i="45"/>
  <c r="BH76" i="46"/>
  <c r="BI14" i="46"/>
  <c r="BI76" i="46" s="1"/>
  <c r="BJ17" i="43" l="1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6" i="51"/>
  <c r="T116" i="51" s="1"/>
  <c r="K145" i="51" s="1"/>
  <c r="N41" i="27" s="1"/>
  <c r="M115" i="51"/>
  <c r="T115" i="51" s="1"/>
  <c r="J145" i="51" s="1"/>
  <c r="M41" i="27" s="1"/>
  <c r="M114" i="51"/>
  <c r="T114" i="51" s="1"/>
  <c r="I145" i="51" s="1"/>
  <c r="L41" i="27" s="1"/>
  <c r="M111" i="51"/>
  <c r="T111" i="51"/>
  <c r="F145" i="51" s="1"/>
  <c r="I41" i="27" s="1"/>
  <c r="M110" i="51"/>
  <c r="T110" i="51"/>
  <c r="E145" i="51" s="1"/>
  <c r="H41" i="27" s="1"/>
  <c r="M119" i="51"/>
  <c r="T119" i="51" s="1"/>
  <c r="N145" i="51" s="1"/>
  <c r="Q41" i="27" s="1"/>
  <c r="H6" i="51"/>
  <c r="H8" i="51"/>
  <c r="H10" i="51"/>
  <c r="H14" i="51"/>
  <c r="H5" i="51"/>
  <c r="H7" i="51"/>
  <c r="H13" i="51"/>
  <c r="H15" i="51"/>
  <c r="H11" i="51" l="1"/>
  <c r="H12" i="51"/>
  <c r="M109" i="51"/>
  <c r="M112" i="51"/>
  <c r="T112" i="51" s="1"/>
  <c r="G145" i="51" s="1"/>
  <c r="J41" i="27" s="1"/>
  <c r="H9" i="51"/>
  <c r="M113" i="51"/>
  <c r="T113" i="51" s="1"/>
  <c r="H145" i="51" s="1"/>
  <c r="K41" i="27" s="1"/>
  <c r="B102" i="6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T109" i="51" l="1"/>
  <c r="D145" i="51" s="1"/>
  <c r="G41" i="27" s="1"/>
  <c r="M121" i="51"/>
  <c r="F57" i="27"/>
  <c r="B124" i="44"/>
  <c r="B161" i="33" s="1"/>
  <c r="B124" i="42"/>
  <c r="B158" i="33" s="1"/>
  <c r="B124" i="45"/>
  <c r="B162" i="33" s="1"/>
  <c r="B124" i="48"/>
  <c r="B165" i="33" s="1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44" i="33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147" i="33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B86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D40" i="32"/>
  <c r="C19" i="32"/>
  <c r="B82" i="33"/>
  <c r="B119" i="32"/>
  <c r="C127" i="33"/>
  <c r="B86" i="40"/>
  <c r="B148" i="33"/>
  <c r="B150" i="33"/>
  <c r="P8" i="51"/>
  <c r="Q8" i="51" s="1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64" i="33" l="1"/>
  <c r="B114" i="49"/>
  <c r="B86" i="45"/>
  <c r="B114" i="48"/>
  <c r="B115" i="48" s="1"/>
  <c r="B114" i="44"/>
  <c r="B115" i="44" s="1"/>
  <c r="B244" i="33"/>
  <c r="B250" i="33"/>
  <c r="B242" i="33"/>
  <c r="B248" i="33"/>
  <c r="C82" i="33"/>
  <c r="B67" i="59"/>
  <c r="B241" i="33"/>
  <c r="B247" i="33"/>
  <c r="B246" i="33"/>
  <c r="B245" i="33"/>
  <c r="B114" i="40"/>
  <c r="B86" i="42"/>
  <c r="B249" i="33"/>
  <c r="B243" i="33"/>
  <c r="B124" i="32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14" i="32"/>
  <c r="B115" i="32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9"/>
  <c r="B115" i="40"/>
  <c r="B115" i="47"/>
  <c r="B115" i="42"/>
  <c r="B115" i="45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E127" i="33" l="1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G19" i="43" s="1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Q111" i="61"/>
  <c r="D125" i="61" s="1"/>
  <c r="G125" i="61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E123" i="61" l="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36" i="32" l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AI4" i="32" l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AS223" i="57" l="1"/>
  <c r="AT223" i="57" l="1"/>
  <c r="AR223" i="57"/>
  <c r="X36" i="1"/>
  <c r="Y36" i="1" l="1"/>
  <c r="Y122" i="1" s="1"/>
  <c r="X81" i="33"/>
  <c r="X66" i="59" s="1"/>
  <c r="X122" i="1"/>
  <c r="AU223" i="57"/>
  <c r="Y81" i="33" l="1"/>
  <c r="Y66" i="59" s="1"/>
  <c r="Z36" i="1"/>
  <c r="AA36" i="1" s="1"/>
  <c r="X127" i="33"/>
  <c r="X82" i="33" s="1"/>
  <c r="X67" i="59" s="1"/>
  <c r="AV223" i="57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C36" i="1" l="1"/>
  <c r="AD36" i="1" s="1"/>
  <c r="Z127" i="33"/>
  <c r="Z82" i="33" s="1"/>
  <c r="Z67" i="59" s="1"/>
  <c r="AB123" i="1"/>
  <c r="AB122" i="1" s="1"/>
  <c r="AB81" i="33"/>
  <c r="AB66" i="59" s="1"/>
  <c r="AX223" i="57"/>
  <c r="AC81" i="33" l="1"/>
  <c r="AC66" i="59" s="1"/>
  <c r="AD123" i="1"/>
  <c r="AD122" i="1" s="1"/>
  <c r="AC123" i="1"/>
  <c r="AC122" i="1" s="1"/>
  <c r="AA127" i="33"/>
  <c r="AA82" i="33" s="1"/>
  <c r="AA67" i="59" s="1"/>
  <c r="AE36" i="1"/>
  <c r="AY223" i="57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F81" i="33"/>
  <c r="AF66" i="59" s="1"/>
  <c r="AE127" i="33" l="1"/>
  <c r="AF127" i="33" s="1"/>
  <c r="AG123" i="1"/>
  <c r="AG122" i="1" s="1"/>
  <c r="AH36" i="1"/>
  <c r="BB223" i="57"/>
  <c r="AG81" i="33"/>
  <c r="AG66" i="59" s="1"/>
  <c r="AE82" i="33" l="1"/>
  <c r="AE67" i="59" s="1"/>
  <c r="AH123" i="1"/>
  <c r="AH122" i="1" s="1"/>
  <c r="BC223" i="57"/>
  <c r="AH81" i="33"/>
  <c r="AH66" i="59" s="1"/>
  <c r="AG127" i="33"/>
  <c r="AF82" i="33"/>
  <c r="AF67" i="59" s="1"/>
  <c r="BD223" i="57" l="1"/>
  <c r="AI81" i="33"/>
  <c r="AI66" i="59" s="1"/>
  <c r="AH127" i="33"/>
  <c r="AG82" i="33"/>
  <c r="AG67" i="59" s="1"/>
  <c r="AJ81" i="33" l="1"/>
  <c r="AJ66" i="59" s="1"/>
  <c r="BE223" i="57"/>
  <c r="AI127" i="33"/>
  <c r="AH82" i="33"/>
  <c r="AH67" i="59" s="1"/>
  <c r="AK81" i="33" l="1"/>
  <c r="AK66" i="59" s="1"/>
  <c r="BF223" i="57"/>
  <c r="AJ127" i="33"/>
  <c r="AI82" i="33"/>
  <c r="AI67" i="59" s="1"/>
  <c r="AL81" i="33" l="1"/>
  <c r="AL66" i="59" s="1"/>
  <c r="BG223" i="57"/>
  <c r="AK127" i="33"/>
  <c r="AJ82" i="33"/>
  <c r="AJ67" i="59" s="1"/>
  <c r="BH223" i="57" l="1"/>
  <c r="AM81" i="33"/>
  <c r="AM66" i="59" s="1"/>
  <c r="AL127" i="33"/>
  <c r="AK82" i="33"/>
  <c r="AK67" i="59" s="1"/>
  <c r="AN81" i="33" l="1"/>
  <c r="AN66" i="59" s="1"/>
  <c r="BI223" i="57"/>
  <c r="AM127" i="33"/>
  <c r="AL82" i="33"/>
  <c r="AL67" i="59" s="1"/>
  <c r="AO81" i="33" l="1"/>
  <c r="AO66" i="59" s="1"/>
  <c r="BJ223" i="57"/>
  <c r="AN127" i="33"/>
  <c r="AM82" i="33"/>
  <c r="AM67" i="59" s="1"/>
  <c r="AP81" i="33" l="1"/>
  <c r="AP66" i="59" s="1"/>
  <c r="BK223" i="57"/>
  <c r="AO127" i="33"/>
  <c r="AN82" i="33"/>
  <c r="AN67" i="59" s="1"/>
  <c r="AQ81" i="33" l="1"/>
  <c r="AQ66" i="59" s="1"/>
  <c r="BL223" i="57"/>
  <c r="AP127" i="33"/>
  <c r="AO82" i="33"/>
  <c r="AO67" i="59" s="1"/>
  <c r="BM223" i="57" l="1"/>
  <c r="AR81" i="33"/>
  <c r="AR66" i="59" s="1"/>
  <c r="AQ127" i="33"/>
  <c r="AP82" i="33"/>
  <c r="AP67" i="59" s="1"/>
  <c r="BN223" i="57" l="1"/>
  <c r="AS81" i="33"/>
  <c r="AS66" i="59" s="1"/>
  <c r="AR127" i="33"/>
  <c r="AQ82" i="33"/>
  <c r="AQ67" i="59" s="1"/>
  <c r="AT81" i="33" l="1"/>
  <c r="AT66" i="59" s="1"/>
  <c r="BO223" i="57"/>
  <c r="AS127" i="33"/>
  <c r="AR82" i="33"/>
  <c r="AR67" i="59" s="1"/>
  <c r="AU81" i="33" l="1"/>
  <c r="AU66" i="59" s="1"/>
  <c r="BP223" i="57"/>
  <c r="AT127" i="33"/>
  <c r="AS82" i="33"/>
  <c r="AS67" i="59" s="1"/>
  <c r="AV81" i="33" l="1"/>
  <c r="AV66" i="59" s="1"/>
  <c r="BQ223" i="57"/>
  <c r="AU127" i="33"/>
  <c r="AT82" i="33"/>
  <c r="AT67" i="59" s="1"/>
  <c r="AW81" i="33" l="1"/>
  <c r="AW66" i="59" s="1"/>
  <c r="BR223" i="57"/>
  <c r="AV127" i="33"/>
  <c r="AU82" i="33"/>
  <c r="AU67" i="59" s="1"/>
  <c r="BS223" i="57" l="1"/>
  <c r="AX81" i="33"/>
  <c r="AX66" i="59" s="1"/>
  <c r="AW127" i="33"/>
  <c r="AV82" i="33"/>
  <c r="AV67" i="59" s="1"/>
  <c r="BT223" i="57" l="1"/>
  <c r="AY81" i="33"/>
  <c r="AY66" i="59" s="1"/>
  <c r="AX127" i="33"/>
  <c r="AW82" i="33"/>
  <c r="AW67" i="59" s="1"/>
  <c r="BU223" i="57" l="1"/>
  <c r="AZ81" i="33"/>
  <c r="AZ66" i="59" s="1"/>
  <c r="AY127" i="33"/>
  <c r="AX82" i="33"/>
  <c r="AX67" i="59" s="1"/>
  <c r="BV223" i="57" l="1"/>
  <c r="BA81" i="33"/>
  <c r="BA66" i="59" s="1"/>
  <c r="AZ127" i="33"/>
  <c r="AY82" i="33"/>
  <c r="AY67" i="59" s="1"/>
  <c r="BB81" i="33" l="1"/>
  <c r="BB66" i="59" s="1"/>
  <c r="BW223" i="57"/>
  <c r="BA127" i="33"/>
  <c r="AZ82" i="33"/>
  <c r="AZ67" i="59" s="1"/>
  <c r="BC81" i="33" l="1"/>
  <c r="BC66" i="59" s="1"/>
  <c r="BX223" i="57"/>
  <c r="BB127" i="33"/>
  <c r="BA82" i="33"/>
  <c r="BA67" i="59" s="1"/>
  <c r="BY223" i="57" l="1"/>
  <c r="BD81" i="33"/>
  <c r="BD66" i="59" s="1"/>
  <c r="BC127" i="33"/>
  <c r="BB82" i="33"/>
  <c r="BB67" i="59" s="1"/>
  <c r="BZ223" i="57" l="1"/>
  <c r="BE81" i="33"/>
  <c r="BE66" i="59" s="1"/>
  <c r="BD127" i="33"/>
  <c r="BC82" i="33"/>
  <c r="BC67" i="59" s="1"/>
  <c r="CA223" i="57" l="1"/>
  <c r="BF81" i="33"/>
  <c r="BF66" i="59" s="1"/>
  <c r="BE127" i="33"/>
  <c r="BD82" i="33"/>
  <c r="BD67" i="59" s="1"/>
  <c r="BG81" i="33" l="1"/>
  <c r="BG66" i="59" s="1"/>
  <c r="CB223" i="57"/>
  <c r="BF127" i="33"/>
  <c r="BE82" i="33"/>
  <c r="BE67" i="59" s="1"/>
  <c r="CC223" i="57" l="1"/>
  <c r="BH81" i="33"/>
  <c r="BH66" i="59" s="1"/>
  <c r="BG127" i="33"/>
  <c r="BF82" i="33"/>
  <c r="BF67" i="59" s="1"/>
  <c r="BI81" i="33" l="1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AC57" i="57"/>
  <c r="X197" i="57"/>
  <c r="AD57" i="57" s="1"/>
  <c r="AI55" i="57" l="1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BT51" i="57" s="1"/>
  <c r="B68" i="47"/>
  <c r="B73" i="47" s="1"/>
  <c r="C74" i="47" s="1"/>
  <c r="BT58" i="57" s="1"/>
  <c r="B68" i="46"/>
  <c r="B73" i="46" s="1"/>
  <c r="C74" i="46" s="1"/>
  <c r="BT57" i="57" s="1"/>
  <c r="B68" i="48"/>
  <c r="B73" i="48" s="1"/>
  <c r="C74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294" i="33"/>
  <c r="B293" i="33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301" i="33"/>
  <c r="B279" i="33"/>
  <c r="B278" i="33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BT54" i="57" s="1"/>
  <c r="B68" i="49"/>
  <c r="B139" i="49" s="1"/>
  <c r="B68" i="44"/>
  <c r="B139" i="44" s="1"/>
  <c r="B68" i="42"/>
  <c r="B73" i="42" s="1"/>
  <c r="C74" i="42" s="1"/>
  <c r="BT52" i="57" s="1"/>
  <c r="B68" i="43"/>
  <c r="B73" i="43" s="1"/>
  <c r="C74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416" i="51"/>
  <c r="I92" i="51" s="1"/>
  <c r="B139" i="61"/>
  <c r="B417" i="51"/>
  <c r="I93" i="51" s="1"/>
  <c r="B142" i="61"/>
  <c r="B420" i="51"/>
  <c r="I96" i="51" s="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47" i="61" l="1"/>
  <c r="B139" i="40"/>
  <c r="E136" i="51" s="1"/>
  <c r="B73" i="49"/>
  <c r="C74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BT55" i="57" s="1"/>
  <c r="C85" i="42"/>
  <c r="B73" i="45"/>
  <c r="C74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B91" i="41"/>
  <c r="B91" i="46"/>
  <c r="B132" i="43"/>
  <c r="B133" i="43" s="1"/>
  <c r="B399" i="33"/>
  <c r="B132" i="49"/>
  <c r="B133" i="49" s="1"/>
  <c r="B406" i="33"/>
  <c r="B93" i="48"/>
  <c r="B94" i="48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B90" i="44"/>
  <c r="B93" i="44" s="1"/>
  <c r="B94" i="44" s="1"/>
  <c r="B211" i="51"/>
  <c r="B227" i="51" s="1"/>
  <c r="B132" i="45"/>
  <c r="B133" i="45" s="1"/>
  <c r="B90" i="45"/>
  <c r="B93" i="45" s="1"/>
  <c r="B94" i="45" s="1"/>
  <c r="B402" i="33"/>
  <c r="B401" i="33"/>
  <c r="C9" i="55"/>
  <c r="C121" i="49"/>
  <c r="B132" i="44"/>
  <c r="B133" i="44" s="1"/>
  <c r="B210" i="51"/>
  <c r="B226" i="51" s="1"/>
  <c r="B93" i="43"/>
  <c r="B94" i="43" s="1"/>
  <c r="B91" i="43"/>
  <c r="C258" i="33"/>
  <c r="C261" i="33"/>
  <c r="C260" i="33"/>
  <c r="B93" i="49"/>
  <c r="B94" i="49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2" i="49" s="1"/>
  <c r="C106" i="48"/>
  <c r="C109" i="48" s="1"/>
  <c r="C103" i="48" s="1"/>
  <c r="C102" i="48" s="1"/>
  <c r="C106" i="47"/>
  <c r="C109" i="47" s="1"/>
  <c r="C103" i="47" s="1"/>
  <c r="C102" i="47" s="1"/>
  <c r="C106" i="46"/>
  <c r="C109" i="46" s="1"/>
  <c r="C103" i="46" s="1"/>
  <c r="C102" i="46" s="1"/>
  <c r="C106" i="45"/>
  <c r="C109" i="45" s="1"/>
  <c r="C103" i="45" s="1"/>
  <c r="C102" i="45" s="1"/>
  <c r="C106" i="44"/>
  <c r="C109" i="44" s="1"/>
  <c r="C103" i="44" s="1"/>
  <c r="C102" i="44" s="1"/>
  <c r="C106" i="40"/>
  <c r="C109" i="40" s="1"/>
  <c r="C103" i="40" s="1"/>
  <c r="C102" i="40" s="1"/>
  <c r="C106" i="43"/>
  <c r="C109" i="43" s="1"/>
  <c r="C103" i="43" s="1"/>
  <c r="C102" i="43" s="1"/>
  <c r="C106" i="42"/>
  <c r="C109" i="42" s="1"/>
  <c r="C103" i="42" s="1"/>
  <c r="C102" i="42" s="1"/>
  <c r="C106" i="41"/>
  <c r="C109" i="41" s="1"/>
  <c r="C103" i="41" s="1"/>
  <c r="C102" i="41" s="1"/>
  <c r="C106" i="32"/>
  <c r="C109" i="32" s="1"/>
  <c r="C83" i="33"/>
  <c r="C90" i="33"/>
  <c r="C109" i="1" l="1"/>
  <c r="C96" i="33"/>
  <c r="C97" i="33"/>
  <c r="C66" i="49"/>
  <c r="C67" i="49" s="1"/>
  <c r="C71" i="49"/>
  <c r="C116" i="49"/>
  <c r="C101" i="49"/>
  <c r="C66" i="48"/>
  <c r="C67" i="48" s="1"/>
  <c r="C101" i="48"/>
  <c r="C116" i="48"/>
  <c r="C71" i="48"/>
  <c r="C66" i="47"/>
  <c r="C67" i="47" s="1"/>
  <c r="C101" i="47"/>
  <c r="C116" i="47"/>
  <c r="C71" i="47"/>
  <c r="C66" i="46"/>
  <c r="C67" i="46" s="1"/>
  <c r="C101" i="46"/>
  <c r="C116" i="46"/>
  <c r="C71" i="46"/>
  <c r="C116" i="45"/>
  <c r="C101" i="45"/>
  <c r="C71" i="45"/>
  <c r="C66" i="45"/>
  <c r="C67" i="45" s="1"/>
  <c r="C116" i="44"/>
  <c r="C71" i="44"/>
  <c r="C66" i="44"/>
  <c r="C67" i="44" s="1"/>
  <c r="C101" i="44"/>
  <c r="C116" i="40"/>
  <c r="C71" i="40"/>
  <c r="C66" i="40"/>
  <c r="C67" i="40" s="1"/>
  <c r="C101" i="40"/>
  <c r="C101" i="43"/>
  <c r="C116" i="43"/>
  <c r="C71" i="43"/>
  <c r="C66" i="43"/>
  <c r="C67" i="43" s="1"/>
  <c r="C66" i="42"/>
  <c r="C67" i="42" s="1"/>
  <c r="C71" i="42"/>
  <c r="C116" i="42"/>
  <c r="C101" i="42"/>
  <c r="C101" i="41"/>
  <c r="C7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36" i="41" l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X31" i="41" l="1"/>
  <c r="Y36" i="41"/>
  <c r="Z36" i="41" s="1"/>
  <c r="X122" i="41"/>
  <c r="AA36" i="41" l="1"/>
  <c r="Z31" i="41"/>
  <c r="Z122" i="41"/>
  <c r="Y31" i="41"/>
  <c r="Y122" i="41"/>
  <c r="AA31" i="41" l="1"/>
  <c r="AA123" i="41"/>
  <c r="AA122" i="41" s="1"/>
  <c r="AB36" i="41"/>
  <c r="AB123" i="41" l="1"/>
  <c r="AB122" i="41" s="1"/>
  <c r="AB31" i="41"/>
  <c r="AC36" i="41"/>
  <c r="AC31" i="41" l="1"/>
  <c r="AC123" i="41"/>
  <c r="AC122" i="41" s="1"/>
  <c r="AD36" i="41"/>
  <c r="AE36" i="41" l="1"/>
  <c r="AD123" i="41"/>
  <c r="AD122" i="41" s="1"/>
  <c r="AD31" i="41"/>
  <c r="AE31" i="41" l="1"/>
  <c r="AE123" i="41"/>
  <c r="AE122" i="41" s="1"/>
  <c r="AF36" i="41"/>
  <c r="AF123" i="41" l="1"/>
  <c r="AF122" i="41" s="1"/>
  <c r="AF31" i="41"/>
  <c r="AG36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36" i="42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X122" i="42"/>
  <c r="Y36" i="42"/>
  <c r="Y31" i="42" s="1"/>
  <c r="X31" i="42"/>
  <c r="Y122" i="42" l="1"/>
  <c r="Z36" i="42"/>
  <c r="Z122" i="42" l="1"/>
  <c r="Z31" i="42"/>
  <c r="AA36" i="42"/>
  <c r="AA31" i="42" l="1"/>
  <c r="AA123" i="42"/>
  <c r="AA122" i="42" s="1"/>
  <c r="AB36" i="42"/>
  <c r="AB31" i="42" l="1"/>
  <c r="AB123" i="42"/>
  <c r="AB122" i="42" s="1"/>
  <c r="AC36" i="42"/>
  <c r="AC31" i="42" l="1"/>
  <c r="AC123" i="42"/>
  <c r="AC122" i="42" s="1"/>
  <c r="AD36" i="42"/>
  <c r="AD31" i="42" l="1"/>
  <c r="AD123" i="42"/>
  <c r="AD122" i="42" s="1"/>
  <c r="AE36" i="42"/>
  <c r="AE31" i="42" l="1"/>
  <c r="AE123" i="42"/>
  <c r="AE122" i="42" s="1"/>
  <c r="AF36" i="42"/>
  <c r="AF123" i="42" l="1"/>
  <c r="AF122" i="42" s="1"/>
  <c r="AF31" i="42"/>
  <c r="AG36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36" i="43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X122" i="43"/>
  <c r="X31" i="43"/>
  <c r="Y36" i="43"/>
  <c r="Z36" i="43" s="1"/>
  <c r="AA36" i="43" l="1"/>
  <c r="Z122" i="43"/>
  <c r="Z31" i="43"/>
  <c r="Y31" i="43"/>
  <c r="Y122" i="43"/>
  <c r="AA31" i="43" l="1"/>
  <c r="AA123" i="43"/>
  <c r="AA122" i="43" s="1"/>
  <c r="AB36" i="43"/>
  <c r="AC36" i="43" l="1"/>
  <c r="AB123" i="43"/>
  <c r="AB122" i="43" s="1"/>
  <c r="AB31" i="43"/>
  <c r="AC31" i="43" l="1"/>
  <c r="AC123" i="43"/>
  <c r="AC122" i="43" s="1"/>
  <c r="AD36" i="43"/>
  <c r="AE36" i="43" l="1"/>
  <c r="AD123" i="43"/>
  <c r="AD122" i="43" s="1"/>
  <c r="AD31" i="43"/>
  <c r="AE31" i="43" l="1"/>
  <c r="AE123" i="43"/>
  <c r="AE122" i="43" s="1"/>
  <c r="AF36" i="43"/>
  <c r="AF123" i="43" l="1"/>
  <c r="AF122" i="43" s="1"/>
  <c r="AF31" i="43"/>
  <c r="AG36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36" i="40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X122" i="40"/>
  <c r="X31" i="40"/>
  <c r="Y36" i="40"/>
  <c r="Z36" i="40" s="1"/>
  <c r="AA36" i="40" l="1"/>
  <c r="Z122" i="40"/>
  <c r="Z31" i="40"/>
  <c r="Y31" i="40"/>
  <c r="Y122" i="40"/>
  <c r="AB36" i="40" l="1"/>
  <c r="AC36" i="40" s="1"/>
  <c r="AA31" i="40"/>
  <c r="AA123" i="40"/>
  <c r="AA122" i="40" s="1"/>
  <c r="AD36" i="40" l="1"/>
  <c r="AE36" i="40" s="1"/>
  <c r="AC31" i="40"/>
  <c r="AC123" i="40"/>
  <c r="AC122" i="40" s="1"/>
  <c r="AB31" i="40"/>
  <c r="AB123" i="40"/>
  <c r="AB122" i="40" s="1"/>
  <c r="AF36" i="40" l="1"/>
  <c r="AD31" i="40"/>
  <c r="AD123" i="40"/>
  <c r="AD122" i="40" s="1"/>
  <c r="AE31" i="40"/>
  <c r="AE123" i="40"/>
  <c r="AE122" i="40" s="1"/>
  <c r="AF31" i="40" l="1"/>
  <c r="AF123" i="40"/>
  <c r="AF122" i="40" s="1"/>
  <c r="AG36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36" i="44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X122" i="44"/>
  <c r="X31" i="44"/>
  <c r="Y36" i="44"/>
  <c r="Z36" i="44" s="1"/>
  <c r="AA36" i="44" l="1"/>
  <c r="Z122" i="44"/>
  <c r="Z31" i="44"/>
  <c r="Y31" i="44"/>
  <c r="Y122" i="44"/>
  <c r="AA31" i="44" l="1"/>
  <c r="AA123" i="44"/>
  <c r="AA122" i="44" s="1"/>
  <c r="AB36" i="44"/>
  <c r="AC36" i="44" l="1"/>
  <c r="AB123" i="44"/>
  <c r="AB122" i="44" s="1"/>
  <c r="AB31" i="44"/>
  <c r="AC31" i="44" l="1"/>
  <c r="AC123" i="44"/>
  <c r="AC122" i="44" s="1"/>
  <c r="AD36" i="44"/>
  <c r="AE36" i="44" l="1"/>
  <c r="AD123" i="44"/>
  <c r="AD122" i="44" s="1"/>
  <c r="AD31" i="44"/>
  <c r="AE31" i="44" l="1"/>
  <c r="AE123" i="44"/>
  <c r="AE122" i="44" s="1"/>
  <c r="AF36" i="44"/>
  <c r="AF123" i="44" l="1"/>
  <c r="AF122" i="44" s="1"/>
  <c r="AF31" i="44"/>
  <c r="AG36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36" i="45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BI123" i="44" l="1"/>
  <c r="BI122" i="44" s="1"/>
  <c r="X122" i="45"/>
  <c r="Y36" i="45"/>
  <c r="Y31" i="45" s="1"/>
  <c r="X31" i="45"/>
  <c r="Z36" i="45" l="1"/>
  <c r="AA36" i="45" s="1"/>
  <c r="AA123" i="45" s="1"/>
  <c r="AA122" i="45" s="1"/>
  <c r="Y122" i="45"/>
  <c r="Z31" i="45" l="1"/>
  <c r="AA31" i="45"/>
  <c r="Z122" i="45"/>
  <c r="AB36" i="45"/>
  <c r="AB123" i="45" s="1"/>
  <c r="AB122" i="45" s="1"/>
  <c r="AB31" i="45" l="1"/>
  <c r="AC36" i="45"/>
  <c r="AC123" i="45" s="1"/>
  <c r="AC122" i="45" s="1"/>
  <c r="AC31" i="45" l="1"/>
  <c r="AD36" i="45"/>
  <c r="AD31" i="45" s="1"/>
  <c r="AD123" i="45" l="1"/>
  <c r="AD122" i="45" s="1"/>
  <c r="AE36" i="45"/>
  <c r="AE31" i="45" s="1"/>
  <c r="AE123" i="45" l="1"/>
  <c r="AE122" i="45" s="1"/>
  <c r="AF36" i="45"/>
  <c r="AF31" i="45" s="1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36" i="46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X122" i="46"/>
  <c r="X31" i="46"/>
  <c r="Y36" i="46"/>
  <c r="Y31" i="46" l="1"/>
  <c r="Z36" i="46"/>
  <c r="Y122" i="46"/>
  <c r="Z122" i="46" l="1"/>
  <c r="Z31" i="46"/>
  <c r="AA36" i="46"/>
  <c r="AA31" i="46" l="1"/>
  <c r="AA123" i="46"/>
  <c r="AA122" i="46" s="1"/>
  <c r="AB36" i="46"/>
  <c r="AB123" i="46" l="1"/>
  <c r="AB122" i="46" s="1"/>
  <c r="AB31" i="46"/>
  <c r="AC36" i="46"/>
  <c r="AC31" i="46" l="1"/>
  <c r="AC123" i="46"/>
  <c r="AC122" i="46" s="1"/>
  <c r="AD36" i="46"/>
  <c r="AD123" i="46" l="1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36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X31" i="47"/>
  <c r="Y122" i="47" l="1"/>
  <c r="Z36" i="47"/>
  <c r="Z122" i="47" l="1"/>
  <c r="Z31" i="47"/>
  <c r="AA36" i="47"/>
  <c r="AB36" i="47" l="1"/>
  <c r="AA31" i="47"/>
  <c r="AA123" i="47"/>
  <c r="AA122" i="47" s="1"/>
  <c r="AB123" i="47" l="1"/>
  <c r="AB122" i="47" s="1"/>
  <c r="AB31" i="47"/>
  <c r="AC36" i="47"/>
  <c r="AC31" i="47" l="1"/>
  <c r="AC123" i="47"/>
  <c r="AC122" i="47" s="1"/>
  <c r="AD36" i="47"/>
  <c r="AD123" i="47" l="1"/>
  <c r="AD122" i="47" s="1"/>
  <c r="AD31" i="47"/>
  <c r="AE36" i="47"/>
  <c r="AE31" i="47" l="1"/>
  <c r="AE123" i="47"/>
  <c r="AE122" i="47" s="1"/>
  <c r="AF36" i="47"/>
  <c r="AF31" i="47" l="1"/>
  <c r="AF123" i="47"/>
  <c r="AF122" i="47" s="1"/>
  <c r="AG36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36" i="48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X122" i="48"/>
  <c r="X31" i="48"/>
  <c r="Y36" i="48"/>
  <c r="Z36" i="48" s="1"/>
  <c r="AA36" i="48" l="1"/>
  <c r="Z122" i="48"/>
  <c r="Z31" i="48"/>
  <c r="Y31" i="48"/>
  <c r="Y122" i="48"/>
  <c r="AA31" i="48" l="1"/>
  <c r="AA123" i="48"/>
  <c r="AA122" i="48" s="1"/>
  <c r="AB36" i="48"/>
  <c r="AC36" i="48" l="1"/>
  <c r="AB123" i="48"/>
  <c r="AB122" i="48" s="1"/>
  <c r="AB31" i="48"/>
  <c r="AC31" i="48" l="1"/>
  <c r="AC123" i="48"/>
  <c r="AC122" i="48" s="1"/>
  <c r="AD36" i="48"/>
  <c r="AD123" i="48" l="1"/>
  <c r="AD122" i="48" s="1"/>
  <c r="AD31" i="48"/>
  <c r="AE36" i="48"/>
  <c r="AE31" i="48" l="1"/>
  <c r="AE123" i="48"/>
  <c r="AE122" i="48" s="1"/>
  <c r="AF36" i="48"/>
  <c r="AF31" i="48" l="1"/>
  <c r="AF123" i="48"/>
  <c r="AF122" i="48" s="1"/>
  <c r="AG36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36" i="49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36" i="49" l="1"/>
  <c r="Y31" i="49" l="1"/>
  <c r="Y122" i="49"/>
  <c r="Z36" i="49"/>
  <c r="Z122" i="49" l="1"/>
  <c r="Z31" i="49"/>
  <c r="AA36" i="49"/>
  <c r="AA31" i="49" l="1"/>
  <c r="AA123" i="49"/>
  <c r="AA122" i="49" s="1"/>
  <c r="AB36" i="49"/>
  <c r="AC36" i="49" l="1"/>
  <c r="AB31" i="49"/>
  <c r="AB123" i="49"/>
  <c r="AB122" i="49" s="1"/>
  <c r="AC31" i="49" l="1"/>
  <c r="AC123" i="49"/>
  <c r="AC122" i="49" s="1"/>
  <c r="AD36" i="49"/>
  <c r="AD123" i="49" l="1"/>
  <c r="AD122" i="49" s="1"/>
  <c r="AD31" i="49"/>
  <c r="AE36" i="49"/>
  <c r="AE31" i="49" l="1"/>
  <c r="AE123" i="49"/>
  <c r="AE122" i="49" s="1"/>
  <c r="AF36" i="49"/>
  <c r="AF31" i="49" l="1"/>
  <c r="AF123" i="49"/>
  <c r="AF122" i="49" s="1"/>
  <c r="AG36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AL4" i="33" l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I20" i="48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Y15" i="51"/>
  <c r="N65" i="51" s="1"/>
  <c r="N22" i="49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L19" i="41" l="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20" i="41" l="1"/>
  <c r="O19" i="41" s="1"/>
  <c r="O64" i="5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4" l="1"/>
  <c r="P19" i="44" s="1"/>
  <c r="P20" i="48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AE13" i="51" l="1"/>
  <c r="T63" i="51" s="1"/>
  <c r="T22" i="47" s="1"/>
  <c r="S20" i="47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U20" i="47"/>
  <c r="U19" i="47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AG6" i="51" l="1"/>
  <c r="O23" i="51" s="1"/>
  <c r="U20" i="46"/>
  <c r="U19" i="46" s="1"/>
  <c r="V20" i="47"/>
  <c r="V19" i="47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AH11" i="51" l="1"/>
  <c r="W61" i="51" s="1"/>
  <c r="W22" i="45" s="1"/>
  <c r="AH6" i="51"/>
  <c r="W56" i="51" s="1"/>
  <c r="W22" i="41" s="1"/>
  <c r="V56" i="51"/>
  <c r="V22" i="41" s="1"/>
  <c r="V20" i="41" s="1"/>
  <c r="V19" i="41" s="1"/>
  <c r="BW6" i="51"/>
  <c r="W20" i="47"/>
  <c r="W19" i="47" s="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AI11" i="51" l="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Z20" i="40"/>
  <c r="Z19" i="40" s="1"/>
  <c r="Z20" i="49"/>
  <c r="Z19" i="49" s="1"/>
  <c r="AM9" i="51"/>
  <c r="AB59" i="51" s="1"/>
  <c r="AB22" i="40" s="1"/>
  <c r="AM13" i="51"/>
  <c r="AB63" i="51" s="1"/>
  <c r="AB22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B20" i="47" l="1"/>
  <c r="AA20" i="40"/>
  <c r="AA19" i="40" s="1"/>
  <c r="AA20" i="41"/>
  <c r="AA19" i="41" s="1"/>
  <c r="AM11" i="51"/>
  <c r="AB61" i="51" s="1"/>
  <c r="AB22" i="45" s="1"/>
  <c r="AA20" i="46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B20" i="40"/>
  <c r="AB19" i="40" s="1"/>
  <c r="AN13" i="51"/>
  <c r="AC63" i="51" s="1"/>
  <c r="AC22" i="47" s="1"/>
  <c r="AC20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AB20" i="46" s="1"/>
  <c r="AB19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19" i="47"/>
  <c r="AO9" i="51" l="1"/>
  <c r="AB20" i="45"/>
  <c r="AB19" i="45" s="1"/>
  <c r="AC20" i="41"/>
  <c r="AC19" i="41" s="1"/>
  <c r="AO11" i="51"/>
  <c r="AD61" i="51" s="1"/>
  <c r="AD22" i="45" s="1"/>
  <c r="AO6" i="51"/>
  <c r="AD56" i="51" s="1"/>
  <c r="AD22" i="41" s="1"/>
  <c r="AD20" i="41" s="1"/>
  <c r="AD19" i="41" s="1"/>
  <c r="AB20" i="49"/>
  <c r="AB19" i="49" s="1"/>
  <c r="AC20" i="40"/>
  <c r="AC19" i="40" s="1"/>
  <c r="AO15" i="51"/>
  <c r="AD65" i="51" s="1"/>
  <c r="AD22" i="49" s="1"/>
  <c r="AO13" i="51"/>
  <c r="AD63" i="51" s="1"/>
  <c r="AD22" i="47" s="1"/>
  <c r="AD20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C20" i="45" l="1"/>
  <c r="AC19" i="45" s="1"/>
  <c r="AP11" i="51"/>
  <c r="AE61" i="51" s="1"/>
  <c r="AE22" i="45" s="1"/>
  <c r="AC20" i="49"/>
  <c r="AC19" i="49" s="1"/>
  <c r="AP13" i="51"/>
  <c r="AE63" i="51" s="1"/>
  <c r="AE22" i="47" s="1"/>
  <c r="AE20" i="47" s="1"/>
  <c r="AD20" i="40"/>
  <c r="AD19" i="40" s="1"/>
  <c r="AP9" i="51"/>
  <c r="AE59" i="51" s="1"/>
  <c r="AE22" i="40" s="1"/>
  <c r="AP6" i="51"/>
  <c r="AE56" i="51" s="1"/>
  <c r="AE22" i="41" s="1"/>
  <c r="AE20" i="41" s="1"/>
  <c r="AE19" i="41" s="1"/>
  <c r="AP15" i="51"/>
  <c r="AC19" i="43"/>
  <c r="AQ4" i="5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Q9" i="51" l="1"/>
  <c r="AD20" i="45"/>
  <c r="AD19" i="45" s="1"/>
  <c r="AD20" i="49"/>
  <c r="AD19" i="49" s="1"/>
  <c r="AQ6" i="51"/>
  <c r="AF56" i="51" s="1"/>
  <c r="AF22" i="41" s="1"/>
  <c r="AF20" i="41" s="1"/>
  <c r="AF19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E20" i="45" l="1"/>
  <c r="AE19" i="45" s="1"/>
  <c r="AF65" i="51"/>
  <c r="AF22" i="49" s="1"/>
  <c r="AF61" i="51"/>
  <c r="AF22" i="45" s="1"/>
  <c r="AE20" i="49"/>
  <c r="AE19" i="49" s="1"/>
  <c r="AF20" i="40"/>
  <c r="P28" i="51"/>
  <c r="BX6" i="51"/>
  <c r="P23" i="51"/>
  <c r="AR6" i="51"/>
  <c r="AG56" i="51" s="1"/>
  <c r="AG22" i="41" s="1"/>
  <c r="AG20" i="41" s="1"/>
  <c r="AG19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19" i="40"/>
  <c r="AF20" i="45" l="1"/>
  <c r="AF19" i="45" s="1"/>
  <c r="AF20" i="49"/>
  <c r="AF19" i="49" s="1"/>
  <c r="AS6" i="51"/>
  <c r="AH56" i="51" s="1"/>
  <c r="AH22" i="41" s="1"/>
  <c r="AH20" i="41" s="1"/>
  <c r="AH19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5" l="1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U4" i="51"/>
  <c r="AH62" i="51"/>
  <c r="AH22" i="46" s="1"/>
  <c r="AH20" i="46" s="1"/>
  <c r="AH19" i="46" s="1"/>
  <c r="AT12" i="51"/>
  <c r="AI56" i="51"/>
  <c r="AI22" i="41" s="1"/>
  <c r="AI20" i="41" s="1"/>
  <c r="AI19" i="41" s="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U13" i="51" l="1"/>
  <c r="AH20" i="45"/>
  <c r="AH19" i="45" s="1"/>
  <c r="AH20" i="49"/>
  <c r="AH19" i="49" s="1"/>
  <c r="AI20" i="47"/>
  <c r="AI19" i="47" s="1"/>
  <c r="AU15" i="51"/>
  <c r="AJ65" i="51" s="1"/>
  <c r="AJ22" i="49" s="1"/>
  <c r="AI20" i="40"/>
  <c r="AI19" i="40" s="1"/>
  <c r="AI20" i="49"/>
  <c r="AI19" i="49" s="1"/>
  <c r="AU9" i="51"/>
  <c r="AU11" i="51"/>
  <c r="AJ61" i="51" s="1"/>
  <c r="AJ22" i="45" s="1"/>
  <c r="AU6" i="51"/>
  <c r="AJ56" i="51" s="1"/>
  <c r="AJ22" i="41" s="1"/>
  <c r="AJ20" i="41" s="1"/>
  <c r="AJ19" i="41" s="1"/>
  <c r="AH19" i="43"/>
  <c r="AU12" i="51"/>
  <c r="AI62" i="51"/>
  <c r="AI22" i="46" s="1"/>
  <c r="AI20" i="46" s="1"/>
  <c r="AI19" i="46" s="1"/>
  <c r="AJ54" i="5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59" i="51"/>
  <c r="AJ22" i="40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J20" i="40" l="1"/>
  <c r="AI20" i="45"/>
  <c r="AI19" i="45" s="1"/>
  <c r="AJ20" i="47"/>
  <c r="AJ19" i="47" s="1"/>
  <c r="AV15" i="51"/>
  <c r="AK65" i="51" s="1"/>
  <c r="AK22" i="49" s="1"/>
  <c r="AJ20" i="49"/>
  <c r="AJ19" i="49" s="1"/>
  <c r="AV13" i="51"/>
  <c r="AK63" i="51" s="1"/>
  <c r="AK22" i="47" s="1"/>
  <c r="AV9" i="51"/>
  <c r="AK59" i="51" s="1"/>
  <c r="AK22" i="40" s="1"/>
  <c r="AK20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19" i="40"/>
  <c r="AJ20" i="45" l="1"/>
  <c r="AJ19" i="45" s="1"/>
  <c r="AK20" i="47"/>
  <c r="AK19" i="47" s="1"/>
  <c r="AK20" i="49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L20" i="40" s="1"/>
  <c r="AW15" i="51"/>
  <c r="AL65" i="51" s="1"/>
  <c r="AL22" i="49" s="1"/>
  <c r="AJ19" i="43"/>
  <c r="AL54" i="5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19" i="49"/>
  <c r="AK19" i="40"/>
  <c r="AK20" i="45" l="1"/>
  <c r="AK19" i="45" s="1"/>
  <c r="AL20" i="47"/>
  <c r="AL20" i="49"/>
  <c r="AL19" i="49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7"/>
  <c r="AL19" i="40"/>
  <c r="AL20" i="45" l="1"/>
  <c r="AL19" i="45" s="1"/>
  <c r="AM20" i="47"/>
  <c r="AM19" i="47" s="1"/>
  <c r="AM20" i="49"/>
  <c r="AM19" i="49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L19" i="43"/>
  <c r="AN54" i="5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N59" i="51"/>
  <c r="AN22" i="40" s="1"/>
  <c r="AN20" i="40" s="1"/>
  <c r="AK19" i="42"/>
  <c r="AL55" i="51"/>
  <c r="AL22" i="32" s="1"/>
  <c r="AX5" i="51"/>
  <c r="AW16" i="51"/>
  <c r="AH19" i="1"/>
  <c r="AL57" i="51"/>
  <c r="AL22" i="42" s="1"/>
  <c r="AL20" i="42" s="1"/>
  <c r="AX7" i="51"/>
  <c r="AK20" i="32"/>
  <c r="AJ19" i="32"/>
  <c r="AM19" i="40"/>
  <c r="AN20" i="47" l="1"/>
  <c r="AN19" i="47" s="1"/>
  <c r="AM20" i="45"/>
  <c r="AM19" i="45" s="1"/>
  <c r="AN20" i="49"/>
  <c r="AN19" i="49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L19" i="42"/>
  <c r="AM57" i="51"/>
  <c r="AM22" i="42" s="1"/>
  <c r="AM20" i="42" s="1"/>
  <c r="AY7" i="51"/>
  <c r="AL20" i="32"/>
  <c r="AK19" i="32"/>
  <c r="AM55" i="51"/>
  <c r="AM22" i="32" s="1"/>
  <c r="AY5" i="51"/>
  <c r="AX16" i="51"/>
  <c r="AN19" i="40"/>
  <c r="AO20" i="47" l="1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59" i="51"/>
  <c r="AQ22" i="40" s="1"/>
  <c r="AQ20" i="40" s="1"/>
  <c r="AN19" i="42"/>
  <c r="AO57" i="51"/>
  <c r="AO22" i="42" s="1"/>
  <c r="AO20" i="42" s="1"/>
  <c r="BA7" i="51"/>
  <c r="AM19" i="32"/>
  <c r="AN20" i="32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AR20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Q19" i="40"/>
  <c r="AQ20" i="45" l="1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AS20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59" i="51"/>
  <c r="AS22" i="40" s="1"/>
  <c r="AS20" i="40" s="1"/>
  <c r="AP19" i="42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19" i="47"/>
  <c r="AR20" i="45" l="1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59" i="51"/>
  <c r="AU22" i="40" s="1"/>
  <c r="AU20" i="40" s="1"/>
  <c r="AR19" i="42"/>
  <c r="AS57" i="51"/>
  <c r="AS22" i="42" s="1"/>
  <c r="AS20" i="42" s="1"/>
  <c r="BE7" i="51"/>
  <c r="AQ19" i="32"/>
  <c r="AR20" i="32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AW20" i="49" s="1"/>
  <c r="BH9" i="51"/>
  <c r="AW59" i="51" s="1"/>
  <c r="AW22" i="40" s="1"/>
  <c r="AW20" i="40" s="1"/>
  <c r="BH6" i="51"/>
  <c r="AW56" i="51" s="1"/>
  <c r="AW22" i="41" s="1"/>
  <c r="AW20" i="41" s="1"/>
  <c r="AW19" i="41" s="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BI4" i="51"/>
  <c r="AT19" i="42"/>
  <c r="AU57" i="51"/>
  <c r="AU22" i="42" s="1"/>
  <c r="AU20" i="42" s="1"/>
  <c r="BG7" i="51"/>
  <c r="AS19" i="32"/>
  <c r="AT20" i="32"/>
  <c r="AU55" i="51"/>
  <c r="AU22" i="32" s="1"/>
  <c r="BG5" i="51"/>
  <c r="BF16" i="51"/>
  <c r="AV19" i="47"/>
  <c r="AV19" i="40"/>
  <c r="AV20" i="45" l="1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AX19" i="42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O4" i="51"/>
  <c r="AZ19" i="42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Q4" i="51"/>
  <c r="BB19" i="42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F59" i="51" s="1"/>
  <c r="BF22" i="40" s="1"/>
  <c r="BF20" i="40" s="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C19" i="42"/>
  <c r="BD57" i="51"/>
  <c r="BD22" i="42" s="1"/>
  <c r="BD20" i="42" s="1"/>
  <c r="BP7" i="51"/>
  <c r="BC20" i="32"/>
  <c r="BB19" i="32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H20" i="41" s="1"/>
  <c r="BH19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H54" i="51"/>
  <c r="BE19" i="42"/>
  <c r="BF57" i="51"/>
  <c r="BF22" i="42" s="1"/>
  <c r="BF20" i="42" s="1"/>
  <c r="BR7" i="51"/>
  <c r="BD19" i="32"/>
  <c r="BE20" i="32"/>
  <c r="BF55" i="51"/>
  <c r="BF22" i="32" s="1"/>
  <c r="BR5" i="51"/>
  <c r="BQ16" i="51"/>
  <c r="BG19" i="49"/>
  <c r="BG19" i="47"/>
  <c r="BG19" i="40"/>
  <c r="BG20" i="45" l="1"/>
  <c r="BG19" i="45" s="1"/>
  <c r="BT9" i="51"/>
  <c r="BI59" i="51" s="1"/>
  <c r="BI22" i="40" s="1"/>
  <c r="BI20" i="40" s="1"/>
  <c r="BT6" i="51"/>
  <c r="BI56" i="51" s="1"/>
  <c r="BI22" i="41" s="1"/>
  <c r="BI20" i="41" s="1"/>
  <c r="BI19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G57" i="51"/>
  <c r="BG22" i="42" s="1"/>
  <c r="BG20" i="42" s="1"/>
  <c r="BS7" i="51"/>
  <c r="BH19" i="40"/>
  <c r="BH19" i="47"/>
  <c r="BH19" i="49"/>
  <c r="BH20" i="45" l="1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I55" i="51"/>
  <c r="BI22" i="32" s="1"/>
  <c r="BT16" i="51"/>
  <c r="BH20" i="32"/>
  <c r="BG19" i="32"/>
  <c r="BI20" i="32" l="1"/>
  <c r="BI19" i="32" s="1"/>
  <c r="BH19" i="32"/>
  <c r="B58" i="1" l="1"/>
  <c r="C56" i="1" s="1"/>
  <c r="C178" i="61" s="1"/>
  <c r="C192" i="61" l="1"/>
  <c r="C190" i="61"/>
  <c r="C204" i="61" s="1"/>
  <c r="C381" i="33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G36" i="33"/>
  <c r="AI34" i="33" l="1"/>
  <c r="AI45" i="59" s="1"/>
  <c r="AH36" i="33"/>
  <c r="AJ34" i="33" l="1"/>
  <c r="AJ45" i="59" s="1"/>
  <c r="AI36" i="33"/>
  <c r="AK34" i="33" l="1"/>
  <c r="AK45" i="59" s="1"/>
  <c r="AJ36" i="33"/>
  <c r="AL34" i="33" l="1"/>
  <c r="AL45" i="59" s="1"/>
  <c r="AK36" i="33"/>
  <c r="AM34" i="33" l="1"/>
  <c r="AM45" i="59" s="1"/>
  <c r="AL36" i="33"/>
  <c r="AN34" i="33" l="1"/>
  <c r="AN45" i="59" s="1"/>
  <c r="AM36" i="33"/>
  <c r="AO34" i="33" l="1"/>
  <c r="AO45" i="59" s="1"/>
  <c r="AN36" i="33"/>
  <c r="AP34" i="33" l="1"/>
  <c r="AP45" i="59" s="1"/>
  <c r="AO36" i="33"/>
  <c r="AQ34" i="33" l="1"/>
  <c r="AQ45" i="59" s="1"/>
  <c r="AP36" i="33"/>
  <c r="AR34" i="33" l="1"/>
  <c r="AR45" i="59" s="1"/>
  <c r="AQ36" i="33"/>
  <c r="AS34" i="33" l="1"/>
  <c r="AS45" i="59" s="1"/>
  <c r="AR36" i="33"/>
  <c r="AS36" i="33" l="1"/>
  <c r="AT34" i="33"/>
  <c r="AT45" i="59" s="1"/>
  <c r="AU34" i="33" l="1"/>
  <c r="AU45" i="59" s="1"/>
  <c r="AT36" i="33"/>
  <c r="AV34" i="33" l="1"/>
  <c r="AV45" i="59" s="1"/>
  <c r="AU36" i="33"/>
  <c r="AW34" i="33" l="1"/>
  <c r="AW45" i="59" s="1"/>
  <c r="AV36" i="33"/>
  <c r="AX34" i="33" l="1"/>
  <c r="AX45" i="59" s="1"/>
  <c r="AW36" i="33"/>
  <c r="AY34" i="33" l="1"/>
  <c r="AY45" i="59" s="1"/>
  <c r="AX36" i="33"/>
  <c r="AZ34" i="33" l="1"/>
  <c r="AZ45" i="59" s="1"/>
  <c r="AY36" i="33"/>
  <c r="BA34" i="33" l="1"/>
  <c r="BA45" i="59" s="1"/>
  <c r="AZ36" i="33"/>
  <c r="BB34" i="33" l="1"/>
  <c r="BB45" i="59" s="1"/>
  <c r="BA36" i="33"/>
  <c r="BC34" i="33" l="1"/>
  <c r="BC45" i="59" s="1"/>
  <c r="BB36" i="33"/>
  <c r="BD34" i="33" l="1"/>
  <c r="BD45" i="59" s="1"/>
  <c r="BC36" i="33"/>
  <c r="BE34" i="33" l="1"/>
  <c r="BE45" i="59" s="1"/>
  <c r="BD36" i="33"/>
  <c r="BF34" i="33" l="1"/>
  <c r="BF45" i="59" s="1"/>
  <c r="BE36" i="33"/>
  <c r="BG34" i="33" l="1"/>
  <c r="BG45" i="59" s="1"/>
  <c r="BF36" i="33"/>
  <c r="BH34" i="33" l="1"/>
  <c r="BH45" i="59" s="1"/>
  <c r="BG36" i="33"/>
  <c r="BH36" i="33" l="1"/>
  <c r="B59" i="1"/>
  <c r="BI34" i="33"/>
  <c r="BI45" i="59" s="1"/>
  <c r="B37" i="33" l="1"/>
  <c r="BI36" i="33"/>
  <c r="F56" i="27" l="1"/>
  <c r="B29" i="1" s="1"/>
  <c r="B62" i="1" s="1"/>
  <c r="B3" i="61" l="1"/>
  <c r="B15" i="61" s="1"/>
  <c r="B68" i="59" l="1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93" i="1" s="1"/>
  <c r="B94" i="1" s="1"/>
  <c r="B204" i="51"/>
  <c r="B220" i="51" s="1"/>
  <c r="B91" i="1" l="1"/>
  <c r="B43" i="33" l="1"/>
  <c r="B68" i="32"/>
  <c r="B139" i="32" l="1"/>
  <c r="B46" i="33"/>
  <c r="B73" i="32"/>
  <c r="C74" i="32" s="1"/>
  <c r="BT50" i="57" s="1"/>
  <c r="BT61" i="57" s="1"/>
  <c r="B38" i="33"/>
  <c r="B40" i="33"/>
  <c r="B44" i="33"/>
  <c r="B42" i="33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E13" i="57" l="1"/>
  <c r="AO11" i="57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AK14" i="57" s="1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E8" i="57" s="1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AY5" i="57" s="1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U13" i="57" s="1"/>
  <c r="AV11" i="57"/>
  <c r="AW11" i="57" s="1"/>
  <c r="BD6" i="57"/>
  <c r="BE6" i="57" s="1"/>
  <c r="AV7" i="57"/>
  <c r="AW7" i="57" s="1"/>
  <c r="AJ8" i="57"/>
  <c r="BD13" i="57"/>
  <c r="BE13" i="57" s="1"/>
  <c r="BD9" i="57"/>
  <c r="AV8" i="57"/>
  <c r="AJ5" i="57"/>
  <c r="AN14" i="57"/>
  <c r="AO14" i="57" s="1"/>
  <c r="BJ5" i="57"/>
  <c r="BK5" i="57" s="1"/>
  <c r="AT15" i="57"/>
  <c r="AB96" i="57" l="1"/>
  <c r="BK15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09" i="57" l="1"/>
  <c r="AC139" i="57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AC143" i="57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Y16" i="57" s="1"/>
  <c r="Y17" i="57" s="1"/>
  <c r="Z40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E190" i="33"/>
  <c r="AB4" i="57"/>
  <c r="Y40" i="57"/>
  <c r="Y56" i="57"/>
  <c r="Y58" i="57" s="1"/>
  <c r="U4" i="57"/>
  <c r="T16" i="57"/>
  <c r="T17" i="57" s="1"/>
  <c r="T56" i="57"/>
  <c r="T58" i="57" s="1"/>
  <c r="Z145" i="57" l="1"/>
  <c r="C113" i="33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E16" i="57" s="1"/>
  <c r="AF40" i="57"/>
  <c r="AF41" i="57" s="1"/>
  <c r="AF145" i="57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H202" i="33" l="1"/>
  <c r="G98" i="33"/>
  <c r="AD42" i="57"/>
  <c r="C115" i="1"/>
  <c r="C254" i="33" s="1"/>
  <c r="C103" i="1"/>
  <c r="C102" i="1" s="1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Y129" i="57" l="1"/>
  <c r="Y144" i="57" s="1"/>
  <c r="AG16" i="57"/>
  <c r="I202" i="33"/>
  <c r="H98" i="33"/>
  <c r="C183" i="33"/>
  <c r="C185" i="33" s="1"/>
  <c r="C101" i="1"/>
  <c r="C209" i="33" s="1"/>
  <c r="C66" i="1"/>
  <c r="C67" i="1" s="1"/>
  <c r="C45" i="33" s="1"/>
  <c r="C116" i="1"/>
  <c r="C284" i="33" s="1"/>
  <c r="C71" i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C186" i="33"/>
  <c r="C112" i="33"/>
  <c r="AI16" i="57"/>
  <c r="C269" i="33" l="1"/>
  <c r="C224" i="33"/>
  <c r="I98" i="33"/>
  <c r="J202" i="33"/>
  <c r="C114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/>
  <c r="K202" i="33" l="1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56" i="57"/>
  <c r="AV58" i="57" s="1"/>
  <c r="AV145" i="57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U16" i="57"/>
  <c r="AS16" i="57"/>
  <c r="AS145" i="57" s="1"/>
  <c r="F183" i="33" l="1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AY16" i="57" l="1"/>
  <c r="C75" i="59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BU51" i="57"/>
  <c r="D278" i="51"/>
  <c r="D85" i="41"/>
  <c r="BU58" i="57"/>
  <c r="D85" i="47"/>
  <c r="D285" i="51"/>
  <c r="BU52" i="57"/>
  <c r="D85" i="42"/>
  <c r="D279" i="51"/>
  <c r="D283" i="51"/>
  <c r="BU56" i="57"/>
  <c r="D85" i="45"/>
  <c r="D281" i="51"/>
  <c r="BU54" i="57"/>
  <c r="D85" i="40"/>
  <c r="C139" i="1"/>
  <c r="F135" i="51" s="1"/>
  <c r="C73" i="1"/>
  <c r="D74" i="1" s="1"/>
  <c r="C46" i="33"/>
  <c r="C15" i="61"/>
  <c r="C29" i="61" s="1"/>
  <c r="C17" i="61"/>
  <c r="D85" i="32"/>
  <c r="D277" i="51"/>
  <c r="BU50" i="57"/>
  <c r="C84" i="46"/>
  <c r="C84" i="43"/>
  <c r="C84" i="49"/>
  <c r="C84" i="44"/>
  <c r="D85" i="46"/>
  <c r="D284" i="51"/>
  <c r="BU57" i="57"/>
  <c r="D85" i="43"/>
  <c r="D280" i="51"/>
  <c r="BU53" i="57"/>
  <c r="C134" i="33"/>
  <c r="C62" i="56"/>
  <c r="C135" i="33" s="1"/>
  <c r="D287" i="51"/>
  <c r="BU60" i="57"/>
  <c r="D85" i="49"/>
  <c r="D85" i="44"/>
  <c r="D282" i="51"/>
  <c r="BU55" i="57"/>
  <c r="C42" i="33"/>
  <c r="C44" i="33"/>
  <c r="C40" i="33"/>
  <c r="C38" i="33"/>
  <c r="D85" i="48"/>
  <c r="D286" i="51"/>
  <c r="BU59" i="57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BU49" i="57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C89" i="41"/>
  <c r="C89" i="40"/>
  <c r="C90" i="48"/>
  <c r="C93" i="48" s="1"/>
  <c r="C94" i="48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C91" i="47"/>
  <c r="C136" i="47"/>
  <c r="B79" i="47"/>
  <c r="C148" i="47" s="1"/>
  <c r="C332" i="33" s="1"/>
  <c r="D114" i="41"/>
  <c r="D103" i="41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D119" i="48"/>
  <c r="C51" i="33"/>
  <c r="D114" i="47"/>
  <c r="D103" i="47" s="1"/>
  <c r="D119" i="47"/>
  <c r="D119" i="32"/>
  <c r="D114" i="32"/>
  <c r="D103" i="3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D119" i="43"/>
  <c r="D114" i="49"/>
  <c r="D103" i="49" s="1"/>
  <c r="D119" i="49"/>
  <c r="D119" i="44"/>
  <c r="D114" i="44"/>
  <c r="D103" i="44" s="1"/>
  <c r="D114" i="42"/>
  <c r="D103" i="42" s="1"/>
  <c r="D119" i="42"/>
  <c r="D119" i="45"/>
  <c r="D114" i="45"/>
  <c r="D103" i="45" s="1"/>
  <c r="D128" i="1"/>
  <c r="D142" i="1" s="1"/>
  <c r="D78" i="1"/>
  <c r="D77" i="1"/>
  <c r="D112" i="1"/>
  <c r="D39" i="33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C47" i="61" l="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B79" i="32"/>
  <c r="C148" i="32" s="1"/>
  <c r="C324" i="33" s="1"/>
  <c r="AS337" i="33" s="1"/>
  <c r="C93" i="41"/>
  <c r="C94" i="41" s="1"/>
  <c r="C136" i="42"/>
  <c r="C91" i="40"/>
  <c r="C136" i="45"/>
  <c r="C91" i="45"/>
  <c r="C91" i="48"/>
  <c r="C93" i="42"/>
  <c r="C94" i="4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C91" i="46"/>
  <c r="C410" i="33"/>
  <c r="C411" i="33"/>
  <c r="C409" i="33"/>
  <c r="C408" i="33"/>
  <c r="D119" i="1"/>
  <c r="D114" i="1"/>
  <c r="D103" i="1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BG16" i="57" l="1"/>
  <c r="BG145" i="57" s="1"/>
  <c r="C93" i="1"/>
  <c r="C94" i="1" s="1"/>
  <c r="C157" i="1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AM129" i="57" l="1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K112" i="33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E72" i="33"/>
  <c r="D81" i="41"/>
  <c r="D62" i="41" s="1"/>
  <c r="D63" i="41" s="1"/>
  <c r="D81" i="49"/>
  <c r="D62" i="49" s="1"/>
  <c r="D63" i="49" s="1"/>
  <c r="D81" i="32"/>
  <c r="D62" i="32" s="1"/>
  <c r="D63" i="32" s="1"/>
  <c r="D3" i="56"/>
  <c r="D81" i="47"/>
  <c r="D62" i="47" s="1"/>
  <c r="D63" i="47" s="1"/>
  <c r="D81" i="45"/>
  <c r="D62" i="45" s="1"/>
  <c r="D63" i="45" s="1"/>
  <c r="D81" i="44"/>
  <c r="D62" i="44" s="1"/>
  <c r="D63" i="44" s="1"/>
  <c r="D81" i="43"/>
  <c r="D62" i="43" s="1"/>
  <c r="D63" i="43" s="1"/>
  <c r="D81" i="40"/>
  <c r="D62" i="40" s="1"/>
  <c r="D63" i="40" s="1"/>
  <c r="D62" i="59"/>
  <c r="D81" i="46"/>
  <c r="D62" i="46" s="1"/>
  <c r="D63" i="46" s="1"/>
  <c r="D81" i="48"/>
  <c r="D62" i="48" s="1"/>
  <c r="D63" i="48" s="1"/>
  <c r="D81" i="42"/>
  <c r="D62" i="42" s="1"/>
  <c r="D63" i="4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E107" i="48" l="1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BV59" i="57"/>
  <c r="E85" i="48"/>
  <c r="E286" i="51"/>
  <c r="E85" i="41"/>
  <c r="BV51" i="57"/>
  <c r="E278" i="51"/>
  <c r="E280" i="51"/>
  <c r="E85" i="43"/>
  <c r="BV53" i="57"/>
  <c r="D46" i="33"/>
  <c r="D73" i="1"/>
  <c r="E74" i="1" s="1"/>
  <c r="D139" i="1"/>
  <c r="G135" i="51" s="1"/>
  <c r="D15" i="61"/>
  <c r="D29" i="61" s="1"/>
  <c r="D17" i="61"/>
  <c r="E277" i="51"/>
  <c r="BV50" i="57"/>
  <c r="E85" i="32"/>
  <c r="E285" i="51"/>
  <c r="BV58" i="57"/>
  <c r="E85" i="47"/>
  <c r="E85" i="42"/>
  <c r="E279" i="51"/>
  <c r="BV52" i="57"/>
  <c r="D84" i="44"/>
  <c r="D84" i="45"/>
  <c r="BV55" i="57"/>
  <c r="E85" i="44"/>
  <c r="E282" i="51"/>
  <c r="E287" i="51"/>
  <c r="E85" i="49"/>
  <c r="BV60" i="57"/>
  <c r="D134" i="33"/>
  <c r="D62" i="56"/>
  <c r="D135" i="33" s="1"/>
  <c r="D40" i="33"/>
  <c r="D38" i="33"/>
  <c r="D42" i="33"/>
  <c r="D44" i="33"/>
  <c r="E85" i="46"/>
  <c r="BV57" i="57"/>
  <c r="E284" i="51"/>
  <c r="BV56" i="57"/>
  <c r="E283" i="51"/>
  <c r="E85" i="45"/>
  <c r="BV54" i="57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BV49" i="57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D130" i="46"/>
  <c r="D90" i="42"/>
  <c r="D93" i="42" s="1"/>
  <c r="D94" i="4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D136" i="48"/>
  <c r="C79" i="48"/>
  <c r="D148" i="48" s="1"/>
  <c r="D333" i="33" s="1"/>
  <c r="E114" i="48"/>
  <c r="E103" i="48" s="1"/>
  <c r="E119" i="48"/>
  <c r="E119" i="43"/>
  <c r="E114" i="43"/>
  <c r="E103" i="43" s="1"/>
  <c r="E114" i="32"/>
  <c r="E103" i="3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E114" i="45"/>
  <c r="E103" i="45" s="1"/>
  <c r="E119" i="45"/>
  <c r="E119" i="40"/>
  <c r="E114" i="40"/>
  <c r="E103" i="40" s="1"/>
  <c r="D91" i="47"/>
  <c r="D93" i="47"/>
  <c r="D94" i="47" s="1"/>
  <c r="D136" i="47"/>
  <c r="C79" i="47"/>
  <c r="D148" i="47" s="1"/>
  <c r="D332" i="33" s="1"/>
  <c r="E114" i="42"/>
  <c r="E103" i="4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E119" i="41"/>
  <c r="E128" i="1"/>
  <c r="E112" i="1"/>
  <c r="E77" i="1"/>
  <c r="E78" i="1"/>
  <c r="E39" i="33"/>
  <c r="D53" i="33"/>
  <c r="D52" i="33"/>
  <c r="D59" i="61"/>
  <c r="D73" i="61" s="1"/>
  <c r="D87" i="33"/>
  <c r="D50" i="59"/>
  <c r="D369" i="33"/>
  <c r="E114" i="47"/>
  <c r="E103" i="47" s="1"/>
  <c r="E119" i="47"/>
  <c r="E114" i="49"/>
  <c r="E103" i="49" s="1"/>
  <c r="E119" i="49"/>
  <c r="E114" i="46"/>
  <c r="E103" i="46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130" i="1" l="1"/>
  <c r="D91" i="46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D157" i="1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278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366" i="33" l="1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E81" i="45"/>
  <c r="E62" i="45" s="1"/>
  <c r="E63" i="45" s="1"/>
  <c r="E81" i="44"/>
  <c r="E62" i="44" s="1"/>
  <c r="E63" i="44" s="1"/>
  <c r="E81" i="1"/>
  <c r="E62" i="1" s="1"/>
  <c r="E369" i="33"/>
  <c r="E81" i="46"/>
  <c r="E62" i="46" s="1"/>
  <c r="E63" i="46" s="1"/>
  <c r="E62" i="59"/>
  <c r="E3" i="56"/>
  <c r="F72" i="33"/>
  <c r="E81" i="40"/>
  <c r="E62" i="40" s="1"/>
  <c r="E63" i="40" s="1"/>
  <c r="E81" i="32"/>
  <c r="E62" i="32" s="1"/>
  <c r="E63" i="32" s="1"/>
  <c r="E81" i="41"/>
  <c r="E62" i="41" s="1"/>
  <c r="E63" i="41" s="1"/>
  <c r="E81" i="49"/>
  <c r="E62" i="49" s="1"/>
  <c r="E63" i="49" s="1"/>
  <c r="E81" i="43"/>
  <c r="E62" i="43" s="1"/>
  <c r="E63" i="43" s="1"/>
  <c r="E81" i="48"/>
  <c r="E62" i="48" s="1"/>
  <c r="E63" i="48" s="1"/>
  <c r="E81" i="42"/>
  <c r="E62" i="42" s="1"/>
  <c r="E63" i="4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F90" i="33" l="1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W74" i="55"/>
  <c r="W113" i="43" s="1"/>
  <c r="W120" i="43" s="1"/>
  <c r="W145" i="33" s="1"/>
  <c r="BL106" i="57"/>
  <c r="BK119" i="57"/>
  <c r="BK129" i="57" s="1"/>
  <c r="BK144" i="57" s="1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E44" i="33"/>
  <c r="E15" i="61"/>
  <c r="E29" i="61" s="1"/>
  <c r="E17" i="61"/>
  <c r="BW53" i="57"/>
  <c r="F85" i="43"/>
  <c r="F280" i="51"/>
  <c r="E62" i="56"/>
  <c r="E135" i="33" s="1"/>
  <c r="E134" i="33"/>
  <c r="F278" i="51"/>
  <c r="BW51" i="57"/>
  <c r="F85" i="41"/>
  <c r="BW52" i="57"/>
  <c r="F85" i="42"/>
  <c r="F279" i="51"/>
  <c r="E84" i="49"/>
  <c r="F283" i="51"/>
  <c r="BW56" i="57"/>
  <c r="F85" i="45"/>
  <c r="E139" i="1"/>
  <c r="H135" i="51" s="1"/>
  <c r="E73" i="1"/>
  <c r="F74" i="1" s="1"/>
  <c r="E46" i="33"/>
  <c r="BW54" i="57"/>
  <c r="F85" i="40"/>
  <c r="F281" i="51"/>
  <c r="F285" i="51"/>
  <c r="BW58" i="57"/>
  <c r="F85" i="47"/>
  <c r="BW60" i="57"/>
  <c r="F85" i="49"/>
  <c r="F287" i="51"/>
  <c r="F85" i="48"/>
  <c r="F286" i="51"/>
  <c r="BW59" i="57"/>
  <c r="BW55" i="57"/>
  <c r="F85" i="44"/>
  <c r="F282" i="51"/>
  <c r="BW50" i="57"/>
  <c r="F85" i="32"/>
  <c r="F277" i="51"/>
  <c r="BW57" i="57"/>
  <c r="F85" i="46"/>
  <c r="F284" i="51"/>
  <c r="BJ129" i="57"/>
  <c r="BJ144" i="57" s="1"/>
  <c r="V82" i="55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BW49" i="57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F119" i="43"/>
  <c r="D137" i="42"/>
  <c r="D131" i="42"/>
  <c r="D79" i="42"/>
  <c r="E148" i="42" s="1"/>
  <c r="E326" i="33" s="1"/>
  <c r="E136" i="42"/>
  <c r="F78" i="1"/>
  <c r="F77" i="1"/>
  <c r="F39" i="33"/>
  <c r="F112" i="1"/>
  <c r="F128" i="1"/>
  <c r="F114" i="46"/>
  <c r="F103" i="46" s="1"/>
  <c r="F119" i="46"/>
  <c r="D131" i="43"/>
  <c r="D137" i="43"/>
  <c r="E91" i="43"/>
  <c r="E93" i="43"/>
  <c r="E94" i="43" s="1"/>
  <c r="D137" i="41"/>
  <c r="D131" i="41"/>
  <c r="F114" i="41"/>
  <c r="F103" i="41" s="1"/>
  <c r="F119" i="41"/>
  <c r="D131" i="45"/>
  <c r="D137" i="45"/>
  <c r="F114" i="45"/>
  <c r="F103" i="45" s="1"/>
  <c r="F119" i="45"/>
  <c r="D79" i="40"/>
  <c r="E148" i="40" s="1"/>
  <c r="E328" i="33" s="1"/>
  <c r="E71" i="59"/>
  <c r="E136" i="40"/>
  <c r="E91" i="40"/>
  <c r="E93" i="40"/>
  <c r="E94" i="40" s="1"/>
  <c r="F119" i="47"/>
  <c r="F114" i="47"/>
  <c r="F103" i="47" s="1"/>
  <c r="F293" i="51"/>
  <c r="F296" i="51"/>
  <c r="E91" i="42"/>
  <c r="E93" i="42"/>
  <c r="E94" i="4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E91" i="48"/>
  <c r="E93" i="48"/>
  <c r="E94" i="48" s="1"/>
  <c r="E93" i="44"/>
  <c r="E94" i="44" s="1"/>
  <c r="E91" i="44"/>
  <c r="F119" i="32"/>
  <c r="F114" i="32"/>
  <c r="F103" i="32" s="1"/>
  <c r="D79" i="43"/>
  <c r="E148" i="43" s="1"/>
  <c r="E327" i="33" s="1"/>
  <c r="E136" i="43"/>
  <c r="E93" i="41"/>
  <c r="E94" i="41" s="1"/>
  <c r="E91" i="41"/>
  <c r="E136" i="41"/>
  <c r="D79" i="41"/>
  <c r="E148" i="41" s="1"/>
  <c r="E325" i="33" s="1"/>
  <c r="F114" i="42"/>
  <c r="F103" i="42" s="1"/>
  <c r="F119" i="42"/>
  <c r="D137" i="40"/>
  <c r="D131" i="40"/>
  <c r="F119" i="49"/>
  <c r="F114" i="49"/>
  <c r="F103" i="49" s="1"/>
  <c r="F114" i="48"/>
  <c r="F103" i="48" s="1"/>
  <c r="F119" i="48"/>
  <c r="F114" i="44"/>
  <c r="F103" i="44" s="1"/>
  <c r="F119" i="44"/>
  <c r="F301" i="51"/>
  <c r="DO22" i="57"/>
  <c r="DO3" i="57" s="1"/>
  <c r="AX190" i="33" s="1"/>
  <c r="AX202" i="33" s="1"/>
  <c r="AX98" i="33" s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E93" i="46"/>
  <c r="E94" i="46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Z183" i="33" s="1"/>
  <c r="BO104" i="57"/>
  <c r="BO115" i="57" s="1"/>
  <c r="AA76" i="55"/>
  <c r="AA113" i="44" s="1"/>
  <c r="AA120" i="44" s="1"/>
  <c r="AA147" i="33" s="1"/>
  <c r="BP108" i="57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E408" i="33"/>
  <c r="E409" i="33"/>
  <c r="E410" i="33"/>
  <c r="E411" i="33"/>
  <c r="D131" i="1"/>
  <c r="D137" i="1"/>
  <c r="E93" i="49"/>
  <c r="E94" i="49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D140" i="47" l="1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F81" i="46" l="1"/>
  <c r="F62" i="46" s="1"/>
  <c r="F63" i="46" s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AF183" i="33" s="1"/>
  <c r="BU106" i="57"/>
  <c r="AO70" i="55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F81" i="32" l="1"/>
  <c r="F62" i="32" s="1"/>
  <c r="F63" i="32" s="1"/>
  <c r="F64" i="32" s="1"/>
  <c r="F65" i="32" s="1"/>
  <c r="F81" i="43"/>
  <c r="F62" i="43" s="1"/>
  <c r="F63" i="43" s="1"/>
  <c r="F155" i="43" s="1"/>
  <c r="F81" i="47"/>
  <c r="F62" i="47" s="1"/>
  <c r="F63" i="47" s="1"/>
  <c r="F64" i="47" s="1"/>
  <c r="F65" i="47" s="1"/>
  <c r="F81" i="41"/>
  <c r="F62" i="41" s="1"/>
  <c r="F63" i="41" s="1"/>
  <c r="F155" i="41" s="1"/>
  <c r="F81" i="40"/>
  <c r="F62" i="40" s="1"/>
  <c r="F63" i="40" s="1"/>
  <c r="F64" i="40" s="1"/>
  <c r="F65" i="40" s="1"/>
  <c r="F81" i="44"/>
  <c r="F62" i="44" s="1"/>
  <c r="F63" i="44" s="1"/>
  <c r="F155" i="44" s="1"/>
  <c r="F81" i="48"/>
  <c r="F62" i="48" s="1"/>
  <c r="F63" i="48" s="1"/>
  <c r="F64" i="48" s="1"/>
  <c r="F65" i="48" s="1"/>
  <c r="F369" i="33"/>
  <c r="F375" i="33" s="1"/>
  <c r="F62" i="59"/>
  <c r="F81" i="49"/>
  <c r="F62" i="49" s="1"/>
  <c r="F63" i="49" s="1"/>
  <c r="F64" i="49" s="1"/>
  <c r="F65" i="49" s="1"/>
  <c r="F81" i="42"/>
  <c r="F62" i="42" s="1"/>
  <c r="F63" i="42" s="1"/>
  <c r="F64" i="42" s="1"/>
  <c r="F65" i="42" s="1"/>
  <c r="F81" i="1"/>
  <c r="F62" i="1" s="1"/>
  <c r="F63" i="1" s="1"/>
  <c r="F155" i="1" s="1"/>
  <c r="F3" i="56"/>
  <c r="F55" i="56" s="1"/>
  <c r="F56" i="56" s="1"/>
  <c r="F52" i="56" s="1"/>
  <c r="G72" i="33"/>
  <c r="G64" i="59" s="1"/>
  <c r="F81" i="45"/>
  <c r="F62" i="45" s="1"/>
  <c r="F63" i="45" s="1"/>
  <c r="F155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F64" i="43" l="1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AH183" i="33" s="1"/>
  <c r="BX108" i="57"/>
  <c r="AI76" i="55"/>
  <c r="AI113" i="44" s="1"/>
  <c r="AI120" i="44" s="1"/>
  <c r="AI147" i="33" s="1"/>
  <c r="AQ70" i="55"/>
  <c r="AQ141" i="33" s="1"/>
  <c r="CF102" i="57"/>
  <c r="BV115" i="57"/>
  <c r="F13" i="61"/>
  <c r="F27" i="61" s="1"/>
  <c r="F68" i="48"/>
  <c r="F12" i="61"/>
  <c r="F26" i="61" s="1"/>
  <c r="F68" i="47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F7" i="61" l="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AI183" i="33" l="1"/>
  <c r="F84" i="46"/>
  <c r="F88" i="46" s="1"/>
  <c r="F84" i="40"/>
  <c r="F87" i="40" s="1"/>
  <c r="F84" i="43"/>
  <c r="F356" i="33" s="1"/>
  <c r="F84" i="42"/>
  <c r="F355" i="33" s="1"/>
  <c r="F73" i="45"/>
  <c r="G74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AJ80" i="55"/>
  <c r="AJ113" i="48" s="1"/>
  <c r="AJ120" i="48" s="1"/>
  <c r="AJ151" i="33" s="1"/>
  <c r="AS70" i="55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F40" i="33"/>
  <c r="F44" i="33"/>
  <c r="G287" i="51"/>
  <c r="BX60" i="57"/>
  <c r="G85" i="49"/>
  <c r="G85" i="32"/>
  <c r="BX50" i="57"/>
  <c r="G277" i="51"/>
  <c r="G284" i="51"/>
  <c r="BX57" i="57"/>
  <c r="G85" i="46"/>
  <c r="G278" i="51"/>
  <c r="G85" i="41"/>
  <c r="BX51" i="57"/>
  <c r="F62" i="56"/>
  <c r="F135" i="33" s="1"/>
  <c r="F134" i="33"/>
  <c r="G286" i="51"/>
  <c r="BX59" i="57"/>
  <c r="G85" i="48"/>
  <c r="BX58" i="57"/>
  <c r="G85" i="47"/>
  <c r="G285" i="51"/>
  <c r="G281" i="51"/>
  <c r="BX54" i="57"/>
  <c r="G85" i="40"/>
  <c r="F17" i="61"/>
  <c r="F15" i="61"/>
  <c r="F29" i="61" s="1"/>
  <c r="BX53" i="57"/>
  <c r="G280" i="51"/>
  <c r="G85" i="43"/>
  <c r="BX52" i="57"/>
  <c r="G85" i="42"/>
  <c r="G279" i="51"/>
  <c r="G85" i="44"/>
  <c r="BX55" i="57"/>
  <c r="G282" i="51"/>
  <c r="DZ22" i="57"/>
  <c r="DZ3" i="57" s="1"/>
  <c r="BI190" i="33" s="1"/>
  <c r="BI202" i="33" s="1"/>
  <c r="BI98" i="33" s="1"/>
  <c r="BY115" i="57" l="1"/>
  <c r="F360" i="33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BX49" i="57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F90" i="42"/>
  <c r="F93" i="42" s="1"/>
  <c r="F94" i="4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CA115" i="57"/>
  <c r="AU70" i="55"/>
  <c r="AU141" i="33" s="1"/>
  <c r="CJ102" i="57"/>
  <c r="BZ115" i="57"/>
  <c r="E79" i="49"/>
  <c r="F148" i="49" s="1"/>
  <c r="F334" i="33" s="1"/>
  <c r="F136" i="49"/>
  <c r="G119" i="32"/>
  <c r="G114" i="32"/>
  <c r="G103" i="32" s="1"/>
  <c r="G119" i="46"/>
  <c r="G114" i="46"/>
  <c r="G103" i="46" s="1"/>
  <c r="G114" i="41"/>
  <c r="G103" i="41" s="1"/>
  <c r="G119" i="41"/>
  <c r="E131" i="48"/>
  <c r="E137" i="48"/>
  <c r="G114" i="40"/>
  <c r="G103" i="40" s="1"/>
  <c r="G119" i="40"/>
  <c r="E79" i="46"/>
  <c r="F148" i="46" s="1"/>
  <c r="F331" i="33" s="1"/>
  <c r="F136" i="46"/>
  <c r="E131" i="46"/>
  <c r="E137" i="46"/>
  <c r="F91" i="46"/>
  <c r="F93" i="46"/>
  <c r="F94" i="46" s="1"/>
  <c r="G119" i="47"/>
  <c r="G114" i="47"/>
  <c r="G103" i="47" s="1"/>
  <c r="G114" i="44"/>
  <c r="G103" i="44" s="1"/>
  <c r="G119" i="44"/>
  <c r="F91" i="49"/>
  <c r="F93" i="49"/>
  <c r="F94" i="49" s="1"/>
  <c r="E131" i="49"/>
  <c r="E137" i="49"/>
  <c r="G119" i="45"/>
  <c r="G114" i="45"/>
  <c r="G103" i="45" s="1"/>
  <c r="E131" i="40"/>
  <c r="E137" i="40"/>
  <c r="E137" i="42"/>
  <c r="E131" i="42"/>
  <c r="E131" i="45"/>
  <c r="E137" i="45"/>
  <c r="G77" i="1"/>
  <c r="G78" i="1"/>
  <c r="G39" i="33"/>
  <c r="G112" i="1"/>
  <c r="G128" i="1"/>
  <c r="G119" i="49"/>
  <c r="G114" i="49"/>
  <c r="G103" i="49" s="1"/>
  <c r="G114" i="48"/>
  <c r="G103" i="48" s="1"/>
  <c r="G119" i="48"/>
  <c r="G119" i="43"/>
  <c r="G114" i="43"/>
  <c r="G103" i="43" s="1"/>
  <c r="G114" i="42"/>
  <c r="G103" i="4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E137" i="43"/>
  <c r="F136" i="43"/>
  <c r="F93" i="43"/>
  <c r="F94" i="43" s="1"/>
  <c r="E79" i="48"/>
  <c r="F148" i="48" s="1"/>
  <c r="F333" i="33" s="1"/>
  <c r="F346" i="33" s="1"/>
  <c r="F93" i="48"/>
  <c r="F94" i="48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F93" i="45"/>
  <c r="F94" i="45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AM183" i="33" l="1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CC115" i="57" s="1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AW70" i="55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G310" i="51" l="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AO183" i="33" l="1"/>
  <c r="G353" i="5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CE115" i="57"/>
  <c r="AY70" i="55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I19" i="59" l="1"/>
  <c r="G251" i="33"/>
  <c r="G311" i="33"/>
  <c r="G236" i="33"/>
  <c r="G55" i="59"/>
  <c r="G55" i="33"/>
  <c r="AP183" i="33"/>
  <c r="AZ70" i="55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CG115" i="57" s="1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BA70" i="55"/>
  <c r="BA141" i="33" s="1"/>
  <c r="CP102" i="57"/>
  <c r="CF115" i="57"/>
  <c r="G63" i="59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G81" i="43"/>
  <c r="G62" i="43" s="1"/>
  <c r="G63" i="43" s="1"/>
  <c r="G81" i="45"/>
  <c r="G62" i="45" s="1"/>
  <c r="G63" i="45" s="1"/>
  <c r="G81" i="40"/>
  <c r="G62" i="40" s="1"/>
  <c r="G63" i="40" s="1"/>
  <c r="G81" i="32"/>
  <c r="G62" i="32" s="1"/>
  <c r="G63" i="32" s="1"/>
  <c r="G369" i="33"/>
  <c r="H72" i="33"/>
  <c r="G81" i="41"/>
  <c r="G62" i="41" s="1"/>
  <c r="G63" i="41" s="1"/>
  <c r="G81" i="48"/>
  <c r="G62" i="48" s="1"/>
  <c r="G63" i="48" s="1"/>
  <c r="G81" i="42"/>
  <c r="G62" i="42" s="1"/>
  <c r="G63" i="42" s="1"/>
  <c r="G3" i="56"/>
  <c r="G81" i="49"/>
  <c r="G62" i="49" s="1"/>
  <c r="G63" i="49" s="1"/>
  <c r="G81" i="1"/>
  <c r="G62" i="1" s="1"/>
  <c r="G63" i="1" s="1"/>
  <c r="G81" i="47"/>
  <c r="G62" i="47" s="1"/>
  <c r="G63" i="47" s="1"/>
  <c r="G62" i="59"/>
  <c r="G81" i="44"/>
  <c r="G62" i="44" s="1"/>
  <c r="G63" i="44" s="1"/>
  <c r="G81" i="46"/>
  <c r="G62" i="46" s="1"/>
  <c r="G63" i="46" s="1"/>
  <c r="AS183" i="33" l="1"/>
  <c r="H107" i="40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CI115" i="57"/>
  <c r="BC70" i="55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H90" i="33" l="1"/>
  <c r="H97" i="33"/>
  <c r="AT183" i="33"/>
  <c r="BD70" i="55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AU183" i="33" l="1"/>
  <c r="H104" i="33"/>
  <c r="CK104" i="57"/>
  <c r="CK115" i="57" s="1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BE70" i="55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G84" i="41"/>
  <c r="G88" i="41" s="1"/>
  <c r="G84" i="49"/>
  <c r="G363" i="33" s="1"/>
  <c r="G84" i="44"/>
  <c r="G358" i="33" s="1"/>
  <c r="BY54" i="57"/>
  <c r="H85" i="40"/>
  <c r="H281" i="51"/>
  <c r="H85" i="49"/>
  <c r="H287" i="51"/>
  <c r="BY60" i="57"/>
  <c r="H85" i="47"/>
  <c r="H285" i="51"/>
  <c r="BY58" i="57"/>
  <c r="BY55" i="57"/>
  <c r="H85" i="44"/>
  <c r="H282" i="51"/>
  <c r="H283" i="51"/>
  <c r="BY56" i="57"/>
  <c r="H85" i="45"/>
  <c r="G134" i="33"/>
  <c r="G62" i="56"/>
  <c r="G135" i="33" s="1"/>
  <c r="BY51" i="57"/>
  <c r="H278" i="51"/>
  <c r="H85" i="41"/>
  <c r="BY57" i="57"/>
  <c r="H284" i="51"/>
  <c r="H85" i="46"/>
  <c r="G73" i="1"/>
  <c r="H74" i="1" s="1"/>
  <c r="G139" i="1"/>
  <c r="J135" i="51" s="1"/>
  <c r="G46" i="33"/>
  <c r="G84" i="43"/>
  <c r="G84" i="42"/>
  <c r="BY59" i="57"/>
  <c r="H85" i="48"/>
  <c r="H286" i="51"/>
  <c r="H280" i="51"/>
  <c r="BY53" i="57"/>
  <c r="H85" i="43"/>
  <c r="BY52" i="57"/>
  <c r="H85" i="42"/>
  <c r="H279" i="51"/>
  <c r="H85" i="32"/>
  <c r="H277" i="51"/>
  <c r="BY50" i="57"/>
  <c r="G38" i="33"/>
  <c r="G42" i="33"/>
  <c r="G40" i="33"/>
  <c r="G44" i="33"/>
  <c r="G15" i="61"/>
  <c r="G29" i="61" s="1"/>
  <c r="B43" i="61" s="1"/>
  <c r="G17" i="61"/>
  <c r="B31" i="61" s="1"/>
  <c r="AW183" i="33" l="1"/>
  <c r="G357" i="33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CM115" i="57" s="1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BY49" i="57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G48" i="61" l="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F79" i="40"/>
  <c r="G148" i="40" s="1"/>
  <c r="G328" i="33" s="1"/>
  <c r="G136" i="40"/>
  <c r="G71" i="59"/>
  <c r="H119" i="40"/>
  <c r="H114" i="40"/>
  <c r="H103" i="40" s="1"/>
  <c r="H114" i="44"/>
  <c r="H103" i="44" s="1"/>
  <c r="H119" i="44"/>
  <c r="H39" i="33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G91" i="41"/>
  <c r="G136" i="41"/>
  <c r="F79" i="41"/>
  <c r="G148" i="41" s="1"/>
  <c r="G325" i="33" s="1"/>
  <c r="H119" i="42"/>
  <c r="H114" i="42"/>
  <c r="H103" i="42" s="1"/>
  <c r="G91" i="47"/>
  <c r="G93" i="47"/>
  <c r="G94" i="47" s="1"/>
  <c r="H119" i="47"/>
  <c r="H114" i="47"/>
  <c r="H103" i="47" s="1"/>
  <c r="G91" i="46"/>
  <c r="G93" i="46"/>
  <c r="G94" i="46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F131" i="40"/>
  <c r="F137" i="40"/>
  <c r="G93" i="40"/>
  <c r="G94" i="40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H119" i="49"/>
  <c r="H114" i="49"/>
  <c r="H103" i="49" s="1"/>
  <c r="F137" i="47"/>
  <c r="F131" i="47"/>
  <c r="F79" i="47"/>
  <c r="G148" i="47" s="1"/>
  <c r="G332" i="33" s="1"/>
  <c r="G136" i="47"/>
  <c r="H114" i="45"/>
  <c r="H103" i="45" s="1"/>
  <c r="H119" i="45"/>
  <c r="H114" i="41"/>
  <c r="H103" i="41" s="1"/>
  <c r="H119" i="41"/>
  <c r="F79" i="46"/>
  <c r="G148" i="46" s="1"/>
  <c r="G331" i="33" s="1"/>
  <c r="G136" i="46"/>
  <c r="H119" i="46"/>
  <c r="H114" i="46"/>
  <c r="H103" i="46" s="1"/>
  <c r="G53" i="33"/>
  <c r="G59" i="61"/>
  <c r="G73" i="61" s="1"/>
  <c r="B87" i="61" s="1"/>
  <c r="G50" i="59"/>
  <c r="G52" i="33"/>
  <c r="G87" i="33"/>
  <c r="G91" i="49"/>
  <c r="G93" i="49"/>
  <c r="G94" i="49" s="1"/>
  <c r="H114" i="43"/>
  <c r="H103" i="43" s="1"/>
  <c r="H119" i="43"/>
  <c r="AY183" i="33" l="1"/>
  <c r="G93" i="45"/>
  <c r="G94" i="45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G93" i="44"/>
  <c r="G94" i="44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CO115" i="57" s="1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BI70" i="55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F140" i="32" l="1"/>
  <c r="G410" i="33"/>
  <c r="G80" i="59" s="1"/>
  <c r="G69" i="59"/>
  <c r="F140" i="48"/>
  <c r="G93" i="1"/>
  <c r="G94" i="1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CP115" i="57" l="1"/>
  <c r="H303" i="33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BC18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BE183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CV115" i="57" s="1"/>
  <c r="BG72" i="55"/>
  <c r="BG113" i="41" s="1"/>
  <c r="BG120" i="41" s="1"/>
  <c r="BG143" i="33" s="1"/>
  <c r="DE102" i="57"/>
  <c r="CU115" i="57"/>
  <c r="H81" i="41"/>
  <c r="H62" i="41" s="1"/>
  <c r="H63" i="41" s="1"/>
  <c r="H81" i="46"/>
  <c r="H62" i="46" s="1"/>
  <c r="H63" i="46" s="1"/>
  <c r="H81" i="49"/>
  <c r="H62" i="49" s="1"/>
  <c r="H63" i="49" s="1"/>
  <c r="I72" i="33"/>
  <c r="H81" i="45"/>
  <c r="H62" i="45" s="1"/>
  <c r="H63" i="45" s="1"/>
  <c r="H369" i="33"/>
  <c r="H81" i="43"/>
  <c r="H62" i="43" s="1"/>
  <c r="H63" i="43" s="1"/>
  <c r="H81" i="1"/>
  <c r="H62" i="1" s="1"/>
  <c r="H63" i="1" s="1"/>
  <c r="H81" i="40"/>
  <c r="H62" i="40" s="1"/>
  <c r="H63" i="40" s="1"/>
  <c r="H3" i="56"/>
  <c r="H81" i="47"/>
  <c r="H62" i="47" s="1"/>
  <c r="H63" i="47" s="1"/>
  <c r="H81" i="42"/>
  <c r="H62" i="42" s="1"/>
  <c r="H63" i="42" s="1"/>
  <c r="H81" i="48"/>
  <c r="H62" i="48" s="1"/>
  <c r="H63" i="48" s="1"/>
  <c r="H81" i="44"/>
  <c r="H62" i="44" s="1"/>
  <c r="H63" i="44" s="1"/>
  <c r="H81" i="32"/>
  <c r="H62" i="32" s="1"/>
  <c r="H63" i="32" s="1"/>
  <c r="H62" i="59"/>
  <c r="I107" i="32" l="1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6" i="1" s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BZ53" i="57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BZ60" i="57"/>
  <c r="I287" i="51"/>
  <c r="I85" i="49"/>
  <c r="I281" i="51"/>
  <c r="BZ54" i="57"/>
  <c r="I85" i="40"/>
  <c r="BZ59" i="57"/>
  <c r="I85" i="48"/>
  <c r="I286" i="51"/>
  <c r="H84" i="47"/>
  <c r="H84" i="32"/>
  <c r="I85" i="47"/>
  <c r="I285" i="51"/>
  <c r="BZ58" i="57"/>
  <c r="I85" i="46"/>
  <c r="I284" i="51"/>
  <c r="BZ57" i="57"/>
  <c r="H38" i="33"/>
  <c r="H42" i="33"/>
  <c r="H40" i="33"/>
  <c r="H44" i="33"/>
  <c r="I282" i="51"/>
  <c r="BZ55" i="57"/>
  <c r="I85" i="44"/>
  <c r="I85" i="32"/>
  <c r="I277" i="51"/>
  <c r="BZ50" i="57"/>
  <c r="BZ52" i="57"/>
  <c r="I85" i="42"/>
  <c r="I279" i="51"/>
  <c r="BZ56" i="57"/>
  <c r="I85" i="45"/>
  <c r="I283" i="51"/>
  <c r="I278" i="51"/>
  <c r="BZ51" i="57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BZ49" i="57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G129" i="45"/>
  <c r="G131" i="45" s="1"/>
  <c r="H397" i="33"/>
  <c r="H130" i="41"/>
  <c r="H90" i="41"/>
  <c r="H93" i="41" s="1"/>
  <c r="H94" i="41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H90" i="44"/>
  <c r="H93" i="44" s="1"/>
  <c r="H94" i="44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H54" i="61"/>
  <c r="H68" i="61" s="1"/>
  <c r="H130" i="42"/>
  <c r="H50" i="61"/>
  <c r="H64" i="61" s="1"/>
  <c r="H207" i="51"/>
  <c r="H223" i="51" s="1"/>
  <c r="H90" i="42"/>
  <c r="H93" i="42" s="1"/>
  <c r="H94" i="4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I114" i="45"/>
  <c r="I103" i="45" s="1"/>
  <c r="I119" i="45"/>
  <c r="H50" i="59"/>
  <c r="H59" i="61"/>
  <c r="H73" i="61" s="1"/>
  <c r="H87" i="33"/>
  <c r="H53" i="33"/>
  <c r="H52" i="33"/>
  <c r="I119" i="49"/>
  <c r="I114" i="49"/>
  <c r="I103" i="49" s="1"/>
  <c r="I114" i="47"/>
  <c r="I103" i="47" s="1"/>
  <c r="I119" i="47"/>
  <c r="I119" i="46"/>
  <c r="I114" i="46"/>
  <c r="I103" i="46" s="1"/>
  <c r="G137" i="40"/>
  <c r="G131" i="40"/>
  <c r="I114" i="40"/>
  <c r="I103" i="40" s="1"/>
  <c r="I119" i="40"/>
  <c r="I114" i="44"/>
  <c r="I103" i="44" s="1"/>
  <c r="I119" i="44"/>
  <c r="I114" i="32"/>
  <c r="I103" i="32" s="1"/>
  <c r="I119" i="32"/>
  <c r="I112" i="1"/>
  <c r="I128" i="1"/>
  <c r="I39" i="33"/>
  <c r="I78" i="1"/>
  <c r="I77" i="1"/>
  <c r="I114" i="48"/>
  <c r="I103" i="48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G137" i="41"/>
  <c r="G131" i="41"/>
  <c r="I119" i="41"/>
  <c r="I114" i="41"/>
  <c r="I103" i="41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I81" i="44"/>
  <c r="I62" i="44" s="1"/>
  <c r="I63" i="44" s="1"/>
  <c r="I81" i="46"/>
  <c r="I62" i="46" s="1"/>
  <c r="I63" i="46" s="1"/>
  <c r="I81" i="45"/>
  <c r="I62" i="45" s="1"/>
  <c r="I63" i="45" s="1"/>
  <c r="I81" i="1"/>
  <c r="I62" i="1" s="1"/>
  <c r="I63" i="1" s="1"/>
  <c r="I81" i="47"/>
  <c r="I62" i="47" s="1"/>
  <c r="I63" i="47" s="1"/>
  <c r="I81" i="43"/>
  <c r="I62" i="43" s="1"/>
  <c r="I63" i="43" s="1"/>
  <c r="I81" i="42"/>
  <c r="I62" i="42" s="1"/>
  <c r="I63" i="42" s="1"/>
  <c r="I81" i="41"/>
  <c r="I62" i="41" s="1"/>
  <c r="I63" i="41" s="1"/>
  <c r="I81" i="32"/>
  <c r="I62" i="32" s="1"/>
  <c r="I63" i="32" s="1"/>
  <c r="I81" i="40"/>
  <c r="I62" i="40" s="1"/>
  <c r="I63" i="40" s="1"/>
  <c r="I81" i="49"/>
  <c r="I62" i="49" s="1"/>
  <c r="I63" i="49" s="1"/>
  <c r="I369" i="33"/>
  <c r="J72" i="33"/>
  <c r="J107" i="45" l="1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CA55" i="57"/>
  <c r="J282" i="51"/>
  <c r="J85" i="44"/>
  <c r="J283" i="51"/>
  <c r="CA56" i="57"/>
  <c r="J85" i="45"/>
  <c r="J85" i="49"/>
  <c r="J287" i="51"/>
  <c r="CA60" i="57"/>
  <c r="CA53" i="57"/>
  <c r="J280" i="51"/>
  <c r="J85" i="43"/>
  <c r="I84" i="47"/>
  <c r="I84" i="41"/>
  <c r="I38" i="33"/>
  <c r="I42" i="33"/>
  <c r="I40" i="33"/>
  <c r="I44" i="33"/>
  <c r="I17" i="61"/>
  <c r="I15" i="61"/>
  <c r="I29" i="61" s="1"/>
  <c r="J85" i="47"/>
  <c r="J285" i="51"/>
  <c r="CA58" i="57"/>
  <c r="J277" i="51"/>
  <c r="J85" i="32"/>
  <c r="CA50" i="57"/>
  <c r="I62" i="56"/>
  <c r="I135" i="33" s="1"/>
  <c r="I134" i="33"/>
  <c r="J85" i="48"/>
  <c r="J286" i="51"/>
  <c r="CA59" i="57"/>
  <c r="J278" i="51"/>
  <c r="J85" i="41"/>
  <c r="CA51" i="57"/>
  <c r="J284" i="51"/>
  <c r="CA57" i="57"/>
  <c r="J85" i="46"/>
  <c r="CA54" i="57"/>
  <c r="J281" i="51"/>
  <c r="J85" i="40"/>
  <c r="J279" i="51"/>
  <c r="CA52" i="57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CA49" i="57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H137" i="44"/>
  <c r="H131" i="44"/>
  <c r="J119" i="44"/>
  <c r="J114" i="44"/>
  <c r="J103" i="44" s="1"/>
  <c r="J114" i="45"/>
  <c r="J103" i="45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J114" i="49"/>
  <c r="J103" i="49" s="1"/>
  <c r="J119" i="49"/>
  <c r="I136" i="43"/>
  <c r="H79" i="43"/>
  <c r="I148" i="43" s="1"/>
  <c r="I327" i="33" s="1"/>
  <c r="H137" i="43"/>
  <c r="H131" i="43"/>
  <c r="I93" i="43"/>
  <c r="I94" i="43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J297" i="51"/>
  <c r="J300" i="51"/>
  <c r="J298" i="51"/>
  <c r="J119" i="47"/>
  <c r="J114" i="47"/>
  <c r="J103" i="47" s="1"/>
  <c r="J114" i="48"/>
  <c r="J103" i="48" s="1"/>
  <c r="J119" i="48"/>
  <c r="J114" i="46"/>
  <c r="J103" i="46" s="1"/>
  <c r="J119" i="46"/>
  <c r="J119" i="43"/>
  <c r="J114" i="43"/>
  <c r="J103" i="43" s="1"/>
  <c r="I91" i="32"/>
  <c r="I93" i="32"/>
  <c r="I94" i="32" s="1"/>
  <c r="H79" i="46"/>
  <c r="I148" i="46" s="1"/>
  <c r="I331" i="33" s="1"/>
  <c r="I136" i="46"/>
  <c r="I91" i="46"/>
  <c r="I93" i="46"/>
  <c r="I94" i="46" s="1"/>
  <c r="H137" i="46"/>
  <c r="H131" i="46"/>
  <c r="J119" i="40"/>
  <c r="J114" i="40"/>
  <c r="J103" i="40" s="1"/>
  <c r="J114" i="42"/>
  <c r="J103" i="4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I93" i="42"/>
  <c r="I94" i="42" s="1"/>
  <c r="I136" i="48"/>
  <c r="H131" i="48"/>
  <c r="H140" i="48" s="1"/>
  <c r="I93" i="48"/>
  <c r="I94" i="48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H79" i="41"/>
  <c r="I148" i="41" s="1"/>
  <c r="I325" i="33" s="1"/>
  <c r="I136" i="41"/>
  <c r="J121" i="45"/>
  <c r="J124" i="45"/>
  <c r="J121" i="44"/>
  <c r="J124" i="44"/>
  <c r="J114" i="1"/>
  <c r="J103" i="1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J369" i="33"/>
  <c r="J81" i="42"/>
  <c r="J62" i="42" s="1"/>
  <c r="J63" i="42" s="1"/>
  <c r="J81" i="44"/>
  <c r="J62" i="44" s="1"/>
  <c r="J63" i="44" s="1"/>
  <c r="J81" i="40"/>
  <c r="J62" i="40" s="1"/>
  <c r="J63" i="40" s="1"/>
  <c r="J81" i="45"/>
  <c r="J62" i="45" s="1"/>
  <c r="J63" i="45" s="1"/>
  <c r="J81" i="47"/>
  <c r="J62" i="47" s="1"/>
  <c r="J63" i="47" s="1"/>
  <c r="J81" i="48"/>
  <c r="J62" i="48" s="1"/>
  <c r="J63" i="48" s="1"/>
  <c r="J3" i="56"/>
  <c r="J81" i="1"/>
  <c r="J62" i="1" s="1"/>
  <c r="J63" i="1" s="1"/>
  <c r="J62" i="59"/>
  <c r="J81" i="43"/>
  <c r="J62" i="43" s="1"/>
  <c r="J63" i="43" s="1"/>
  <c r="J81" i="41"/>
  <c r="J62" i="41" s="1"/>
  <c r="J63" i="41" s="1"/>
  <c r="J81" i="49"/>
  <c r="J62" i="49" s="1"/>
  <c r="J63" i="49" s="1"/>
  <c r="J81" i="32"/>
  <c r="J62" i="32" s="1"/>
  <c r="J63" i="32" s="1"/>
  <c r="K72" i="33"/>
  <c r="K107" i="45" l="1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CB60" i="57"/>
  <c r="K85" i="49"/>
  <c r="CB51" i="57"/>
  <c r="K85" i="41"/>
  <c r="K278" i="51"/>
  <c r="K85" i="40"/>
  <c r="K281" i="51"/>
  <c r="CB54" i="57"/>
  <c r="K85" i="43"/>
  <c r="K280" i="51"/>
  <c r="CB53" i="57"/>
  <c r="J84" i="48"/>
  <c r="K286" i="51"/>
  <c r="K85" i="48"/>
  <c r="CB59" i="57"/>
  <c r="J46" i="33"/>
  <c r="J73" i="1"/>
  <c r="K74" i="1" s="1"/>
  <c r="J139" i="1"/>
  <c r="M135" i="51" s="1"/>
  <c r="J38" i="33"/>
  <c r="J40" i="33"/>
  <c r="J42" i="33"/>
  <c r="J44" i="33"/>
  <c r="K85" i="42"/>
  <c r="K279" i="51"/>
  <c r="CB52" i="57"/>
  <c r="K85" i="47"/>
  <c r="K285" i="51"/>
  <c r="CB58" i="57"/>
  <c r="J62" i="56"/>
  <c r="J135" i="33" s="1"/>
  <c r="J134" i="33"/>
  <c r="K85" i="44"/>
  <c r="K282" i="51"/>
  <c r="CB55" i="57"/>
  <c r="CB56" i="57"/>
  <c r="K85" i="45"/>
  <c r="K283" i="51"/>
  <c r="CB50" i="57"/>
  <c r="K277" i="51"/>
  <c r="K85" i="32"/>
  <c r="K85" i="46"/>
  <c r="K284" i="51"/>
  <c r="CB57" i="57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CB49" i="57"/>
  <c r="CB61" i="57" s="1"/>
  <c r="K85" i="1"/>
  <c r="K49" i="33" s="1"/>
  <c r="K77" i="48"/>
  <c r="K78" i="48"/>
  <c r="K128" i="48"/>
  <c r="K112" i="48"/>
  <c r="K112" i="43"/>
  <c r="K78" i="43"/>
  <c r="K77" i="43"/>
  <c r="K128" i="43"/>
  <c r="J208" i="51"/>
  <c r="J224" i="51" s="1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I129" i="46" l="1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K119" i="47"/>
  <c r="J93" i="41"/>
  <c r="J94" i="41" s="1"/>
  <c r="J91" i="41"/>
  <c r="J91" i="45"/>
  <c r="J93" i="45"/>
  <c r="J94" i="45" s="1"/>
  <c r="K119" i="32"/>
  <c r="K114" i="32"/>
  <c r="K103" i="32" s="1"/>
  <c r="K114" i="46"/>
  <c r="K103" i="46" s="1"/>
  <c r="K119" i="46"/>
  <c r="J136" i="49"/>
  <c r="I79" i="49"/>
  <c r="J148" i="49" s="1"/>
  <c r="J334" i="33" s="1"/>
  <c r="K119" i="49"/>
  <c r="K114" i="49"/>
  <c r="K103" i="49" s="1"/>
  <c r="J136" i="44"/>
  <c r="I79" i="44"/>
  <c r="J148" i="44" s="1"/>
  <c r="J329" i="33" s="1"/>
  <c r="J91" i="44"/>
  <c r="J93" i="44"/>
  <c r="J94" i="44" s="1"/>
  <c r="K114" i="43"/>
  <c r="K103" i="43" s="1"/>
  <c r="K119" i="43"/>
  <c r="K114" i="48"/>
  <c r="K103" i="48" s="1"/>
  <c r="K119" i="48"/>
  <c r="K114" i="42"/>
  <c r="K103" i="42" s="1"/>
  <c r="K119" i="42"/>
  <c r="J51" i="33"/>
  <c r="K114" i="41"/>
  <c r="K103" i="41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K119" i="44"/>
  <c r="K119" i="45"/>
  <c r="K114" i="45"/>
  <c r="K103" i="45" s="1"/>
  <c r="J93" i="49"/>
  <c r="J94" i="49" s="1"/>
  <c r="J91" i="49"/>
  <c r="I131" i="49"/>
  <c r="I137" i="49"/>
  <c r="I131" i="44"/>
  <c r="I137" i="44"/>
  <c r="K114" i="40"/>
  <c r="K103" i="40" s="1"/>
  <c r="K119" i="40"/>
  <c r="K128" i="1"/>
  <c r="K112" i="1"/>
  <c r="K78" i="1"/>
  <c r="K39" i="33"/>
  <c r="K77" i="1"/>
  <c r="I131" i="46" l="1"/>
  <c r="H141" i="46" s="1"/>
  <c r="J93" i="46"/>
  <c r="J94" i="46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I137" i="40"/>
  <c r="I137" i="42"/>
  <c r="J93" i="47"/>
  <c r="J94" i="47" s="1"/>
  <c r="J93" i="42"/>
  <c r="J94" i="4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K81" i="44"/>
  <c r="K62" i="44" s="1"/>
  <c r="K63" i="44" s="1"/>
  <c r="K62" i="59"/>
  <c r="K81" i="41"/>
  <c r="K62" i="41" s="1"/>
  <c r="K63" i="41" s="1"/>
  <c r="K81" i="49"/>
  <c r="K62" i="49" s="1"/>
  <c r="K63" i="49" s="1"/>
  <c r="K81" i="40"/>
  <c r="K62" i="40" s="1"/>
  <c r="K63" i="40" s="1"/>
  <c r="K81" i="32"/>
  <c r="K62" i="32" s="1"/>
  <c r="K63" i="32" s="1"/>
  <c r="K81" i="47"/>
  <c r="K62" i="47" s="1"/>
  <c r="K63" i="47" s="1"/>
  <c r="K81" i="43"/>
  <c r="K62" i="43" s="1"/>
  <c r="K63" i="43" s="1"/>
  <c r="K81" i="46"/>
  <c r="K62" i="46" s="1"/>
  <c r="K63" i="46" s="1"/>
  <c r="K81" i="48"/>
  <c r="K62" i="48" s="1"/>
  <c r="K63" i="48" s="1"/>
  <c r="K369" i="33"/>
  <c r="K3" i="56"/>
  <c r="K81" i="42"/>
  <c r="K62" i="42" s="1"/>
  <c r="K63" i="42" s="1"/>
  <c r="K81" i="1"/>
  <c r="K62" i="1" s="1"/>
  <c r="K63" i="1" s="1"/>
  <c r="L72" i="33"/>
  <c r="L107" i="41" l="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CC60" i="57"/>
  <c r="L85" i="49"/>
  <c r="L287" i="51"/>
  <c r="CC53" i="57"/>
  <c r="L85" i="43"/>
  <c r="L280" i="51"/>
  <c r="L286" i="51"/>
  <c r="CC59" i="57"/>
  <c r="L85" i="48"/>
  <c r="K62" i="56"/>
  <c r="K135" i="33" s="1"/>
  <c r="K134" i="33"/>
  <c r="K38" i="33"/>
  <c r="K40" i="33"/>
  <c r="K42" i="33"/>
  <c r="K44" i="33"/>
  <c r="L85" i="41"/>
  <c r="L278" i="51"/>
  <c r="CC51" i="57"/>
  <c r="L85" i="32"/>
  <c r="CC50" i="57"/>
  <c r="L277" i="51"/>
  <c r="L85" i="44"/>
  <c r="L282" i="51"/>
  <c r="CC55" i="57"/>
  <c r="L85" i="42"/>
  <c r="CC52" i="57"/>
  <c r="L279" i="51"/>
  <c r="K15" i="61"/>
  <c r="K29" i="61" s="1"/>
  <c r="K17" i="61"/>
  <c r="K139" i="1"/>
  <c r="N135" i="51" s="1"/>
  <c r="K73" i="1"/>
  <c r="L74" i="1" s="1"/>
  <c r="K46" i="33"/>
  <c r="L85" i="40"/>
  <c r="L281" i="51"/>
  <c r="CC54" i="57"/>
  <c r="CC57" i="57"/>
  <c r="L85" i="46"/>
  <c r="L284" i="51"/>
  <c r="CC56" i="57"/>
  <c r="L85" i="45"/>
  <c r="L283" i="51"/>
  <c r="L85" i="47"/>
  <c r="CC58" i="57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CC49" i="57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L114" i="48"/>
  <c r="L103" i="48" s="1"/>
  <c r="L119" i="48"/>
  <c r="L119" i="42"/>
  <c r="L114" i="42"/>
  <c r="L103" i="42" s="1"/>
  <c r="L119" i="45"/>
  <c r="L114" i="45"/>
  <c r="L103" i="45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L119" i="32"/>
  <c r="L114" i="44"/>
  <c r="L103" i="44" s="1"/>
  <c r="L119" i="44"/>
  <c r="L128" i="1"/>
  <c r="L77" i="1"/>
  <c r="L39" i="33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L114" i="47"/>
  <c r="L103" i="47" s="1"/>
  <c r="L119" i="47"/>
  <c r="L114" i="43"/>
  <c r="L103" i="43" s="1"/>
  <c r="L119" i="43"/>
  <c r="J79" i="41"/>
  <c r="K148" i="41" s="1"/>
  <c r="K325" i="33" s="1"/>
  <c r="K136" i="41"/>
  <c r="K91" i="41"/>
  <c r="K93" i="41"/>
  <c r="K94" i="41" s="1"/>
  <c r="L114" i="41"/>
  <c r="L103" i="41" s="1"/>
  <c r="L119" i="41"/>
  <c r="J137" i="47"/>
  <c r="J131" i="47"/>
  <c r="K93" i="47"/>
  <c r="K94" i="47" s="1"/>
  <c r="K91" i="47"/>
  <c r="K136" i="47"/>
  <c r="J79" i="47"/>
  <c r="K148" i="47" s="1"/>
  <c r="K332" i="33" s="1"/>
  <c r="L288" i="51"/>
  <c r="L290" i="51" s="1"/>
  <c r="L119" i="40"/>
  <c r="L114" i="40"/>
  <c r="L103" i="40" s="1"/>
  <c r="J131" i="45"/>
  <c r="J137" i="45"/>
  <c r="K136" i="45"/>
  <c r="J79" i="45"/>
  <c r="K148" i="45" s="1"/>
  <c r="K330" i="33" s="1"/>
  <c r="K91" i="45"/>
  <c r="K93" i="45"/>
  <c r="K94" i="45" s="1"/>
  <c r="J131" i="46" l="1"/>
  <c r="J140" i="46" s="1"/>
  <c r="K93" i="32"/>
  <c r="K94" i="32" s="1"/>
  <c r="K93" i="48"/>
  <c r="K94" i="48" s="1"/>
  <c r="K93" i="49"/>
  <c r="K94" i="49" s="1"/>
  <c r="K93" i="42"/>
  <c r="K94" i="42" s="1"/>
  <c r="K204" i="51"/>
  <c r="K220" i="51" s="1"/>
  <c r="J137" i="32"/>
  <c r="K136" i="32"/>
  <c r="K93" i="40"/>
  <c r="K94" i="40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K91" i="43"/>
  <c r="J131" i="43"/>
  <c r="J137" i="43"/>
  <c r="M133" i="51"/>
  <c r="J72" i="59"/>
  <c r="I141" i="40"/>
  <c r="J140" i="40"/>
  <c r="L119" i="1"/>
  <c r="L114" i="1"/>
  <c r="L103" i="1" s="1"/>
  <c r="L115" i="44"/>
  <c r="L260" i="33" s="1"/>
  <c r="L121" i="32"/>
  <c r="L124" i="32"/>
  <c r="K91" i="44"/>
  <c r="K93" i="44"/>
  <c r="K94" i="44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I141" i="46" l="1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L81" i="42"/>
  <c r="L62" i="42" s="1"/>
  <c r="L63" i="42" s="1"/>
  <c r="L81" i="47"/>
  <c r="L62" i="47" s="1"/>
  <c r="L63" i="47" s="1"/>
  <c r="L81" i="46"/>
  <c r="L62" i="46" s="1"/>
  <c r="L63" i="46" s="1"/>
  <c r="L3" i="56"/>
  <c r="L62" i="59"/>
  <c r="L81" i="32"/>
  <c r="L62" i="32" s="1"/>
  <c r="L63" i="32" s="1"/>
  <c r="L81" i="48"/>
  <c r="L62" i="48" s="1"/>
  <c r="L63" i="48" s="1"/>
  <c r="L81" i="1"/>
  <c r="L62" i="1" s="1"/>
  <c r="L63" i="1" s="1"/>
  <c r="L369" i="33"/>
  <c r="L81" i="49"/>
  <c r="L62" i="49" s="1"/>
  <c r="L63" i="49" s="1"/>
  <c r="L81" i="44"/>
  <c r="L62" i="44" s="1"/>
  <c r="L63" i="44" s="1"/>
  <c r="L81" i="43"/>
  <c r="L62" i="43" s="1"/>
  <c r="L63" i="43" s="1"/>
  <c r="L81" i="45"/>
  <c r="L62" i="45" s="1"/>
  <c r="L63" i="45" s="1"/>
  <c r="L81" i="41"/>
  <c r="L62" i="41" s="1"/>
  <c r="L63" i="41" s="1"/>
  <c r="M72" i="33"/>
  <c r="M83" i="33"/>
  <c r="M90" i="33"/>
  <c r="M97" i="33" l="1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L44" i="33"/>
  <c r="L139" i="1"/>
  <c r="O135" i="51" s="1"/>
  <c r="L46" i="33"/>
  <c r="L73" i="1"/>
  <c r="M74" i="1" s="1"/>
  <c r="M279" i="51"/>
  <c r="CD52" i="57"/>
  <c r="M85" i="42"/>
  <c r="M286" i="51"/>
  <c r="CD59" i="57"/>
  <c r="M85" i="48"/>
  <c r="M85" i="40"/>
  <c r="M281" i="51"/>
  <c r="CD54" i="57"/>
  <c r="M282" i="51"/>
  <c r="CD55" i="57"/>
  <c r="M85" i="44"/>
  <c r="L84" i="43"/>
  <c r="L84" i="46"/>
  <c r="L84" i="45"/>
  <c r="L84" i="41"/>
  <c r="L134" i="33"/>
  <c r="L62" i="56"/>
  <c r="L135" i="33" s="1"/>
  <c r="CD50" i="57"/>
  <c r="M277" i="51"/>
  <c r="M85" i="32"/>
  <c r="L15" i="61"/>
  <c r="L29" i="61" s="1"/>
  <c r="C43" i="61" s="1"/>
  <c r="L17" i="61"/>
  <c r="C31" i="61" s="1"/>
  <c r="M85" i="49"/>
  <c r="CD60" i="57"/>
  <c r="M287" i="51"/>
  <c r="M280" i="51"/>
  <c r="M85" i="43"/>
  <c r="CD53" i="57"/>
  <c r="CD57" i="57"/>
  <c r="M85" i="46"/>
  <c r="M284" i="51"/>
  <c r="CD56" i="57"/>
  <c r="M283" i="51"/>
  <c r="M85" i="45"/>
  <c r="M85" i="47"/>
  <c r="M285" i="51"/>
  <c r="CD58" i="57"/>
  <c r="M85" i="41"/>
  <c r="M278" i="51"/>
  <c r="CD51" i="57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CD49" i="57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M119" i="49"/>
  <c r="L91" i="42"/>
  <c r="L93" i="42"/>
  <c r="L94" i="42" s="1"/>
  <c r="K79" i="40"/>
  <c r="L148" i="40" s="1"/>
  <c r="L328" i="33" s="1"/>
  <c r="L71" i="59"/>
  <c r="L91" i="40"/>
  <c r="L93" i="40"/>
  <c r="L94" i="40" s="1"/>
  <c r="M119" i="41"/>
  <c r="M114" i="41"/>
  <c r="M103" i="41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M119" i="47"/>
  <c r="M114" i="47"/>
  <c r="M103" i="47" s="1"/>
  <c r="M119" i="42"/>
  <c r="M114" i="42"/>
  <c r="M103" i="42" s="1"/>
  <c r="M119" i="48"/>
  <c r="M114" i="48"/>
  <c r="M103" i="48" s="1"/>
  <c r="M119" i="40"/>
  <c r="M114" i="40"/>
  <c r="M103" i="40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K131" i="42"/>
  <c r="K137" i="42"/>
  <c r="K131" i="40"/>
  <c r="K137" i="40"/>
  <c r="K131" i="44"/>
  <c r="K137" i="44"/>
  <c r="M77" i="1"/>
  <c r="M128" i="1"/>
  <c r="M112" i="1"/>
  <c r="M78" i="1"/>
  <c r="M39" i="33"/>
  <c r="M119" i="32"/>
  <c r="M114" i="32"/>
  <c r="M103" i="32" s="1"/>
  <c r="M114" i="45"/>
  <c r="M103" i="45" s="1"/>
  <c r="M119" i="45"/>
  <c r="L91" i="48" l="1"/>
  <c r="K137" i="32"/>
  <c r="K131" i="49"/>
  <c r="K140" i="49" s="1"/>
  <c r="L93" i="49"/>
  <c r="L94" i="49" s="1"/>
  <c r="L93" i="32"/>
  <c r="L94" i="32" s="1"/>
  <c r="K137" i="47"/>
  <c r="L395" i="33"/>
  <c r="L411" i="33" s="1"/>
  <c r="L93" i="47"/>
  <c r="L94" i="47" s="1"/>
  <c r="L130" i="1"/>
  <c r="L204" i="51"/>
  <c r="L220" i="51" s="1"/>
  <c r="K129" i="1"/>
  <c r="K131" i="1" s="1"/>
  <c r="L90" i="1"/>
  <c r="L93" i="1" s="1"/>
  <c r="L94" i="1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M124" i="41"/>
  <c r="M121" i="41"/>
  <c r="J141" i="47"/>
  <c r="K140" i="47"/>
  <c r="M124" i="49"/>
  <c r="M121" i="49"/>
  <c r="L93" i="45"/>
  <c r="L94" i="45" s="1"/>
  <c r="L91" i="45"/>
  <c r="M124" i="44"/>
  <c r="M121" i="44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M62" i="59"/>
  <c r="M81" i="1"/>
  <c r="M62" i="1" s="1"/>
  <c r="M63" i="1" s="1"/>
  <c r="M369" i="33"/>
  <c r="M81" i="46"/>
  <c r="M62" i="46" s="1"/>
  <c r="M63" i="46" s="1"/>
  <c r="M81" i="42"/>
  <c r="M62" i="42" s="1"/>
  <c r="M63" i="42" s="1"/>
  <c r="M81" i="45"/>
  <c r="M62" i="45" s="1"/>
  <c r="M63" i="45" s="1"/>
  <c r="M81" i="44"/>
  <c r="M62" i="44" s="1"/>
  <c r="M63" i="44" s="1"/>
  <c r="M3" i="56"/>
  <c r="M81" i="48"/>
  <c r="M62" i="48" s="1"/>
  <c r="M63" i="48" s="1"/>
  <c r="M81" i="47"/>
  <c r="M62" i="47" s="1"/>
  <c r="M63" i="47" s="1"/>
  <c r="M81" i="32"/>
  <c r="M62" i="32" s="1"/>
  <c r="M63" i="32" s="1"/>
  <c r="M81" i="40"/>
  <c r="M62" i="40" s="1"/>
  <c r="M63" i="40" s="1"/>
  <c r="M81" i="49"/>
  <c r="M62" i="49" s="1"/>
  <c r="M63" i="49" s="1"/>
  <c r="M81" i="41"/>
  <c r="M62" i="41" s="1"/>
  <c r="M63" i="41" s="1"/>
  <c r="N72" i="33"/>
  <c r="N83" i="33" l="1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CE55" i="57"/>
  <c r="N85" i="44"/>
  <c r="M62" i="56"/>
  <c r="M135" i="33" s="1"/>
  <c r="M134" i="33"/>
  <c r="N85" i="46"/>
  <c r="N284" i="51"/>
  <c r="CE57" i="57"/>
  <c r="N285" i="51"/>
  <c r="CE58" i="57"/>
  <c r="N85" i="47"/>
  <c r="N85" i="40"/>
  <c r="N281" i="51"/>
  <c r="CE54" i="57"/>
  <c r="N85" i="48"/>
  <c r="N286" i="51"/>
  <c r="CE59" i="57"/>
  <c r="N287" i="51"/>
  <c r="CE60" i="57"/>
  <c r="N85" i="49"/>
  <c r="M84" i="42"/>
  <c r="CE52" i="57"/>
  <c r="N279" i="51"/>
  <c r="N85" i="42"/>
  <c r="N277" i="51"/>
  <c r="N85" i="32"/>
  <c r="CE50" i="57"/>
  <c r="CE49" i="57"/>
  <c r="N276" i="51"/>
  <c r="N85" i="1"/>
  <c r="N85" i="45"/>
  <c r="CE56" i="57"/>
  <c r="N283" i="51"/>
  <c r="CE53" i="57"/>
  <c r="N280" i="51"/>
  <c r="N85" i="43"/>
  <c r="CE51" i="57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M91" i="44"/>
  <c r="N114" i="42"/>
  <c r="N103" i="42" s="1"/>
  <c r="N119" i="42"/>
  <c r="N119" i="32"/>
  <c r="N114" i="32"/>
  <c r="N103" i="32" s="1"/>
  <c r="N119" i="45"/>
  <c r="N114" i="45"/>
  <c r="N103" i="45" s="1"/>
  <c r="N119" i="43"/>
  <c r="N114" i="43"/>
  <c r="N103" i="43" s="1"/>
  <c r="M93" i="1"/>
  <c r="M94" i="1" s="1"/>
  <c r="M91" i="1"/>
  <c r="L131" i="1"/>
  <c r="L137" i="1"/>
  <c r="N119" i="46"/>
  <c r="N114" i="46"/>
  <c r="N103" i="46" s="1"/>
  <c r="N119" i="48"/>
  <c r="N114" i="48"/>
  <c r="N103" i="48" s="1"/>
  <c r="M91" i="32"/>
  <c r="M93" i="32"/>
  <c r="M94" i="32" s="1"/>
  <c r="N119" i="1"/>
  <c r="N114" i="1"/>
  <c r="N103" i="1" s="1"/>
  <c r="N301" i="51"/>
  <c r="N294" i="51"/>
  <c r="N114" i="44"/>
  <c r="N103" i="44" s="1"/>
  <c r="N119" i="44"/>
  <c r="N114" i="47"/>
  <c r="N103" i="47" s="1"/>
  <c r="N119" i="47"/>
  <c r="N119" i="49"/>
  <c r="N114" i="49"/>
  <c r="N103" i="49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L79" i="1"/>
  <c r="M148" i="1" s="1"/>
  <c r="M323" i="33" s="1"/>
  <c r="M69" i="59"/>
  <c r="M136" i="1"/>
  <c r="N119" i="40"/>
  <c r="N114" i="40"/>
  <c r="N103" i="40" s="1"/>
  <c r="M91" i="40"/>
  <c r="M93" i="40"/>
  <c r="M94" i="40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N296" i="51"/>
  <c r="N299" i="51"/>
  <c r="N293" i="51"/>
  <c r="N297" i="51"/>
  <c r="N292" i="51"/>
  <c r="L140" i="45" l="1"/>
  <c r="K141" i="47"/>
  <c r="L140" i="46"/>
  <c r="M93" i="46"/>
  <c r="M94" i="46" s="1"/>
  <c r="M93" i="45"/>
  <c r="M94" i="45" s="1"/>
  <c r="M91" i="47"/>
  <c r="L140" i="32"/>
  <c r="L140" i="43"/>
  <c r="N102" i="49"/>
  <c r="N71" i="49" s="1"/>
  <c r="L140" i="49"/>
  <c r="M93" i="43"/>
  <c r="M94" i="43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N102" i="41"/>
  <c r="N71" i="41" s="1"/>
  <c r="M93" i="49"/>
  <c r="M94" i="49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M81" i="59" l="1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N81" i="47"/>
  <c r="N62" i="47" s="1"/>
  <c r="N63" i="47" s="1"/>
  <c r="N81" i="49"/>
  <c r="N62" i="49" s="1"/>
  <c r="N63" i="49" s="1"/>
  <c r="N81" i="40"/>
  <c r="N62" i="40" s="1"/>
  <c r="N63" i="40" s="1"/>
  <c r="N81" i="48"/>
  <c r="N62" i="48" s="1"/>
  <c r="N63" i="48" s="1"/>
  <c r="N3" i="56"/>
  <c r="N62" i="59"/>
  <c r="N81" i="46"/>
  <c r="N62" i="46" s="1"/>
  <c r="N63" i="46" s="1"/>
  <c r="N81" i="45"/>
  <c r="N62" i="45" s="1"/>
  <c r="N63" i="45" s="1"/>
  <c r="N369" i="33"/>
  <c r="N81" i="42"/>
  <c r="N62" i="42" s="1"/>
  <c r="N63" i="42" s="1"/>
  <c r="N81" i="44"/>
  <c r="N62" i="44" s="1"/>
  <c r="N63" i="44" s="1"/>
  <c r="N81" i="41"/>
  <c r="N62" i="41" s="1"/>
  <c r="N63" i="41" s="1"/>
  <c r="N81" i="32"/>
  <c r="N62" i="32" s="1"/>
  <c r="N63" i="32" s="1"/>
  <c r="N81" i="43"/>
  <c r="N62" i="43" s="1"/>
  <c r="N63" i="43" s="1"/>
  <c r="O72" i="33"/>
  <c r="O107" i="48" l="1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CF57" i="57"/>
  <c r="O85" i="46"/>
  <c r="O284" i="51"/>
  <c r="O85" i="44"/>
  <c r="O282" i="51"/>
  <c r="CF55" i="57"/>
  <c r="O285" i="51"/>
  <c r="O85" i="47"/>
  <c r="CF58" i="57"/>
  <c r="O85" i="42"/>
  <c r="O279" i="51"/>
  <c r="CF52" i="57"/>
  <c r="CF51" i="57"/>
  <c r="O85" i="41"/>
  <c r="O278" i="51"/>
  <c r="N134" i="33"/>
  <c r="N62" i="56"/>
  <c r="N135" i="33" s="1"/>
  <c r="O85" i="1"/>
  <c r="O276" i="51"/>
  <c r="CF49" i="57"/>
  <c r="O85" i="49"/>
  <c r="CF60" i="57"/>
  <c r="O287" i="51"/>
  <c r="O283" i="51"/>
  <c r="CF56" i="57"/>
  <c r="O85" i="45"/>
  <c r="CF53" i="57"/>
  <c r="O85" i="43"/>
  <c r="O280" i="51"/>
  <c r="N84" i="40"/>
  <c r="N84" i="32"/>
  <c r="CF59" i="57"/>
  <c r="O85" i="48"/>
  <c r="O286" i="51"/>
  <c r="CF54" i="57"/>
  <c r="O85" i="40"/>
  <c r="O281" i="51"/>
  <c r="O277" i="51"/>
  <c r="CF50" i="57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N212" i="51"/>
  <c r="N228" i="51" s="1"/>
  <c r="N90" i="46"/>
  <c r="N93" i="46" s="1"/>
  <c r="N94" i="46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O119" i="42"/>
  <c r="O114" i="42"/>
  <c r="O103" i="42" s="1"/>
  <c r="O114" i="1"/>
  <c r="O103" i="1" s="1"/>
  <c r="O119" i="1"/>
  <c r="O114" i="45"/>
  <c r="O103" i="45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O119" i="32"/>
  <c r="O114" i="32"/>
  <c r="O103" i="32" s="1"/>
  <c r="O119" i="44"/>
  <c r="O114" i="44"/>
  <c r="O103" i="44" s="1"/>
  <c r="O119" i="41"/>
  <c r="O114" i="41"/>
  <c r="O103" i="41" s="1"/>
  <c r="N93" i="49"/>
  <c r="N94" i="49" s="1"/>
  <c r="N91" i="49"/>
  <c r="O119" i="49"/>
  <c r="O114" i="49"/>
  <c r="O103" i="49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O119" i="48"/>
  <c r="N59" i="61"/>
  <c r="N73" i="61" s="1"/>
  <c r="N50" i="59"/>
  <c r="N87" i="33"/>
  <c r="N52" i="33"/>
  <c r="N53" i="33"/>
  <c r="O119" i="46"/>
  <c r="O114" i="46"/>
  <c r="O103" i="46" s="1"/>
  <c r="N93" i="42"/>
  <c r="N94" i="42" s="1"/>
  <c r="N91" i="42"/>
  <c r="O119" i="43"/>
  <c r="O114" i="43"/>
  <c r="O103" i="43" s="1"/>
  <c r="N91" i="47"/>
  <c r="N93" i="47"/>
  <c r="N94" i="47" s="1"/>
  <c r="N93" i="44" l="1"/>
  <c r="N94" i="44" s="1"/>
  <c r="P134" i="51"/>
  <c r="N136" i="1"/>
  <c r="M137" i="1"/>
  <c r="N93" i="48"/>
  <c r="N94" i="48" s="1"/>
  <c r="N69" i="59"/>
  <c r="N93" i="43"/>
  <c r="N94" i="43" s="1"/>
  <c r="N93" i="1"/>
  <c r="N94" i="1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N91" i="32"/>
  <c r="O124" i="41"/>
  <c r="O121" i="41"/>
  <c r="O121" i="32"/>
  <c r="O124" i="32"/>
  <c r="N93" i="40"/>
  <c r="N94" i="40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N78" i="59" l="1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O3" i="56"/>
  <c r="O81" i="32"/>
  <c r="O62" i="32" s="1"/>
  <c r="O63" i="32" s="1"/>
  <c r="O81" i="49"/>
  <c r="O62" i="49" s="1"/>
  <c r="O63" i="49" s="1"/>
  <c r="O81" i="45"/>
  <c r="O62" i="45" s="1"/>
  <c r="O63" i="45" s="1"/>
  <c r="O81" i="1"/>
  <c r="O62" i="1" s="1"/>
  <c r="O63" i="1" s="1"/>
  <c r="O81" i="44"/>
  <c r="O62" i="44" s="1"/>
  <c r="O63" i="44" s="1"/>
  <c r="O369" i="33"/>
  <c r="O375" i="33" s="1"/>
  <c r="O81" i="42"/>
  <c r="O62" i="42" s="1"/>
  <c r="O63" i="42" s="1"/>
  <c r="O81" i="48"/>
  <c r="O62" i="48" s="1"/>
  <c r="O63" i="48" s="1"/>
  <c r="O81" i="41"/>
  <c r="O62" i="41" s="1"/>
  <c r="O63" i="41" s="1"/>
  <c r="O62" i="59"/>
  <c r="O81" i="43"/>
  <c r="O62" i="43" s="1"/>
  <c r="O63" i="43" s="1"/>
  <c r="O81" i="40"/>
  <c r="O62" i="40" s="1"/>
  <c r="O63" i="40" s="1"/>
  <c r="O81" i="46"/>
  <c r="O62" i="46" s="1"/>
  <c r="O63" i="46" s="1"/>
  <c r="P72" i="33"/>
  <c r="P64" i="59" l="1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7" i="59" s="1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84" i="49" l="1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CG51" i="57"/>
  <c r="P284" i="51"/>
  <c r="P85" i="46"/>
  <c r="CG57" i="57"/>
  <c r="CG49" i="57"/>
  <c r="P85" i="1"/>
  <c r="P276" i="51"/>
  <c r="P277" i="51"/>
  <c r="P85" i="32"/>
  <c r="CG50" i="57"/>
  <c r="P282" i="51"/>
  <c r="CG55" i="57"/>
  <c r="P85" i="44"/>
  <c r="P285" i="51"/>
  <c r="P85" i="47"/>
  <c r="CG58" i="57"/>
  <c r="CG59" i="57"/>
  <c r="P85" i="48"/>
  <c r="P286" i="51"/>
  <c r="P280" i="51"/>
  <c r="CG53" i="57"/>
  <c r="P85" i="43"/>
  <c r="P85" i="49"/>
  <c r="CG60" i="57"/>
  <c r="P287" i="51"/>
  <c r="P85" i="40"/>
  <c r="P281" i="51"/>
  <c r="CG54" i="57"/>
  <c r="P85" i="42"/>
  <c r="P279" i="51"/>
  <c r="CG52" i="57"/>
  <c r="O62" i="56"/>
  <c r="O135" i="33" s="1"/>
  <c r="O134" i="33"/>
  <c r="O76" i="59" s="1"/>
  <c r="P283" i="51"/>
  <c r="CG56" i="57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O130" i="32"/>
  <c r="O130" i="1"/>
  <c r="O48" i="61"/>
  <c r="O62" i="61" s="1"/>
  <c r="O205" i="51"/>
  <c r="O221" i="51" s="1"/>
  <c r="O90" i="32"/>
  <c r="O93" i="32" s="1"/>
  <c r="O94" i="3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P114" i="43"/>
  <c r="P103" i="43" s="1"/>
  <c r="P119" i="43"/>
  <c r="P114" i="42"/>
  <c r="P103" i="42" s="1"/>
  <c r="P119" i="42"/>
  <c r="N131" i="1"/>
  <c r="N137" i="1"/>
  <c r="P119" i="48"/>
  <c r="P114" i="48"/>
  <c r="P103" i="48" s="1"/>
  <c r="O91" i="45"/>
  <c r="O93" i="45"/>
  <c r="O94" i="45" s="1"/>
  <c r="P119" i="40"/>
  <c r="P114" i="40"/>
  <c r="P103" i="40" s="1"/>
  <c r="P298" i="51"/>
  <c r="P299" i="51"/>
  <c r="P294" i="51"/>
  <c r="P293" i="51"/>
  <c r="P119" i="41"/>
  <c r="P114" i="41"/>
  <c r="P103" i="41" s="1"/>
  <c r="P114" i="1"/>
  <c r="P103" i="1" s="1"/>
  <c r="P119" i="1"/>
  <c r="P114" i="32"/>
  <c r="P103" i="32" s="1"/>
  <c r="P119" i="32"/>
  <c r="O93" i="42"/>
  <c r="O94" i="42" s="1"/>
  <c r="O91" i="42"/>
  <c r="P114" i="49"/>
  <c r="P103" i="49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P119" i="47"/>
  <c r="P114" i="47"/>
  <c r="P103" i="47" s="1"/>
  <c r="O93" i="48"/>
  <c r="O94" i="48" s="1"/>
  <c r="O91" i="48"/>
  <c r="P114" i="45"/>
  <c r="P103" i="45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O91" i="32"/>
  <c r="O69" i="59"/>
  <c r="O91" i="43"/>
  <c r="N72" i="59"/>
  <c r="O93" i="1"/>
  <c r="O94" i="1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P115" i="45"/>
  <c r="P261" i="33" s="1"/>
  <c r="P115" i="47"/>
  <c r="P263" i="33" s="1"/>
  <c r="O93" i="44"/>
  <c r="O94" i="44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O366" i="33" l="1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P81" i="1"/>
  <c r="P62" i="1" s="1"/>
  <c r="P63" i="1" s="1"/>
  <c r="P81" i="32"/>
  <c r="P62" i="32" s="1"/>
  <c r="P63" i="32" s="1"/>
  <c r="P81" i="43"/>
  <c r="P62" i="43" s="1"/>
  <c r="P63" i="43" s="1"/>
  <c r="P62" i="59"/>
  <c r="P81" i="47"/>
  <c r="P62" i="47" s="1"/>
  <c r="P63" i="47" s="1"/>
  <c r="P81" i="40"/>
  <c r="P62" i="40" s="1"/>
  <c r="P63" i="40" s="1"/>
  <c r="P81" i="42"/>
  <c r="P62" i="42" s="1"/>
  <c r="P63" i="42" s="1"/>
  <c r="P81" i="44"/>
  <c r="P62" i="44" s="1"/>
  <c r="P63" i="44" s="1"/>
  <c r="P3" i="56"/>
  <c r="P81" i="45"/>
  <c r="P62" i="45" s="1"/>
  <c r="P63" i="45" s="1"/>
  <c r="P369" i="33"/>
  <c r="P375" i="33" s="1"/>
  <c r="P81" i="46"/>
  <c r="P62" i="46" s="1"/>
  <c r="P63" i="46" s="1"/>
  <c r="P81" i="41"/>
  <c r="P62" i="41" s="1"/>
  <c r="P63" i="41" s="1"/>
  <c r="P81" i="48"/>
  <c r="P62" i="48" s="1"/>
  <c r="P63" i="48" s="1"/>
  <c r="Q72" i="33"/>
  <c r="Q64" i="59" l="1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7" i="59" s="1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84" i="32" l="1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CH58" i="57"/>
  <c r="CH49" i="57"/>
  <c r="Q276" i="51"/>
  <c r="Q85" i="1"/>
  <c r="P62" i="56"/>
  <c r="P135" i="33" s="1"/>
  <c r="P134" i="33"/>
  <c r="P76" i="59" s="1"/>
  <c r="Q278" i="51"/>
  <c r="CH51" i="57"/>
  <c r="Q85" i="41"/>
  <c r="Q277" i="51"/>
  <c r="CH50" i="57"/>
  <c r="Q85" i="32"/>
  <c r="Q286" i="51"/>
  <c r="CH59" i="57"/>
  <c r="Q85" i="48"/>
  <c r="P84" i="40"/>
  <c r="CH56" i="57"/>
  <c r="Q283" i="51"/>
  <c r="Q85" i="45"/>
  <c r="Q85" i="46"/>
  <c r="CH57" i="57"/>
  <c r="Q284" i="51"/>
  <c r="CH60" i="57"/>
  <c r="Q85" i="49"/>
  <c r="Q287" i="51"/>
  <c r="Q282" i="51"/>
  <c r="Q85" i="44"/>
  <c r="CH55" i="57"/>
  <c r="Q85" i="43"/>
  <c r="Q280" i="51"/>
  <c r="CH53" i="57"/>
  <c r="Q85" i="40"/>
  <c r="Q281" i="51"/>
  <c r="CH54" i="57"/>
  <c r="Q85" i="42"/>
  <c r="Q279" i="51"/>
  <c r="CH52" i="57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P54" i="61"/>
  <c r="P68" i="61" s="1"/>
  <c r="P90" i="45"/>
  <c r="P93" i="45" s="1"/>
  <c r="P94" i="45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Q119" i="49"/>
  <c r="Q114" i="49"/>
  <c r="Q103" i="49" s="1"/>
  <c r="P136" i="1"/>
  <c r="O79" i="1"/>
  <c r="P148" i="1" s="1"/>
  <c r="P323" i="33" s="1"/>
  <c r="P69" i="59"/>
  <c r="P93" i="1"/>
  <c r="P94" i="1" s="1"/>
  <c r="P91" i="1"/>
  <c r="P91" i="48"/>
  <c r="P93" i="48"/>
  <c r="P94" i="48" s="1"/>
  <c r="Q114" i="47"/>
  <c r="Q103" i="47" s="1"/>
  <c r="Q119" i="47"/>
  <c r="Q119" i="1"/>
  <c r="Q114" i="1"/>
  <c r="Q103" i="1" s="1"/>
  <c r="Q114" i="32"/>
  <c r="Q103" i="3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Q119" i="44"/>
  <c r="Q119" i="43"/>
  <c r="Q114" i="43"/>
  <c r="Q103" i="43" s="1"/>
  <c r="Q119" i="42"/>
  <c r="Q114" i="42"/>
  <c r="Q103" i="42" s="1"/>
  <c r="Q297" i="51"/>
  <c r="Q114" i="48"/>
  <c r="Q103" i="48" s="1"/>
  <c r="Q119" i="48"/>
  <c r="O131" i="1"/>
  <c r="O137" i="1"/>
  <c r="P91" i="43"/>
  <c r="P93" i="43"/>
  <c r="P94" i="43" s="1"/>
  <c r="Q119" i="40"/>
  <c r="Q114" i="40"/>
  <c r="Q103" i="40" s="1"/>
  <c r="P93" i="41"/>
  <c r="P94" i="41" s="1"/>
  <c r="P91" i="41"/>
  <c r="Q119" i="41"/>
  <c r="Q114" i="41"/>
  <c r="Q103" i="41" s="1"/>
  <c r="Q119" i="46"/>
  <c r="Q114" i="46"/>
  <c r="Q103" i="46" s="1"/>
  <c r="Q291" i="51"/>
  <c r="Q301" i="51"/>
  <c r="Q294" i="51"/>
  <c r="Q290" i="51"/>
  <c r="Q299" i="51"/>
  <c r="Q300" i="51"/>
  <c r="Q296" i="51"/>
  <c r="Q295" i="51"/>
  <c r="P93" i="42" l="1"/>
  <c r="P94" i="42" s="1"/>
  <c r="P91" i="32"/>
  <c r="P91" i="45"/>
  <c r="P91" i="49"/>
  <c r="P91" i="44"/>
  <c r="P93" i="47"/>
  <c r="P94" i="47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P366" i="33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Q81" i="45"/>
  <c r="Q62" i="45" s="1"/>
  <c r="Q63" i="45" s="1"/>
  <c r="Q81" i="48"/>
  <c r="Q62" i="48" s="1"/>
  <c r="Q63" i="48" s="1"/>
  <c r="Q81" i="1"/>
  <c r="Q62" i="1" s="1"/>
  <c r="Q63" i="1" s="1"/>
  <c r="Q3" i="56"/>
  <c r="Q81" i="47"/>
  <c r="Q62" i="47" s="1"/>
  <c r="Q63" i="47" s="1"/>
  <c r="Q81" i="41"/>
  <c r="Q62" i="41" s="1"/>
  <c r="Q63" i="41" s="1"/>
  <c r="Q81" i="44"/>
  <c r="Q62" i="44" s="1"/>
  <c r="Q63" i="44" s="1"/>
  <c r="Q81" i="32"/>
  <c r="Q62" i="32" s="1"/>
  <c r="Q63" i="32" s="1"/>
  <c r="Q81" i="42"/>
  <c r="Q62" i="42" s="1"/>
  <c r="Q63" i="42" s="1"/>
  <c r="Q81" i="49"/>
  <c r="Q62" i="49" s="1"/>
  <c r="Q63" i="49" s="1"/>
  <c r="Q81" i="46"/>
  <c r="Q62" i="46" s="1"/>
  <c r="Q63" i="46" s="1"/>
  <c r="Q81" i="43"/>
  <c r="Q62" i="43" s="1"/>
  <c r="Q63" i="43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7" i="59" s="1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84" i="1" l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CI51" i="57"/>
  <c r="R85" i="41"/>
  <c r="R278" i="51"/>
  <c r="R287" i="51"/>
  <c r="R85" i="49"/>
  <c r="CI60" i="57"/>
  <c r="E43" i="61"/>
  <c r="F43" i="61" s="1"/>
  <c r="Q29" i="61"/>
  <c r="D43" i="61" s="1"/>
  <c r="R286" i="51"/>
  <c r="R85" i="48"/>
  <c r="CI59" i="57"/>
  <c r="R280" i="51"/>
  <c r="CI53" i="57"/>
  <c r="R85" i="43"/>
  <c r="CI58" i="57"/>
  <c r="R285" i="51"/>
  <c r="R85" i="47"/>
  <c r="R279" i="51"/>
  <c r="CI52" i="57"/>
  <c r="R85" i="42"/>
  <c r="CI50" i="57"/>
  <c r="R85" i="32"/>
  <c r="R277" i="51"/>
  <c r="CI56" i="57"/>
  <c r="R85" i="45"/>
  <c r="R283" i="51"/>
  <c r="R85" i="46"/>
  <c r="CI57" i="57"/>
  <c r="R284" i="51"/>
  <c r="R85" i="40"/>
  <c r="R281" i="51"/>
  <c r="CI54" i="57"/>
  <c r="R85" i="1"/>
  <c r="R276" i="51"/>
  <c r="CI49" i="57"/>
  <c r="CI55" i="57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Q91" i="46"/>
  <c r="R114" i="42"/>
  <c r="R103" i="42" s="1"/>
  <c r="R119" i="42"/>
  <c r="E85" i="61"/>
  <c r="F85" i="61" s="1"/>
  <c r="Q71" i="61"/>
  <c r="D85" i="61" s="1"/>
  <c r="Q91" i="48"/>
  <c r="Q93" i="48"/>
  <c r="Q94" i="48" s="1"/>
  <c r="R119" i="40"/>
  <c r="R114" i="40"/>
  <c r="R103" i="40" s="1"/>
  <c r="R114" i="41"/>
  <c r="R103" i="41" s="1"/>
  <c r="R119" i="41"/>
  <c r="R114" i="49"/>
  <c r="R103" i="49" s="1"/>
  <c r="R119" i="49"/>
  <c r="R114" i="47"/>
  <c r="R103" i="47" s="1"/>
  <c r="R119" i="47"/>
  <c r="Q93" i="41"/>
  <c r="Q94" i="41" s="1"/>
  <c r="Q91" i="41"/>
  <c r="R114" i="32"/>
  <c r="R103" i="32" s="1"/>
  <c r="R119" i="32"/>
  <c r="Q91" i="45"/>
  <c r="Q93" i="45"/>
  <c r="Q94" i="45" s="1"/>
  <c r="Q69" i="59"/>
  <c r="Q136" i="1"/>
  <c r="P79" i="1"/>
  <c r="Q148" i="1" s="1"/>
  <c r="Q323" i="33" s="1"/>
  <c r="Q93" i="1"/>
  <c r="Q94" i="1" s="1"/>
  <c r="Q91" i="1"/>
  <c r="P131" i="1"/>
  <c r="P137" i="1"/>
  <c r="R114" i="44"/>
  <c r="R103" i="44" s="1"/>
  <c r="R119" i="44"/>
  <c r="R301" i="51"/>
  <c r="R291" i="51"/>
  <c r="R295" i="51"/>
  <c r="R114" i="48"/>
  <c r="R103" i="48" s="1"/>
  <c r="R119" i="48"/>
  <c r="Q65" i="61"/>
  <c r="D79" i="61" s="1"/>
  <c r="E79" i="61"/>
  <c r="F79" i="61" s="1"/>
  <c r="Q91" i="43"/>
  <c r="Q93" i="43"/>
  <c r="Q94" i="43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Q68" i="61"/>
  <c r="D82" i="61" s="1"/>
  <c r="E82" i="61"/>
  <c r="F82" i="61" s="1"/>
  <c r="R114" i="45"/>
  <c r="R103" i="45" s="1"/>
  <c r="R119" i="45"/>
  <c r="R119" i="46"/>
  <c r="R114" i="46"/>
  <c r="R103" i="46" s="1"/>
  <c r="Q61" i="61"/>
  <c r="D75" i="61" s="1"/>
  <c r="E75" i="61"/>
  <c r="F75" i="61" s="1"/>
  <c r="R114" i="1"/>
  <c r="R103" i="1" s="1"/>
  <c r="R119" i="1"/>
  <c r="R290" i="51"/>
  <c r="R292" i="51"/>
  <c r="R293" i="51"/>
  <c r="R297" i="51"/>
  <c r="Q93" i="40" l="1"/>
  <c r="Q94" i="40" s="1"/>
  <c r="E80" i="6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Q72" i="61"/>
  <c r="D86" i="61" s="1"/>
  <c r="Q91" i="47"/>
  <c r="Q411" i="33"/>
  <c r="Q81" i="59" s="1"/>
  <c r="Q63" i="61"/>
  <c r="D77" i="61" s="1"/>
  <c r="Q93" i="49"/>
  <c r="Q94" i="49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Q366" i="33" l="1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81" i="46"/>
  <c r="R62" i="46" s="1"/>
  <c r="R63" i="46" s="1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369" i="33" l="1"/>
  <c r="R375" i="33" s="1"/>
  <c r="R81" i="40"/>
  <c r="R62" i="40" s="1"/>
  <c r="R63" i="40" s="1"/>
  <c r="R155" i="40" s="1"/>
  <c r="R81" i="47"/>
  <c r="R62" i="47" s="1"/>
  <c r="R63" i="47" s="1"/>
  <c r="R155" i="47" s="1"/>
  <c r="R62" i="59"/>
  <c r="R81" i="32"/>
  <c r="R62" i="32" s="1"/>
  <c r="R63" i="32" s="1"/>
  <c r="R155" i="32" s="1"/>
  <c r="R81" i="43"/>
  <c r="R62" i="43" s="1"/>
  <c r="R63" i="43" s="1"/>
  <c r="R64" i="43" s="1"/>
  <c r="R65" i="43" s="1"/>
  <c r="R81" i="42"/>
  <c r="R62" i="42" s="1"/>
  <c r="R63" i="42" s="1"/>
  <c r="R155" i="42" s="1"/>
  <c r="R81" i="1"/>
  <c r="R62" i="1" s="1"/>
  <c r="R63" i="1" s="1"/>
  <c r="R155" i="1" s="1"/>
  <c r="S72" i="33"/>
  <c r="S64" i="59" s="1"/>
  <c r="R3" i="56"/>
  <c r="R55" i="56" s="1"/>
  <c r="R56" i="56" s="1"/>
  <c r="R52" i="56" s="1"/>
  <c r="R81" i="49"/>
  <c r="R62" i="49" s="1"/>
  <c r="R63" i="49" s="1"/>
  <c r="R64" i="49" s="1"/>
  <c r="R65" i="49" s="1"/>
  <c r="R81" i="45"/>
  <c r="R62" i="45" s="1"/>
  <c r="R63" i="45" s="1"/>
  <c r="R155" i="45" s="1"/>
  <c r="R81" i="41"/>
  <c r="R62" i="41" s="1"/>
  <c r="R63" i="41" s="1"/>
  <c r="R155" i="41" s="1"/>
  <c r="R81" i="48"/>
  <c r="R62" i="48" s="1"/>
  <c r="R63" i="48" s="1"/>
  <c r="R64" i="48" s="1"/>
  <c r="R65" i="48" s="1"/>
  <c r="R81" i="44"/>
  <c r="R62" i="44" s="1"/>
  <c r="R63" i="44" s="1"/>
  <c r="R64" i="44" s="1"/>
  <c r="R65" i="44" s="1"/>
  <c r="R64" i="46"/>
  <c r="R65" i="46" s="1"/>
  <c r="R155" i="46"/>
  <c r="S83" i="33"/>
  <c r="S90" i="33"/>
  <c r="S106" i="1"/>
  <c r="S97" i="33"/>
  <c r="R37" i="56" l="1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11" i="61"/>
  <c r="R25" i="61" s="1"/>
  <c r="R68" i="46"/>
  <c r="R68" i="48"/>
  <c r="R13" i="61"/>
  <c r="R27" i="61" s="1"/>
  <c r="S96" i="33"/>
  <c r="S104" i="33" s="1"/>
  <c r="S109" i="1"/>
  <c r="R9" i="61"/>
  <c r="R23" i="61" s="1"/>
  <c r="R68" i="44"/>
  <c r="R68" i="49"/>
  <c r="R14" i="61"/>
  <c r="R28" i="61" s="1"/>
  <c r="R8" i="61" l="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139" i="46"/>
  <c r="R73" i="46"/>
  <c r="S74" i="46" s="1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5" l="1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7" i="59" s="1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CJ59" i="57"/>
  <c r="CJ53" i="57"/>
  <c r="S280" i="51"/>
  <c r="S85" i="43"/>
  <c r="S85" i="47"/>
  <c r="CJ58" i="57"/>
  <c r="S285" i="51"/>
  <c r="CJ52" i="57"/>
  <c r="S85" i="42"/>
  <c r="S279" i="51"/>
  <c r="S85" i="32"/>
  <c r="S277" i="51"/>
  <c r="CJ50" i="57"/>
  <c r="CJ60" i="57"/>
  <c r="S85" i="49"/>
  <c r="S287" i="51"/>
  <c r="S85" i="40"/>
  <c r="CJ54" i="57"/>
  <c r="S281" i="51"/>
  <c r="CJ57" i="57"/>
  <c r="S284" i="51"/>
  <c r="S85" i="46"/>
  <c r="CJ55" i="57"/>
  <c r="S85" i="44"/>
  <c r="S282" i="51"/>
  <c r="R62" i="56"/>
  <c r="R135" i="33" s="1"/>
  <c r="R134" i="33"/>
  <c r="R76" i="59" s="1"/>
  <c r="R84" i="45" l="1"/>
  <c r="R87" i="45" s="1"/>
  <c r="S283" i="51"/>
  <c r="CJ56" i="57"/>
  <c r="S276" i="51"/>
  <c r="R84" i="1"/>
  <c r="R87" i="1" s="1"/>
  <c r="R87" i="44"/>
  <c r="CJ51" i="57"/>
  <c r="R356" i="33"/>
  <c r="R88" i="44"/>
  <c r="R401" i="33" s="1"/>
  <c r="R88" i="40"/>
  <c r="R209" i="51" s="1"/>
  <c r="R225" i="51" s="1"/>
  <c r="R357" i="33"/>
  <c r="CJ49" i="57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R93" i="47"/>
  <c r="R94" i="47" s="1"/>
  <c r="R91" i="47"/>
  <c r="S114" i="47"/>
  <c r="S103" i="47" s="1"/>
  <c r="S119" i="47"/>
  <c r="S119" i="40"/>
  <c r="S114" i="40"/>
  <c r="S103" i="40" s="1"/>
  <c r="S114" i="46"/>
  <c r="S103" i="46" s="1"/>
  <c r="S119" i="46"/>
  <c r="R93" i="48"/>
  <c r="R94" i="48" s="1"/>
  <c r="R91" i="48"/>
  <c r="S119" i="48"/>
  <c r="S114" i="48"/>
  <c r="S103" i="48" s="1"/>
  <c r="S114" i="49"/>
  <c r="S103" i="49" s="1"/>
  <c r="S119" i="49"/>
  <c r="S119" i="32"/>
  <c r="S114" i="32"/>
  <c r="S103" i="32" s="1"/>
  <c r="S114" i="44"/>
  <c r="S103" i="44" s="1"/>
  <c r="S119" i="44"/>
  <c r="S119" i="43"/>
  <c r="S114" i="43"/>
  <c r="S103" i="43" s="1"/>
  <c r="S114" i="42"/>
  <c r="S103" i="4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S102" i="41" s="1"/>
  <c r="R93" i="44"/>
  <c r="R94" i="44" s="1"/>
  <c r="S114" i="1"/>
  <c r="S103" i="1" s="1"/>
  <c r="S102" i="1" s="1"/>
  <c r="Q140" i="40"/>
  <c r="R93" i="40"/>
  <c r="R94" i="40" s="1"/>
  <c r="R93" i="49"/>
  <c r="R94" i="49" s="1"/>
  <c r="R90" i="41"/>
  <c r="R93" i="41" s="1"/>
  <c r="R94" i="41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R93" i="45" l="1"/>
  <c r="R94" i="45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S62" i="59"/>
  <c r="S81" i="32"/>
  <c r="S62" i="32" s="1"/>
  <c r="S63" i="32" s="1"/>
  <c r="S81" i="43"/>
  <c r="S62" i="43" s="1"/>
  <c r="S63" i="43" s="1"/>
  <c r="S3" i="56"/>
  <c r="S369" i="33"/>
  <c r="S375" i="33" s="1"/>
  <c r="S81" i="42"/>
  <c r="S62" i="42" s="1"/>
  <c r="S63" i="42" s="1"/>
  <c r="S81" i="44"/>
  <c r="S62" i="44" s="1"/>
  <c r="S63" i="44" s="1"/>
  <c r="S81" i="49"/>
  <c r="S62" i="49" s="1"/>
  <c r="S63" i="49" s="1"/>
  <c r="S81" i="48"/>
  <c r="S62" i="48" s="1"/>
  <c r="S63" i="48" s="1"/>
  <c r="S81" i="45"/>
  <c r="S62" i="45" s="1"/>
  <c r="S63" i="45" s="1"/>
  <c r="S81" i="40"/>
  <c r="S62" i="40" s="1"/>
  <c r="S63" i="40" s="1"/>
  <c r="S81" i="1"/>
  <c r="S62" i="1" s="1"/>
  <c r="S63" i="1" s="1"/>
  <c r="S81" i="41"/>
  <c r="S62" i="41" s="1"/>
  <c r="S63" i="41" s="1"/>
  <c r="S81" i="47"/>
  <c r="S62" i="47" s="1"/>
  <c r="S63" i="47" s="1"/>
  <c r="T72" i="33"/>
  <c r="S64" i="47" l="1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7" i="59" s="1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84" i="32" l="1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CK51" i="57"/>
  <c r="T278" i="51"/>
  <c r="T85" i="41"/>
  <c r="CK57" i="57"/>
  <c r="T85" i="46"/>
  <c r="T284" i="51"/>
  <c r="S62" i="56"/>
  <c r="S135" i="33" s="1"/>
  <c r="S134" i="33"/>
  <c r="S76" i="59" s="1"/>
  <c r="T283" i="51"/>
  <c r="CK56" i="57"/>
  <c r="T85" i="45"/>
  <c r="T276" i="51"/>
  <c r="CK49" i="57"/>
  <c r="T85" i="1"/>
  <c r="S84" i="43"/>
  <c r="S84" i="47"/>
  <c r="S84" i="48"/>
  <c r="S84" i="42"/>
  <c r="T85" i="43"/>
  <c r="CK53" i="57"/>
  <c r="T280" i="51"/>
  <c r="T281" i="51"/>
  <c r="T85" i="40"/>
  <c r="CK54" i="57"/>
  <c r="T85" i="47"/>
  <c r="T285" i="51"/>
  <c r="CK58" i="57"/>
  <c r="T282" i="51"/>
  <c r="T85" i="44"/>
  <c r="CK55" i="57"/>
  <c r="CK59" i="57"/>
  <c r="T286" i="51"/>
  <c r="T85" i="48"/>
  <c r="CK50" i="57"/>
  <c r="T277" i="51"/>
  <c r="T85" i="32"/>
  <c r="CK52" i="57"/>
  <c r="T279" i="51"/>
  <c r="T85" i="42"/>
  <c r="CK60" i="57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S209" i="51"/>
  <c r="S225" i="51" s="1"/>
  <c r="S130" i="40"/>
  <c r="S397" i="33"/>
  <c r="R129" i="41"/>
  <c r="R131" i="41" s="1"/>
  <c r="R140" i="41" s="1"/>
  <c r="S90" i="41"/>
  <c r="S93" i="41" s="1"/>
  <c r="S94" i="41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T119" i="41"/>
  <c r="T114" i="41"/>
  <c r="T103" i="41" s="1"/>
  <c r="T119" i="46"/>
  <c r="T114" i="46"/>
  <c r="T103" i="46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S93" i="44"/>
  <c r="S94" i="44" s="1"/>
  <c r="S91" i="44"/>
  <c r="T114" i="48"/>
  <c r="T103" i="48" s="1"/>
  <c r="T119" i="48"/>
  <c r="T119" i="42"/>
  <c r="T114" i="42"/>
  <c r="T103" i="42" s="1"/>
  <c r="T297" i="51"/>
  <c r="T295" i="51"/>
  <c r="T291" i="51"/>
  <c r="T119" i="45"/>
  <c r="T114" i="45"/>
  <c r="T103" i="45" s="1"/>
  <c r="T119" i="43"/>
  <c r="T114" i="43"/>
  <c r="T103" i="43" s="1"/>
  <c r="T114" i="47"/>
  <c r="T103" i="47" s="1"/>
  <c r="T119" i="47"/>
  <c r="T119" i="44"/>
  <c r="T114" i="44"/>
  <c r="T103" i="44" s="1"/>
  <c r="T119" i="1"/>
  <c r="T114" i="1"/>
  <c r="T103" i="1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T119" i="49"/>
  <c r="T293" i="51"/>
  <c r="T290" i="51"/>
  <c r="T298" i="51"/>
  <c r="T294" i="51"/>
  <c r="T299" i="51"/>
  <c r="T301" i="51"/>
  <c r="S91" i="1" l="1"/>
  <c r="S93" i="32"/>
  <c r="S94" i="32" s="1"/>
  <c r="S93" i="49"/>
  <c r="S94" i="49" s="1"/>
  <c r="S93" i="45"/>
  <c r="S94" i="45" s="1"/>
  <c r="S93" i="46"/>
  <c r="S94" i="46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S91" i="42"/>
  <c r="S91" i="47"/>
  <c r="S93" i="47"/>
  <c r="S94" i="47" s="1"/>
  <c r="S411" i="33"/>
  <c r="S81" i="59" s="1"/>
  <c r="S336" i="33" l="1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0" i="33" l="1"/>
  <c r="T233" i="33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62" i="59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3" i="56" l="1"/>
  <c r="T47" i="56" s="1"/>
  <c r="T81" i="43"/>
  <c r="T62" i="43" s="1"/>
  <c r="T63" i="43" s="1"/>
  <c r="T64" i="43" s="1"/>
  <c r="T65" i="43" s="1"/>
  <c r="T68" i="43" s="1"/>
  <c r="T81" i="42"/>
  <c r="T62" i="42" s="1"/>
  <c r="T63" i="42" s="1"/>
  <c r="T64" i="42" s="1"/>
  <c r="T65" i="42" s="1"/>
  <c r="T68" i="42" s="1"/>
  <c r="T81" i="47"/>
  <c r="T62" i="47" s="1"/>
  <c r="T63" i="47" s="1"/>
  <c r="T64" i="47" s="1"/>
  <c r="T65" i="47" s="1"/>
  <c r="T68" i="47" s="1"/>
  <c r="T81" i="1"/>
  <c r="T62" i="1" s="1"/>
  <c r="T63" i="1" s="1"/>
  <c r="T155" i="1" s="1"/>
  <c r="T81" i="44"/>
  <c r="T62" i="44" s="1"/>
  <c r="T63" i="44" s="1"/>
  <c r="T64" i="44" s="1"/>
  <c r="T65" i="44" s="1"/>
  <c r="T68" i="44" s="1"/>
  <c r="T81" i="32"/>
  <c r="T62" i="32" s="1"/>
  <c r="T63" i="32" s="1"/>
  <c r="T64" i="32" s="1"/>
  <c r="T65" i="32" s="1"/>
  <c r="T68" i="32" s="1"/>
  <c r="T81" i="49"/>
  <c r="T62" i="49" s="1"/>
  <c r="T63" i="49" s="1"/>
  <c r="T64" i="49" s="1"/>
  <c r="T65" i="49" s="1"/>
  <c r="T68" i="49" s="1"/>
  <c r="U72" i="33"/>
  <c r="U64" i="59" s="1"/>
  <c r="T81" i="46"/>
  <c r="T62" i="46" s="1"/>
  <c r="T63" i="46" s="1"/>
  <c r="T155" i="46" s="1"/>
  <c r="T81" i="45"/>
  <c r="T62" i="45" s="1"/>
  <c r="T63" i="45" s="1"/>
  <c r="T155" i="45" s="1"/>
  <c r="T81" i="41"/>
  <c r="T62" i="41" s="1"/>
  <c r="T63" i="41" s="1"/>
  <c r="T64" i="41" s="1"/>
  <c r="T65" i="41" s="1"/>
  <c r="T68" i="41" s="1"/>
  <c r="T369" i="33"/>
  <c r="T375" i="33" s="1"/>
  <c r="T81" i="48"/>
  <c r="T62" i="48" s="1"/>
  <c r="T63" i="48" s="1"/>
  <c r="T64" i="48" s="1"/>
  <c r="T65" i="48" s="1"/>
  <c r="T68" i="48" s="1"/>
  <c r="T81" i="40"/>
  <c r="T62" i="40" s="1"/>
  <c r="T63" i="40" s="1"/>
  <c r="T64" i="40" s="1"/>
  <c r="T65" i="40" s="1"/>
  <c r="T68" i="40" s="1"/>
  <c r="U106" i="1"/>
  <c r="U97" i="33"/>
  <c r="U83" i="33"/>
  <c r="U90" i="33"/>
  <c r="T42" i="56" l="1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7"/>
  <c r="U74" i="47" s="1"/>
  <c r="T139" i="47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32"/>
  <c r="T73" i="32"/>
  <c r="U74" i="32" s="1"/>
  <c r="T139" i="40"/>
  <c r="T73" i="40"/>
  <c r="U74" i="40" s="1"/>
  <c r="T139" i="48"/>
  <c r="T73" i="48"/>
  <c r="U74" i="48" s="1"/>
  <c r="T139" i="41"/>
  <c r="T73" i="41"/>
  <c r="U74" i="41" s="1"/>
  <c r="T60" i="56" l="1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47" i="59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CL59" i="57"/>
  <c r="CL50" i="57"/>
  <c r="U277" i="51"/>
  <c r="U85" i="32"/>
  <c r="U279" i="51"/>
  <c r="U85" i="42"/>
  <c r="CL52" i="57"/>
  <c r="CL53" i="57"/>
  <c r="U280" i="51"/>
  <c r="U85" i="43"/>
  <c r="T48" i="56"/>
  <c r="T132" i="33"/>
  <c r="T75" i="59" s="1"/>
  <c r="T61" i="56"/>
  <c r="T84" i="41"/>
  <c r="T84" i="40"/>
  <c r="T84" i="46"/>
  <c r="T84" i="49"/>
  <c r="CL51" i="57"/>
  <c r="U85" i="41"/>
  <c r="U278" i="51"/>
  <c r="U281" i="51"/>
  <c r="U85" i="40"/>
  <c r="CL54" i="57"/>
  <c r="U284" i="51"/>
  <c r="U85" i="46"/>
  <c r="CL57" i="57"/>
  <c r="U282" i="51"/>
  <c r="CL55" i="57"/>
  <c r="U85" i="44"/>
  <c r="U85" i="47"/>
  <c r="U285" i="51"/>
  <c r="CL58" i="57"/>
  <c r="U85" i="49"/>
  <c r="U287" i="51"/>
  <c r="CL60" i="57"/>
  <c r="T355" i="33" l="1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CL56" i="57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CL49" i="57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48" i="33"/>
  <c r="T88" i="1"/>
  <c r="U119" i="32"/>
  <c r="U114" i="32"/>
  <c r="U103" i="32" s="1"/>
  <c r="T93" i="42"/>
  <c r="T94" i="42" s="1"/>
  <c r="T91" i="42"/>
  <c r="U119" i="43"/>
  <c r="U114" i="43"/>
  <c r="U103" i="43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T91" i="32"/>
  <c r="T91" i="45"/>
  <c r="T93" i="45"/>
  <c r="T94" i="45" s="1"/>
  <c r="U114" i="44"/>
  <c r="U103" i="44" s="1"/>
  <c r="U119" i="44"/>
  <c r="U128" i="1"/>
  <c r="U77" i="1"/>
  <c r="U39" i="33"/>
  <c r="U78" i="1"/>
  <c r="U112" i="1"/>
  <c r="U114" i="48"/>
  <c r="U103" i="48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U114" i="46"/>
  <c r="U103" i="46" s="1"/>
  <c r="U119" i="46"/>
  <c r="U119" i="47"/>
  <c r="U114" i="47"/>
  <c r="U103" i="47" s="1"/>
  <c r="U119" i="42"/>
  <c r="U114" i="42"/>
  <c r="U103" i="4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T324" i="33"/>
  <c r="T337" i="33" s="1"/>
  <c r="U114" i="49"/>
  <c r="U103" i="49" s="1"/>
  <c r="U119" i="49"/>
  <c r="T93" i="43"/>
  <c r="T94" i="43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U119" i="41"/>
  <c r="T51" i="33" l="1"/>
  <c r="T52" i="59" s="1"/>
  <c r="T364" i="33"/>
  <c r="T91" i="44"/>
  <c r="T93" i="47"/>
  <c r="T94" i="47" s="1"/>
  <c r="U114" i="45"/>
  <c r="U103" i="45" s="1"/>
  <c r="U102" i="45" s="1"/>
  <c r="U71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U115" i="47"/>
  <c r="U263" i="33" s="1"/>
  <c r="U124" i="47"/>
  <c r="U121" i="47"/>
  <c r="U121" i="40"/>
  <c r="U124" i="40"/>
  <c r="T93" i="41"/>
  <c r="T94" i="41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15" i="45" l="1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U81" i="47"/>
  <c r="U62" i="47" s="1"/>
  <c r="U63" i="47" s="1"/>
  <c r="U81" i="42"/>
  <c r="U62" i="42" s="1"/>
  <c r="U63" i="42" s="1"/>
  <c r="U62" i="59"/>
  <c r="U81" i="32"/>
  <c r="U62" i="32" s="1"/>
  <c r="U63" i="32" s="1"/>
  <c r="U81" i="1"/>
  <c r="U62" i="1" s="1"/>
  <c r="U63" i="1" s="1"/>
  <c r="U81" i="43"/>
  <c r="U62" i="43" s="1"/>
  <c r="U63" i="43" s="1"/>
  <c r="U81" i="46"/>
  <c r="U62" i="46" s="1"/>
  <c r="U63" i="46" s="1"/>
  <c r="U369" i="33"/>
  <c r="U375" i="33" s="1"/>
  <c r="U81" i="45"/>
  <c r="U62" i="45" s="1"/>
  <c r="U63" i="45" s="1"/>
  <c r="U81" i="48"/>
  <c r="U62" i="48" s="1"/>
  <c r="U63" i="48" s="1"/>
  <c r="U81" i="44"/>
  <c r="U62" i="44" s="1"/>
  <c r="U63" i="44" s="1"/>
  <c r="U81" i="40"/>
  <c r="U62" i="40" s="1"/>
  <c r="U63" i="40" s="1"/>
  <c r="U81" i="41"/>
  <c r="U62" i="41" s="1"/>
  <c r="U63" i="41" s="1"/>
  <c r="V72" i="33"/>
  <c r="U155" i="40" l="1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CM54" i="57"/>
  <c r="V85" i="40"/>
  <c r="U132" i="33"/>
  <c r="U75" i="59" s="1"/>
  <c r="U61" i="56"/>
  <c r="V286" i="51"/>
  <c r="V85" i="48"/>
  <c r="CM59" i="57"/>
  <c r="V85" i="32"/>
  <c r="V277" i="51"/>
  <c r="CM50" i="57"/>
  <c r="CM52" i="57"/>
  <c r="V85" i="42"/>
  <c r="V279" i="51"/>
  <c r="V282" i="51"/>
  <c r="V85" i="44"/>
  <c r="CM55" i="57"/>
  <c r="V283" i="51"/>
  <c r="CM56" i="57"/>
  <c r="V85" i="45"/>
  <c r="U73" i="1"/>
  <c r="V74" i="1" s="1"/>
  <c r="U139" i="1"/>
  <c r="U46" i="33"/>
  <c r="U49" i="59" s="1"/>
  <c r="U48" i="56"/>
  <c r="U84" i="41"/>
  <c r="V280" i="51"/>
  <c r="CM53" i="57"/>
  <c r="V85" i="43"/>
  <c r="V85" i="41"/>
  <c r="CM51" i="57"/>
  <c r="V278" i="51"/>
  <c r="V85" i="46"/>
  <c r="CM57" i="57"/>
  <c r="V284" i="51"/>
  <c r="CM60" i="57"/>
  <c r="V287" i="51"/>
  <c r="V85" i="49"/>
  <c r="U38" i="33"/>
  <c r="U40" i="33"/>
  <c r="U42" i="33"/>
  <c r="U47" i="59" s="1"/>
  <c r="U44" i="33"/>
  <c r="CM58" i="57"/>
  <c r="V285" i="51"/>
  <c r="V85" i="47"/>
  <c r="U88" i="40" l="1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CM49" i="57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V119" i="41"/>
  <c r="V114" i="41"/>
  <c r="V103" i="41" s="1"/>
  <c r="U93" i="46"/>
  <c r="U94" i="46" s="1"/>
  <c r="U91" i="46"/>
  <c r="V119" i="49"/>
  <c r="V114" i="49"/>
  <c r="V103" i="49" s="1"/>
  <c r="V119" i="47"/>
  <c r="V114" i="47"/>
  <c r="V103" i="47" s="1"/>
  <c r="V114" i="40"/>
  <c r="V103" i="40" s="1"/>
  <c r="V119" i="40"/>
  <c r="V114" i="32"/>
  <c r="V103" i="32" s="1"/>
  <c r="V119" i="32"/>
  <c r="V119" i="42"/>
  <c r="V114" i="42"/>
  <c r="V103" i="42" s="1"/>
  <c r="V119" i="45"/>
  <c r="V114" i="45"/>
  <c r="V103" i="45" s="1"/>
  <c r="U327" i="33"/>
  <c r="U340" i="33" s="1"/>
  <c r="B151" i="43"/>
  <c r="V119" i="43"/>
  <c r="V114" i="43"/>
  <c r="V103" i="43" s="1"/>
  <c r="U93" i="48"/>
  <c r="U94" i="48" s="1"/>
  <c r="U91" i="48"/>
  <c r="V119" i="48"/>
  <c r="V114" i="48"/>
  <c r="V103" i="48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U91" i="32"/>
  <c r="U93" i="32"/>
  <c r="U94" i="32" s="1"/>
  <c r="V114" i="44"/>
  <c r="V103" i="44" s="1"/>
  <c r="V119" i="44"/>
  <c r="V77" i="1"/>
  <c r="V78" i="1"/>
  <c r="V112" i="1"/>
  <c r="V128" i="1"/>
  <c r="V39" i="33"/>
  <c r="U91" i="43"/>
  <c r="U93" i="43"/>
  <c r="U94" i="43" s="1"/>
  <c r="U93" i="45"/>
  <c r="U94" i="45" s="1"/>
  <c r="U91" i="45"/>
  <c r="U93" i="40" l="1"/>
  <c r="U94" i="40" s="1"/>
  <c r="T72" i="59"/>
  <c r="U93" i="42"/>
  <c r="U94" i="4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V121" i="44"/>
  <c r="V124" i="44"/>
  <c r="V115" i="44"/>
  <c r="V260" i="33" s="1"/>
  <c r="U91" i="41"/>
  <c r="U93" i="41"/>
  <c r="U94" i="41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81" i="48"/>
  <c r="V62" i="48" s="1"/>
  <c r="V63" i="48" s="1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62" i="59" l="1"/>
  <c r="V81" i="41"/>
  <c r="V62" i="41" s="1"/>
  <c r="V63" i="41" s="1"/>
  <c r="V155" i="41" s="1"/>
  <c r="V81" i="46"/>
  <c r="V62" i="46" s="1"/>
  <c r="V63" i="46" s="1"/>
  <c r="V155" i="46" s="1"/>
  <c r="V81" i="44"/>
  <c r="V62" i="44" s="1"/>
  <c r="V63" i="44" s="1"/>
  <c r="V64" i="44" s="1"/>
  <c r="V65" i="44" s="1"/>
  <c r="V68" i="44" s="1"/>
  <c r="V81" i="49"/>
  <c r="V62" i="49" s="1"/>
  <c r="V63" i="49" s="1"/>
  <c r="V155" i="49" s="1"/>
  <c r="V81" i="1"/>
  <c r="V62" i="1" s="1"/>
  <c r="V63" i="1" s="1"/>
  <c r="V155" i="1" s="1"/>
  <c r="V81" i="47"/>
  <c r="V62" i="47" s="1"/>
  <c r="V63" i="47" s="1"/>
  <c r="V155" i="47" s="1"/>
  <c r="V369" i="33"/>
  <c r="V375" i="33" s="1"/>
  <c r="W72" i="33"/>
  <c r="W64" i="59" s="1"/>
  <c r="V81" i="32"/>
  <c r="V62" i="32" s="1"/>
  <c r="V63" i="32" s="1"/>
  <c r="V155" i="32" s="1"/>
  <c r="V81" i="42"/>
  <c r="V62" i="42" s="1"/>
  <c r="V63" i="42" s="1"/>
  <c r="V64" i="42" s="1"/>
  <c r="V65" i="42" s="1"/>
  <c r="V68" i="42" s="1"/>
  <c r="V3" i="56"/>
  <c r="V47" i="56" s="1"/>
  <c r="V81" i="45"/>
  <c r="V62" i="45" s="1"/>
  <c r="V63" i="45" s="1"/>
  <c r="V64" i="45" s="1"/>
  <c r="V65" i="45" s="1"/>
  <c r="V68" i="45" s="1"/>
  <c r="V81" i="43"/>
  <c r="V62" i="43" s="1"/>
  <c r="V63" i="43" s="1"/>
  <c r="V64" i="43" s="1"/>
  <c r="V65" i="43" s="1"/>
  <c r="V68" i="43" s="1"/>
  <c r="V81" i="40"/>
  <c r="V62" i="40" s="1"/>
  <c r="V63" i="40" s="1"/>
  <c r="V64" i="40" s="1"/>
  <c r="V65" i="40" s="1"/>
  <c r="V68" i="40" s="1"/>
  <c r="V64" i="48"/>
  <c r="V65" i="48" s="1"/>
  <c r="V68" i="48" s="1"/>
  <c r="V155" i="48"/>
  <c r="W97" i="33"/>
  <c r="W106" i="1"/>
  <c r="W90" i="33"/>
  <c r="W83" i="33"/>
  <c r="V64" i="49" l="1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139" i="48"/>
  <c r="V73" i="48"/>
  <c r="W74" i="48" s="1"/>
  <c r="V73" i="40"/>
  <c r="W74" i="40" s="1"/>
  <c r="V139" i="40"/>
  <c r="V139" i="45"/>
  <c r="V73" i="45"/>
  <c r="W74" i="45" s="1"/>
  <c r="W46" i="56"/>
  <c r="V49" i="56"/>
  <c r="V73" i="42"/>
  <c r="W74" i="42" s="1"/>
  <c r="V139" i="42"/>
  <c r="W109" i="1"/>
  <c r="W96" i="33"/>
  <c r="W104" i="33" s="1"/>
  <c r="V73" i="43"/>
  <c r="W74" i="43" s="1"/>
  <c r="V139" i="43"/>
  <c r="V73" i="49" l="1"/>
  <c r="W74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CN53" i="57"/>
  <c r="CN50" i="57"/>
  <c r="W85" i="32"/>
  <c r="W277" i="51"/>
  <c r="V48" i="56"/>
  <c r="CN58" i="57"/>
  <c r="W285" i="51"/>
  <c r="W85" i="47"/>
  <c r="CN55" i="57"/>
  <c r="W85" i="44"/>
  <c r="W282" i="51"/>
  <c r="CN52" i="57"/>
  <c r="W279" i="51"/>
  <c r="W85" i="42"/>
  <c r="V61" i="56"/>
  <c r="V132" i="33"/>
  <c r="V75" i="59" s="1"/>
  <c r="CN56" i="57"/>
  <c r="W85" i="45"/>
  <c r="W283" i="51"/>
  <c r="W281" i="51"/>
  <c r="W85" i="40"/>
  <c r="CN54" i="57"/>
  <c r="W286" i="51"/>
  <c r="CN59" i="57"/>
  <c r="W85" i="48"/>
  <c r="V139" i="1"/>
  <c r="V73" i="1"/>
  <c r="W74" i="1" s="1"/>
  <c r="V46" i="33"/>
  <c r="V49" i="59" s="1"/>
  <c r="W287" i="51" l="1"/>
  <c r="CN57" i="57"/>
  <c r="W85" i="49"/>
  <c r="V84" i="49"/>
  <c r="V363" i="33" s="1"/>
  <c r="V84" i="41"/>
  <c r="V354" i="33" s="1"/>
  <c r="V88" i="44"/>
  <c r="V90" i="44" s="1"/>
  <c r="V358" i="33"/>
  <c r="W278" i="51"/>
  <c r="CN51" i="57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47" i="59" s="1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CN49" i="57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87" i="49" l="1"/>
  <c r="W128" i="46"/>
  <c r="W77" i="46"/>
  <c r="W78" i="46"/>
  <c r="W112" i="46"/>
  <c r="W114" i="46" s="1"/>
  <c r="W103" i="46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W119" i="43"/>
  <c r="W114" i="44"/>
  <c r="W103" i="44" s="1"/>
  <c r="W119" i="44"/>
  <c r="W119" i="45"/>
  <c r="W114" i="45"/>
  <c r="W103" i="45" s="1"/>
  <c r="V93" i="40"/>
  <c r="V94" i="40" s="1"/>
  <c r="V91" i="40"/>
  <c r="U79" i="40"/>
  <c r="V148" i="40" s="1"/>
  <c r="V328" i="33" s="1"/>
  <c r="V341" i="33" s="1"/>
  <c r="V71" i="59"/>
  <c r="W119" i="48"/>
  <c r="W114" i="48"/>
  <c r="W103" i="48" s="1"/>
  <c r="V91" i="32"/>
  <c r="V93" i="32"/>
  <c r="V94" i="32" s="1"/>
  <c r="W114" i="32"/>
  <c r="W103" i="32" s="1"/>
  <c r="W119" i="32"/>
  <c r="W114" i="42"/>
  <c r="W103" i="42" s="1"/>
  <c r="W119" i="42"/>
  <c r="W114" i="47"/>
  <c r="W103" i="47" s="1"/>
  <c r="W119" i="47"/>
  <c r="V91" i="44"/>
  <c r="V93" i="44"/>
  <c r="V94" i="4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W119" i="40"/>
  <c r="W114" i="49"/>
  <c r="W103" i="49" s="1"/>
  <c r="W119" i="49"/>
  <c r="V93" i="48"/>
  <c r="V94" i="48" s="1"/>
  <c r="V91" i="48"/>
  <c r="W128" i="1"/>
  <c r="W78" i="1"/>
  <c r="W77" i="1"/>
  <c r="W112" i="1"/>
  <c r="W39" i="33"/>
  <c r="V93" i="47"/>
  <c r="V94" i="47" s="1"/>
  <c r="V91" i="47"/>
  <c r="V90" i="49" l="1"/>
  <c r="V93" i="49" s="1"/>
  <c r="V94" i="49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V130" i="46"/>
  <c r="V403" i="33"/>
  <c r="V93" i="43"/>
  <c r="V94" i="43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W119" i="1"/>
  <c r="W115" i="49"/>
  <c r="W265" i="33" s="1"/>
  <c r="B144" i="40"/>
  <c r="V91" i="46"/>
  <c r="V93" i="46"/>
  <c r="V94" i="46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81" i="49"/>
  <c r="W62" i="49" s="1"/>
  <c r="W63" i="49" s="1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4" l="1"/>
  <c r="W62" i="44" s="1"/>
  <c r="W63" i="44" s="1"/>
  <c r="W64" i="44" s="1"/>
  <c r="W65" i="44" s="1"/>
  <c r="W68" i="44" s="1"/>
  <c r="W81" i="46"/>
  <c r="W62" i="46" s="1"/>
  <c r="W63" i="46" s="1"/>
  <c r="W64" i="46" s="1"/>
  <c r="W65" i="46" s="1"/>
  <c r="W68" i="46" s="1"/>
  <c r="W81" i="41"/>
  <c r="W62" i="41" s="1"/>
  <c r="W63" i="41" s="1"/>
  <c r="W64" i="41" s="1"/>
  <c r="W65" i="41" s="1"/>
  <c r="W68" i="41" s="1"/>
  <c r="W369" i="33"/>
  <c r="W375" i="33" s="1"/>
  <c r="W81" i="42"/>
  <c r="W62" i="42" s="1"/>
  <c r="W63" i="42" s="1"/>
  <c r="W155" i="42" s="1"/>
  <c r="W81" i="45"/>
  <c r="W62" i="45" s="1"/>
  <c r="W63" i="45" s="1"/>
  <c r="W155" i="45" s="1"/>
  <c r="W81" i="47"/>
  <c r="W62" i="47" s="1"/>
  <c r="W63" i="47" s="1"/>
  <c r="W155" i="47" s="1"/>
  <c r="W81" i="48"/>
  <c r="W62" i="48" s="1"/>
  <c r="W63" i="48" s="1"/>
  <c r="W155" i="48" s="1"/>
  <c r="X72" i="33"/>
  <c r="X64" i="59" s="1"/>
  <c r="W3" i="56"/>
  <c r="W55" i="56" s="1"/>
  <c r="W56" i="56" s="1"/>
  <c r="W52" i="56" s="1"/>
  <c r="W81" i="40"/>
  <c r="W62" i="40" s="1"/>
  <c r="W63" i="40" s="1"/>
  <c r="W64" i="40" s="1"/>
  <c r="W65" i="40" s="1"/>
  <c r="W68" i="40" s="1"/>
  <c r="W81" i="43"/>
  <c r="W62" i="43" s="1"/>
  <c r="W63" i="43" s="1"/>
  <c r="W155" i="43" s="1"/>
  <c r="W81" i="1"/>
  <c r="W62" i="1" s="1"/>
  <c r="W63" i="1" s="1"/>
  <c r="W155" i="1" s="1"/>
  <c r="W81" i="32"/>
  <c r="W62" i="32" s="1"/>
  <c r="W63" i="32" s="1"/>
  <c r="W155" i="32" s="1"/>
  <c r="W62" i="59"/>
  <c r="W155" i="49"/>
  <c r="W64" i="49"/>
  <c r="W65" i="49" s="1"/>
  <c r="W68" i="49" s="1"/>
  <c r="X97" i="33"/>
  <c r="X106" i="1"/>
  <c r="X83" i="33"/>
  <c r="X90" i="33"/>
  <c r="W64" i="47" l="1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73" i="44"/>
  <c r="X74" i="44" s="1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W73" i="47" l="1"/>
  <c r="X74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CO60" i="57"/>
  <c r="W132" i="33"/>
  <c r="W75" i="59" s="1"/>
  <c r="CO54" i="57"/>
  <c r="X85" i="40"/>
  <c r="X281" i="51"/>
  <c r="CO56" i="57"/>
  <c r="X85" i="45"/>
  <c r="X283" i="51"/>
  <c r="W84" i="41"/>
  <c r="W139" i="1"/>
  <c r="W73" i="1"/>
  <c r="X74" i="1" s="1"/>
  <c r="W46" i="33"/>
  <c r="W49" i="59" s="1"/>
  <c r="X85" i="41"/>
  <c r="CO51" i="57"/>
  <c r="X278" i="51"/>
  <c r="CO57" i="57"/>
  <c r="X85" i="46"/>
  <c r="X284" i="51"/>
  <c r="X85" i="42"/>
  <c r="X279" i="51"/>
  <c r="CO52" i="57"/>
  <c r="X85" i="44"/>
  <c r="X282" i="51"/>
  <c r="CO55" i="57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CO50" i="57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CO53" i="57"/>
  <c r="CO59" i="57"/>
  <c r="W42" i="33"/>
  <c r="W47" i="59" s="1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CO49" i="57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88" i="47" l="1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X78" i="48"/>
  <c r="X128" i="48"/>
  <c r="W400" i="33"/>
  <c r="W209" i="51"/>
  <c r="W225" i="51" s="1"/>
  <c r="X78" i="43"/>
  <c r="X112" i="43"/>
  <c r="X114" i="43" s="1"/>
  <c r="X103" i="43" s="1"/>
  <c r="W210" i="51"/>
  <c r="W226" i="51" s="1"/>
  <c r="W87" i="43"/>
  <c r="CO61" i="57"/>
  <c r="X49" i="33"/>
  <c r="X51" i="59" s="1"/>
  <c r="W90" i="40"/>
  <c r="W93" i="40" s="1"/>
  <c r="W94" i="40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W91" i="45"/>
  <c r="W93" i="45"/>
  <c r="W94" i="45" s="1"/>
  <c r="W91" i="49"/>
  <c r="W93" i="49"/>
  <c r="W94" i="49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X119" i="46"/>
  <c r="V72" i="59"/>
  <c r="V140" i="40"/>
  <c r="X119" i="42"/>
  <c r="X114" i="42"/>
  <c r="X103" i="42" s="1"/>
  <c r="X119" i="47"/>
  <c r="X114" i="47"/>
  <c r="X103" i="47" s="1"/>
  <c r="X119" i="40"/>
  <c r="X114" i="40"/>
  <c r="X103" i="40" s="1"/>
  <c r="X114" i="45"/>
  <c r="X103" i="45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X78" i="1"/>
  <c r="X112" i="1"/>
  <c r="X114" i="41"/>
  <c r="X103" i="41" s="1"/>
  <c r="X119" i="41"/>
  <c r="W93" i="42"/>
  <c r="W94" i="42" s="1"/>
  <c r="W91" i="42"/>
  <c r="X114" i="44"/>
  <c r="X103" i="44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W93" i="43"/>
  <c r="W94" i="43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X306" i="51" l="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X81" i="44"/>
  <c r="X62" i="44" s="1"/>
  <c r="X63" i="44" s="1"/>
  <c r="X81" i="42"/>
  <c r="X62" i="42" s="1"/>
  <c r="X63" i="42" s="1"/>
  <c r="X81" i="43"/>
  <c r="X62" i="43" s="1"/>
  <c r="X63" i="43" s="1"/>
  <c r="X81" i="48"/>
  <c r="X62" i="48" s="1"/>
  <c r="X63" i="48" s="1"/>
  <c r="X81" i="1"/>
  <c r="X62" i="1" s="1"/>
  <c r="X63" i="1" s="1"/>
  <c r="X81" i="45"/>
  <c r="X62" i="45" s="1"/>
  <c r="X63" i="45" s="1"/>
  <c r="X81" i="46"/>
  <c r="X62" i="46" s="1"/>
  <c r="X63" i="46" s="1"/>
  <c r="X81" i="32"/>
  <c r="X62" i="32" s="1"/>
  <c r="X63" i="32" s="1"/>
  <c r="X81" i="49"/>
  <c r="X62" i="49" s="1"/>
  <c r="X63" i="49" s="1"/>
  <c r="X81" i="40"/>
  <c r="X62" i="40" s="1"/>
  <c r="X63" i="40" s="1"/>
  <c r="X3" i="56"/>
  <c r="X62" i="59"/>
  <c r="X81" i="47"/>
  <c r="X62" i="47" s="1"/>
  <c r="X63" i="47" s="1"/>
  <c r="Y72" i="33"/>
  <c r="X64" i="40" l="1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CP56" i="57"/>
  <c r="Y283" i="51"/>
  <c r="Y279" i="51"/>
  <c r="CP52" i="57"/>
  <c r="Y85" i="42"/>
  <c r="Y278" i="51"/>
  <c r="Y85" i="41"/>
  <c r="CP51" i="57"/>
  <c r="X48" i="56"/>
  <c r="X132" i="33"/>
  <c r="X75" i="59" s="1"/>
  <c r="X61" i="56"/>
  <c r="CP57" i="57"/>
  <c r="Y284" i="51"/>
  <c r="Y85" i="46"/>
  <c r="X139" i="1"/>
  <c r="X46" i="33"/>
  <c r="X49" i="59" s="1"/>
  <c r="X73" i="1"/>
  <c r="Y74" i="1" s="1"/>
  <c r="CP55" i="57"/>
  <c r="Y85" i="44"/>
  <c r="Y282" i="51"/>
  <c r="X84" i="49"/>
  <c r="X84" i="40"/>
  <c r="CP50" i="57"/>
  <c r="Y85" i="32"/>
  <c r="Y277" i="51"/>
  <c r="Y85" i="48"/>
  <c r="Y286" i="51"/>
  <c r="CP59" i="57"/>
  <c r="Y85" i="49"/>
  <c r="Y287" i="51"/>
  <c r="CP60" i="57"/>
  <c r="Y281" i="51"/>
  <c r="CP54" i="57"/>
  <c r="Y85" i="40"/>
  <c r="Y285" i="51"/>
  <c r="Y85" i="47"/>
  <c r="CP58" i="57"/>
  <c r="X38" i="33"/>
  <c r="X40" i="33"/>
  <c r="X42" i="33"/>
  <c r="X47" i="59" s="1"/>
  <c r="X44" i="33"/>
  <c r="Y280" i="51"/>
  <c r="Y85" i="43"/>
  <c r="CP53" i="57"/>
  <c r="X88" i="46" l="1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CP49" i="57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W129" i="47"/>
  <c r="W131" i="47" s="1"/>
  <c r="W140" i="47" s="1"/>
  <c r="Y291" i="51"/>
  <c r="X130" i="43"/>
  <c r="X90" i="43"/>
  <c r="X93" i="43" s="1"/>
  <c r="X94" i="43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Y77" i="1"/>
  <c r="Y128" i="1"/>
  <c r="Y39" i="33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Y114" i="48"/>
  <c r="Y103" i="48" s="1"/>
  <c r="Y119" i="48"/>
  <c r="Y114" i="45"/>
  <c r="Y103" i="45" s="1"/>
  <c r="Y119" i="45"/>
  <c r="Y114" i="42"/>
  <c r="Y103" i="42" s="1"/>
  <c r="Y119" i="42"/>
  <c r="Y119" i="46"/>
  <c r="Y114" i="46"/>
  <c r="Y103" i="46" s="1"/>
  <c r="Y114" i="44"/>
  <c r="Y103" i="44" s="1"/>
  <c r="Y119" i="44"/>
  <c r="Y119" i="43"/>
  <c r="Y114" i="43"/>
  <c r="Y103" i="43" s="1"/>
  <c r="Y292" i="51"/>
  <c r="Y300" i="51"/>
  <c r="Y295" i="51"/>
  <c r="Y294" i="51"/>
  <c r="X93" i="48"/>
  <c r="X94" i="48" s="1"/>
  <c r="X91" i="48"/>
  <c r="Y114" i="49"/>
  <c r="Y103" i="49" s="1"/>
  <c r="Y119" i="49"/>
  <c r="Y114" i="40"/>
  <c r="Y103" i="40" s="1"/>
  <c r="Y119" i="40"/>
  <c r="X93" i="45"/>
  <c r="X94" i="45" s="1"/>
  <c r="X91" i="45"/>
  <c r="Y119" i="41"/>
  <c r="Y114" i="41"/>
  <c r="Y103" i="41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Y296" i="51"/>
  <c r="Y301" i="51"/>
  <c r="Y299" i="51"/>
  <c r="X51" i="33"/>
  <c r="X52" i="59" s="1"/>
  <c r="X93" i="32" l="1"/>
  <c r="X94" i="32" s="1"/>
  <c r="X93" i="41"/>
  <c r="X94" i="41" s="1"/>
  <c r="X93" i="46"/>
  <c r="X94" i="46" s="1"/>
  <c r="X91" i="47"/>
  <c r="X93" i="44"/>
  <c r="X94" i="44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Y304" i="51"/>
  <c r="X91" i="40"/>
  <c r="X93" i="40"/>
  <c r="X94" i="40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Y119" i="1"/>
  <c r="X408" i="33" l="1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Y81" i="47"/>
  <c r="Y62" i="47" s="1"/>
  <c r="Y63" i="47" s="1"/>
  <c r="Y81" i="43"/>
  <c r="Y62" i="43" s="1"/>
  <c r="Y63" i="43" s="1"/>
  <c r="Y81" i="46"/>
  <c r="Y62" i="46" s="1"/>
  <c r="Y63" i="46" s="1"/>
  <c r="Y3" i="56"/>
  <c r="Y62" i="59"/>
  <c r="Y81" i="48"/>
  <c r="Y62" i="48" s="1"/>
  <c r="Y63" i="48" s="1"/>
  <c r="Y81" i="49"/>
  <c r="Y62" i="49" s="1"/>
  <c r="Y63" i="49" s="1"/>
  <c r="Y81" i="42"/>
  <c r="Y62" i="42" s="1"/>
  <c r="Y63" i="42" s="1"/>
  <c r="Y81" i="1"/>
  <c r="Y62" i="1" s="1"/>
  <c r="Y63" i="1" s="1"/>
  <c r="Y81" i="45"/>
  <c r="Y62" i="45" s="1"/>
  <c r="Y63" i="45" s="1"/>
  <c r="Y81" i="40"/>
  <c r="Y62" i="40" s="1"/>
  <c r="Y63" i="40" s="1"/>
  <c r="Y369" i="33"/>
  <c r="Y375" i="33" s="1"/>
  <c r="Y81" i="41"/>
  <c r="Y62" i="41" s="1"/>
  <c r="Y63" i="41" s="1"/>
  <c r="Y81" i="44"/>
  <c r="Y62" i="44" s="1"/>
  <c r="Y63" i="44" s="1"/>
  <c r="Z72" i="33"/>
  <c r="Y64" i="41" l="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CQ57" i="57"/>
  <c r="Z85" i="46"/>
  <c r="Z285" i="51"/>
  <c r="CQ58" i="57"/>
  <c r="Z85" i="47"/>
  <c r="CQ55" i="57"/>
  <c r="Z85" i="44"/>
  <c r="Z282" i="51"/>
  <c r="Z286" i="51"/>
  <c r="CQ59" i="57"/>
  <c r="Z85" i="48"/>
  <c r="Y48" i="56"/>
  <c r="Z278" i="51"/>
  <c r="Z85" i="41"/>
  <c r="CQ51" i="57"/>
  <c r="Z85" i="40"/>
  <c r="CQ54" i="57"/>
  <c r="Z281" i="51"/>
  <c r="Y38" i="33"/>
  <c r="Y40" i="33"/>
  <c r="Y42" i="33"/>
  <c r="Y47" i="59" s="1"/>
  <c r="Y44" i="33"/>
  <c r="Z85" i="49"/>
  <c r="Z287" i="51"/>
  <c r="CQ60" i="57"/>
  <c r="Y84" i="42"/>
  <c r="Y84" i="32"/>
  <c r="Y46" i="33"/>
  <c r="Y49" i="59" s="1"/>
  <c r="Y139" i="1"/>
  <c r="Y73" i="1"/>
  <c r="Z74" i="1" s="1"/>
  <c r="Z85" i="45"/>
  <c r="Z283" i="51"/>
  <c r="CQ56" i="57"/>
  <c r="Z85" i="42"/>
  <c r="Z279" i="51"/>
  <c r="CQ52" i="57"/>
  <c r="Y61" i="56"/>
  <c r="Y132" i="33"/>
  <c r="Y75" i="59" s="1"/>
  <c r="CQ53" i="57"/>
  <c r="Z280" i="51"/>
  <c r="Z85" i="43"/>
  <c r="Z85" i="32"/>
  <c r="CQ50" i="57"/>
  <c r="Z277" i="51"/>
  <c r="Y360" i="33" l="1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CQ49" i="57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Y130" i="49"/>
  <c r="Y90" i="48"/>
  <c r="Y93" i="48" s="1"/>
  <c r="Y94" i="48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Z77" i="1"/>
  <c r="Z112" i="1"/>
  <c r="Z78" i="1"/>
  <c r="Z128" i="1"/>
  <c r="Z119" i="42"/>
  <c r="Z114" i="42"/>
  <c r="Z103" i="42" s="1"/>
  <c r="Z119" i="32"/>
  <c r="Z114" i="32"/>
  <c r="Z103" i="32" s="1"/>
  <c r="Z114" i="44"/>
  <c r="Z103" i="44" s="1"/>
  <c r="Z119" i="44"/>
  <c r="Z114" i="48"/>
  <c r="Z103" i="48" s="1"/>
  <c r="Z119" i="48"/>
  <c r="Y93" i="41"/>
  <c r="Y94" i="41" s="1"/>
  <c r="Y91" i="41"/>
  <c r="Z114" i="49"/>
  <c r="Z103" i="49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Y91" i="47"/>
  <c r="Y93" i="45"/>
  <c r="Y94" i="45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Y91" i="43"/>
  <c r="Z299" i="51"/>
  <c r="Z295" i="51"/>
  <c r="Z293" i="51"/>
  <c r="Z291" i="51"/>
  <c r="Z119" i="47"/>
  <c r="Z114" i="47"/>
  <c r="Z103" i="47" s="1"/>
  <c r="Z119" i="41"/>
  <c r="Z114" i="41"/>
  <c r="Z103" i="41" s="1"/>
  <c r="Z114" i="40"/>
  <c r="Z103" i="40" s="1"/>
  <c r="Z119" i="40"/>
  <c r="Z114" i="43"/>
  <c r="Z103" i="43" s="1"/>
  <c r="Z119" i="43"/>
  <c r="Y87" i="1"/>
  <c r="Y51" i="33" s="1"/>
  <c r="Y52" i="59" s="1"/>
  <c r="Y48" i="33"/>
  <c r="Y352" i="33"/>
  <c r="Y364" i="33" s="1"/>
  <c r="Y88" i="1"/>
  <c r="Y93" i="46"/>
  <c r="Y94" i="46" s="1"/>
  <c r="Y91" i="46"/>
  <c r="Z114" i="46"/>
  <c r="Z103" i="46" s="1"/>
  <c r="Z119" i="46"/>
  <c r="Y93" i="40"/>
  <c r="Y94" i="40" s="1"/>
  <c r="Y91" i="40"/>
  <c r="Z114" i="45"/>
  <c r="Z103" i="45" s="1"/>
  <c r="Z119" i="45"/>
  <c r="Z296" i="51"/>
  <c r="Z294" i="51"/>
  <c r="Y93" i="44" l="1"/>
  <c r="Y94" i="44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AA58" i="59"/>
  <c r="AA4" i="56"/>
  <c r="Z369" i="33" l="1"/>
  <c r="Z375" i="33" s="1"/>
  <c r="Z81" i="41"/>
  <c r="Z62" i="41" s="1"/>
  <c r="Z63" i="41" s="1"/>
  <c r="Z81" i="49"/>
  <c r="Z62" i="49" s="1"/>
  <c r="Z63" i="49" s="1"/>
  <c r="Z81" i="45"/>
  <c r="Z62" i="45" s="1"/>
  <c r="Z63" i="45" s="1"/>
  <c r="Z81" i="40"/>
  <c r="Z62" i="40" s="1"/>
  <c r="Z63" i="40" s="1"/>
  <c r="Z81" i="43"/>
  <c r="Z62" i="43" s="1"/>
  <c r="Z63" i="43" s="1"/>
  <c r="Z81" i="32"/>
  <c r="Z62" i="32" s="1"/>
  <c r="Z63" i="32" s="1"/>
  <c r="Z81" i="47"/>
  <c r="Z62" i="47" s="1"/>
  <c r="Z63" i="47" s="1"/>
  <c r="Z62" i="59"/>
  <c r="F20" i="59" s="1"/>
  <c r="Z81" i="42"/>
  <c r="Z62" i="42" s="1"/>
  <c r="Z63" i="42" s="1"/>
  <c r="Z81" i="1"/>
  <c r="Z62" i="1" s="1"/>
  <c r="Z63" i="1" s="1"/>
  <c r="Z3" i="56"/>
  <c r="Z81" i="46"/>
  <c r="Z62" i="46" s="1"/>
  <c r="Z63" i="46" s="1"/>
  <c r="Z81" i="44"/>
  <c r="Z62" i="44" s="1"/>
  <c r="Z63" i="44" s="1"/>
  <c r="Z81" i="48"/>
  <c r="Z62" i="48" s="1"/>
  <c r="Z63" i="48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A90" i="33" l="1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CR53" i="57"/>
  <c r="AA85" i="41"/>
  <c r="CR51" i="57"/>
  <c r="AA278" i="51"/>
  <c r="AA284" i="51"/>
  <c r="CR57" i="57"/>
  <c r="AA85" i="46"/>
  <c r="AA281" i="51"/>
  <c r="CR54" i="57"/>
  <c r="AA85" i="40"/>
  <c r="AA287" i="51"/>
  <c r="AA85" i="49"/>
  <c r="CR60" i="57"/>
  <c r="Z48" i="56"/>
  <c r="CR52" i="57"/>
  <c r="AA279" i="51"/>
  <c r="AA85" i="42"/>
  <c r="AA85" i="47"/>
  <c r="AA285" i="51"/>
  <c r="CR58" i="57"/>
  <c r="Z38" i="33"/>
  <c r="Z40" i="33"/>
  <c r="Z42" i="33"/>
  <c r="Z47" i="59" s="1"/>
  <c r="Z44" i="33"/>
  <c r="AA282" i="51"/>
  <c r="AA85" i="44"/>
  <c r="CR55" i="57"/>
  <c r="CR56" i="57"/>
  <c r="AA85" i="45"/>
  <c r="AA283" i="51"/>
  <c r="AA85" i="48"/>
  <c r="CR59" i="57"/>
  <c r="AA286" i="51"/>
  <c r="CR50" i="57"/>
  <c r="AA85" i="32"/>
  <c r="AA277" i="51"/>
  <c r="Z84" i="43"/>
  <c r="Z84" i="41"/>
  <c r="Z84" i="46"/>
  <c r="Z84" i="40"/>
  <c r="Z361" i="33" l="1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CR49" i="57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A119" i="43"/>
  <c r="Z93" i="32"/>
  <c r="Z94" i="32" s="1"/>
  <c r="Z91" i="32"/>
  <c r="AA119" i="49"/>
  <c r="AA114" i="49"/>
  <c r="AA103" i="49" s="1"/>
  <c r="Z93" i="42"/>
  <c r="Z94" i="4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A112" i="1"/>
  <c r="AA78" i="1"/>
  <c r="AA77" i="1"/>
  <c r="AA128" i="1"/>
  <c r="Z91" i="45"/>
  <c r="Z93" i="45"/>
  <c r="Z94" i="45" s="1"/>
  <c r="AA114" i="48"/>
  <c r="AA103" i="48" s="1"/>
  <c r="AA119" i="48"/>
  <c r="AA114" i="32"/>
  <c r="AA103" i="3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Z93" i="48"/>
  <c r="Z94" i="48" s="1"/>
  <c r="Z91" i="48"/>
  <c r="AA119" i="46"/>
  <c r="AA114" i="46"/>
  <c r="AA103" i="46" s="1"/>
  <c r="AA119" i="40"/>
  <c r="AA114" i="40"/>
  <c r="AA103" i="40" s="1"/>
  <c r="AA119" i="42"/>
  <c r="AA114" i="42"/>
  <c r="AA103" i="42" s="1"/>
  <c r="AA119" i="47"/>
  <c r="AA114" i="47"/>
  <c r="AA103" i="47" s="1"/>
  <c r="AA114" i="45"/>
  <c r="AA103" i="45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Z93" i="49"/>
  <c r="Z94" i="49" s="1"/>
  <c r="Z93" i="44"/>
  <c r="Z94" i="44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A115" i="44"/>
  <c r="AA260" i="33" s="1"/>
  <c r="Z71" i="59"/>
  <c r="Y79" i="40"/>
  <c r="Z148" i="40" s="1"/>
  <c r="Z328" i="33" s="1"/>
  <c r="Z341" i="33" s="1"/>
  <c r="Z93" i="40"/>
  <c r="Z94" i="40" s="1"/>
  <c r="Z91" i="40"/>
  <c r="AA124" i="32"/>
  <c r="AA121" i="32"/>
  <c r="AA115" i="32"/>
  <c r="AA255" i="33" s="1"/>
  <c r="AA121" i="48"/>
  <c r="AA124" i="48"/>
  <c r="AA119" i="1"/>
  <c r="AA114" i="1"/>
  <c r="AA103" i="1" s="1"/>
  <c r="Z93" i="43"/>
  <c r="Z94" i="43" s="1"/>
  <c r="Z91" i="43"/>
  <c r="AA121" i="49"/>
  <c r="AA124" i="49"/>
  <c r="Y131" i="1" l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B4" i="56"/>
  <c r="AB58" i="59"/>
  <c r="AD62" i="33"/>
  <c r="AD60" i="59" s="1"/>
  <c r="AC59" i="59"/>
  <c r="AA81" i="40" l="1"/>
  <c r="AA62" i="40" s="1"/>
  <c r="AA63" i="40" s="1"/>
  <c r="AA81" i="41"/>
  <c r="AA62" i="41" s="1"/>
  <c r="AA63" i="41" s="1"/>
  <c r="AA369" i="33"/>
  <c r="AA375" i="33" s="1"/>
  <c r="AA81" i="43"/>
  <c r="AA62" i="43" s="1"/>
  <c r="AA63" i="43" s="1"/>
  <c r="AA3" i="56"/>
  <c r="AA62" i="59"/>
  <c r="AA81" i="49"/>
  <c r="AA62" i="49" s="1"/>
  <c r="AA63" i="49" s="1"/>
  <c r="AA81" i="42"/>
  <c r="AA62" i="42" s="1"/>
  <c r="AA63" i="42" s="1"/>
  <c r="AA81" i="48"/>
  <c r="AA62" i="48" s="1"/>
  <c r="AA63" i="48" s="1"/>
  <c r="AA81" i="45"/>
  <c r="AA62" i="45" s="1"/>
  <c r="AA63" i="45" s="1"/>
  <c r="AA81" i="44"/>
  <c r="AA62" i="44" s="1"/>
  <c r="AA63" i="44" s="1"/>
  <c r="AA81" i="46"/>
  <c r="AA62" i="46" s="1"/>
  <c r="AA63" i="46" s="1"/>
  <c r="AA81" i="47"/>
  <c r="AA62" i="47" s="1"/>
  <c r="AA63" i="47" s="1"/>
  <c r="AA81" i="1"/>
  <c r="AA62" i="1" s="1"/>
  <c r="AA63" i="1" s="1"/>
  <c r="AA81" i="32"/>
  <c r="AA62" i="32" s="1"/>
  <c r="AA63" i="3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B64" i="59" l="1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CS60" i="57"/>
  <c r="AB85" i="49"/>
  <c r="AB287" i="51"/>
  <c r="AB85" i="41"/>
  <c r="AB278" i="51"/>
  <c r="CS51" i="57"/>
  <c r="AB85" i="47"/>
  <c r="CS58" i="57"/>
  <c r="AB285" i="51"/>
  <c r="AA132" i="33"/>
  <c r="AA75" i="59" s="1"/>
  <c r="AA61" i="56"/>
  <c r="AA73" i="1"/>
  <c r="AB74" i="1" s="1"/>
  <c r="AA46" i="33"/>
  <c r="AA49" i="59" s="1"/>
  <c r="AA139" i="1"/>
  <c r="CS57" i="57"/>
  <c r="AB284" i="51"/>
  <c r="AB85" i="46"/>
  <c r="AB85" i="45"/>
  <c r="AB283" i="51"/>
  <c r="CS56" i="57"/>
  <c r="AA84" i="43"/>
  <c r="AA84" i="32"/>
  <c r="AA84" i="44"/>
  <c r="AA84" i="40"/>
  <c r="AB279" i="51"/>
  <c r="CS52" i="57"/>
  <c r="AB85" i="42"/>
  <c r="AB85" i="43"/>
  <c r="CS53" i="57"/>
  <c r="AB280" i="51"/>
  <c r="CS50" i="57"/>
  <c r="AB277" i="51"/>
  <c r="AB85" i="32"/>
  <c r="CS55" i="57"/>
  <c r="AB282" i="51"/>
  <c r="AB85" i="44"/>
  <c r="CS59" i="57"/>
  <c r="AB85" i="48"/>
  <c r="AB286" i="51"/>
  <c r="AA48" i="56"/>
  <c r="CS54" i="57"/>
  <c r="AB85" i="40"/>
  <c r="AB281" i="51"/>
  <c r="AA38" i="33"/>
  <c r="AA42" i="33"/>
  <c r="AA47" i="59" s="1"/>
  <c r="AA40" i="33"/>
  <c r="AA44" i="33"/>
  <c r="AA359" i="33" l="1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CS49" i="57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B119" i="32"/>
  <c r="AB114" i="48"/>
  <c r="AB103" i="48" s="1"/>
  <c r="AB119" i="48"/>
  <c r="AA91" i="45"/>
  <c r="AA93" i="45"/>
  <c r="AA94" i="45" s="1"/>
  <c r="AB119" i="45"/>
  <c r="AB114" i="45"/>
  <c r="AB103" i="45" s="1"/>
  <c r="AB119" i="40"/>
  <c r="AB114" i="40"/>
  <c r="AB103" i="40" s="1"/>
  <c r="AB114" i="49"/>
  <c r="AB103" i="49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B119" i="42"/>
  <c r="AA93" i="47"/>
  <c r="AA94" i="47" s="1"/>
  <c r="AA91" i="47"/>
  <c r="AB114" i="44"/>
  <c r="AB103" i="44" s="1"/>
  <c r="AB119" i="44"/>
  <c r="AB114" i="41"/>
  <c r="AB103" i="41" s="1"/>
  <c r="AB119" i="41"/>
  <c r="AB114" i="47"/>
  <c r="AB103" i="47" s="1"/>
  <c r="AB119" i="47"/>
  <c r="AB128" i="1"/>
  <c r="AB39" i="33"/>
  <c r="AB77" i="1"/>
  <c r="AB112" i="1"/>
  <c r="AB78" i="1"/>
  <c r="AB119" i="46"/>
  <c r="AB114" i="46"/>
  <c r="AB103" i="46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B119" i="43"/>
  <c r="AA91" i="41"/>
  <c r="AA93" i="41"/>
  <c r="AA94" i="41" s="1"/>
  <c r="AA91" i="48"/>
  <c r="AA93" i="48"/>
  <c r="AA94" i="48" s="1"/>
  <c r="AA93" i="42" l="1"/>
  <c r="AA94" i="42" s="1"/>
  <c r="AA93" i="49"/>
  <c r="AA94" i="49" s="1"/>
  <c r="AB102" i="40"/>
  <c r="AA93" i="46"/>
  <c r="AA94" i="46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B121" i="46"/>
  <c r="AB124" i="46"/>
  <c r="AB114" i="1"/>
  <c r="AB103" i="1" s="1"/>
  <c r="AB119" i="1"/>
  <c r="AB124" i="47"/>
  <c r="AB121" i="47"/>
  <c r="AB115" i="47"/>
  <c r="AB263" i="33" s="1"/>
  <c r="AB115" i="44"/>
  <c r="AB260" i="33" s="1"/>
  <c r="AA91" i="44"/>
  <c r="AA93" i="44"/>
  <c r="AA94" i="44" s="1"/>
  <c r="AB115" i="40"/>
  <c r="AB259" i="33" s="1"/>
  <c r="AB115" i="48"/>
  <c r="AB264" i="33" s="1"/>
  <c r="AB121" i="32"/>
  <c r="AB124" i="32"/>
  <c r="AA91" i="40"/>
  <c r="AA93" i="40"/>
  <c r="AA94" i="40" s="1"/>
  <c r="AA93" i="1" l="1"/>
  <c r="AA94" i="1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D59" i="59"/>
  <c r="AE62" i="33"/>
  <c r="AE60" i="59" s="1"/>
  <c r="AB81" i="49" l="1"/>
  <c r="AB62" i="49" s="1"/>
  <c r="AB63" i="49" s="1"/>
  <c r="AB81" i="46"/>
  <c r="AB62" i="46" s="1"/>
  <c r="AB63" i="46" s="1"/>
  <c r="AB81" i="45"/>
  <c r="AB62" i="45" s="1"/>
  <c r="AB63" i="45" s="1"/>
  <c r="AB81" i="44"/>
  <c r="AB62" i="44" s="1"/>
  <c r="AB63" i="44" s="1"/>
  <c r="AB81" i="42"/>
  <c r="AB62" i="42" s="1"/>
  <c r="AB63" i="42" s="1"/>
  <c r="AB3" i="56"/>
  <c r="AB81" i="47"/>
  <c r="AB62" i="47" s="1"/>
  <c r="AB63" i="47" s="1"/>
  <c r="AB81" i="40"/>
  <c r="AB62" i="40" s="1"/>
  <c r="AB63" i="40" s="1"/>
  <c r="AB369" i="33"/>
  <c r="AB375" i="33" s="1"/>
  <c r="AB81" i="41"/>
  <c r="AB62" i="41" s="1"/>
  <c r="AB63" i="41" s="1"/>
  <c r="AB81" i="48"/>
  <c r="AB62" i="48" s="1"/>
  <c r="AB63" i="48" s="1"/>
  <c r="AB81" i="43"/>
  <c r="AB62" i="43" s="1"/>
  <c r="AB63" i="43" s="1"/>
  <c r="AB81" i="32"/>
  <c r="AB62" i="32" s="1"/>
  <c r="AB63" i="32" s="1"/>
  <c r="AB62" i="59"/>
  <c r="AB81" i="1"/>
  <c r="AB62" i="1" s="1"/>
  <c r="AB63" i="1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C83" i="33" l="1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7" i="59" s="1"/>
  <c r="AB44" i="33"/>
  <c r="AC85" i="48"/>
  <c r="CT59" i="57"/>
  <c r="AC286" i="51"/>
  <c r="AC85" i="49"/>
  <c r="AC287" i="51"/>
  <c r="CT60" i="57"/>
  <c r="AC85" i="32"/>
  <c r="AC277" i="51"/>
  <c r="CT50" i="57"/>
  <c r="CT51" i="57"/>
  <c r="AC278" i="51"/>
  <c r="AC85" i="41"/>
  <c r="AC281" i="51"/>
  <c r="CT54" i="57"/>
  <c r="AC85" i="40"/>
  <c r="AC85" i="44"/>
  <c r="AC282" i="51"/>
  <c r="CT55" i="57"/>
  <c r="AB139" i="1"/>
  <c r="AB73" i="1"/>
  <c r="AC74" i="1" s="1"/>
  <c r="AB46" i="33"/>
  <c r="AB49" i="59" s="1"/>
  <c r="CT52" i="57"/>
  <c r="AC279" i="51"/>
  <c r="AC85" i="42"/>
  <c r="AC85" i="45"/>
  <c r="AC283" i="51"/>
  <c r="CT56" i="57"/>
  <c r="AB48" i="56"/>
  <c r="AC285" i="51"/>
  <c r="CT58" i="57"/>
  <c r="AC85" i="47"/>
  <c r="AC280" i="51"/>
  <c r="CT53" i="57"/>
  <c r="AC85" i="43"/>
  <c r="AB132" i="33"/>
  <c r="AB75" i="59" s="1"/>
  <c r="AB61" i="56"/>
  <c r="AC85" i="46"/>
  <c r="CT57" i="57"/>
  <c r="AC284" i="51"/>
  <c r="AB84" i="49"/>
  <c r="AB84" i="41"/>
  <c r="AB87" i="48" l="1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CT49" i="57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A129" i="46"/>
  <c r="AA131" i="46" s="1"/>
  <c r="AA140" i="46" s="1"/>
  <c r="AB90" i="43"/>
  <c r="AB93" i="43" s="1"/>
  <c r="AB94" i="43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C119" i="49"/>
  <c r="AC119" i="41"/>
  <c r="AC114" i="41"/>
  <c r="AC103" i="41" s="1"/>
  <c r="AA79" i="40"/>
  <c r="AB148" i="40" s="1"/>
  <c r="AB328" i="33" s="1"/>
  <c r="AB341" i="33" s="1"/>
  <c r="AB71" i="59"/>
  <c r="AA140" i="40"/>
  <c r="AA72" i="59"/>
  <c r="AB91" i="42"/>
  <c r="AB93" i="42"/>
  <c r="AB94" i="4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C112" i="1"/>
  <c r="AC39" i="33"/>
  <c r="AC128" i="1"/>
  <c r="AC78" i="1"/>
  <c r="AC77" i="1"/>
  <c r="AC114" i="47"/>
  <c r="AC103" i="47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B91" i="48"/>
  <c r="AC114" i="32"/>
  <c r="AC103" i="32" s="1"/>
  <c r="AC119" i="32"/>
  <c r="AB91" i="40"/>
  <c r="AB93" i="40"/>
  <c r="AB94" i="40" s="1"/>
  <c r="AC119" i="45"/>
  <c r="AC114" i="45"/>
  <c r="AC103" i="45" s="1"/>
  <c r="AC114" i="43"/>
  <c r="AC103" i="43" s="1"/>
  <c r="AC119" i="43"/>
  <c r="AC119" i="46"/>
  <c r="AC114" i="46"/>
  <c r="AC103" i="46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C119" i="44"/>
  <c r="AC114" i="44"/>
  <c r="AC103" i="44" s="1"/>
  <c r="AC114" i="42"/>
  <c r="AC103" i="42" s="1"/>
  <c r="AC119" i="42"/>
  <c r="AB364" i="33"/>
  <c r="AB91" i="47" l="1"/>
  <c r="AB93" i="32"/>
  <c r="AB94" i="3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B91" i="1"/>
  <c r="AC115" i="44"/>
  <c r="AC260" i="33" s="1"/>
  <c r="AC124" i="40"/>
  <c r="AC121" i="40"/>
  <c r="AB93" i="49"/>
  <c r="AB94" i="49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C115" i="48"/>
  <c r="AC264" i="33" s="1"/>
  <c r="AC121" i="48"/>
  <c r="AC124" i="48"/>
  <c r="AB91" i="41"/>
  <c r="AB93" i="41"/>
  <c r="AB94" i="41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B410" i="33" l="1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C81" i="45"/>
  <c r="AC62" i="45" s="1"/>
  <c r="AC63" i="45" s="1"/>
  <c r="AC81" i="32"/>
  <c r="AC62" i="32" s="1"/>
  <c r="AC63" i="32" s="1"/>
  <c r="AC369" i="33"/>
  <c r="AC375" i="33" s="1"/>
  <c r="AC81" i="48"/>
  <c r="AC62" i="48" s="1"/>
  <c r="AC63" i="48" s="1"/>
  <c r="AC81" i="47"/>
  <c r="AC62" i="47" s="1"/>
  <c r="AC63" i="47" s="1"/>
  <c r="AC81" i="43"/>
  <c r="AC62" i="43" s="1"/>
  <c r="AC63" i="43" s="1"/>
  <c r="AC81" i="41"/>
  <c r="AC62" i="41" s="1"/>
  <c r="AC63" i="41" s="1"/>
  <c r="AC3" i="56"/>
  <c r="AC81" i="46"/>
  <c r="AC62" i="46" s="1"/>
  <c r="AC63" i="46" s="1"/>
  <c r="AC81" i="44"/>
  <c r="AC62" i="44" s="1"/>
  <c r="AC63" i="44" s="1"/>
  <c r="AC81" i="1"/>
  <c r="AC62" i="1" s="1"/>
  <c r="AC63" i="1" s="1"/>
  <c r="AC81" i="40"/>
  <c r="AC62" i="40" s="1"/>
  <c r="AC63" i="40" s="1"/>
  <c r="AC62" i="59"/>
  <c r="AC81" i="49"/>
  <c r="AC62" i="49" s="1"/>
  <c r="AC63" i="49" s="1"/>
  <c r="AD72" i="33"/>
  <c r="AC64" i="1" l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CU56" i="57"/>
  <c r="AD85" i="45"/>
  <c r="AD283" i="51"/>
  <c r="AD85" i="44"/>
  <c r="AD282" i="51"/>
  <c r="CU55" i="57"/>
  <c r="AD280" i="51"/>
  <c r="CU53" i="57"/>
  <c r="AD85" i="43"/>
  <c r="AC38" i="33"/>
  <c r="AC42" i="33"/>
  <c r="AC47" i="59" s="1"/>
  <c r="AC40" i="33"/>
  <c r="AC44" i="33"/>
  <c r="CU58" i="57"/>
  <c r="AD285" i="51"/>
  <c r="AD85" i="47"/>
  <c r="CU54" i="57"/>
  <c r="AD281" i="51"/>
  <c r="AD85" i="40"/>
  <c r="AD85" i="32"/>
  <c r="CU50" i="57"/>
  <c r="AD277" i="51"/>
  <c r="CU52" i="57"/>
  <c r="AD85" i="42"/>
  <c r="AD279" i="51"/>
  <c r="AC84" i="46"/>
  <c r="AD278" i="51"/>
  <c r="CU51" i="57"/>
  <c r="AD85" i="41"/>
  <c r="AC46" i="33"/>
  <c r="AC49" i="59" s="1"/>
  <c r="AC139" i="1"/>
  <c r="AC73" i="1"/>
  <c r="AD74" i="1" s="1"/>
  <c r="AD284" i="51"/>
  <c r="AD85" i="46"/>
  <c r="CU57" i="57"/>
  <c r="AD85" i="49"/>
  <c r="CU60" i="57"/>
  <c r="AD287" i="51"/>
  <c r="AC48" i="56"/>
  <c r="AC132" i="33"/>
  <c r="AC75" i="59" s="1"/>
  <c r="AC61" i="56"/>
  <c r="AD85" i="48"/>
  <c r="CU59" i="57"/>
  <c r="AD286" i="51"/>
  <c r="AC84" i="45"/>
  <c r="AC84" i="43"/>
  <c r="AC84" i="40"/>
  <c r="AC87" i="42" l="1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CU49" i="57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D119" i="47"/>
  <c r="AD119" i="40"/>
  <c r="AD114" i="40"/>
  <c r="AD103" i="40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C333" i="33"/>
  <c r="AC346" i="33" s="1"/>
  <c r="AD119" i="41"/>
  <c r="AD114" i="41"/>
  <c r="AD103" i="41" s="1"/>
  <c r="AD128" i="1"/>
  <c r="AD78" i="1"/>
  <c r="AD112" i="1"/>
  <c r="AD77" i="1"/>
  <c r="AD39" i="33"/>
  <c r="AD114" i="46"/>
  <c r="AD103" i="46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D114" i="44"/>
  <c r="AD103" i="44" s="1"/>
  <c r="AD119" i="44"/>
  <c r="AD119" i="43"/>
  <c r="AD114" i="43"/>
  <c r="AD103" i="43" s="1"/>
  <c r="AC93" i="49"/>
  <c r="AC94" i="49" s="1"/>
  <c r="AC91" i="49"/>
  <c r="AD119" i="42"/>
  <c r="AD114" i="42"/>
  <c r="AD103" i="42" s="1"/>
  <c r="AD119" i="49"/>
  <c r="AD114" i="49"/>
  <c r="AD103" i="49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C91" i="42" l="1"/>
  <c r="AC91" i="44"/>
  <c r="AC50" i="59"/>
  <c r="AC93" i="32"/>
  <c r="AC94" i="32" s="1"/>
  <c r="AC204" i="51"/>
  <c r="AC220" i="51" s="1"/>
  <c r="AC93" i="47"/>
  <c r="AC94" i="47" s="1"/>
  <c r="AB129" i="1"/>
  <c r="AB137" i="1" s="1"/>
  <c r="AC93" i="48"/>
  <c r="AC94" i="48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D115" i="41"/>
  <c r="AD256" i="33" s="1"/>
  <c r="AD121" i="41"/>
  <c r="AD124" i="41"/>
  <c r="AC91" i="45"/>
  <c r="AC93" i="45"/>
  <c r="AC94" i="45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D81" i="46"/>
  <c r="AD62" i="46" s="1"/>
  <c r="AD63" i="46" s="1"/>
  <c r="AD81" i="45"/>
  <c r="AD62" i="45" s="1"/>
  <c r="AD63" i="45" s="1"/>
  <c r="AD3" i="56"/>
  <c r="AD81" i="43"/>
  <c r="AD62" i="43" s="1"/>
  <c r="AD63" i="43" s="1"/>
  <c r="AD81" i="48"/>
  <c r="AD62" i="48" s="1"/>
  <c r="AD63" i="48" s="1"/>
  <c r="AD81" i="32"/>
  <c r="AD62" i="32" s="1"/>
  <c r="AD63" i="32" s="1"/>
  <c r="AD81" i="40"/>
  <c r="AD62" i="40" s="1"/>
  <c r="AD63" i="40" s="1"/>
  <c r="AD81" i="47"/>
  <c r="AD62" i="47" s="1"/>
  <c r="AD63" i="47" s="1"/>
  <c r="AD81" i="42"/>
  <c r="AD62" i="42" s="1"/>
  <c r="AD63" i="42" s="1"/>
  <c r="AD81" i="49"/>
  <c r="AD62" i="49" s="1"/>
  <c r="AD63" i="49" s="1"/>
  <c r="AD81" i="1"/>
  <c r="AD62" i="1" s="1"/>
  <c r="AD63" i="1" s="1"/>
  <c r="AD81" i="44"/>
  <c r="AD62" i="44" s="1"/>
  <c r="AD63" i="44" s="1"/>
  <c r="AE72" i="33"/>
  <c r="AD64" i="44" l="1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CV60" i="57"/>
  <c r="AD46" i="33"/>
  <c r="AD49" i="59" s="1"/>
  <c r="AD73" i="1"/>
  <c r="AE74" i="1" s="1"/>
  <c r="AD139" i="1"/>
  <c r="AD48" i="56"/>
  <c r="AE85" i="43"/>
  <c r="AE280" i="51"/>
  <c r="CV53" i="57"/>
  <c r="AE85" i="41"/>
  <c r="CV51" i="57"/>
  <c r="AE278" i="51"/>
  <c r="AD61" i="56"/>
  <c r="AD132" i="33"/>
  <c r="AD75" i="59" s="1"/>
  <c r="AD84" i="32"/>
  <c r="AD84" i="40"/>
  <c r="AD84" i="44"/>
  <c r="AD84" i="45"/>
  <c r="CV58" i="57"/>
  <c r="AE85" i="47"/>
  <c r="AE285" i="51"/>
  <c r="AE85" i="32"/>
  <c r="AE277" i="51"/>
  <c r="CV50" i="57"/>
  <c r="AD38" i="33"/>
  <c r="AD42" i="33"/>
  <c r="AD47" i="59" s="1"/>
  <c r="AD40" i="33"/>
  <c r="AD44" i="33"/>
  <c r="AE85" i="42"/>
  <c r="AE279" i="51"/>
  <c r="CV52" i="57"/>
  <c r="AE85" i="40"/>
  <c r="CV54" i="57"/>
  <c r="AE281" i="51"/>
  <c r="AE85" i="48"/>
  <c r="CV59" i="57"/>
  <c r="AE286" i="51"/>
  <c r="AE85" i="44"/>
  <c r="AE282" i="51"/>
  <c r="CV55" i="57"/>
  <c r="AE283" i="51"/>
  <c r="AE85" i="45"/>
  <c r="CV56" i="57"/>
  <c r="AE284" i="51"/>
  <c r="CV57" i="57"/>
  <c r="AE85" i="46"/>
  <c r="AD355" i="33" l="1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CV49" i="57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E119" i="43"/>
  <c r="AE114" i="43"/>
  <c r="AE103" i="43" s="1"/>
  <c r="AE114" i="41"/>
  <c r="AE103" i="41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E114" i="42"/>
  <c r="AE103" i="42" s="1"/>
  <c r="AE119" i="42"/>
  <c r="AE119" i="40"/>
  <c r="AE114" i="40"/>
  <c r="AE103" i="40" s="1"/>
  <c r="AE119" i="48"/>
  <c r="AE114" i="48"/>
  <c r="AE103" i="48" s="1"/>
  <c r="AE114" i="45"/>
  <c r="AE103" i="45" s="1"/>
  <c r="AE119" i="45"/>
  <c r="AE297" i="51"/>
  <c r="AE112" i="1"/>
  <c r="AE78" i="1"/>
  <c r="AE77" i="1"/>
  <c r="AE128" i="1"/>
  <c r="AE39" i="33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E119" i="47"/>
  <c r="AD91" i="48"/>
  <c r="AD93" i="48"/>
  <c r="AD94" i="48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D93" i="47"/>
  <c r="AD94" i="47" s="1"/>
  <c r="AD91" i="47"/>
  <c r="AE114" i="32"/>
  <c r="AE103" i="32" s="1"/>
  <c r="AE119" i="32"/>
  <c r="AD326" i="33"/>
  <c r="AD339" i="33" s="1"/>
  <c r="AE114" i="44"/>
  <c r="AE103" i="44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D93" i="1"/>
  <c r="AD94" i="1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D91" i="45"/>
  <c r="AE115" i="49"/>
  <c r="AE265" i="33" s="1"/>
  <c r="AD409" i="33" l="1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E81" i="44"/>
  <c r="AE62" i="44" s="1"/>
  <c r="AE63" i="44" s="1"/>
  <c r="AE81" i="47"/>
  <c r="AE62" i="47" s="1"/>
  <c r="AE63" i="47" s="1"/>
  <c r="AE3" i="56"/>
  <c r="AE81" i="48"/>
  <c r="AE62" i="48" s="1"/>
  <c r="AE63" i="48" s="1"/>
  <c r="AE81" i="1"/>
  <c r="AE62" i="1" s="1"/>
  <c r="AE63" i="1" s="1"/>
  <c r="AE81" i="41"/>
  <c r="AE62" i="41" s="1"/>
  <c r="AE63" i="41" s="1"/>
  <c r="AE81" i="32"/>
  <c r="AE62" i="32" s="1"/>
  <c r="AE63" i="32" s="1"/>
  <c r="AE81" i="40"/>
  <c r="AE62" i="40" s="1"/>
  <c r="AE63" i="40" s="1"/>
  <c r="AE81" i="42"/>
  <c r="AE62" i="42" s="1"/>
  <c r="AE63" i="42" s="1"/>
  <c r="AE62" i="59"/>
  <c r="AE81" i="45"/>
  <c r="AE62" i="45" s="1"/>
  <c r="AE63" i="45" s="1"/>
  <c r="AE81" i="46"/>
  <c r="AE62" i="46" s="1"/>
  <c r="AE63" i="46" s="1"/>
  <c r="AE81" i="49"/>
  <c r="AE62" i="49" s="1"/>
  <c r="AE63" i="49" s="1"/>
  <c r="AF72" i="33"/>
  <c r="AE64" i="49" l="1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CW51" i="57"/>
  <c r="AF278" i="51"/>
  <c r="AF85" i="41"/>
  <c r="AF85" i="45"/>
  <c r="AF283" i="51"/>
  <c r="CW56" i="57"/>
  <c r="CW52" i="57"/>
  <c r="AF85" i="42"/>
  <c r="AF279" i="51"/>
  <c r="AF277" i="51"/>
  <c r="AF85" i="32"/>
  <c r="CW50" i="57"/>
  <c r="AE38" i="33"/>
  <c r="AE40" i="33"/>
  <c r="AE42" i="33"/>
  <c r="AE47" i="59" s="1"/>
  <c r="AE44" i="33"/>
  <c r="AF85" i="44"/>
  <c r="CW55" i="57"/>
  <c r="AF282" i="51"/>
  <c r="AF281" i="51"/>
  <c r="CW54" i="57"/>
  <c r="AF85" i="40"/>
  <c r="AF286" i="51"/>
  <c r="CW59" i="57"/>
  <c r="AF85" i="48"/>
  <c r="AF285" i="51"/>
  <c r="CW58" i="57"/>
  <c r="AF85" i="47"/>
  <c r="AF85" i="49"/>
  <c r="AF287" i="51"/>
  <c r="CW60" i="57"/>
  <c r="AE139" i="1"/>
  <c r="AE46" i="33"/>
  <c r="AE49" i="59" s="1"/>
  <c r="AE73" i="1"/>
  <c r="AF74" i="1" s="1"/>
  <c r="AE48" i="56"/>
  <c r="AF284" i="51"/>
  <c r="CW57" i="57"/>
  <c r="AF85" i="46"/>
  <c r="AF280" i="51"/>
  <c r="CW53" i="57"/>
  <c r="AF85" i="43"/>
  <c r="AE84" i="41"/>
  <c r="AE84" i="45"/>
  <c r="AE84" i="32"/>
  <c r="AE363" i="33" l="1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CW49" i="57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E130" i="44"/>
  <c r="AE210" i="51"/>
  <c r="AE226" i="51" s="1"/>
  <c r="AE401" i="33"/>
  <c r="AE90" i="46"/>
  <c r="AE93" i="46" s="1"/>
  <c r="AE94" i="46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F119" i="32"/>
  <c r="AF114" i="32"/>
  <c r="AF103" i="32" s="1"/>
  <c r="B152" i="44"/>
  <c r="AE329" i="33"/>
  <c r="AE342" i="33" s="1"/>
  <c r="AF119" i="47"/>
  <c r="AF114" i="47"/>
  <c r="AF103" i="47" s="1"/>
  <c r="AF119" i="49"/>
  <c r="AF114" i="49"/>
  <c r="AF103" i="49" s="1"/>
  <c r="AF119" i="43"/>
  <c r="AF114" i="43"/>
  <c r="AF103" i="43" s="1"/>
  <c r="AE93" i="49"/>
  <c r="AE94" i="49" s="1"/>
  <c r="AE91" i="49"/>
  <c r="AF114" i="42"/>
  <c r="AF103" i="42" s="1"/>
  <c r="AF119" i="42"/>
  <c r="AF114" i="46"/>
  <c r="AF103" i="46" s="1"/>
  <c r="AF119" i="46"/>
  <c r="AF114" i="48"/>
  <c r="AF103" i="48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F119" i="44"/>
  <c r="AF114" i="44"/>
  <c r="AF103" i="44" s="1"/>
  <c r="AF114" i="40"/>
  <c r="AF103" i="40" s="1"/>
  <c r="AF119" i="40"/>
  <c r="AF39" i="33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F102" i="40"/>
  <c r="AF71" i="40" s="1"/>
  <c r="AF70" i="40" s="1"/>
  <c r="AE90" i="1"/>
  <c r="AE93" i="1" s="1"/>
  <c r="AE94" i="1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E91" i="32"/>
  <c r="AE91" i="41"/>
  <c r="AE93" i="41"/>
  <c r="AE94" i="41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E91" i="45"/>
  <c r="AF114" i="1"/>
  <c r="AF103" i="1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D79" i="1" l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F81" i="41"/>
  <c r="AF62" i="41" s="1"/>
  <c r="AF63" i="41" s="1"/>
  <c r="AF81" i="45"/>
  <c r="AF62" i="45" s="1"/>
  <c r="AF63" i="45" s="1"/>
  <c r="AF81" i="42"/>
  <c r="AF62" i="42" s="1"/>
  <c r="AF63" i="42" s="1"/>
  <c r="AF81" i="49"/>
  <c r="AF62" i="49" s="1"/>
  <c r="AF63" i="49" s="1"/>
  <c r="AF81" i="47"/>
  <c r="AF62" i="47" s="1"/>
  <c r="AF63" i="47" s="1"/>
  <c r="AF3" i="56"/>
  <c r="AF62" i="59"/>
  <c r="AF81" i="32"/>
  <c r="AF62" i="32" s="1"/>
  <c r="AF63" i="32" s="1"/>
  <c r="AF81" i="1"/>
  <c r="AF62" i="1" s="1"/>
  <c r="AF63" i="1" s="1"/>
  <c r="AF81" i="43"/>
  <c r="AF62" i="43" s="1"/>
  <c r="AF63" i="43" s="1"/>
  <c r="AF81" i="40"/>
  <c r="AF62" i="40" s="1"/>
  <c r="AF63" i="40" s="1"/>
  <c r="AF81" i="44"/>
  <c r="AF62" i="44" s="1"/>
  <c r="AF63" i="44" s="1"/>
  <c r="AF81" i="48"/>
  <c r="AF62" i="48" s="1"/>
  <c r="AF63" i="48" s="1"/>
  <c r="AG72" i="33"/>
  <c r="AF155" i="48" l="1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7" i="59" s="1"/>
  <c r="AF40" i="33"/>
  <c r="AF44" i="33"/>
  <c r="AG285" i="51"/>
  <c r="CX58" i="57"/>
  <c r="AG85" i="47"/>
  <c r="AF132" i="33"/>
  <c r="AF75" i="59" s="1"/>
  <c r="AF61" i="56"/>
  <c r="AG287" i="51"/>
  <c r="AG85" i="49"/>
  <c r="CX60" i="57"/>
  <c r="AG85" i="45"/>
  <c r="AG283" i="51"/>
  <c r="CX56" i="57"/>
  <c r="AG85" i="46"/>
  <c r="AG284" i="51"/>
  <c r="CX57" i="57"/>
  <c r="AG281" i="51"/>
  <c r="CX54" i="57"/>
  <c r="AG85" i="40"/>
  <c r="AG85" i="44"/>
  <c r="CX55" i="57"/>
  <c r="AG282" i="51"/>
  <c r="CX53" i="57"/>
  <c r="AG85" i="43"/>
  <c r="AG280" i="51"/>
  <c r="AG277" i="51"/>
  <c r="CX50" i="57"/>
  <c r="AG85" i="32"/>
  <c r="AF48" i="56"/>
  <c r="CX59" i="57"/>
  <c r="AG85" i="48"/>
  <c r="AG286" i="51"/>
  <c r="AF73" i="1"/>
  <c r="AG74" i="1" s="1"/>
  <c r="AF46" i="33"/>
  <c r="AF49" i="59" s="1"/>
  <c r="AF139" i="1"/>
  <c r="AG85" i="42"/>
  <c r="AG279" i="51"/>
  <c r="CX52" i="57"/>
  <c r="AG278" i="51"/>
  <c r="CX51" i="57"/>
  <c r="AG85" i="41"/>
  <c r="AF84" i="49"/>
  <c r="AF84" i="46"/>
  <c r="AF84" i="40"/>
  <c r="AF84" i="43"/>
  <c r="AF361" i="33" l="1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CX49" i="57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G77" i="1"/>
  <c r="AG39" i="33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G114" i="43"/>
  <c r="AG103" i="43" s="1"/>
  <c r="AG119" i="43"/>
  <c r="AG119" i="48"/>
  <c r="AG114" i="48"/>
  <c r="AG103" i="48" s="1"/>
  <c r="AG114" i="42"/>
  <c r="AG103" i="42" s="1"/>
  <c r="AG119" i="42"/>
  <c r="AG119" i="49"/>
  <c r="AG114" i="49"/>
  <c r="AG103" i="49" s="1"/>
  <c r="AG119" i="45"/>
  <c r="AG114" i="45"/>
  <c r="AG103" i="45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G119" i="47"/>
  <c r="AG119" i="40"/>
  <c r="AG114" i="40"/>
  <c r="AG103" i="40" s="1"/>
  <c r="AG119" i="44"/>
  <c r="AG114" i="44"/>
  <c r="AG103" i="44" s="1"/>
  <c r="AF93" i="42"/>
  <c r="AF94" i="42" s="1"/>
  <c r="AF91" i="42"/>
  <c r="AG114" i="41"/>
  <c r="AG103" i="41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F93" i="45"/>
  <c r="AF94" i="45" s="1"/>
  <c r="AF91" i="32"/>
  <c r="AF93" i="47"/>
  <c r="AF94" i="47" s="1"/>
  <c r="AF93" i="44"/>
  <c r="AF94" i="44" s="1"/>
  <c r="AF130" i="1"/>
  <c r="AF395" i="33"/>
  <c r="AF411" i="33" s="1"/>
  <c r="AF81" i="59" s="1"/>
  <c r="AF90" i="1"/>
  <c r="AF91" i="1" s="1"/>
  <c r="AF93" i="48"/>
  <c r="AF94" i="48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G121" i="45"/>
  <c r="AG124" i="45"/>
  <c r="AG121" i="48"/>
  <c r="AG124" i="48"/>
  <c r="AG121" i="46"/>
  <c r="AG124" i="46"/>
  <c r="AF91" i="43"/>
  <c r="AF93" i="43"/>
  <c r="AF94" i="43" s="1"/>
  <c r="AG114" i="1"/>
  <c r="AG103" i="1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I59" i="59"/>
  <c r="AJ62" i="33"/>
  <c r="AJ60" i="59" s="1"/>
  <c r="AG3" i="56" l="1"/>
  <c r="AG81" i="47"/>
  <c r="AG62" i="47" s="1"/>
  <c r="AG63" i="47" s="1"/>
  <c r="AG81" i="44"/>
  <c r="AG62" i="44" s="1"/>
  <c r="AG63" i="44" s="1"/>
  <c r="AG81" i="1"/>
  <c r="AG62" i="1" s="1"/>
  <c r="AG63" i="1" s="1"/>
  <c r="AG81" i="46"/>
  <c r="AG62" i="46" s="1"/>
  <c r="AG63" i="46" s="1"/>
  <c r="AG81" i="49"/>
  <c r="AG62" i="49" s="1"/>
  <c r="AG63" i="49" s="1"/>
  <c r="AG81" i="43"/>
  <c r="AG62" i="43" s="1"/>
  <c r="AG63" i="43" s="1"/>
  <c r="AG81" i="48"/>
  <c r="AG62" i="48" s="1"/>
  <c r="AG63" i="48" s="1"/>
  <c r="AG81" i="40"/>
  <c r="AG62" i="40" s="1"/>
  <c r="AG63" i="40" s="1"/>
  <c r="AG62" i="59"/>
  <c r="AG81" i="41"/>
  <c r="AG62" i="41" s="1"/>
  <c r="AG63" i="41" s="1"/>
  <c r="AG81" i="32"/>
  <c r="AG62" i="32" s="1"/>
  <c r="AG63" i="32" s="1"/>
  <c r="AG81" i="45"/>
  <c r="AG62" i="45" s="1"/>
  <c r="AG63" i="45" s="1"/>
  <c r="AG81" i="42"/>
  <c r="AG62" i="42" s="1"/>
  <c r="AG63" i="4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H106" i="1" l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CY56" i="57"/>
  <c r="CY51" i="57"/>
  <c r="AH85" i="41"/>
  <c r="AH278" i="51"/>
  <c r="AG139" i="1"/>
  <c r="AG73" i="1"/>
  <c r="AH74" i="1" s="1"/>
  <c r="AG46" i="33"/>
  <c r="AG49" i="59" s="1"/>
  <c r="CY53" i="57"/>
  <c r="AH85" i="43"/>
  <c r="AH280" i="51"/>
  <c r="CY57" i="57"/>
  <c r="AH85" i="46"/>
  <c r="AH284" i="51"/>
  <c r="AH85" i="44"/>
  <c r="AH282" i="51"/>
  <c r="CY55" i="57"/>
  <c r="AG61" i="56"/>
  <c r="AG132" i="33"/>
  <c r="AG75" i="59" s="1"/>
  <c r="AH85" i="48"/>
  <c r="AH286" i="51"/>
  <c r="CY59" i="57"/>
  <c r="CY60" i="57"/>
  <c r="AH287" i="51"/>
  <c r="AH85" i="49"/>
  <c r="AH285" i="51"/>
  <c r="CY58" i="57"/>
  <c r="AH85" i="47"/>
  <c r="AG84" i="32"/>
  <c r="AG48" i="56"/>
  <c r="AH85" i="32"/>
  <c r="AH277" i="51"/>
  <c r="CY50" i="57"/>
  <c r="AG38" i="33"/>
  <c r="AG40" i="33"/>
  <c r="AG42" i="33"/>
  <c r="AG47" i="59" s="1"/>
  <c r="AG44" i="33"/>
  <c r="AH281" i="51"/>
  <c r="CY54" i="57"/>
  <c r="AH85" i="40"/>
  <c r="AH85" i="42"/>
  <c r="AH279" i="51"/>
  <c r="CY52" i="57"/>
  <c r="AG88" i="44" l="1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CY49" i="57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H119" i="44"/>
  <c r="AH114" i="44"/>
  <c r="AH103" i="44" s="1"/>
  <c r="AH114" i="32"/>
  <c r="AH103" i="32" s="1"/>
  <c r="AH119" i="32"/>
  <c r="AG71" i="59"/>
  <c r="AF79" i="40"/>
  <c r="AG148" i="40" s="1"/>
  <c r="AH119" i="43"/>
  <c r="AH114" i="43"/>
  <c r="AH103" i="43" s="1"/>
  <c r="AH114" i="49"/>
  <c r="AH103" i="49" s="1"/>
  <c r="AH119" i="49"/>
  <c r="AH114" i="42"/>
  <c r="AH103" i="42" s="1"/>
  <c r="AH119" i="42"/>
  <c r="AH114" i="45"/>
  <c r="AH103" i="45" s="1"/>
  <c r="AH119" i="45"/>
  <c r="AH114" i="48"/>
  <c r="AH103" i="48" s="1"/>
  <c r="AH119" i="48"/>
  <c r="AH114" i="47"/>
  <c r="AH103" i="47" s="1"/>
  <c r="AH119" i="47"/>
  <c r="AG91" i="40"/>
  <c r="AG93" i="40"/>
  <c r="AG94" i="40" s="1"/>
  <c r="AF72" i="59"/>
  <c r="AF140" i="40"/>
  <c r="AH114" i="41"/>
  <c r="AH103" i="41" s="1"/>
  <c r="AH119" i="41"/>
  <c r="AH128" i="1"/>
  <c r="AH77" i="1"/>
  <c r="AH39" i="33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H119" i="40"/>
  <c r="AH114" i="40"/>
  <c r="AH103" i="40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G204" i="51"/>
  <c r="AG220" i="51" s="1"/>
  <c r="AG130" i="1"/>
  <c r="AG93" i="45"/>
  <c r="AG94" i="45" s="1"/>
  <c r="AG93" i="42"/>
  <c r="AG94" i="42" s="1"/>
  <c r="AG93" i="44"/>
  <c r="AG94" i="44" s="1"/>
  <c r="AG91" i="43"/>
  <c r="AG91" i="49"/>
  <c r="AG91" i="48"/>
  <c r="AG93" i="47"/>
  <c r="AG94" i="47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F137" i="1" l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J59" i="59"/>
  <c r="AK62" i="33"/>
  <c r="AK60" i="59" s="1"/>
  <c r="AH81" i="40" l="1"/>
  <c r="AH62" i="40" s="1"/>
  <c r="AH63" i="40" s="1"/>
  <c r="AH81" i="32"/>
  <c r="AH62" i="32" s="1"/>
  <c r="AH63" i="32" s="1"/>
  <c r="AH81" i="48"/>
  <c r="AH62" i="48" s="1"/>
  <c r="AH63" i="48" s="1"/>
  <c r="AH81" i="43"/>
  <c r="AH62" i="43" s="1"/>
  <c r="AH63" i="43" s="1"/>
  <c r="AH3" i="56"/>
  <c r="AH81" i="41"/>
  <c r="AH62" i="41" s="1"/>
  <c r="AH63" i="41" s="1"/>
  <c r="AH81" i="1"/>
  <c r="AH62" i="1" s="1"/>
  <c r="AH63" i="1" s="1"/>
  <c r="AH81" i="44"/>
  <c r="AH62" i="44" s="1"/>
  <c r="AH63" i="44" s="1"/>
  <c r="AH81" i="45"/>
  <c r="AH62" i="45" s="1"/>
  <c r="AH63" i="45" s="1"/>
  <c r="AH81" i="47"/>
  <c r="AH62" i="47" s="1"/>
  <c r="AH63" i="47" s="1"/>
  <c r="AH81" i="46"/>
  <c r="AH62" i="46" s="1"/>
  <c r="AH63" i="46" s="1"/>
  <c r="AH62" i="59"/>
  <c r="AH81" i="42"/>
  <c r="AH62" i="42" s="1"/>
  <c r="AH63" i="42" s="1"/>
  <c r="AH81" i="49"/>
  <c r="AH62" i="49" s="1"/>
  <c r="AH63" i="49" s="1"/>
  <c r="AI72" i="33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7" i="59" s="1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88" i="40" l="1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CZ49" i="57"/>
  <c r="CZ61" i="57" s="1"/>
  <c r="AI49" i="33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H91" i="41"/>
  <c r="AI119" i="45"/>
  <c r="AI114" i="45"/>
  <c r="AI103" i="45" s="1"/>
  <c r="AI114" i="49"/>
  <c r="AI103" i="49" s="1"/>
  <c r="AI119" i="49"/>
  <c r="AI119" i="47"/>
  <c r="AI114" i="47"/>
  <c r="AI103" i="47" s="1"/>
  <c r="AI50" i="32"/>
  <c r="AI50" i="40"/>
  <c r="AI50" i="43"/>
  <c r="AI50" i="42"/>
  <c r="AI50" i="46"/>
  <c r="AI50" i="44"/>
  <c r="AI50" i="49"/>
  <c r="AI50" i="48"/>
  <c r="AI50" i="47"/>
  <c r="AI50" i="41"/>
  <c r="AH77" i="59"/>
  <c r="AI50" i="45"/>
  <c r="AI119" i="46"/>
  <c r="AI114" i="46"/>
  <c r="AI103" i="46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I119" i="48"/>
  <c r="AI114" i="48"/>
  <c r="AI103" i="48" s="1"/>
  <c r="AH93" i="49"/>
  <c r="AH94" i="49" s="1"/>
  <c r="AH91" i="49"/>
  <c r="AI119" i="32"/>
  <c r="AI114" i="32"/>
  <c r="AI103" i="32" s="1"/>
  <c r="AH87" i="1"/>
  <c r="AH51" i="33" s="1"/>
  <c r="AH52" i="59" s="1"/>
  <c r="AH352" i="33"/>
  <c r="AH88" i="1"/>
  <c r="AH48" i="33"/>
  <c r="AI114" i="43"/>
  <c r="AI103" i="43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H91" i="43"/>
  <c r="AH93" i="43"/>
  <c r="AH94" i="43" s="1"/>
  <c r="AH91" i="44"/>
  <c r="AH93" i="44"/>
  <c r="AH94" i="44" s="1"/>
  <c r="AI114" i="40"/>
  <c r="AI103" i="40" s="1"/>
  <c r="AI119" i="40"/>
  <c r="AI114" i="44"/>
  <c r="AI103" i="44" s="1"/>
  <c r="AI119" i="44"/>
  <c r="AI119" i="41"/>
  <c r="AI114" i="41"/>
  <c r="AI103" i="41" s="1"/>
  <c r="AI39" i="33"/>
  <c r="AH91" i="46"/>
  <c r="AH93" i="46"/>
  <c r="AH94" i="46" s="1"/>
  <c r="AH91" i="40" l="1"/>
  <c r="AG79" i="40"/>
  <c r="AH148" i="40" s="1"/>
  <c r="AH91" i="32"/>
  <c r="AH93" i="42"/>
  <c r="AH94" i="4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H91" i="47"/>
  <c r="AI115" i="46"/>
  <c r="AI262" i="33" s="1"/>
  <c r="AI115" i="49"/>
  <c r="AI265" i="33" s="1"/>
  <c r="AI306" i="51" l="1"/>
  <c r="AI310" i="51"/>
  <c r="AI353" i="5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254" i="33"/>
  <c r="AI124" i="33"/>
  <c r="AI101" i="33" s="1"/>
  <c r="AI155" i="33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209" i="33"/>
  <c r="AI224" i="33" s="1"/>
  <c r="AI45" i="33"/>
  <c r="AI228" i="33"/>
  <c r="AI225" i="33"/>
  <c r="AI231" i="33"/>
  <c r="AI232" i="33"/>
  <c r="AI235" i="33"/>
  <c r="AI5" i="59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J4" i="56"/>
  <c r="AJ58" i="59"/>
  <c r="AI81" i="43" l="1"/>
  <c r="AI62" i="43" s="1"/>
  <c r="AI63" i="43" s="1"/>
  <c r="AI81" i="42"/>
  <c r="AI62" i="42" s="1"/>
  <c r="AI63" i="42" s="1"/>
  <c r="AI81" i="46"/>
  <c r="AI62" i="46" s="1"/>
  <c r="AI63" i="46" s="1"/>
  <c r="AI62" i="59"/>
  <c r="AI81" i="49"/>
  <c r="AI62" i="49" s="1"/>
  <c r="AI63" i="49" s="1"/>
  <c r="AI81" i="47"/>
  <c r="AI62" i="47" s="1"/>
  <c r="AI63" i="47" s="1"/>
  <c r="AI81" i="44"/>
  <c r="AI62" i="44" s="1"/>
  <c r="AI63" i="44" s="1"/>
  <c r="AI81" i="45"/>
  <c r="AI62" i="45" s="1"/>
  <c r="AI63" i="45" s="1"/>
  <c r="AI81" i="48"/>
  <c r="AI62" i="48" s="1"/>
  <c r="AI63" i="48" s="1"/>
  <c r="AI81" i="40"/>
  <c r="AI62" i="40" s="1"/>
  <c r="AI63" i="40" s="1"/>
  <c r="AI3" i="56"/>
  <c r="AI81" i="32"/>
  <c r="AI62" i="32" s="1"/>
  <c r="AI63" i="32" s="1"/>
  <c r="AI81" i="41"/>
  <c r="AI62" i="41" s="1"/>
  <c r="AI63" i="41" s="1"/>
  <c r="AJ72" i="33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J90" i="33" l="1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43"/>
  <c r="AI65" i="43" s="1"/>
  <c r="AI68" i="43" s="1"/>
  <c r="AI155" i="43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46" i="33"/>
  <c r="AI49" i="59" s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7" i="59" s="1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360" i="33" l="1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49" i="33"/>
  <c r="AJ51" i="59" s="1"/>
  <c r="DA49" i="57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I130" i="46"/>
  <c r="AH129" i="46"/>
  <c r="AH131" i="46" s="1"/>
  <c r="AH140" i="46" s="1"/>
  <c r="AI207" i="51"/>
  <c r="AI223" i="51" s="1"/>
  <c r="AI90" i="42"/>
  <c r="AI93" i="42" s="1"/>
  <c r="AI94" i="4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51" i="33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J119" i="32"/>
  <c r="AI71" i="59"/>
  <c r="AH79" i="40"/>
  <c r="AI148" i="40" s="1"/>
  <c r="AI93" i="40"/>
  <c r="AI94" i="40" s="1"/>
  <c r="AI91" i="40"/>
  <c r="AJ119" i="49"/>
  <c r="AJ114" i="49"/>
  <c r="AJ103" i="49" s="1"/>
  <c r="AI91" i="43"/>
  <c r="AI93" i="43"/>
  <c r="AI94" i="43" s="1"/>
  <c r="AJ114" i="43"/>
  <c r="AJ103" i="43" s="1"/>
  <c r="AJ119" i="43"/>
  <c r="AI91" i="48"/>
  <c r="AI93" i="48"/>
  <c r="AI94" i="48" s="1"/>
  <c r="AJ114" i="48"/>
  <c r="AJ103" i="48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J119" i="46"/>
  <c r="AJ119" i="42"/>
  <c r="AJ114" i="42"/>
  <c r="AJ103" i="42" s="1"/>
  <c r="AI93" i="41"/>
  <c r="AI94" i="41" s="1"/>
  <c r="AI91" i="41"/>
  <c r="AJ114" i="41"/>
  <c r="AJ103" i="41" s="1"/>
  <c r="AJ119" i="41"/>
  <c r="AI91" i="44"/>
  <c r="AI93" i="44"/>
  <c r="AI94" i="44" s="1"/>
  <c r="AJ114" i="44"/>
  <c r="AJ103" i="44" s="1"/>
  <c r="AJ119" i="44"/>
  <c r="AJ50" i="43"/>
  <c r="AJ50" i="41"/>
  <c r="AJ50" i="47"/>
  <c r="AJ50" i="42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J119" i="45"/>
  <c r="AJ114" i="47"/>
  <c r="AJ103" i="47" s="1"/>
  <c r="AJ119" i="47"/>
  <c r="AH129" i="1"/>
  <c r="AI204" i="51"/>
  <c r="AI220" i="51" s="1"/>
  <c r="AJ114" i="40"/>
  <c r="AJ103" i="40" s="1"/>
  <c r="AJ119" i="40"/>
  <c r="AI93" i="47"/>
  <c r="AI94" i="47" s="1"/>
  <c r="AI91" i="47"/>
  <c r="AJ39" i="33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5" i="40"/>
  <c r="AJ259" i="33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69" i="59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I91" i="32"/>
  <c r="AJ115" i="43"/>
  <c r="AJ258" i="33" s="1"/>
  <c r="AJ115" i="49"/>
  <c r="AJ265" i="33" s="1"/>
  <c r="AJ124" i="49"/>
  <c r="AJ121" i="49"/>
  <c r="AJ121" i="32"/>
  <c r="AJ124" i="32"/>
  <c r="AJ310" i="51" l="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254" i="33"/>
  <c r="AJ155" i="33"/>
  <c r="AJ124" i="33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209" i="33"/>
  <c r="AJ45" i="33"/>
  <c r="AJ234" i="33"/>
  <c r="AJ231" i="33"/>
  <c r="AJ5" i="59"/>
  <c r="AJ56" i="33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32"/>
  <c r="AK106" i="32" s="1"/>
  <c r="AK109" i="32" s="1"/>
  <c r="AK107" i="48"/>
  <c r="AK106" i="48" s="1"/>
  <c r="AK109" i="48" s="1"/>
  <c r="AJ81" i="43"/>
  <c r="AJ62" i="43" s="1"/>
  <c r="AJ63" i="43" s="1"/>
  <c r="AJ81" i="45"/>
  <c r="AJ62" i="45" s="1"/>
  <c r="AJ63" i="45" s="1"/>
  <c r="AJ81" i="49"/>
  <c r="AJ62" i="49" s="1"/>
  <c r="AJ63" i="49" s="1"/>
  <c r="AJ81" i="48"/>
  <c r="AJ62" i="48" s="1"/>
  <c r="AJ63" i="48" s="1"/>
  <c r="AJ81" i="44"/>
  <c r="AJ62" i="44" s="1"/>
  <c r="AJ63" i="44" s="1"/>
  <c r="AJ62" i="59"/>
  <c r="AJ81" i="40"/>
  <c r="AJ62" i="40" s="1"/>
  <c r="AJ63" i="40" s="1"/>
  <c r="AJ81" i="46"/>
  <c r="AJ62" i="46" s="1"/>
  <c r="AJ63" i="46" s="1"/>
  <c r="AJ81" i="32"/>
  <c r="AJ62" i="32" s="1"/>
  <c r="AJ63" i="32" s="1"/>
  <c r="AJ81" i="41"/>
  <c r="AJ62" i="41" s="1"/>
  <c r="AJ63" i="41" s="1"/>
  <c r="AJ81" i="47"/>
  <c r="AJ62" i="47" s="1"/>
  <c r="AJ63" i="47" s="1"/>
  <c r="AJ81" i="42"/>
  <c r="AJ62" i="42" s="1"/>
  <c r="AJ63" i="42" s="1"/>
  <c r="AJ3" i="56"/>
  <c r="AK72" i="33"/>
  <c r="AJ37" i="56" l="1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64" i="43"/>
  <c r="AJ65" i="43" s="1"/>
  <c r="AJ68" i="43" s="1"/>
  <c r="AJ155" i="43"/>
  <c r="AJ43" i="33" l="1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7" i="59" s="1"/>
  <c r="AJ40" i="33"/>
  <c r="AJ44" i="33"/>
  <c r="AJ355" i="33" l="1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DB49" i="57"/>
  <c r="DB61" i="57" s="1"/>
  <c r="AK276" i="51"/>
  <c r="AK288" i="51" s="1"/>
  <c r="AK290" i="51" s="1"/>
  <c r="AK49" i="33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51" i="33"/>
  <c r="AJ52" i="59" s="1"/>
  <c r="AJ352" i="33"/>
  <c r="AK50" i="49"/>
  <c r="AK50" i="32"/>
  <c r="AK50" i="45"/>
  <c r="AJ77" i="59"/>
  <c r="AK50" i="40"/>
  <c r="AK50" i="42"/>
  <c r="AK50" i="41"/>
  <c r="AK50" i="43"/>
  <c r="AK50" i="48"/>
  <c r="AK50" i="47"/>
  <c r="AK50" i="44"/>
  <c r="AK50" i="46"/>
  <c r="AJ204" i="51"/>
  <c r="AJ220" i="51" s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J91" i="44"/>
  <c r="AK114" i="49"/>
  <c r="AK103" i="49" s="1"/>
  <c r="AK119" i="49"/>
  <c r="AK114" i="43"/>
  <c r="AK103" i="43" s="1"/>
  <c r="AK119" i="43"/>
  <c r="AK39" i="33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K119" i="47"/>
  <c r="AK114" i="44"/>
  <c r="AK103" i="44" s="1"/>
  <c r="AK119" i="44"/>
  <c r="AK114" i="40"/>
  <c r="AK103" i="40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J91" i="41"/>
  <c r="AK119" i="41"/>
  <c r="AK114" i="41"/>
  <c r="AK103" i="41" s="1"/>
  <c r="AJ93" i="43"/>
  <c r="AJ94" i="43" s="1"/>
  <c r="AJ91" i="43"/>
  <c r="AK114" i="45"/>
  <c r="AK103" i="45" s="1"/>
  <c r="AK119" i="45"/>
  <c r="AJ93" i="42"/>
  <c r="AJ94" i="42" s="1"/>
  <c r="AJ91" i="42"/>
  <c r="AK119" i="46"/>
  <c r="AK114" i="46"/>
  <c r="AK103" i="46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K119" i="32"/>
  <c r="AK119" i="48"/>
  <c r="AK114" i="48"/>
  <c r="AK103" i="48" s="1"/>
  <c r="AK119" i="42"/>
  <c r="AK114" i="42"/>
  <c r="AK103" i="4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J93" i="32"/>
  <c r="AJ94" i="3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24" i="43"/>
  <c r="AK121" i="43"/>
  <c r="AK115" i="43"/>
  <c r="AK258" i="33" s="1"/>
  <c r="AK124" i="49"/>
  <c r="AK121" i="49"/>
  <c r="AJ91" i="46"/>
  <c r="AJ93" i="46"/>
  <c r="AJ94" i="46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J91" i="47"/>
  <c r="AK121" i="40"/>
  <c r="AK124" i="40"/>
  <c r="AK115" i="44"/>
  <c r="AK260" i="33" s="1"/>
  <c r="AJ93" i="48"/>
  <c r="AJ94" i="48" s="1"/>
  <c r="AJ91" i="48"/>
  <c r="AK115" i="49"/>
  <c r="AK265" i="33" s="1"/>
  <c r="AJ69" i="59"/>
  <c r="AK310" i="51" l="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4" i="33"/>
  <c r="AK101" i="33" s="1"/>
  <c r="AK155" i="33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K101" i="43"/>
  <c r="AK213" i="33" s="1"/>
  <c r="AK66" i="43"/>
  <c r="AK67" i="43" s="1"/>
  <c r="AK116" i="43"/>
  <c r="AK86" i="43"/>
  <c r="AK159" i="33"/>
  <c r="AK243" i="33" s="1"/>
  <c r="AK254" i="33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5" i="59"/>
  <c r="AK56" i="33"/>
  <c r="AK225" i="33"/>
  <c r="AK233" i="33"/>
  <c r="AK235" i="33"/>
  <c r="AK209" i="33"/>
  <c r="AK45" i="33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45"/>
  <c r="AL106" i="45" s="1"/>
  <c r="AL109" i="45" s="1"/>
  <c r="AK81" i="42"/>
  <c r="AK62" i="42" s="1"/>
  <c r="AK63" i="42" s="1"/>
  <c r="AK81" i="46"/>
  <c r="AK62" i="46" s="1"/>
  <c r="AK63" i="46" s="1"/>
  <c r="AK81" i="45"/>
  <c r="AK62" i="45" s="1"/>
  <c r="AK63" i="45" s="1"/>
  <c r="AK3" i="56"/>
  <c r="AK81" i="41"/>
  <c r="AK62" i="41" s="1"/>
  <c r="AK63" i="41" s="1"/>
  <c r="AK81" i="47"/>
  <c r="AK62" i="47" s="1"/>
  <c r="AK63" i="47" s="1"/>
  <c r="AK81" i="32"/>
  <c r="AK62" i="32" s="1"/>
  <c r="AK63" i="32" s="1"/>
  <c r="AK81" i="43"/>
  <c r="AK62" i="43" s="1"/>
  <c r="AK63" i="43" s="1"/>
  <c r="AK81" i="48"/>
  <c r="AK62" i="48" s="1"/>
  <c r="AK63" i="48" s="1"/>
  <c r="AK81" i="40"/>
  <c r="AK62" i="40" s="1"/>
  <c r="AK63" i="40" s="1"/>
  <c r="AK81" i="49"/>
  <c r="AK62" i="49" s="1"/>
  <c r="AK63" i="49" s="1"/>
  <c r="AK81" i="44"/>
  <c r="AK62" i="44" s="1"/>
  <c r="AK63" i="44" s="1"/>
  <c r="AK62" i="59"/>
  <c r="AL72" i="33"/>
  <c r="AK64" i="49" l="1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K139" i="42" l="1"/>
  <c r="AK73" i="42"/>
  <c r="AL74" i="42" s="1"/>
  <c r="AK43" i="33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7" i="59" s="1"/>
  <c r="AK40" i="33"/>
  <c r="AK44" i="33"/>
  <c r="AL61" i="42"/>
  <c r="DC52" i="57" s="1"/>
  <c r="AL279" i="51"/>
  <c r="AL85" i="42"/>
  <c r="AK88" i="47" l="1"/>
  <c r="AK90" i="47" s="1"/>
  <c r="AK88" i="44"/>
  <c r="AK90" i="44" s="1"/>
  <c r="AK87" i="47"/>
  <c r="AK48" i="33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DC49" i="57"/>
  <c r="DC61" i="57" s="1"/>
  <c r="AL49" i="33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51" i="33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K90" i="45"/>
  <c r="AK91" i="45" s="1"/>
  <c r="AK91" i="43"/>
  <c r="AK93" i="43"/>
  <c r="AK94" i="43" s="1"/>
  <c r="AL119" i="32"/>
  <c r="AL114" i="32"/>
  <c r="AL103" i="32" s="1"/>
  <c r="AL50" i="43"/>
  <c r="AL50" i="32"/>
  <c r="AL50" i="48"/>
  <c r="AK77" i="59"/>
  <c r="AL50" i="42"/>
  <c r="AL50" i="49"/>
  <c r="AL50" i="44"/>
  <c r="AL50" i="47"/>
  <c r="AL50" i="45"/>
  <c r="AL50" i="46"/>
  <c r="AL50" i="41"/>
  <c r="AL50" i="40"/>
  <c r="AL119" i="46"/>
  <c r="AL114" i="46"/>
  <c r="AL103" i="46" s="1"/>
  <c r="AK91" i="32"/>
  <c r="AK93" i="32"/>
  <c r="AK94" i="32" s="1"/>
  <c r="AL114" i="49"/>
  <c r="AL103" i="49" s="1"/>
  <c r="AL119" i="49"/>
  <c r="AK91" i="44"/>
  <c r="AK93" i="44"/>
  <c r="AK94" i="44" s="1"/>
  <c r="AL39" i="33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L119" i="42"/>
  <c r="AL114" i="42"/>
  <c r="AL103" i="42" s="1"/>
  <c r="AK93" i="42"/>
  <c r="AK94" i="42" s="1"/>
  <c r="AK91" i="42"/>
  <c r="AK93" i="41"/>
  <c r="AK94" i="41" s="1"/>
  <c r="AK91" i="41"/>
  <c r="AL114" i="41"/>
  <c r="AL103" i="41" s="1"/>
  <c r="AL119" i="41"/>
  <c r="AK93" i="47"/>
  <c r="AK94" i="47" s="1"/>
  <c r="AK91" i="47"/>
  <c r="AL114" i="44"/>
  <c r="AL103" i="44" s="1"/>
  <c r="AL119" i="44"/>
  <c r="AL114" i="40"/>
  <c r="AL103" i="40" s="1"/>
  <c r="AL119" i="40"/>
  <c r="AL288" i="51"/>
  <c r="AL290" i="51" s="1"/>
  <c r="AL114" i="43"/>
  <c r="AL103" i="43" s="1"/>
  <c r="AL119" i="43"/>
  <c r="AK93" i="46"/>
  <c r="AK94" i="46" s="1"/>
  <c r="AK91" i="46"/>
  <c r="AL114" i="45"/>
  <c r="AL103" i="45" s="1"/>
  <c r="AL119" i="45"/>
  <c r="AL114" i="47"/>
  <c r="AL103" i="47" s="1"/>
  <c r="AL119" i="47"/>
  <c r="AJ72" i="59"/>
  <c r="AJ140" i="40"/>
  <c r="AK204" i="51" l="1"/>
  <c r="AK220" i="51" s="1"/>
  <c r="AK93" i="49"/>
  <c r="AK94" i="49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K91" i="48"/>
  <c r="AL121" i="49"/>
  <c r="AL124" i="49"/>
  <c r="AL115" i="49"/>
  <c r="AL115" i="32"/>
  <c r="AK69" i="59" l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4" i="33"/>
  <c r="AL101" i="33" s="1"/>
  <c r="AL155" i="33"/>
  <c r="AL101" i="42"/>
  <c r="AL212" i="33" s="1"/>
  <c r="AL66" i="42"/>
  <c r="AL67" i="42" s="1"/>
  <c r="AL116" i="42"/>
  <c r="AL157" i="33"/>
  <c r="AL241" i="33" s="1"/>
  <c r="AL86" i="41"/>
  <c r="AJ70" i="59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231" i="33"/>
  <c r="AL230" i="33"/>
  <c r="AL235" i="33"/>
  <c r="AL5" i="59"/>
  <c r="AL56" i="33"/>
  <c r="AL308" i="51"/>
  <c r="AL310" i="51" s="1"/>
  <c r="AL306" i="51"/>
  <c r="AL45" i="33"/>
  <c r="AL209" i="33"/>
  <c r="AL224" i="33" s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O62" i="33"/>
  <c r="AO60" i="59" s="1"/>
  <c r="AN59" i="59"/>
  <c r="AM91" i="33"/>
  <c r="AM9" i="55"/>
  <c r="AM107" i="46" l="1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L81" i="40"/>
  <c r="AL62" i="40" s="1"/>
  <c r="AL63" i="40" s="1"/>
  <c r="AL81" i="48"/>
  <c r="AL62" i="48" s="1"/>
  <c r="AL63" i="48" s="1"/>
  <c r="AL81" i="32"/>
  <c r="AL62" i="32" s="1"/>
  <c r="AL63" i="32" s="1"/>
  <c r="AL81" i="47"/>
  <c r="AL62" i="47" s="1"/>
  <c r="AL63" i="47" s="1"/>
  <c r="AL81" i="46"/>
  <c r="AL62" i="46" s="1"/>
  <c r="AL63" i="46" s="1"/>
  <c r="AL81" i="49"/>
  <c r="AL62" i="49" s="1"/>
  <c r="AL63" i="49" s="1"/>
  <c r="AL81" i="42"/>
  <c r="AL62" i="42" s="1"/>
  <c r="AL63" i="42" s="1"/>
  <c r="AL81" i="44"/>
  <c r="AL62" i="44" s="1"/>
  <c r="AL63" i="44" s="1"/>
  <c r="AL81" i="41"/>
  <c r="AL62" i="41" s="1"/>
  <c r="AL63" i="41" s="1"/>
  <c r="AL62" i="59"/>
  <c r="AL3" i="56"/>
  <c r="AL81" i="45"/>
  <c r="AL62" i="45" s="1"/>
  <c r="AL63" i="45" s="1"/>
  <c r="AM72" i="33"/>
  <c r="AL155" i="45" l="1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7" i="59" s="1"/>
  <c r="AL40" i="33"/>
  <c r="AL44" i="33"/>
  <c r="AL87" i="42" l="1"/>
  <c r="AL88" i="44"/>
  <c r="AL130" i="44" s="1"/>
  <c r="AL352" i="33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49" i="33"/>
  <c r="AM51" i="59" s="1"/>
  <c r="DD49" i="57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51" i="33"/>
  <c r="AL52" i="59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L130" i="45"/>
  <c r="AM297" i="51"/>
  <c r="AM291" i="51"/>
  <c r="AM296" i="51"/>
  <c r="AM298" i="51"/>
  <c r="AM292" i="51"/>
  <c r="AM114" i="48"/>
  <c r="AM103" i="48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M114" i="32"/>
  <c r="AM103" i="32" s="1"/>
  <c r="AM119" i="32"/>
  <c r="AM50" i="43"/>
  <c r="AM50" i="32"/>
  <c r="AM50" i="45"/>
  <c r="AM50" i="47"/>
  <c r="AM50" i="49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M293" i="51"/>
  <c r="AM300" i="51"/>
  <c r="AM294" i="51"/>
  <c r="AM39" i="33"/>
  <c r="AM114" i="42"/>
  <c r="AM103" i="42" s="1"/>
  <c r="AM119" i="42"/>
  <c r="AL50" i="59"/>
  <c r="AM119" i="47"/>
  <c r="AM114" i="47"/>
  <c r="AM103" i="47" s="1"/>
  <c r="AL91" i="48"/>
  <c r="AL93" i="48"/>
  <c r="AL94" i="48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M119" i="40"/>
  <c r="AM114" i="40"/>
  <c r="AM103" i="40" s="1"/>
  <c r="AM119" i="49"/>
  <c r="AM114" i="49"/>
  <c r="AM103" i="49" s="1"/>
  <c r="AM114" i="46"/>
  <c r="AM103" i="46" s="1"/>
  <c r="AM119" i="46"/>
  <c r="AL93" i="41"/>
  <c r="AL94" i="41" s="1"/>
  <c r="AL91" i="41"/>
  <c r="AM299" i="51"/>
  <c r="AM301" i="51"/>
  <c r="AM295" i="51"/>
  <c r="AL93" i="42" l="1"/>
  <c r="AL94" i="42" s="1"/>
  <c r="AL93" i="44"/>
  <c r="AL94" i="44" s="1"/>
  <c r="AL369" i="33"/>
  <c r="AL375" i="33" s="1"/>
  <c r="AL376" i="33" s="1"/>
  <c r="AL87" i="33"/>
  <c r="AL53" i="33"/>
  <c r="AL54" i="59" s="1"/>
  <c r="AL204" i="51"/>
  <c r="AL220" i="51" s="1"/>
  <c r="AK72" i="59"/>
  <c r="AL69" i="59"/>
  <c r="AL93" i="46"/>
  <c r="AL94" i="46" s="1"/>
  <c r="AL91" i="45"/>
  <c r="AL93" i="40"/>
  <c r="AL94" i="40" s="1"/>
  <c r="AL93" i="47"/>
  <c r="AL94" i="47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L91" i="49"/>
  <c r="AM115" i="47"/>
  <c r="AM121" i="47"/>
  <c r="AM124" i="47"/>
  <c r="AM121" i="42"/>
  <c r="AM124" i="42"/>
  <c r="AM115" i="42"/>
  <c r="AL91" i="32"/>
  <c r="AL93" i="32"/>
  <c r="AL94" i="3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M121" i="48"/>
  <c r="AM124" i="48"/>
  <c r="AK70" i="59" l="1"/>
  <c r="AM101" i="43"/>
  <c r="AM213" i="33" s="1"/>
  <c r="AM66" i="43"/>
  <c r="AM67" i="43" s="1"/>
  <c r="AM116" i="43"/>
  <c r="AM86" i="46"/>
  <c r="AM163" i="33"/>
  <c r="AM247" i="33" s="1"/>
  <c r="AM155" i="33"/>
  <c r="AM124" i="33"/>
  <c r="AM101" i="33" s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M229" i="33" l="1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45" i="33"/>
  <c r="AM209" i="33"/>
  <c r="AM235" i="33"/>
  <c r="AM231" i="33"/>
  <c r="AM233" i="33"/>
  <c r="AM227" i="33"/>
  <c r="AM5" i="59" l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48"/>
  <c r="AN106" i="48" s="1"/>
  <c r="AN109" i="48" s="1"/>
  <c r="AM81" i="41"/>
  <c r="AM62" i="41" s="1"/>
  <c r="AM63" i="41" s="1"/>
  <c r="AM81" i="32"/>
  <c r="AM62" i="32" s="1"/>
  <c r="AM63" i="32" s="1"/>
  <c r="AM81" i="45"/>
  <c r="AM62" i="45" s="1"/>
  <c r="AM63" i="45" s="1"/>
  <c r="AM81" i="43"/>
  <c r="AM62" i="43" s="1"/>
  <c r="AM63" i="43" s="1"/>
  <c r="AM62" i="59"/>
  <c r="AM81" i="48"/>
  <c r="AM62" i="48" s="1"/>
  <c r="AM63" i="48" s="1"/>
  <c r="AM81" i="44"/>
  <c r="AM62" i="44" s="1"/>
  <c r="AM63" i="44" s="1"/>
  <c r="AM81" i="46"/>
  <c r="AM62" i="46" s="1"/>
  <c r="AM63" i="46" s="1"/>
  <c r="AM81" i="47"/>
  <c r="AM62" i="47" s="1"/>
  <c r="AM63" i="47" s="1"/>
  <c r="AM81" i="49"/>
  <c r="AM62" i="49" s="1"/>
  <c r="AM63" i="49" s="1"/>
  <c r="AM81" i="42"/>
  <c r="AM62" i="42" s="1"/>
  <c r="AM63" i="42" s="1"/>
  <c r="AM3" i="56"/>
  <c r="AM81" i="40"/>
  <c r="AM62" i="40" s="1"/>
  <c r="AM63" i="40" s="1"/>
  <c r="AN72" i="33"/>
  <c r="AM64" i="40" l="1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N97" i="33"/>
  <c r="AN83" i="33"/>
  <c r="AN90" i="33"/>
  <c r="AN96" i="33" l="1"/>
  <c r="AN104" i="33" s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46" i="33"/>
  <c r="AM49" i="59" s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7" i="59" s="1"/>
  <c r="AM40" i="33"/>
  <c r="AM44" i="33"/>
  <c r="AM354" i="33" l="1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48" i="33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DE49" i="57"/>
  <c r="DE61" i="57" s="1"/>
  <c r="AN49" i="33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51" i="33"/>
  <c r="AM52" i="59" s="1"/>
  <c r="AM90" i="46"/>
  <c r="AM93" i="46" s="1"/>
  <c r="AM94" i="46" s="1"/>
  <c r="AM130" i="46"/>
  <c r="AL129" i="46"/>
  <c r="AL131" i="46" s="1"/>
  <c r="AL140" i="46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N114" i="40"/>
  <c r="AN103" i="40" s="1"/>
  <c r="AN119" i="40"/>
  <c r="AM91" i="41"/>
  <c r="AM93" i="41"/>
  <c r="AM94" i="41" s="1"/>
  <c r="AN114" i="49"/>
  <c r="AN103" i="49" s="1"/>
  <c r="AN119" i="49"/>
  <c r="AN119" i="47"/>
  <c r="AN114" i="47"/>
  <c r="AN103" i="47" s="1"/>
  <c r="AM93" i="44"/>
  <c r="AM94" i="44" s="1"/>
  <c r="AM91" i="44"/>
  <c r="AN119" i="45"/>
  <c r="AN114" i="45"/>
  <c r="AN103" i="45" s="1"/>
  <c r="AN114" i="32"/>
  <c r="AN103" i="32" s="1"/>
  <c r="AN119" i="32"/>
  <c r="AM91" i="40"/>
  <c r="AM93" i="40"/>
  <c r="AM94" i="40" s="1"/>
  <c r="AL72" i="59"/>
  <c r="AL140" i="40"/>
  <c r="AN114" i="48"/>
  <c r="AN103" i="48" s="1"/>
  <c r="AN119" i="48"/>
  <c r="AN119" i="44"/>
  <c r="AN114" i="44"/>
  <c r="AN103" i="44" s="1"/>
  <c r="AN119" i="42"/>
  <c r="AN114" i="42"/>
  <c r="AN103" i="42" s="1"/>
  <c r="AN114" i="41"/>
  <c r="AN103" i="41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N50" i="32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N39" i="33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M71" i="59"/>
  <c r="AL79" i="40"/>
  <c r="AM148" i="40" s="1"/>
  <c r="AM91" i="32" l="1"/>
  <c r="AM91" i="42"/>
  <c r="AM91" i="46"/>
  <c r="AM93" i="43"/>
  <c r="AM94" i="43" s="1"/>
  <c r="AM69" i="59"/>
  <c r="AN102" i="46"/>
  <c r="AN71" i="46" s="1"/>
  <c r="AN70" i="46" s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M93" i="49"/>
  <c r="AM94" i="49" s="1"/>
  <c r="AN102" i="41"/>
  <c r="AN102" i="32"/>
  <c r="AN304" i="51"/>
  <c r="AN308" i="51" s="1"/>
  <c r="AN305" i="51"/>
  <c r="AN309" i="51" s="1"/>
  <c r="AM93" i="48"/>
  <c r="AM94" i="48" s="1"/>
  <c r="AM91" i="48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N306" i="51" l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55" i="33"/>
  <c r="AN124" i="33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5" i="59"/>
  <c r="AN56" i="33"/>
  <c r="AN233" i="33"/>
  <c r="AN225" i="33"/>
  <c r="AN229" i="33"/>
  <c r="AN45" i="33"/>
  <c r="AN209" i="33"/>
  <c r="AN224" i="33" s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N62" i="59"/>
  <c r="AN81" i="48"/>
  <c r="AN62" i="48" s="1"/>
  <c r="AN63" i="48" s="1"/>
  <c r="AN81" i="49"/>
  <c r="AN62" i="49" s="1"/>
  <c r="AN63" i="49" s="1"/>
  <c r="AN81" i="43"/>
  <c r="AN62" i="43" s="1"/>
  <c r="AN63" i="43" s="1"/>
  <c r="AN81" i="41"/>
  <c r="AN62" i="41" s="1"/>
  <c r="AN63" i="41" s="1"/>
  <c r="AN81" i="47"/>
  <c r="AN62" i="47" s="1"/>
  <c r="AN63" i="47" s="1"/>
  <c r="AN3" i="56"/>
  <c r="AN81" i="40"/>
  <c r="AN62" i="40" s="1"/>
  <c r="AN63" i="40" s="1"/>
  <c r="AN81" i="44"/>
  <c r="AN62" i="44" s="1"/>
  <c r="AN63" i="44" s="1"/>
  <c r="AN81" i="42"/>
  <c r="AN62" i="42" s="1"/>
  <c r="AN63" i="42" s="1"/>
  <c r="AN81" i="32"/>
  <c r="AN62" i="32" s="1"/>
  <c r="AN63" i="32" s="1"/>
  <c r="AN81" i="45"/>
  <c r="AN62" i="45" s="1"/>
  <c r="AN63" i="45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359" i="33" l="1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358" i="33"/>
  <c r="AN87" i="44"/>
  <c r="AN88" i="44"/>
  <c r="AN356" i="33"/>
  <c r="AN87" i="43"/>
  <c r="AN88" i="43"/>
  <c r="AO128" i="41"/>
  <c r="AO112" i="41"/>
  <c r="AO78" i="41"/>
  <c r="AO77" i="41"/>
  <c r="AO276" i="51"/>
  <c r="AO49" i="33"/>
  <c r="AO51" i="59" s="1"/>
  <c r="DF49" i="57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O119" i="47"/>
  <c r="AO114" i="43"/>
  <c r="AO103" i="43" s="1"/>
  <c r="AO119" i="43"/>
  <c r="AO119" i="32"/>
  <c r="AO114" i="32"/>
  <c r="AO103" i="32" s="1"/>
  <c r="AO39" i="33"/>
  <c r="AO288" i="51"/>
  <c r="AO290" i="51" s="1"/>
  <c r="AO114" i="41"/>
  <c r="AO103" i="41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48" i="33"/>
  <c r="AN51" i="33"/>
  <c r="AN52" i="59" s="1"/>
  <c r="AN352" i="33"/>
  <c r="AN91" i="47"/>
  <c r="AN93" i="47"/>
  <c r="AN94" i="47" s="1"/>
  <c r="AO114" i="45"/>
  <c r="AO103" i="45" s="1"/>
  <c r="AO119" i="45"/>
  <c r="AN71" i="59"/>
  <c r="AM79" i="40"/>
  <c r="AN148" i="40" s="1"/>
  <c r="AO119" i="40"/>
  <c r="AO114" i="40"/>
  <c r="AO103" i="40" s="1"/>
  <c r="AO114" i="42"/>
  <c r="AO103" i="42" s="1"/>
  <c r="AO119" i="42"/>
  <c r="AO119" i="49"/>
  <c r="AO114" i="49"/>
  <c r="AO103" i="49" s="1"/>
  <c r="AO119" i="46"/>
  <c r="AO114" i="46"/>
  <c r="AO103" i="46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N91" i="42"/>
  <c r="AN93" i="45"/>
  <c r="AN94" i="45" s="1"/>
  <c r="AN91" i="45"/>
  <c r="AO114" i="44"/>
  <c r="AO103" i="44" s="1"/>
  <c r="AO119" i="44"/>
  <c r="AN93" i="46"/>
  <c r="AN94" i="46" s="1"/>
  <c r="AN91" i="46"/>
  <c r="AM140" i="40"/>
  <c r="AM72" i="59"/>
  <c r="AN91" i="40"/>
  <c r="AN93" i="40"/>
  <c r="AN94" i="40" s="1"/>
  <c r="AO50" i="32"/>
  <c r="AO50" i="44"/>
  <c r="AO50" i="45"/>
  <c r="AO50" i="42"/>
  <c r="AN77" i="59"/>
  <c r="AO50" i="46"/>
  <c r="AO50" i="49"/>
  <c r="AO50" i="48"/>
  <c r="AO50" i="43"/>
  <c r="AO50" i="40"/>
  <c r="AO50" i="47"/>
  <c r="AO50" i="41"/>
  <c r="AO114" i="48"/>
  <c r="AO103" i="48" s="1"/>
  <c r="AO119" i="48"/>
  <c r="AN93" i="32" l="1"/>
  <c r="AN94" i="3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O102" i="32"/>
  <c r="AO102" i="41"/>
  <c r="AN93" i="43"/>
  <c r="AN94" i="43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204" i="51"/>
  <c r="AN220" i="51" s="1"/>
  <c r="AN91" i="44"/>
  <c r="AN93" i="44"/>
  <c r="AN94" i="44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5" i="32"/>
  <c r="AO115" i="43"/>
  <c r="AO124" i="47"/>
  <c r="AO121" i="47"/>
  <c r="AO304" i="51" l="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55" i="33"/>
  <c r="AO124" i="33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N69" i="59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O227" i="33"/>
  <c r="AO231" i="33"/>
  <c r="AO225" i="33"/>
  <c r="AO228" i="33"/>
  <c r="AO306" i="51"/>
  <c r="AO5" i="59"/>
  <c r="AO56" i="33"/>
  <c r="AO209" i="33"/>
  <c r="AO224" i="33" s="1"/>
  <c r="AO45" i="33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O81" i="41"/>
  <c r="AO62" i="41" s="1"/>
  <c r="AO63" i="41" s="1"/>
  <c r="AO81" i="42"/>
  <c r="AO62" i="42" s="1"/>
  <c r="AO63" i="42" s="1"/>
  <c r="AO81" i="40"/>
  <c r="AO62" i="40" s="1"/>
  <c r="AO63" i="40" s="1"/>
  <c r="AO81" i="44"/>
  <c r="AO62" i="44" s="1"/>
  <c r="AO63" i="44" s="1"/>
  <c r="AO81" i="49"/>
  <c r="AO62" i="49" s="1"/>
  <c r="AO63" i="49" s="1"/>
  <c r="AO62" i="59"/>
  <c r="AO3" i="56"/>
  <c r="AO81" i="48"/>
  <c r="AO62" i="48" s="1"/>
  <c r="AO63" i="48" s="1"/>
  <c r="AO81" i="32"/>
  <c r="AO62" i="32" s="1"/>
  <c r="AO63" i="32" s="1"/>
  <c r="AO81" i="43"/>
  <c r="AO62" i="43" s="1"/>
  <c r="AO63" i="43" s="1"/>
  <c r="AO81" i="46"/>
  <c r="AO62" i="46" s="1"/>
  <c r="AO63" i="46" s="1"/>
  <c r="AO81" i="45"/>
  <c r="AO62" i="45" s="1"/>
  <c r="AO63" i="45" s="1"/>
  <c r="AO81" i="47"/>
  <c r="AO62" i="47" s="1"/>
  <c r="AO63" i="47" s="1"/>
  <c r="AP72" i="33"/>
  <c r="AO155" i="47" l="1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97" i="33"/>
  <c r="AP83" i="33"/>
  <c r="AP90" i="33"/>
  <c r="AP64" i="59"/>
  <c r="AO155" i="45"/>
  <c r="AO64" i="45"/>
  <c r="AO65" i="45" s="1"/>
  <c r="AO68" i="45" s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 i="33"/>
  <c r="AO356" i="33"/>
  <c r="AO88" i="48"/>
  <c r="AO130" i="48" s="1"/>
  <c r="AO87" i="32"/>
  <c r="AO88" i="32"/>
  <c r="AN129" i="32" s="1"/>
  <c r="AN131" i="32" s="1"/>
  <c r="AN140" i="32" s="1"/>
  <c r="AO352" i="33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DG49" i="57"/>
  <c r="DG61" i="57" s="1"/>
  <c r="AP49" i="33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214" i="51" l="1"/>
  <c r="AO230" i="51" s="1"/>
  <c r="AO48" i="33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51" i="33"/>
  <c r="AO52" i="59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P114" i="49"/>
  <c r="AP103" i="49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P119" i="43"/>
  <c r="AP114" i="43"/>
  <c r="AP103" i="43" s="1"/>
  <c r="AO93" i="44"/>
  <c r="AO94" i="44" s="1"/>
  <c r="AO91" i="44"/>
  <c r="B92" i="44" s="1"/>
  <c r="AP119" i="45"/>
  <c r="AP114" i="45"/>
  <c r="AP103" i="45" s="1"/>
  <c r="AP119" i="48"/>
  <c r="AP114" i="48"/>
  <c r="AP103" i="48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O91" i="47"/>
  <c r="B92" i="47" s="1"/>
  <c r="AP114" i="46"/>
  <c r="AP103" i="46" s="1"/>
  <c r="AP119" i="46"/>
  <c r="AP288" i="51"/>
  <c r="AP290" i="51" s="1"/>
  <c r="AP114" i="41"/>
  <c r="AP103" i="41" s="1"/>
  <c r="AP119" i="41"/>
  <c r="AO93" i="46"/>
  <c r="AO94" i="46" s="1"/>
  <c r="AO91" i="46"/>
  <c r="B92" i="46" s="1"/>
  <c r="AO91" i="43"/>
  <c r="B92" i="43" s="1"/>
  <c r="AO93" i="43"/>
  <c r="AO94" i="43" s="1"/>
  <c r="AP119" i="42"/>
  <c r="AP114" i="42"/>
  <c r="AP103" i="42" s="1"/>
  <c r="AP119" i="32"/>
  <c r="AP114" i="32"/>
  <c r="AP103" i="32" s="1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O77" i="59"/>
  <c r="AO93" i="49"/>
  <c r="AO94" i="49" s="1"/>
  <c r="AO91" i="49"/>
  <c r="B92" i="49" s="1"/>
  <c r="AP114" i="40"/>
  <c r="AP103" i="40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O93" i="41"/>
  <c r="AO94" i="41" s="1"/>
  <c r="AO93" i="42"/>
  <c r="AO94" i="42" s="1"/>
  <c r="AO93" i="48"/>
  <c r="AO94" i="48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O91" i="45"/>
  <c r="B92" i="45" s="1"/>
  <c r="AP115" i="49"/>
  <c r="AP115" i="44"/>
  <c r="B92" i="1" l="1"/>
  <c r="B74" i="33" s="1"/>
  <c r="AO69" i="59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4" i="33"/>
  <c r="AP101" i="33" s="1"/>
  <c r="AP155" i="33"/>
  <c r="AN70" i="59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45" i="33"/>
  <c r="AP209" i="33"/>
  <c r="AP226" i="33"/>
  <c r="AP229" i="33"/>
  <c r="AP225" i="33"/>
  <c r="AP306" i="51"/>
  <c r="AP308" i="51"/>
  <c r="AP310" i="51" s="1"/>
  <c r="AP228" i="33"/>
  <c r="AP233" i="33"/>
  <c r="AP184" i="33" l="1"/>
  <c r="AP113" i="33" s="1"/>
  <c r="AP167" i="33"/>
  <c r="AP239" i="33"/>
  <c r="AP251" i="33" s="1"/>
  <c r="AP48" i="59"/>
  <c r="AP5" i="59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P62" i="59"/>
  <c r="AP81" i="45"/>
  <c r="AP62" i="45" s="1"/>
  <c r="AP63" i="45" s="1"/>
  <c r="AP81" i="46"/>
  <c r="AP62" i="46" s="1"/>
  <c r="AP63" i="46" s="1"/>
  <c r="AP81" i="32"/>
  <c r="AP62" i="32" s="1"/>
  <c r="AP63" i="32" s="1"/>
  <c r="AP81" i="40"/>
  <c r="AP62" i="40" s="1"/>
  <c r="AP63" i="40" s="1"/>
  <c r="AP81" i="41"/>
  <c r="AP62" i="41" s="1"/>
  <c r="AP63" i="41" s="1"/>
  <c r="AP81" i="47"/>
  <c r="AP62" i="47" s="1"/>
  <c r="AP63" i="47" s="1"/>
  <c r="AP81" i="42"/>
  <c r="AP62" i="42" s="1"/>
  <c r="AP63" i="42" s="1"/>
  <c r="AP81" i="48"/>
  <c r="AP62" i="48" s="1"/>
  <c r="AP63" i="48" s="1"/>
  <c r="AP3" i="56"/>
  <c r="AP81" i="44"/>
  <c r="AP62" i="44" s="1"/>
  <c r="AP63" i="44" s="1"/>
  <c r="AP81" i="43"/>
  <c r="AP62" i="43" s="1"/>
  <c r="AP63" i="43" s="1"/>
  <c r="AQ72" i="33"/>
  <c r="AP64" i="43" l="1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45"/>
  <c r="AP64" i="45"/>
  <c r="AP65" i="45" s="1"/>
  <c r="AP68" i="45" s="1"/>
  <c r="AP64" i="49"/>
  <c r="AP65" i="49" s="1"/>
  <c r="AP68" i="49" s="1"/>
  <c r="AP155" i="49"/>
  <c r="AQ97" i="33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96" i="33"/>
  <c r="AQ104" i="33" s="1"/>
  <c r="AP139" i="45"/>
  <c r="AP73" i="45"/>
  <c r="AQ74" i="45" s="1"/>
  <c r="AP43" i="33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7" i="59" s="1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46" i="33"/>
  <c r="AP49" i="59" s="1"/>
  <c r="AQ280" i="51"/>
  <c r="AQ61" i="43"/>
  <c r="DH53" i="57" s="1"/>
  <c r="AQ85" i="43"/>
  <c r="AQ85" i="41"/>
  <c r="AQ61" i="41"/>
  <c r="DH51" i="57" s="1"/>
  <c r="AQ278" i="51"/>
  <c r="AP84" i="45"/>
  <c r="AP88" i="49" l="1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352" i="33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DH49" i="57"/>
  <c r="DH61" i="57" s="1"/>
  <c r="AQ49" i="33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51" i="33"/>
  <c r="AP52" i="59" s="1"/>
  <c r="AP48" i="33"/>
  <c r="AP87" i="33" s="1"/>
  <c r="AO129" i="42"/>
  <c r="AO131" i="42" s="1"/>
  <c r="AO140" i="42" s="1"/>
  <c r="AP132" i="42"/>
  <c r="AP133" i="42" s="1"/>
  <c r="AP134" i="42" s="1"/>
  <c r="AO79" i="42" s="1"/>
  <c r="AP148" i="42" s="1"/>
  <c r="AQ50" i="46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P93" i="47"/>
  <c r="AP94" i="47" s="1"/>
  <c r="AP91" i="47"/>
  <c r="AQ119" i="47"/>
  <c r="AQ114" i="47"/>
  <c r="AQ103" i="47" s="1"/>
  <c r="AQ114" i="41"/>
  <c r="AQ103" i="41" s="1"/>
  <c r="AQ119" i="41"/>
  <c r="AQ119" i="48"/>
  <c r="AQ114" i="48"/>
  <c r="AQ103" i="48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Q119" i="32"/>
  <c r="AQ288" i="51"/>
  <c r="AQ290" i="51" s="1"/>
  <c r="AQ39" i="33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P91" i="48"/>
  <c r="AQ119" i="45"/>
  <c r="AQ114" i="45"/>
  <c r="AQ103" i="45" s="1"/>
  <c r="AQ119" i="49"/>
  <c r="AQ114" i="49"/>
  <c r="AQ103" i="49" s="1"/>
  <c r="AQ119" i="42"/>
  <c r="AQ114" i="42"/>
  <c r="AQ103" i="42" s="1"/>
  <c r="AP91" i="44"/>
  <c r="AP93" i="44"/>
  <c r="AP94" i="44" s="1"/>
  <c r="AQ119" i="44"/>
  <c r="AQ114" i="44"/>
  <c r="AQ103" i="44" s="1"/>
  <c r="AQ119" i="43"/>
  <c r="AQ114" i="43"/>
  <c r="AQ103" i="43" s="1"/>
  <c r="AQ119" i="46"/>
  <c r="AQ114" i="46"/>
  <c r="AQ103" i="46" s="1"/>
  <c r="AQ114" i="40"/>
  <c r="AQ103" i="40" s="1"/>
  <c r="AQ119" i="40"/>
  <c r="AP91" i="41"/>
  <c r="AP93" i="41"/>
  <c r="AP94" i="41" s="1"/>
  <c r="AO140" i="40" l="1"/>
  <c r="AP93" i="40"/>
  <c r="AP94" i="40" s="1"/>
  <c r="AP91" i="49"/>
  <c r="AP204" i="51"/>
  <c r="AP220" i="51" s="1"/>
  <c r="AP93" i="46"/>
  <c r="AP94" i="46" s="1"/>
  <c r="AP52" i="33"/>
  <c r="AP53" i="59" s="1"/>
  <c r="AP93" i="42"/>
  <c r="AP94" i="4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Q102" i="4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Q124" i="48"/>
  <c r="AQ121" i="48"/>
  <c r="AQ121" i="41"/>
  <c r="AQ124" i="4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P91" i="45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Q305" i="51" l="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24" i="33"/>
  <c r="AQ101" i="33" s="1"/>
  <c r="AQ155" i="33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5" i="59"/>
  <c r="AQ56" i="33"/>
  <c r="AQ229" i="33"/>
  <c r="AQ232" i="33"/>
  <c r="AQ230" i="33"/>
  <c r="AQ226" i="33"/>
  <c r="AQ209" i="33"/>
  <c r="AQ224" i="33" s="1"/>
  <c r="AQ45" i="33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Q81" i="41"/>
  <c r="AQ62" i="41" s="1"/>
  <c r="AQ63" i="41" s="1"/>
  <c r="AQ81" i="49"/>
  <c r="AQ62" i="49" s="1"/>
  <c r="AQ63" i="49" s="1"/>
  <c r="AQ81" i="45"/>
  <c r="AQ62" i="45" s="1"/>
  <c r="AQ63" i="45" s="1"/>
  <c r="AQ81" i="48"/>
  <c r="AQ62" i="48" s="1"/>
  <c r="AQ63" i="48" s="1"/>
  <c r="AQ81" i="44"/>
  <c r="AQ62" i="44" s="1"/>
  <c r="AQ63" i="44" s="1"/>
  <c r="AQ3" i="56"/>
  <c r="AQ81" i="42"/>
  <c r="AQ62" i="42" s="1"/>
  <c r="AQ63" i="42" s="1"/>
  <c r="AQ81" i="43"/>
  <c r="AQ62" i="43" s="1"/>
  <c r="AQ63" i="43" s="1"/>
  <c r="AQ81" i="46"/>
  <c r="AQ62" i="46" s="1"/>
  <c r="AQ63" i="46" s="1"/>
  <c r="AQ81" i="32"/>
  <c r="AQ62" i="32" s="1"/>
  <c r="AQ63" i="32" s="1"/>
  <c r="AQ81" i="47"/>
  <c r="AQ62" i="47" s="1"/>
  <c r="AQ63" i="47" s="1"/>
  <c r="AQ62" i="59"/>
  <c r="AR72" i="33"/>
  <c r="AQ155" i="32" l="1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7" i="59" s="1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88" i="32" l="1"/>
  <c r="AP129" i="32" s="1"/>
  <c r="AP131" i="32" s="1"/>
  <c r="AP140" i="32" s="1"/>
  <c r="AQ87" i="43"/>
  <c r="AQ87" i="44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DI49" i="57"/>
  <c r="DI61" i="57" s="1"/>
  <c r="AR49" i="33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Q48" i="33"/>
  <c r="AQ87" i="33" s="1"/>
  <c r="AQ130" i="41"/>
  <c r="AQ130" i="45"/>
  <c r="AQ90" i="45"/>
  <c r="AQ93" i="45" s="1"/>
  <c r="AQ94" i="45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Q91" i="40"/>
  <c r="AP72" i="59"/>
  <c r="AP140" i="40"/>
  <c r="AR39" i="33"/>
  <c r="AQ91" i="43"/>
  <c r="AQ93" i="43"/>
  <c r="AQ94" i="43" s="1"/>
  <c r="AR119" i="44"/>
  <c r="AR114" i="44"/>
  <c r="AR103" i="44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R114" i="48"/>
  <c r="AR103" i="48" s="1"/>
  <c r="AR119" i="48"/>
  <c r="AR114" i="40"/>
  <c r="AR103" i="40" s="1"/>
  <c r="AR119" i="40"/>
  <c r="AR291" i="51"/>
  <c r="AR294" i="51"/>
  <c r="AR293" i="51"/>
  <c r="AQ93" i="41"/>
  <c r="AQ94" i="41" s="1"/>
  <c r="AQ91" i="41"/>
  <c r="AR114" i="41"/>
  <c r="AR103" i="41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R119" i="43"/>
  <c r="AR114" i="43"/>
  <c r="AR103" i="43" s="1"/>
  <c r="AR50" i="42"/>
  <c r="AR50" i="47"/>
  <c r="AR50" i="43"/>
  <c r="AQ77" i="59"/>
  <c r="AR50" i="44"/>
  <c r="AR50" i="49"/>
  <c r="AR50" i="41"/>
  <c r="AR50" i="48"/>
  <c r="AR50" i="32"/>
  <c r="AR50" i="40"/>
  <c r="AR50" i="46"/>
  <c r="AR50" i="45"/>
  <c r="AR114" i="47"/>
  <c r="AR103" i="47" s="1"/>
  <c r="AR119" i="47"/>
  <c r="AQ93" i="48"/>
  <c r="AQ94" i="48" s="1"/>
  <c r="AQ91" i="48"/>
  <c r="AR119" i="49"/>
  <c r="AR114" i="49"/>
  <c r="AR103" i="49" s="1"/>
  <c r="AR119" i="46"/>
  <c r="AR114" i="46"/>
  <c r="AR103" i="46" s="1"/>
  <c r="AR119" i="42"/>
  <c r="AR114" i="42"/>
  <c r="AR103" i="42" s="1"/>
  <c r="AQ93" i="44"/>
  <c r="AQ94" i="44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204" i="51"/>
  <c r="AQ220" i="51" s="1"/>
  <c r="AQ369" i="33"/>
  <c r="AQ375" i="33" s="1"/>
  <c r="AQ376" i="33" s="1"/>
  <c r="AQ53" i="33"/>
  <c r="AQ54" i="59" s="1"/>
  <c r="AQ93" i="49"/>
  <c r="AQ94" i="49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R115" i="44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Q91" i="47"/>
  <c r="AR121" i="41"/>
  <c r="AR124" i="41"/>
  <c r="AR115" i="41"/>
  <c r="AR115" i="40"/>
  <c r="AR115" i="45"/>
  <c r="AR124" i="45"/>
  <c r="AR121" i="45"/>
  <c r="AR124" i="44"/>
  <c r="AR121" i="44"/>
  <c r="AR86" i="44" l="1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24" i="33"/>
  <c r="AR101" i="33" s="1"/>
  <c r="AR155" i="33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5" i="59"/>
  <c r="AR227" i="33"/>
  <c r="AR226" i="33"/>
  <c r="AR229" i="33"/>
  <c r="AR45" i="33"/>
  <c r="AR209" i="33"/>
  <c r="AR224" i="33" s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S58" i="59"/>
  <c r="AS4" i="56"/>
  <c r="AR81" i="43" l="1"/>
  <c r="AR62" i="43" s="1"/>
  <c r="AR63" i="43" s="1"/>
  <c r="AR81" i="40"/>
  <c r="AR62" i="40" s="1"/>
  <c r="AR63" i="40" s="1"/>
  <c r="AR81" i="48"/>
  <c r="AR62" i="48" s="1"/>
  <c r="AR63" i="48" s="1"/>
  <c r="AR3" i="56"/>
  <c r="AR62" i="59"/>
  <c r="AR81" i="32"/>
  <c r="AR62" i="32" s="1"/>
  <c r="AR63" i="32" s="1"/>
  <c r="AR81" i="44"/>
  <c r="AR62" i="44" s="1"/>
  <c r="AR63" i="44" s="1"/>
  <c r="AR81" i="49"/>
  <c r="AR62" i="49" s="1"/>
  <c r="AR63" i="49" s="1"/>
  <c r="AR81" i="47"/>
  <c r="AR62" i="47" s="1"/>
  <c r="AR63" i="47" s="1"/>
  <c r="AR81" i="45"/>
  <c r="AR62" i="45" s="1"/>
  <c r="AR63" i="45" s="1"/>
  <c r="AR81" i="41"/>
  <c r="AR62" i="41" s="1"/>
  <c r="AR63" i="41" s="1"/>
  <c r="AR81" i="46"/>
  <c r="AR62" i="46" s="1"/>
  <c r="AR63" i="46" s="1"/>
  <c r="AR81" i="42"/>
  <c r="AR62" i="42" s="1"/>
  <c r="AR63" i="4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S83" i="33" l="1"/>
  <c r="AS90" i="33"/>
  <c r="AS97" i="33"/>
  <c r="AS64" i="59"/>
  <c r="AR64" i="46"/>
  <c r="AR65" i="46" s="1"/>
  <c r="AR68" i="46" s="1"/>
  <c r="AR155" i="46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7" i="59" s="1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49" i="33"/>
  <c r="AS51" i="59" s="1"/>
  <c r="DJ49" i="57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90" i="32" l="1"/>
  <c r="AR93" i="32" s="1"/>
  <c r="AR94" i="3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R48" i="33"/>
  <c r="AR51" i="33"/>
  <c r="AR52" i="59" s="1"/>
  <c r="AS114" i="42"/>
  <c r="AS103" i="42" s="1"/>
  <c r="AS119" i="42"/>
  <c r="AR91" i="41"/>
  <c r="AR93" i="41"/>
  <c r="AR94" i="41" s="1"/>
  <c r="AS114" i="45"/>
  <c r="AS103" i="45" s="1"/>
  <c r="AS119" i="45"/>
  <c r="AR93" i="43"/>
  <c r="AR94" i="43" s="1"/>
  <c r="AR91" i="43"/>
  <c r="AR77" i="59"/>
  <c r="AS50" i="44"/>
  <c r="AS50" i="47"/>
  <c r="AS50" i="32"/>
  <c r="AS50" i="4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R91" i="47"/>
  <c r="AS288" i="51"/>
  <c r="AS114" i="44"/>
  <c r="AS103" i="44" s="1"/>
  <c r="AS119" i="44"/>
  <c r="AR91" i="48"/>
  <c r="AR93" i="48"/>
  <c r="AR94" i="48" s="1"/>
  <c r="AS119" i="46"/>
  <c r="AS114" i="46"/>
  <c r="AS103" i="46" s="1"/>
  <c r="AS119" i="49"/>
  <c r="AS114" i="49"/>
  <c r="AS103" i="49" s="1"/>
  <c r="AS114" i="32"/>
  <c r="AS103" i="32" s="1"/>
  <c r="AS119" i="32"/>
  <c r="AQ72" i="59"/>
  <c r="AQ140" i="40"/>
  <c r="AS119" i="41"/>
  <c r="AS114" i="41"/>
  <c r="AS103" i="41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R91" i="49"/>
  <c r="AR93" i="49"/>
  <c r="AR94" i="49" s="1"/>
  <c r="AS39" i="33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S119" i="40"/>
  <c r="AS114" i="40"/>
  <c r="AS103" i="40" s="1"/>
  <c r="AS119" i="48"/>
  <c r="AS114" i="48"/>
  <c r="AS103" i="48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R204" i="51"/>
  <c r="AR220" i="51" s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R91" i="46"/>
  <c r="AS115" i="47"/>
  <c r="AR91" i="42"/>
  <c r="AR93" i="42"/>
  <c r="AR94" i="42" s="1"/>
  <c r="AS115" i="41"/>
  <c r="AS115" i="32"/>
  <c r="AS115" i="46"/>
  <c r="AS124" i="46"/>
  <c r="AS121" i="46"/>
  <c r="AS121" i="44"/>
  <c r="AS124" i="44"/>
  <c r="AR93" i="45"/>
  <c r="AR94" i="45" s="1"/>
  <c r="AR91" i="45"/>
  <c r="AR91" i="44"/>
  <c r="AR93" i="44"/>
  <c r="AR94" i="44" s="1"/>
  <c r="AS124" i="42"/>
  <c r="AS121" i="42"/>
  <c r="AS115" i="42"/>
  <c r="AS290" i="51"/>
  <c r="AS66" i="42" l="1"/>
  <c r="AS67" i="42" s="1"/>
  <c r="AS101" i="42"/>
  <c r="AS212" i="33" s="1"/>
  <c r="AS116" i="42"/>
  <c r="AS158" i="33"/>
  <c r="AS242" i="33" s="1"/>
  <c r="AS86" i="42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24" i="33"/>
  <c r="AS101" i="33" s="1"/>
  <c r="AS155" i="33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45" i="33"/>
  <c r="AS209" i="33"/>
  <c r="AS224" i="33" s="1"/>
  <c r="AS228" i="33"/>
  <c r="AS225" i="33"/>
  <c r="AS230" i="33"/>
  <c r="AS231" i="33"/>
  <c r="AS308" i="51"/>
  <c r="AS310" i="51" s="1"/>
  <c r="AS306" i="51"/>
  <c r="AS5" i="59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T58" i="59"/>
  <c r="AT4" i="56"/>
  <c r="AV62" i="33"/>
  <c r="AV60" i="59" s="1"/>
  <c r="AU59" i="59"/>
  <c r="AS81" i="44" l="1"/>
  <c r="AS62" i="44" s="1"/>
  <c r="AS63" i="44" s="1"/>
  <c r="AS81" i="49"/>
  <c r="AS62" i="49" s="1"/>
  <c r="AS63" i="49" s="1"/>
  <c r="AS81" i="42"/>
  <c r="AS62" i="42" s="1"/>
  <c r="AS63" i="42" s="1"/>
  <c r="AS81" i="43"/>
  <c r="AS62" i="43" s="1"/>
  <c r="AS63" i="43" s="1"/>
  <c r="AS62" i="59"/>
  <c r="AS81" i="41"/>
  <c r="AS62" i="41" s="1"/>
  <c r="AS63" i="41" s="1"/>
  <c r="AS81" i="47"/>
  <c r="AS62" i="47" s="1"/>
  <c r="AS63" i="47" s="1"/>
  <c r="AS81" i="48"/>
  <c r="AS62" i="48" s="1"/>
  <c r="AS63" i="48" s="1"/>
  <c r="AS81" i="45"/>
  <c r="AS62" i="45" s="1"/>
  <c r="AS63" i="45" s="1"/>
  <c r="AS81" i="46"/>
  <c r="AS62" i="46" s="1"/>
  <c r="AS63" i="46" s="1"/>
  <c r="AS81" i="32"/>
  <c r="AS62" i="32" s="1"/>
  <c r="AS63" i="32" s="1"/>
  <c r="AS81" i="40"/>
  <c r="AS62" i="40" s="1"/>
  <c r="AS63" i="40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T64" i="59" l="1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42"/>
  <c r="AS64" i="42"/>
  <c r="AS65" i="42" s="1"/>
  <c r="AS68" i="42" s="1"/>
  <c r="AS64" i="44"/>
  <c r="AS65" i="44" s="1"/>
  <c r="AS68" i="44" s="1"/>
  <c r="AS155" i="44"/>
  <c r="AT97" i="33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96" i="33"/>
  <c r="AT104" i="33" s="1"/>
  <c r="AS73" i="42"/>
  <c r="AT74" i="42" s="1"/>
  <c r="AS139" i="42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87" i="43" l="1"/>
  <c r="AS87" i="44"/>
  <c r="AS87" i="46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49" i="33"/>
  <c r="AT51" i="59" s="1"/>
  <c r="DK49" i="57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51" i="33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T119" i="45"/>
  <c r="AS91" i="46"/>
  <c r="AS93" i="46"/>
  <c r="AS94" i="46" s="1"/>
  <c r="AS91" i="43"/>
  <c r="AS93" i="43"/>
  <c r="AS94" i="43" s="1"/>
  <c r="AS93" i="42"/>
  <c r="AS94" i="42" s="1"/>
  <c r="AS91" i="42"/>
  <c r="AT119" i="42"/>
  <c r="AT114" i="42"/>
  <c r="AT103" i="42" s="1"/>
  <c r="AT39" i="33"/>
  <c r="AT288" i="51"/>
  <c r="AT290" i="51" s="1"/>
  <c r="AS91" i="44"/>
  <c r="AS93" i="44"/>
  <c r="AS94" i="44" s="1"/>
  <c r="AT114" i="41"/>
  <c r="AT103" i="41" s="1"/>
  <c r="AT119" i="41"/>
  <c r="AS91" i="45"/>
  <c r="AS93" i="45"/>
  <c r="AS94" i="45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S91" i="32"/>
  <c r="AT119" i="32"/>
  <c r="AT114" i="32"/>
  <c r="AT103" i="32" s="1"/>
  <c r="AT119" i="48"/>
  <c r="AT114" i="48"/>
  <c r="AT103" i="48" s="1"/>
  <c r="AT114" i="47"/>
  <c r="AT103" i="47" s="1"/>
  <c r="AT119" i="47"/>
  <c r="AT114" i="40"/>
  <c r="AT103" i="40" s="1"/>
  <c r="AT119" i="40"/>
  <c r="AT50" i="41"/>
  <c r="AT50" i="46"/>
  <c r="AT50" i="42"/>
  <c r="AT50" i="32"/>
  <c r="AS77" i="59"/>
  <c r="AT50" i="44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S93" i="47"/>
  <c r="AS94" i="47" s="1"/>
  <c r="AS91" i="47"/>
  <c r="AT114" i="46"/>
  <c r="AT103" i="46" s="1"/>
  <c r="AT119" i="46"/>
  <c r="AT114" i="44"/>
  <c r="AT103" i="44" s="1"/>
  <c r="AT119" i="44"/>
  <c r="AT119" i="43"/>
  <c r="AT114" i="43"/>
  <c r="AT103" i="43" s="1"/>
  <c r="AT119" i="49"/>
  <c r="AT114" i="49"/>
  <c r="AT103" i="49" s="1"/>
  <c r="AS50" i="59" l="1"/>
  <c r="AS87" i="33"/>
  <c r="AS369" i="33"/>
  <c r="AS375" i="33" s="1"/>
  <c r="AS376" i="33" s="1"/>
  <c r="AS53" i="33"/>
  <c r="AS54" i="59" s="1"/>
  <c r="AS93" i="40"/>
  <c r="AS94" i="40" s="1"/>
  <c r="AS93" i="49"/>
  <c r="AS94" i="49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3" i="41"/>
  <c r="AS94" i="41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T115" i="47"/>
  <c r="AT115" i="32"/>
  <c r="AT121" i="32"/>
  <c r="AT124" i="32"/>
  <c r="AT124" i="41"/>
  <c r="AT121" i="41"/>
  <c r="AT115" i="42"/>
  <c r="AT124" i="42"/>
  <c r="AT121" i="42"/>
  <c r="AT124" i="45"/>
  <c r="AT121" i="45"/>
  <c r="AT305" i="51" l="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24" i="33"/>
  <c r="AT101" i="33" s="1"/>
  <c r="AT155" i="33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45" i="33"/>
  <c r="AT209" i="33"/>
  <c r="AT224" i="33" s="1"/>
  <c r="AT229" i="33"/>
  <c r="AT228" i="33"/>
  <c r="AT56" i="33"/>
  <c r="AT5" i="59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45"/>
  <c r="AU106" i="45" s="1"/>
  <c r="AU109" i="45" s="1"/>
  <c r="AU107" i="43"/>
  <c r="AU106" i="43" s="1"/>
  <c r="AU109" i="43" s="1"/>
  <c r="AT81" i="45"/>
  <c r="AT62" i="45" s="1"/>
  <c r="AT63" i="45" s="1"/>
  <c r="AT81" i="49"/>
  <c r="AT62" i="49" s="1"/>
  <c r="AT63" i="49" s="1"/>
  <c r="AT81" i="40"/>
  <c r="AT62" i="40" s="1"/>
  <c r="AT63" i="40" s="1"/>
  <c r="AT81" i="44"/>
  <c r="AT62" i="44" s="1"/>
  <c r="AT63" i="44" s="1"/>
  <c r="AT81" i="47"/>
  <c r="AT62" i="47" s="1"/>
  <c r="AT63" i="47" s="1"/>
  <c r="AT81" i="48"/>
  <c r="AT62" i="48" s="1"/>
  <c r="AT63" i="48" s="1"/>
  <c r="AT81" i="46"/>
  <c r="AT62" i="46" s="1"/>
  <c r="AT63" i="46" s="1"/>
  <c r="AT81" i="43"/>
  <c r="AT62" i="43" s="1"/>
  <c r="AT63" i="43" s="1"/>
  <c r="AT62" i="59"/>
  <c r="AT3" i="56"/>
  <c r="AT81" i="42"/>
  <c r="AT62" i="42" s="1"/>
  <c r="AT63" i="42" s="1"/>
  <c r="AT81" i="32"/>
  <c r="AT62" i="32" s="1"/>
  <c r="AT63" i="32" s="1"/>
  <c r="AT81" i="41"/>
  <c r="AT62" i="41" s="1"/>
  <c r="AT63" i="41" s="1"/>
  <c r="AU72" i="33"/>
  <c r="AT155" i="32" l="1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88" i="40" l="1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49" i="33"/>
  <c r="AU51" i="59" s="1"/>
  <c r="DL49" i="57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U50" i="40"/>
  <c r="AU50" i="43"/>
  <c r="AU50" i="46"/>
  <c r="AU50" i="42"/>
  <c r="AU50" i="47"/>
  <c r="AU50" i="45"/>
  <c r="AT77" i="59"/>
  <c r="AU50" i="41"/>
  <c r="AU50" i="48"/>
  <c r="AU50" i="44"/>
  <c r="AU50" i="49"/>
  <c r="AU50" i="32"/>
  <c r="AT93" i="45"/>
  <c r="AT94" i="45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T51" i="33"/>
  <c r="AT52" i="59" s="1"/>
  <c r="AT48" i="33"/>
  <c r="AT91" i="32"/>
  <c r="AT93" i="32"/>
  <c r="AT94" i="32" s="1"/>
  <c r="AU119" i="32"/>
  <c r="AU114" i="32"/>
  <c r="AU103" i="3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U119" i="44"/>
  <c r="AU291" i="51"/>
  <c r="AU301" i="51"/>
  <c r="AU295" i="51"/>
  <c r="AU119" i="49"/>
  <c r="AU114" i="49"/>
  <c r="AU103" i="49" s="1"/>
  <c r="AU119" i="46"/>
  <c r="AU114" i="46"/>
  <c r="AU103" i="46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39" i="33"/>
  <c r="AU114" i="48"/>
  <c r="AU103" i="48" s="1"/>
  <c r="AU119" i="48"/>
  <c r="AT91" i="49"/>
  <c r="AT93" i="49"/>
  <c r="AT94" i="49" s="1"/>
  <c r="AU119" i="42"/>
  <c r="AU114" i="42"/>
  <c r="AU103" i="42" s="1"/>
  <c r="AU114" i="45"/>
  <c r="AU103" i="45" s="1"/>
  <c r="AU119" i="45"/>
  <c r="AU119" i="41"/>
  <c r="AU114" i="41"/>
  <c r="AU103" i="41" s="1"/>
  <c r="AU119" i="47"/>
  <c r="AU114" i="47"/>
  <c r="AU103" i="47" s="1"/>
  <c r="AU294" i="51"/>
  <c r="AU298" i="51"/>
  <c r="AU300" i="51"/>
  <c r="AU296" i="51"/>
  <c r="AT93" i="40" l="1"/>
  <c r="AT94" i="40" s="1"/>
  <c r="AT91" i="43"/>
  <c r="AT93" i="46"/>
  <c r="AT94" i="46" s="1"/>
  <c r="AT93" i="42"/>
  <c r="AT94" i="4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T91" i="44"/>
  <c r="AT93" i="44"/>
  <c r="AT94" i="44" s="1"/>
  <c r="AT93" i="47"/>
  <c r="AT94" i="47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U115" i="32"/>
  <c r="AU121" i="32"/>
  <c r="AU124" i="32"/>
  <c r="AT204" i="51"/>
  <c r="AT220" i="51" s="1"/>
  <c r="AU115" i="40"/>
  <c r="AU121" i="40"/>
  <c r="AU124" i="40"/>
  <c r="AU115" i="43"/>
  <c r="AU101" i="43" l="1"/>
  <c r="AU213" i="33" s="1"/>
  <c r="AU66" i="43"/>
  <c r="AU67" i="43" s="1"/>
  <c r="AU116" i="43"/>
  <c r="AU86" i="40"/>
  <c r="AU160" i="33"/>
  <c r="AU244" i="33" s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4" i="33"/>
  <c r="AU101" i="33" s="1"/>
  <c r="AU155" i="33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230" i="33"/>
  <c r="AU228" i="33"/>
  <c r="AU56" i="33"/>
  <c r="AU5" i="59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209" i="33"/>
  <c r="AU224" i="33" s="1"/>
  <c r="AU45" i="33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U81" i="40"/>
  <c r="AU62" i="40" s="1"/>
  <c r="AU63" i="40" s="1"/>
  <c r="AU81" i="45"/>
  <c r="AU62" i="45" s="1"/>
  <c r="AU63" i="45" s="1"/>
  <c r="AU81" i="49"/>
  <c r="AU62" i="49" s="1"/>
  <c r="AU63" i="49" s="1"/>
  <c r="AU81" i="42"/>
  <c r="AU62" i="42" s="1"/>
  <c r="AU63" i="42" s="1"/>
  <c r="AU3" i="56"/>
  <c r="AU81" i="47"/>
  <c r="AU62" i="47" s="1"/>
  <c r="AU63" i="47" s="1"/>
  <c r="AU62" i="59"/>
  <c r="AU81" i="44"/>
  <c r="AU62" i="44" s="1"/>
  <c r="AU63" i="44" s="1"/>
  <c r="AU81" i="32"/>
  <c r="AU62" i="32" s="1"/>
  <c r="AU63" i="32" s="1"/>
  <c r="AU81" i="41"/>
  <c r="AU62" i="41" s="1"/>
  <c r="AU63" i="41" s="1"/>
  <c r="AU81" i="48"/>
  <c r="AU62" i="48" s="1"/>
  <c r="AU63" i="48" s="1"/>
  <c r="AU81" i="43"/>
  <c r="AU62" i="43" s="1"/>
  <c r="AU63" i="43" s="1"/>
  <c r="AV72" i="33"/>
  <c r="AU155" i="43" l="1"/>
  <c r="AU64" i="43"/>
  <c r="AU65" i="43" s="1"/>
  <c r="AU68" i="43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96" i="33"/>
  <c r="AV104" i="33" s="1"/>
  <c r="AU49" i="56"/>
  <c r="AV46" i="56"/>
  <c r="AU139" i="32"/>
  <c r="AU73" i="32"/>
  <c r="AV74" i="32" s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46" i="33"/>
  <c r="AU49" i="59" s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7" i="59" s="1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i="51" s="1"/>
  <c r="AU87" i="47"/>
  <c r="AU87" i="40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49" i="33"/>
  <c r="AV51" i="59" s="1"/>
  <c r="DM49" i="57"/>
  <c r="DM61" i="57" s="1"/>
  <c r="AU204" i="51" l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39" i="33"/>
  <c r="AV119" i="32"/>
  <c r="AV114" i="32"/>
  <c r="AV103" i="3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U91" i="40"/>
  <c r="AU93" i="47"/>
  <c r="AU94" i="47" s="1"/>
  <c r="AU91" i="47"/>
  <c r="AU93" i="45"/>
  <c r="AU94" i="45" s="1"/>
  <c r="AU91" i="45"/>
  <c r="AV119" i="46"/>
  <c r="AV114" i="46"/>
  <c r="AV103" i="46" s="1"/>
  <c r="AV119" i="41"/>
  <c r="AV114" i="41"/>
  <c r="AV103" i="41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V114" i="44"/>
  <c r="AV103" i="44" s="1"/>
  <c r="AV119" i="44"/>
  <c r="AV294" i="51"/>
  <c r="AV299" i="51"/>
  <c r="AU51" i="33"/>
  <c r="AU52" i="59" s="1"/>
  <c r="AV114" i="42"/>
  <c r="AV103" i="4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42"/>
  <c r="AV50" i="40"/>
  <c r="AV50" i="32"/>
  <c r="AU77" i="59"/>
  <c r="AV50" i="46"/>
  <c r="AV50" i="43"/>
  <c r="AV119" i="49"/>
  <c r="AV114" i="49"/>
  <c r="AV103" i="49" s="1"/>
  <c r="AV119" i="43"/>
  <c r="AV114" i="43"/>
  <c r="AV103" i="43" s="1"/>
  <c r="AV114" i="40"/>
  <c r="AV103" i="40" s="1"/>
  <c r="AV119" i="40"/>
  <c r="AV119" i="47"/>
  <c r="AV114" i="47"/>
  <c r="AV103" i="47" s="1"/>
  <c r="AU93" i="42"/>
  <c r="AU94" i="4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V119" i="48"/>
  <c r="AV114" i="45"/>
  <c r="AV103" i="45" s="1"/>
  <c r="AV119" i="45"/>
  <c r="AV291" i="51"/>
  <c r="AV293" i="51"/>
  <c r="AV296" i="51"/>
  <c r="AV298" i="51"/>
  <c r="AV292" i="51"/>
  <c r="AV300" i="51"/>
  <c r="AU93" i="32" l="1"/>
  <c r="AU94" i="32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U91" i="48"/>
  <c r="AU91" i="43"/>
  <c r="AU93" i="43"/>
  <c r="AU94" i="43" s="1"/>
  <c r="AV115" i="40"/>
  <c r="AV124" i="43"/>
  <c r="AV121" i="43"/>
  <c r="AV124" i="49"/>
  <c r="AV121" i="49"/>
  <c r="AU91" i="49"/>
  <c r="AU93" i="49"/>
  <c r="AU94" i="49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V121" i="41"/>
  <c r="AV124" i="41"/>
  <c r="AU91" i="46"/>
  <c r="AU93" i="46"/>
  <c r="AU94" i="46" s="1"/>
  <c r="AV155" i="33" l="1"/>
  <c r="AV124" i="33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5" i="59"/>
  <c r="AV209" i="33"/>
  <c r="AV224" i="33" s="1"/>
  <c r="AV45" i="33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W4" i="56"/>
  <c r="AW58" i="59"/>
  <c r="AV81" i="41" l="1"/>
  <c r="AV62" i="41" s="1"/>
  <c r="AV63" i="41" s="1"/>
  <c r="AV81" i="40"/>
  <c r="AV62" i="40" s="1"/>
  <c r="AV63" i="40" s="1"/>
  <c r="AV81" i="47"/>
  <c r="AV62" i="47" s="1"/>
  <c r="AV63" i="47" s="1"/>
  <c r="AV62" i="59"/>
  <c r="AV81" i="45"/>
  <c r="AV62" i="45" s="1"/>
  <c r="AV63" i="45" s="1"/>
  <c r="AV81" i="44"/>
  <c r="AV62" i="44" s="1"/>
  <c r="AV63" i="44" s="1"/>
  <c r="AV3" i="56"/>
  <c r="AV81" i="48"/>
  <c r="AV62" i="48" s="1"/>
  <c r="AV63" i="48" s="1"/>
  <c r="AV81" i="43"/>
  <c r="AV62" i="43" s="1"/>
  <c r="AV63" i="43" s="1"/>
  <c r="AV81" i="42"/>
  <c r="AV62" i="42" s="1"/>
  <c r="AV63" i="42" s="1"/>
  <c r="AV81" i="32"/>
  <c r="AV62" i="32" s="1"/>
  <c r="AV63" i="32" s="1"/>
  <c r="AV81" i="49"/>
  <c r="AV62" i="49" s="1"/>
  <c r="AV63" i="49" s="1"/>
  <c r="AV81" i="46"/>
  <c r="AV62" i="46" s="1"/>
  <c r="AV63" i="46" s="1"/>
  <c r="AW72" i="33"/>
  <c r="AW107" i="49"/>
  <c r="AW106" i="49" s="1"/>
  <c r="AW109" i="49" s="1"/>
  <c r="AW8" i="55"/>
  <c r="AW107" i="32"/>
  <c r="AW106" i="32" s="1"/>
  <c r="AW109" i="32" s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W97" i="33" l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46" i="33"/>
  <c r="AV49" i="59" s="1"/>
  <c r="AW85" i="32"/>
  <c r="AW277" i="51"/>
  <c r="AW61" i="32"/>
  <c r="DN50" i="57" s="1"/>
  <c r="AV48" i="56"/>
  <c r="AV88" i="40" l="1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49" i="33"/>
  <c r="AW51" i="59" s="1"/>
  <c r="AW276" i="51"/>
  <c r="AW288" i="51" s="1"/>
  <c r="AW290" i="51" s="1"/>
  <c r="DN49" i="57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V91" i="47"/>
  <c r="AV93" i="47"/>
  <c r="AV94" i="47" s="1"/>
  <c r="AW119" i="41"/>
  <c r="AW114" i="41"/>
  <c r="AW103" i="41" s="1"/>
  <c r="AV91" i="43"/>
  <c r="AV93" i="43"/>
  <c r="AV94" i="43" s="1"/>
  <c r="AV91" i="32"/>
  <c r="AV93" i="32"/>
  <c r="AV94" i="32" s="1"/>
  <c r="AV91" i="48"/>
  <c r="AV93" i="48"/>
  <c r="AV94" i="48" s="1"/>
  <c r="AV91" i="41"/>
  <c r="AV93" i="41"/>
  <c r="AV94" i="41" s="1"/>
  <c r="AW114" i="42"/>
  <c r="AW103" i="42" s="1"/>
  <c r="AW119" i="42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W119" i="44"/>
  <c r="AW114" i="44"/>
  <c r="AW103" i="44" s="1"/>
  <c r="AW39" i="33"/>
  <c r="AV51" i="33"/>
  <c r="AV52" i="59" s="1"/>
  <c r="AV48" i="33"/>
  <c r="AW119" i="47"/>
  <c r="AW114" i="47"/>
  <c r="AW103" i="47" s="1"/>
  <c r="AW114" i="45"/>
  <c r="AW103" i="45" s="1"/>
  <c r="AW119" i="45"/>
  <c r="AW119" i="32"/>
  <c r="AW114" i="32"/>
  <c r="AW103" i="32" s="1"/>
  <c r="AW114" i="40"/>
  <c r="AW103" i="40" s="1"/>
  <c r="AW119" i="40"/>
  <c r="AW114" i="46"/>
  <c r="AW103" i="46" s="1"/>
  <c r="AW119" i="46"/>
  <c r="AW114" i="48"/>
  <c r="AW103" i="48" s="1"/>
  <c r="AW119" i="48"/>
  <c r="AW119" i="43"/>
  <c r="AW114" i="43"/>
  <c r="AW103" i="43" s="1"/>
  <c r="AV93" i="40" l="1"/>
  <c r="AV94" i="40" s="1"/>
  <c r="AV93" i="45"/>
  <c r="AV94" i="45" s="1"/>
  <c r="AV93" i="49"/>
  <c r="AV94" i="49" s="1"/>
  <c r="AV93" i="44"/>
  <c r="AV94" i="44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4" i="33"/>
  <c r="AW101" i="33" s="1"/>
  <c r="AW155" i="33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226" i="33"/>
  <c r="AW232" i="33"/>
  <c r="AW209" i="33"/>
  <c r="AW45" i="33"/>
  <c r="AW234" i="33"/>
  <c r="AW231" i="33"/>
  <c r="AW230" i="33"/>
  <c r="AW225" i="33"/>
  <c r="AW224" i="33" l="1"/>
  <c r="AW236" i="33" s="1"/>
  <c r="AW56" i="33"/>
  <c r="AW5" i="59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Z62" i="33"/>
  <c r="AZ60" i="59" s="1"/>
  <c r="AY59" i="59"/>
  <c r="AX58" i="59"/>
  <c r="AX4" i="56"/>
  <c r="AW81" i="40" l="1"/>
  <c r="AW62" i="40" s="1"/>
  <c r="AW63" i="40" s="1"/>
  <c r="AW81" i="44"/>
  <c r="AW62" i="44" s="1"/>
  <c r="AW63" i="44" s="1"/>
  <c r="AW81" i="43"/>
  <c r="AW62" i="43" s="1"/>
  <c r="AW63" i="43" s="1"/>
  <c r="AW81" i="45"/>
  <c r="AW62" i="45" s="1"/>
  <c r="AW63" i="45" s="1"/>
  <c r="AW81" i="49"/>
  <c r="AW62" i="49" s="1"/>
  <c r="AW63" i="49" s="1"/>
  <c r="AW81" i="32"/>
  <c r="AW62" i="32" s="1"/>
  <c r="AW63" i="32" s="1"/>
  <c r="AW62" i="59"/>
  <c r="AW3" i="56"/>
  <c r="AW81" i="41"/>
  <c r="AW62" i="41" s="1"/>
  <c r="AW63" i="41" s="1"/>
  <c r="AW81" i="42"/>
  <c r="AW62" i="42" s="1"/>
  <c r="AW63" i="42" s="1"/>
  <c r="AW81" i="46"/>
  <c r="AW62" i="46" s="1"/>
  <c r="AW63" i="46" s="1"/>
  <c r="AW81" i="48"/>
  <c r="AW62" i="48" s="1"/>
  <c r="AW63" i="48" s="1"/>
  <c r="AW81" i="47"/>
  <c r="AW62" i="47" s="1"/>
  <c r="AW63" i="47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X64" i="59" l="1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155" i="40"/>
  <c r="AW64" i="40"/>
  <c r="AW65" i="40" s="1"/>
  <c r="AW68" i="40" s="1"/>
  <c r="AX83" i="33"/>
  <c r="AX90" i="33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49" i="33"/>
  <c r="AX51" i="59" s="1"/>
  <c r="DO49" i="57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W91" i="42"/>
  <c r="AW93" i="42"/>
  <c r="AW94" i="42" s="1"/>
  <c r="AX119" i="32"/>
  <c r="AX114" i="32"/>
  <c r="AX103" i="32" s="1"/>
  <c r="AX114" i="46"/>
  <c r="AX103" i="46" s="1"/>
  <c r="AX119" i="46"/>
  <c r="AX119" i="48"/>
  <c r="AX114" i="48"/>
  <c r="AX103" i="48" s="1"/>
  <c r="AW93" i="40"/>
  <c r="AW94" i="40" s="1"/>
  <c r="AW91" i="40"/>
  <c r="AX39" i="33"/>
  <c r="AX114" i="41"/>
  <c r="AX103" i="41" s="1"/>
  <c r="AX119" i="41"/>
  <c r="AW93" i="41"/>
  <c r="AW94" i="41" s="1"/>
  <c r="AW91" i="41"/>
  <c r="AX119" i="44"/>
  <c r="AX114" i="44"/>
  <c r="AX103" i="44" s="1"/>
  <c r="AX295" i="51"/>
  <c r="AX291" i="51"/>
  <c r="AX301" i="51"/>
  <c r="AW48" i="33"/>
  <c r="AW51" i="33"/>
  <c r="AW52" i="59" s="1"/>
  <c r="AX119" i="40"/>
  <c r="AX114" i="40"/>
  <c r="AX103" i="40" s="1"/>
  <c r="AX114" i="47"/>
  <c r="AX103" i="47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X119" i="45"/>
  <c r="AX114" i="49"/>
  <c r="AX103" i="49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W93" i="45"/>
  <c r="AW94" i="45" s="1"/>
  <c r="AW91" i="45"/>
  <c r="AX119" i="43"/>
  <c r="AX114" i="43"/>
  <c r="AX103" i="43" s="1"/>
  <c r="AW93" i="48" l="1"/>
  <c r="AW94" i="48" s="1"/>
  <c r="AW93" i="47"/>
  <c r="AW94" i="47" s="1"/>
  <c r="AW93" i="46"/>
  <c r="AW94" i="46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W91" i="32"/>
  <c r="AX121" i="49"/>
  <c r="AX124" i="49"/>
  <c r="AX121" i="45"/>
  <c r="AX124" i="45"/>
  <c r="AX115" i="45"/>
  <c r="AW93" i="43"/>
  <c r="AW94" i="43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204" i="51"/>
  <c r="AW220" i="51" s="1"/>
  <c r="AX115" i="44"/>
  <c r="AX115" i="41"/>
  <c r="AX121" i="46"/>
  <c r="AX124" i="46"/>
  <c r="AX115" i="46"/>
  <c r="AX310" i="51" l="1"/>
  <c r="AX347" i="51" s="1"/>
  <c r="AX306" i="51"/>
  <c r="AX155" i="33"/>
  <c r="AX124" i="33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01" i="41"/>
  <c r="AX211" i="33" s="1"/>
  <c r="AX66" i="41"/>
  <c r="AX67" i="41" s="1"/>
  <c r="AX116" i="41"/>
  <c r="AX66" i="44"/>
  <c r="AX67" i="44" s="1"/>
  <c r="AX101" i="44"/>
  <c r="AX215" i="33" s="1"/>
  <c r="AX116" i="44"/>
  <c r="AX101" i="40"/>
  <c r="AX214" i="33" s="1"/>
  <c r="AX66" i="40"/>
  <c r="AX67" i="40" s="1"/>
  <c r="AX116" i="40"/>
  <c r="AX164" i="33"/>
  <c r="AX248" i="33" s="1"/>
  <c r="AX86" i="47"/>
  <c r="AX101" i="43"/>
  <c r="AX213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228" i="33" l="1"/>
  <c r="AX350" i="5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226" i="33"/>
  <c r="AX235" i="33"/>
  <c r="AX209" i="33"/>
  <c r="AX224" i="33" s="1"/>
  <c r="AX45" i="33"/>
  <c r="AX232" i="33"/>
  <c r="AX231" i="33"/>
  <c r="AX233" i="33"/>
  <c r="AX225" i="33"/>
  <c r="AX56" i="33" l="1"/>
  <c r="AX5" i="59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X81" i="48"/>
  <c r="AX62" i="48" s="1"/>
  <c r="AX63" i="48" s="1"/>
  <c r="AX81" i="43"/>
  <c r="AX62" i="43" s="1"/>
  <c r="AX63" i="43" s="1"/>
  <c r="AX81" i="49"/>
  <c r="AX62" i="49" s="1"/>
  <c r="AX63" i="49" s="1"/>
  <c r="AX81" i="46"/>
  <c r="AX62" i="46" s="1"/>
  <c r="AX63" i="46" s="1"/>
  <c r="AX62" i="59"/>
  <c r="AX81" i="42"/>
  <c r="AX62" i="42" s="1"/>
  <c r="AX63" i="42" s="1"/>
  <c r="AX81" i="44"/>
  <c r="AX62" i="44" s="1"/>
  <c r="AX63" i="44" s="1"/>
  <c r="AX81" i="32"/>
  <c r="AX62" i="32" s="1"/>
  <c r="AX63" i="32" s="1"/>
  <c r="AX81" i="40"/>
  <c r="AX62" i="40" s="1"/>
  <c r="AX63" i="40" s="1"/>
  <c r="AX3" i="56"/>
  <c r="AX81" i="47"/>
  <c r="AX62" i="47" s="1"/>
  <c r="AX63" i="47" s="1"/>
  <c r="AX81" i="45"/>
  <c r="AX62" i="45" s="1"/>
  <c r="AX63" i="45" s="1"/>
  <c r="AY72" i="33"/>
  <c r="AX64" i="45" l="1"/>
  <c r="AX65" i="45" s="1"/>
  <c r="AX68" i="45" s="1"/>
  <c r="AX155" i="45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7" i="59" s="1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88" i="45" l="1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48" i="33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49" i="33"/>
  <c r="AY51" i="59" s="1"/>
  <c r="DP49" i="57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51" i="33"/>
  <c r="AX52" i="59" s="1"/>
  <c r="AX205" i="51"/>
  <c r="AX221" i="51" s="1"/>
  <c r="AX90" i="32"/>
  <c r="AX93" i="32" s="1"/>
  <c r="AX94" i="32" s="1"/>
  <c r="AX132" i="32"/>
  <c r="AX133" i="32" s="1"/>
  <c r="AX134" i="32" s="1"/>
  <c r="AW79" i="32" s="1"/>
  <c r="AX148" i="32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AY119" i="42"/>
  <c r="AX93" i="41"/>
  <c r="AX94" i="41" s="1"/>
  <c r="AX91" i="41"/>
  <c r="AX93" i="49"/>
  <c r="AX94" i="49" s="1"/>
  <c r="AX91" i="49"/>
  <c r="AY114" i="41"/>
  <c r="AY103" i="41" s="1"/>
  <c r="AY119" i="41"/>
  <c r="AY114" i="44"/>
  <c r="AY103" i="44" s="1"/>
  <c r="AY119" i="44"/>
  <c r="AY119" i="49"/>
  <c r="AY114" i="49"/>
  <c r="AY103" i="49" s="1"/>
  <c r="AY119" i="48"/>
  <c r="AY114" i="48"/>
  <c r="AY103" i="48" s="1"/>
  <c r="AY50" i="47"/>
  <c r="AY50" i="32"/>
  <c r="AY50" i="48"/>
  <c r="AY50" i="42"/>
  <c r="AY50" i="41"/>
  <c r="AX77" i="59"/>
  <c r="AY50" i="46"/>
  <c r="AY50" i="43"/>
  <c r="AY50" i="44"/>
  <c r="AY50" i="49"/>
  <c r="AY50" i="45"/>
  <c r="AY50" i="40"/>
  <c r="AY39" i="33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X91" i="40"/>
  <c r="AX93" i="40"/>
  <c r="AX94" i="40" s="1"/>
  <c r="AY114" i="40"/>
  <c r="AY103" i="40" s="1"/>
  <c r="AY119" i="40"/>
  <c r="AY119" i="32"/>
  <c r="AY114" i="32"/>
  <c r="AY103" i="32" s="1"/>
  <c r="AY114" i="47"/>
  <c r="AY103" i="47" s="1"/>
  <c r="AY119" i="47"/>
  <c r="AY114" i="43"/>
  <c r="AY103" i="43" s="1"/>
  <c r="AY119" i="43"/>
  <c r="AY114" i="46"/>
  <c r="AY103" i="46" s="1"/>
  <c r="AY119" i="46"/>
  <c r="AX93" i="45" l="1"/>
  <c r="AX94" i="45" s="1"/>
  <c r="AX91" i="48"/>
  <c r="AX91" i="42"/>
  <c r="AX93" i="43"/>
  <c r="AX94" i="43" s="1"/>
  <c r="AX91" i="32"/>
  <c r="AX204" i="51"/>
  <c r="AX220" i="51" s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X91" i="46"/>
  <c r="AY115" i="45"/>
  <c r="AY124" i="49"/>
  <c r="AY121" i="49"/>
  <c r="AY121" i="44"/>
  <c r="AY124" i="44"/>
  <c r="AY115" i="41"/>
  <c r="AY310" i="51" l="1"/>
  <c r="AY353" i="51" s="1"/>
  <c r="AY306" i="5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4" i="33"/>
  <c r="AY101" i="33" s="1"/>
  <c r="AY155" i="33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209" i="33"/>
  <c r="AY45" i="33"/>
  <c r="AY228" i="33"/>
  <c r="AY227" i="33"/>
  <c r="AY225" i="33"/>
  <c r="AY229" i="33"/>
  <c r="AY231" i="33"/>
  <c r="AY56" i="33" l="1"/>
  <c r="AY5" i="59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Z4" i="56"/>
  <c r="AZ58" i="59"/>
  <c r="AY62" i="59" l="1"/>
  <c r="AY81" i="40"/>
  <c r="AY62" i="40" s="1"/>
  <c r="AY63" i="40" s="1"/>
  <c r="AY81" i="47"/>
  <c r="AY62" i="47" s="1"/>
  <c r="AY63" i="47" s="1"/>
  <c r="AY81" i="45"/>
  <c r="AY62" i="45" s="1"/>
  <c r="AY63" i="45" s="1"/>
  <c r="AY81" i="46"/>
  <c r="AY62" i="46" s="1"/>
  <c r="AY63" i="46" s="1"/>
  <c r="AY81" i="48"/>
  <c r="AY62" i="48" s="1"/>
  <c r="AY63" i="48" s="1"/>
  <c r="AY81" i="41"/>
  <c r="AY62" i="41" s="1"/>
  <c r="AY63" i="41" s="1"/>
  <c r="AY3" i="56"/>
  <c r="AY81" i="43"/>
  <c r="AY62" i="43" s="1"/>
  <c r="AY63" i="43" s="1"/>
  <c r="AY81" i="44"/>
  <c r="AY62" i="44" s="1"/>
  <c r="AY63" i="44" s="1"/>
  <c r="AY81" i="42"/>
  <c r="AY62" i="42" s="1"/>
  <c r="AY63" i="42" s="1"/>
  <c r="AY81" i="32"/>
  <c r="AY62" i="32" s="1"/>
  <c r="AY63" i="32" s="1"/>
  <c r="AY81" i="49"/>
  <c r="AY62" i="49" s="1"/>
  <c r="AY63" i="49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43"/>
  <c r="AZ106" i="43" s="1"/>
  <c r="AZ109" i="43" s="1"/>
  <c r="AZ107" i="45"/>
  <c r="AZ106" i="45" s="1"/>
  <c r="AZ109" i="45" s="1"/>
  <c r="AZ107" i="41"/>
  <c r="AZ106" i="41" s="1"/>
  <c r="AZ109" i="41" s="1"/>
  <c r="AZ97" i="33" l="1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43" i="33" l="1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46" i="33"/>
  <c r="AY49" i="59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7" i="59" s="1"/>
  <c r="AY44" i="33"/>
  <c r="AY87" i="40" l="1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49" i="33"/>
  <c r="AZ51" i="59" s="1"/>
  <c r="DQ49" i="57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204" i="5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AZ119" i="47"/>
  <c r="AZ114" i="47"/>
  <c r="AZ103" i="47" s="1"/>
  <c r="AZ119" i="43"/>
  <c r="AZ114" i="43"/>
  <c r="AZ103" i="43" s="1"/>
  <c r="AY91" i="46"/>
  <c r="AY93" i="46"/>
  <c r="AY94" i="46" s="1"/>
  <c r="AZ119" i="44"/>
  <c r="AZ114" i="44"/>
  <c r="AZ103" i="44" s="1"/>
  <c r="AY91" i="42"/>
  <c r="AY93" i="42"/>
  <c r="AY94" i="42" s="1"/>
  <c r="AY93" i="49"/>
  <c r="AY94" i="49" s="1"/>
  <c r="AY91" i="49"/>
  <c r="AZ114" i="49"/>
  <c r="AZ103" i="49" s="1"/>
  <c r="AZ119" i="49"/>
  <c r="AZ114" i="40"/>
  <c r="AZ103" i="40" s="1"/>
  <c r="AZ119" i="40"/>
  <c r="AZ119" i="32"/>
  <c r="AZ114" i="32"/>
  <c r="AZ103" i="32" s="1"/>
  <c r="AZ119" i="46"/>
  <c r="AZ114" i="46"/>
  <c r="AZ103" i="46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45"/>
  <c r="AY91" i="48"/>
  <c r="AY93" i="48"/>
  <c r="AY94" i="48" s="1"/>
  <c r="AZ119" i="48"/>
  <c r="AZ114" i="48"/>
  <c r="AZ103" i="48" s="1"/>
  <c r="AY93" i="40"/>
  <c r="AY94" i="40" s="1"/>
  <c r="AY91" i="40"/>
  <c r="AY93" i="32"/>
  <c r="AY94" i="32" s="1"/>
  <c r="AY91" i="32"/>
  <c r="AZ114" i="42"/>
  <c r="AZ103" i="42" s="1"/>
  <c r="AZ119" i="42"/>
  <c r="AZ39" i="33"/>
  <c r="AY93" i="45"/>
  <c r="AY94" i="45" s="1"/>
  <c r="AY91" i="45"/>
  <c r="AZ119" i="45"/>
  <c r="AZ114" i="45"/>
  <c r="AZ103" i="45" s="1"/>
  <c r="AY91" i="43"/>
  <c r="AY93" i="43"/>
  <c r="AY94" i="43" s="1"/>
  <c r="AY93" i="41" l="1"/>
  <c r="AY94" i="41" s="1"/>
  <c r="AY93" i="44"/>
  <c r="AY94" i="44" s="1"/>
  <c r="AY91" i="47"/>
  <c r="AY53" i="33"/>
  <c r="AY54" i="59" s="1"/>
  <c r="AY369" i="33"/>
  <c r="AY375" i="33" s="1"/>
  <c r="AY376" i="33" s="1"/>
  <c r="AY87" i="33"/>
  <c r="AY50" i="59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Z310" i="51" l="1"/>
  <c r="AZ345" i="51" s="1"/>
  <c r="AZ306" i="5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55" i="33"/>
  <c r="AZ124" i="33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230" i="33"/>
  <c r="AZ228" i="33"/>
  <c r="AZ5" i="59"/>
  <c r="AZ56" i="33"/>
  <c r="AZ45" i="33"/>
  <c r="AZ209" i="33"/>
  <c r="AZ224" i="33" s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AZ81" i="47"/>
  <c r="AZ62" i="47" s="1"/>
  <c r="AZ63" i="47" s="1"/>
  <c r="AZ3" i="56"/>
  <c r="AZ62" i="59"/>
  <c r="AZ81" i="40"/>
  <c r="AZ62" i="40" s="1"/>
  <c r="AZ63" i="40" s="1"/>
  <c r="AZ81" i="44"/>
  <c r="AZ62" i="44" s="1"/>
  <c r="AZ63" i="44" s="1"/>
  <c r="AZ81" i="32"/>
  <c r="AZ62" i="32" s="1"/>
  <c r="AZ63" i="32" s="1"/>
  <c r="AZ81" i="42"/>
  <c r="AZ62" i="42" s="1"/>
  <c r="AZ63" i="42" s="1"/>
  <c r="AZ81" i="45"/>
  <c r="AZ62" i="45" s="1"/>
  <c r="AZ63" i="45" s="1"/>
  <c r="AZ81" i="43"/>
  <c r="AZ62" i="43" s="1"/>
  <c r="AZ63" i="43" s="1"/>
  <c r="AZ81" i="41"/>
  <c r="AZ62" i="41" s="1"/>
  <c r="AZ63" i="41" s="1"/>
  <c r="AZ81" i="49"/>
  <c r="AZ62" i="49" s="1"/>
  <c r="AZ63" i="49" s="1"/>
  <c r="AZ81" i="46"/>
  <c r="AZ62" i="46" s="1"/>
  <c r="AZ63" i="46" s="1"/>
  <c r="AZ81" i="48"/>
  <c r="AZ62" i="48" s="1"/>
  <c r="AZ63" i="48" s="1"/>
  <c r="BA72" i="33"/>
  <c r="AZ155" i="48" l="1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AZ139" i="40"/>
  <c r="AZ73" i="40"/>
  <c r="BA74" i="40" s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7" i="59" s="1"/>
  <c r="AZ40" i="33"/>
  <c r="AZ44" i="33"/>
  <c r="AZ84" i="46"/>
  <c r="AZ87" i="32" l="1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48" i="33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49" i="33"/>
  <c r="BA51" i="59" s="1"/>
  <c r="DR49" i="57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51" i="33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BA295" i="51"/>
  <c r="BA297" i="51"/>
  <c r="BA296" i="51"/>
  <c r="AZ93" i="48"/>
  <c r="AZ94" i="48" s="1"/>
  <c r="AZ91" i="48"/>
  <c r="BA50" i="45"/>
  <c r="BA50" i="40"/>
  <c r="BA50" i="44"/>
  <c r="BA50" i="42"/>
  <c r="BA50" i="47"/>
  <c r="BA50" i="48"/>
  <c r="BA50" i="32"/>
  <c r="BA50" i="43"/>
  <c r="BA50" i="46"/>
  <c r="AZ77" i="59"/>
  <c r="BA50" i="49"/>
  <c r="BA50" i="41"/>
  <c r="AZ93" i="32"/>
  <c r="AZ94" i="32" s="1"/>
  <c r="AZ91" i="32"/>
  <c r="BA114" i="44"/>
  <c r="BA103" i="44" s="1"/>
  <c r="BA119" i="44"/>
  <c r="AZ93" i="44"/>
  <c r="AZ94" i="44" s="1"/>
  <c r="AZ91" i="44"/>
  <c r="BA114" i="40"/>
  <c r="BA103" i="40" s="1"/>
  <c r="BA119" i="40"/>
  <c r="BA119" i="42"/>
  <c r="BA114" i="42"/>
  <c r="BA103" i="42" s="1"/>
  <c r="BA114" i="47"/>
  <c r="BA103" i="47" s="1"/>
  <c r="BA119" i="47"/>
  <c r="AZ91" i="40"/>
  <c r="AZ93" i="40"/>
  <c r="AZ94" i="40" s="1"/>
  <c r="BA114" i="43"/>
  <c r="BA103" i="43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A119" i="41"/>
  <c r="BA119" i="45"/>
  <c r="BA114" i="45"/>
  <c r="BA103" i="45" s="1"/>
  <c r="BA119" i="46"/>
  <c r="BA114" i="46"/>
  <c r="BA103" i="46" s="1"/>
  <c r="BA119" i="32"/>
  <c r="BA114" i="32"/>
  <c r="BA103" i="3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A119" i="48"/>
  <c r="BA39" i="33"/>
  <c r="AZ93" i="47"/>
  <c r="AZ94" i="47" s="1"/>
  <c r="AZ91" i="47"/>
  <c r="AZ91" i="49"/>
  <c r="AZ93" i="49"/>
  <c r="AZ94" i="49" s="1"/>
  <c r="BA114" i="49"/>
  <c r="BA103" i="49" s="1"/>
  <c r="BA119" i="49"/>
  <c r="BA292" i="51"/>
  <c r="BA298" i="51"/>
  <c r="AZ91" i="42" l="1"/>
  <c r="AZ93" i="41"/>
  <c r="AZ94" i="41" s="1"/>
  <c r="AZ93" i="43"/>
  <c r="AZ94" i="43" s="1"/>
  <c r="AZ93" i="45"/>
  <c r="AZ94" i="45" s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AZ91" i="46"/>
  <c r="AZ93" i="46"/>
  <c r="AZ94" i="46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BA101" i="40" l="1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55" i="33"/>
  <c r="BA124" i="33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209" i="33"/>
  <c r="BA45" i="33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225" i="33"/>
  <c r="BA226" i="33"/>
  <c r="BA56" i="33" l="1"/>
  <c r="BA5" i="59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A81" i="48"/>
  <c r="BA62" i="48" s="1"/>
  <c r="BA63" i="48" s="1"/>
  <c r="BA81" i="49"/>
  <c r="BA62" i="49" s="1"/>
  <c r="BA63" i="49" s="1"/>
  <c r="BA81" i="46"/>
  <c r="BA62" i="46" s="1"/>
  <c r="BA63" i="46" s="1"/>
  <c r="BA81" i="32"/>
  <c r="BA62" i="32" s="1"/>
  <c r="BA63" i="32" s="1"/>
  <c r="BA81" i="42"/>
  <c r="BA62" i="42" s="1"/>
  <c r="BA63" i="42" s="1"/>
  <c r="BA81" i="41"/>
  <c r="BA62" i="41" s="1"/>
  <c r="BA63" i="41" s="1"/>
  <c r="BA81" i="40"/>
  <c r="BA62" i="40" s="1"/>
  <c r="BA63" i="40" s="1"/>
  <c r="BA62" i="59"/>
  <c r="BA81" i="44"/>
  <c r="BA62" i="44" s="1"/>
  <c r="BA63" i="44" s="1"/>
  <c r="BA81" i="43"/>
  <c r="BA62" i="43" s="1"/>
  <c r="BA63" i="43" s="1"/>
  <c r="BA81" i="47"/>
  <c r="BA62" i="47" s="1"/>
  <c r="BA63" i="47" s="1"/>
  <c r="BA3" i="56"/>
  <c r="BA81" i="45"/>
  <c r="BA62" i="45" s="1"/>
  <c r="BA63" i="45" s="1"/>
  <c r="BB72" i="33"/>
  <c r="BA64" i="45" l="1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32"/>
  <c r="BA65" i="32" s="1"/>
  <c r="BA68" i="32" s="1"/>
  <c r="BA155" i="32"/>
  <c r="BA64" i="49"/>
  <c r="BA65" i="49" s="1"/>
  <c r="BA68" i="49" s="1"/>
  <c r="BA155" i="49"/>
  <c r="BB97" i="33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7" i="59" s="1"/>
  <c r="BA40" i="33"/>
  <c r="BA44" i="33"/>
  <c r="BB61" i="49"/>
  <c r="DS60" i="57" s="1"/>
  <c r="BB85" i="49"/>
  <c r="BB287" i="51"/>
  <c r="BA132" i="33"/>
  <c r="BA75" i="59" s="1"/>
  <c r="BA61" i="56"/>
  <c r="BA87" i="44" l="1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49" i="33"/>
  <c r="BB51" i="59" s="1"/>
  <c r="DS49" i="57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A91" i="44"/>
  <c r="BB119" i="44"/>
  <c r="BB114" i="44"/>
  <c r="BB103" i="44" s="1"/>
  <c r="BA91" i="45"/>
  <c r="BA93" i="45"/>
  <c r="BA94" i="45" s="1"/>
  <c r="BB114" i="32"/>
  <c r="BB103" i="32" s="1"/>
  <c r="BB119" i="32"/>
  <c r="BB119" i="40"/>
  <c r="BB114" i="40"/>
  <c r="BB103" i="40" s="1"/>
  <c r="BA51" i="33"/>
  <c r="BA52" i="59" s="1"/>
  <c r="BA48" i="33"/>
  <c r="BB114" i="45"/>
  <c r="BB103" i="45" s="1"/>
  <c r="BB119" i="45"/>
  <c r="BB119" i="47"/>
  <c r="BB114" i="47"/>
  <c r="BB103" i="47" s="1"/>
  <c r="BB294" i="51"/>
  <c r="BB293" i="51"/>
  <c r="BB301" i="51"/>
  <c r="BB119" i="43"/>
  <c r="BB114" i="43"/>
  <c r="BB103" i="43" s="1"/>
  <c r="BB114" i="48"/>
  <c r="BB103" i="48" s="1"/>
  <c r="BB119" i="48"/>
  <c r="BB39" i="33"/>
  <c r="BA91" i="49"/>
  <c r="BA93" i="49"/>
  <c r="BA94" i="49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B119" i="42"/>
  <c r="BB114" i="46"/>
  <c r="BB103" i="46" s="1"/>
  <c r="BB119" i="46"/>
  <c r="BA91" i="47"/>
  <c r="BA93" i="47"/>
  <c r="BA94" i="47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B119" i="41"/>
  <c r="BA91" i="42"/>
  <c r="BA93" i="42"/>
  <c r="BA94" i="42" s="1"/>
  <c r="BA91" i="32"/>
  <c r="BA93" i="32"/>
  <c r="BA94" i="32" s="1"/>
  <c r="BB119" i="49"/>
  <c r="BB114" i="49"/>
  <c r="BB103" i="49" s="1"/>
  <c r="BB50" i="47"/>
  <c r="BB50" i="43"/>
  <c r="BB50" i="48"/>
  <c r="BB50" i="49"/>
  <c r="BB50" i="42"/>
  <c r="BB50" i="44"/>
  <c r="BB50" i="41"/>
  <c r="BA77" i="59"/>
  <c r="BB50" i="40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B102" i="41"/>
  <c r="BB304" i="51"/>
  <c r="BB308" i="51" s="1"/>
  <c r="BB124" i="41"/>
  <c r="BB121" i="41"/>
  <c r="BB115" i="41"/>
  <c r="BB115" i="46"/>
  <c r="BA91" i="40"/>
  <c r="BA93" i="40"/>
  <c r="BA94" i="40" s="1"/>
  <c r="BA93" i="41"/>
  <c r="BA94" i="41" s="1"/>
  <c r="BA91" i="41"/>
  <c r="BB115" i="48"/>
  <c r="BB115" i="43"/>
  <c r="BB115" i="45"/>
  <c r="BA204" i="51"/>
  <c r="BA220" i="51" s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B124" i="46"/>
  <c r="BB121" i="46"/>
  <c r="BB121" i="42"/>
  <c r="BB124" i="42"/>
  <c r="BB115" i="42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66" i="44" l="1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55" i="33"/>
  <c r="BB124" i="33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5" i="59"/>
  <c r="BB45" i="33"/>
  <c r="BB209" i="33"/>
  <c r="BB226" i="33"/>
  <c r="BB232" i="33"/>
  <c r="BB234" i="33"/>
  <c r="BB235" i="33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D59" i="59"/>
  <c r="BE62" i="33"/>
  <c r="BE60" i="59" s="1"/>
  <c r="BC4" i="56"/>
  <c r="BC58" i="59"/>
  <c r="BB62" i="59" l="1"/>
  <c r="BB3" i="56"/>
  <c r="BB81" i="43"/>
  <c r="BB62" i="43" s="1"/>
  <c r="BB63" i="43" s="1"/>
  <c r="BB81" i="46"/>
  <c r="BB62" i="46" s="1"/>
  <c r="BB63" i="46" s="1"/>
  <c r="BB81" i="49"/>
  <c r="BB62" i="49" s="1"/>
  <c r="BB63" i="49" s="1"/>
  <c r="BB81" i="45"/>
  <c r="BB62" i="45" s="1"/>
  <c r="BB63" i="45" s="1"/>
  <c r="BB81" i="41"/>
  <c r="BB62" i="41" s="1"/>
  <c r="BB63" i="41" s="1"/>
  <c r="BB81" i="48"/>
  <c r="BB62" i="48" s="1"/>
  <c r="BB63" i="48" s="1"/>
  <c r="BB81" i="40"/>
  <c r="BB62" i="40" s="1"/>
  <c r="BB63" i="40" s="1"/>
  <c r="BB81" i="42"/>
  <c r="BB62" i="42" s="1"/>
  <c r="BB63" i="42" s="1"/>
  <c r="BB81" i="47"/>
  <c r="BB62" i="47" s="1"/>
  <c r="BB63" i="47" s="1"/>
  <c r="BB81" i="32"/>
  <c r="BB62" i="32" s="1"/>
  <c r="BB63" i="32" s="1"/>
  <c r="BB81" i="44"/>
  <c r="BB62" i="44" s="1"/>
  <c r="BB63" i="44" s="1"/>
  <c r="BC72" i="33"/>
  <c r="BC107" i="43"/>
  <c r="BC106" i="43" s="1"/>
  <c r="BC109" i="43" s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C90" i="33" l="1"/>
  <c r="BC83" i="33"/>
  <c r="BC97" i="33"/>
  <c r="BC64" i="59"/>
  <c r="BB155" i="32"/>
  <c r="BB64" i="32"/>
  <c r="BB65" i="32" s="1"/>
  <c r="BB68" i="32" s="1"/>
  <c r="BB64" i="42"/>
  <c r="BB65" i="42" s="1"/>
  <c r="BB68" i="42" s="1"/>
  <c r="BB155" i="42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73" i="42"/>
  <c r="BC74" i="42" s="1"/>
  <c r="BB139" i="42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7" i="59" s="1"/>
  <c r="BB44" i="33"/>
  <c r="BC85" i="49"/>
  <c r="BC61" i="49"/>
  <c r="DT60" i="57" s="1"/>
  <c r="BC287" i="51"/>
  <c r="BB87" i="48" l="1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48" i="33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DT49" i="57"/>
  <c r="DT61" i="57" s="1"/>
  <c r="BC49" i="33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B130" i="40"/>
  <c r="BB51" i="33"/>
  <c r="BB52" i="59" s="1"/>
  <c r="BC292" i="51"/>
  <c r="BC295" i="51"/>
  <c r="BC294" i="51"/>
  <c r="BC119" i="45"/>
  <c r="BC114" i="45"/>
  <c r="BC103" i="45" s="1"/>
  <c r="BC39" i="33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C119" i="44"/>
  <c r="BC119" i="42"/>
  <c r="BC114" i="42"/>
  <c r="BC103" i="42" s="1"/>
  <c r="BC119" i="49"/>
  <c r="BC114" i="49"/>
  <c r="BC103" i="49" s="1"/>
  <c r="BC119" i="32"/>
  <c r="BC114" i="32"/>
  <c r="BC103" i="32" s="1"/>
  <c r="BC119" i="48"/>
  <c r="BC114" i="48"/>
  <c r="BC103" i="48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B91" i="48"/>
  <c r="BC119" i="41"/>
  <c r="BC114" i="41"/>
  <c r="BC103" i="41" s="1"/>
  <c r="BB93" i="44"/>
  <c r="BB94" i="44" s="1"/>
  <c r="BB91" i="44"/>
  <c r="BC119" i="40"/>
  <c r="BC114" i="40"/>
  <c r="BC103" i="40" s="1"/>
  <c r="BB91" i="46"/>
  <c r="BB93" i="46"/>
  <c r="BB94" i="46" s="1"/>
  <c r="BC119" i="46"/>
  <c r="BC114" i="46"/>
  <c r="BC103" i="46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B91" i="41"/>
  <c r="BC114" i="43"/>
  <c r="BC103" i="43" s="1"/>
  <c r="BC119" i="43"/>
  <c r="BC119" i="47"/>
  <c r="BC114" i="47"/>
  <c r="BC103" i="47" s="1"/>
  <c r="BC291" i="51"/>
  <c r="BC297" i="51"/>
  <c r="BC299" i="51"/>
  <c r="BC301" i="51"/>
  <c r="BB91" i="32" l="1"/>
  <c r="BB91" i="42"/>
  <c r="BB204" i="51"/>
  <c r="BB220" i="51" s="1"/>
  <c r="BB93" i="45"/>
  <c r="BB94" i="45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C102" i="41"/>
  <c r="BC71" i="41" s="1"/>
  <c r="BC70" i="41" s="1"/>
  <c r="BC102" i="32"/>
  <c r="BC71" i="32" s="1"/>
  <c r="BC70" i="32" s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B91" i="47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B91" i="43"/>
  <c r="BC115" i="45"/>
  <c r="BC66" i="45" l="1"/>
  <c r="BC67" i="45" s="1"/>
  <c r="BC101" i="45"/>
  <c r="BC216" i="33" s="1"/>
  <c r="BC116" i="45"/>
  <c r="BC155" i="33"/>
  <c r="BC124" i="33"/>
  <c r="BC101" i="33" s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5" i="59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209" i="33"/>
  <c r="BC45" i="33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C81" i="45"/>
  <c r="BC62" i="45" s="1"/>
  <c r="BC63" i="45" s="1"/>
  <c r="BC81" i="46"/>
  <c r="BC62" i="46" s="1"/>
  <c r="BC63" i="46" s="1"/>
  <c r="BC81" i="43"/>
  <c r="BC62" i="43" s="1"/>
  <c r="BC63" i="43" s="1"/>
  <c r="BC81" i="49"/>
  <c r="BC62" i="49" s="1"/>
  <c r="BC63" i="49" s="1"/>
  <c r="BC3" i="56"/>
  <c r="BC81" i="42"/>
  <c r="BC62" i="42" s="1"/>
  <c r="BC63" i="42" s="1"/>
  <c r="BC81" i="40"/>
  <c r="BC62" i="40" s="1"/>
  <c r="BC63" i="40" s="1"/>
  <c r="BC81" i="32"/>
  <c r="BC62" i="32" s="1"/>
  <c r="BC63" i="32" s="1"/>
  <c r="BC81" i="44"/>
  <c r="BC62" i="44" s="1"/>
  <c r="BC63" i="44" s="1"/>
  <c r="BC62" i="59"/>
  <c r="BC81" i="48"/>
  <c r="BC62" i="48" s="1"/>
  <c r="BC63" i="48" s="1"/>
  <c r="BC81" i="47"/>
  <c r="BC62" i="47" s="1"/>
  <c r="BC63" i="47" s="1"/>
  <c r="BC81" i="41"/>
  <c r="BC62" i="41" s="1"/>
  <c r="BC63" i="41" s="1"/>
  <c r="BD72" i="33"/>
  <c r="BC64" i="41" l="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43" i="33"/>
  <c r="BC139" i="46"/>
  <c r="BC73" i="46"/>
  <c r="BD74" i="46" s="1"/>
  <c r="BC73" i="49"/>
  <c r="BD74" i="49" s="1"/>
  <c r="BC139" i="49"/>
  <c r="BC73" i="32"/>
  <c r="BD74" i="32" s="1"/>
  <c r="BC139" i="32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46" i="33"/>
  <c r="BC49" i="59" s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D128" i="47"/>
  <c r="BD78" i="47"/>
  <c r="BD77" i="47"/>
  <c r="BD112" i="47"/>
  <c r="BD78" i="41"/>
  <c r="BD112" i="41"/>
  <c r="BD128" i="41"/>
  <c r="BD77" i="41"/>
  <c r="BD49" i="33"/>
  <c r="BD51" i="59" s="1"/>
  <c r="BD276" i="51"/>
  <c r="BD288" i="51" s="1"/>
  <c r="BD290" i="51" s="1"/>
  <c r="DU49" i="57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51" i="33"/>
  <c r="BC52" i="59" s="1"/>
  <c r="BC48" i="33"/>
  <c r="BC87" i="33" s="1"/>
  <c r="BD119" i="48"/>
  <c r="BD114" i="48"/>
  <c r="BD103" i="48" s="1"/>
  <c r="BD119" i="40"/>
  <c r="BD114" i="40"/>
  <c r="BD103" i="40" s="1"/>
  <c r="BC93" i="43"/>
  <c r="BC94" i="43" s="1"/>
  <c r="BC91" i="43"/>
  <c r="BD114" i="49"/>
  <c r="BD103" i="49" s="1"/>
  <c r="BD119" i="49"/>
  <c r="BC91" i="45"/>
  <c r="BC93" i="45"/>
  <c r="BC94" i="45" s="1"/>
  <c r="BC91" i="42"/>
  <c r="BC93" i="42"/>
  <c r="BC94" i="42" s="1"/>
  <c r="BD119" i="42"/>
  <c r="BD114" i="42"/>
  <c r="BD103" i="42" s="1"/>
  <c r="BC93" i="40"/>
  <c r="BC94" i="40" s="1"/>
  <c r="BC91" i="40"/>
  <c r="BC204" i="51"/>
  <c r="BC220" i="51" s="1"/>
  <c r="BD114" i="44"/>
  <c r="BD103" i="44" s="1"/>
  <c r="BD119" i="44"/>
  <c r="BC93" i="48"/>
  <c r="BC94" i="48" s="1"/>
  <c r="BC91" i="48"/>
  <c r="BD114" i="47"/>
  <c r="BD103" i="47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C91" i="49"/>
  <c r="BD119" i="46"/>
  <c r="BD114" i="46"/>
  <c r="BD103" i="46" s="1"/>
  <c r="BD114" i="45"/>
  <c r="BD103" i="45" s="1"/>
  <c r="BD119" i="45"/>
  <c r="BD119" i="43"/>
  <c r="BD114" i="43"/>
  <c r="BD103" i="43" s="1"/>
  <c r="BD39" i="33"/>
  <c r="BD119" i="41"/>
  <c r="BD114" i="41"/>
  <c r="BD103" i="41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D124" i="32"/>
  <c r="BD121" i="32"/>
  <c r="BD121" i="47"/>
  <c r="BD124" i="47"/>
  <c r="BD124" i="44"/>
  <c r="BD121" i="44"/>
  <c r="BD115" i="44"/>
  <c r="BD121" i="49"/>
  <c r="BD124" i="49"/>
  <c r="BD115" i="49"/>
  <c r="BD115" i="48"/>
  <c r="BD121" i="48"/>
  <c r="BD124" i="48"/>
  <c r="BD115" i="41"/>
  <c r="BD124" i="41"/>
  <c r="BD121" i="41"/>
  <c r="BD115" i="43"/>
  <c r="BD121" i="45"/>
  <c r="BD124" i="45"/>
  <c r="BD115" i="45"/>
  <c r="BD115" i="32"/>
  <c r="BC91" i="41"/>
  <c r="BC93" i="41"/>
  <c r="BC94" i="41" s="1"/>
  <c r="BD115" i="47"/>
  <c r="BD115" i="42"/>
  <c r="BD124" i="42"/>
  <c r="BD121" i="42"/>
  <c r="BD115" i="40"/>
  <c r="BD124" i="40"/>
  <c r="BD121" i="40"/>
  <c r="BD306" i="51" l="1"/>
  <c r="BD310" i="51"/>
  <c r="BD354" i="5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55" i="33"/>
  <c r="BD124" i="33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5" i="59"/>
  <c r="BD235" i="33"/>
  <c r="BD45" i="33"/>
  <c r="BD209" i="33"/>
  <c r="BD224" i="33" s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E4" i="56"/>
  <c r="BE58" i="59"/>
  <c r="BD81" i="42" l="1"/>
  <c r="BD62" i="42" s="1"/>
  <c r="BD63" i="42" s="1"/>
  <c r="BD81" i="48"/>
  <c r="BD62" i="48" s="1"/>
  <c r="BD63" i="48" s="1"/>
  <c r="BD81" i="43"/>
  <c r="BD62" i="43" s="1"/>
  <c r="BD63" i="43" s="1"/>
  <c r="BD81" i="44"/>
  <c r="BD62" i="44" s="1"/>
  <c r="BD63" i="44" s="1"/>
  <c r="BD81" i="46"/>
  <c r="BD62" i="46" s="1"/>
  <c r="BD63" i="46" s="1"/>
  <c r="BD81" i="49"/>
  <c r="BD62" i="49" s="1"/>
  <c r="BD63" i="49" s="1"/>
  <c r="BD81" i="40"/>
  <c r="BD62" i="40" s="1"/>
  <c r="BD63" i="40" s="1"/>
  <c r="BD81" i="45"/>
  <c r="BD62" i="45" s="1"/>
  <c r="BD63" i="45" s="1"/>
  <c r="BD62" i="59"/>
  <c r="BD3" i="56"/>
  <c r="BD81" i="47"/>
  <c r="BD62" i="47" s="1"/>
  <c r="BD63" i="47" s="1"/>
  <c r="BD81" i="32"/>
  <c r="BD62" i="32" s="1"/>
  <c r="BD63" i="32" s="1"/>
  <c r="BD81" i="41"/>
  <c r="BD62" i="41" s="1"/>
  <c r="BD63" i="41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42"/>
  <c r="BE106" i="42" s="1"/>
  <c r="BE109" i="42" s="1"/>
  <c r="BE97" i="33" l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7" i="59" s="1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46" i="33"/>
  <c r="BD49" i="59" s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87" i="46" l="1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DV49" i="57"/>
  <c r="DV61" i="57" s="1"/>
  <c r="BE49" i="33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D90" i="40"/>
  <c r="BD93" i="40" s="1"/>
  <c r="BD94" i="40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51" i="33"/>
  <c r="BD52" i="59" s="1"/>
  <c r="BE300" i="51"/>
  <c r="BE297" i="51"/>
  <c r="BE299" i="51"/>
  <c r="BD48" i="33"/>
  <c r="BD50" i="59" s="1"/>
  <c r="BE114" i="44"/>
  <c r="BE103" i="44" s="1"/>
  <c r="BE119" i="44"/>
  <c r="BE119" i="45"/>
  <c r="BE114" i="45"/>
  <c r="BE103" i="45" s="1"/>
  <c r="BE39" i="33"/>
  <c r="BE119" i="40"/>
  <c r="BE114" i="40"/>
  <c r="BE103" i="40" s="1"/>
  <c r="BD93" i="32"/>
  <c r="BD94" i="32" s="1"/>
  <c r="BD91" i="32"/>
  <c r="BD93" i="46"/>
  <c r="BD94" i="46" s="1"/>
  <c r="BD91" i="46"/>
  <c r="BE119" i="46"/>
  <c r="BE114" i="46"/>
  <c r="BE103" i="46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D91" i="49"/>
  <c r="BE114" i="47"/>
  <c r="BE103" i="47" s="1"/>
  <c r="BE119" i="47"/>
  <c r="BE119" i="43"/>
  <c r="BE114" i="43"/>
  <c r="BE103" i="43" s="1"/>
  <c r="BE296" i="51"/>
  <c r="BE301" i="51"/>
  <c r="BE294" i="51"/>
  <c r="BD93" i="44"/>
  <c r="BD94" i="44" s="1"/>
  <c r="BD91" i="44"/>
  <c r="BE114" i="48"/>
  <c r="BE103" i="48" s="1"/>
  <c r="BE119" i="48"/>
  <c r="BD91" i="42"/>
  <c r="BD93" i="42"/>
  <c r="BD94" i="42" s="1"/>
  <c r="BE119" i="32"/>
  <c r="BE114" i="32"/>
  <c r="BE103" i="32" s="1"/>
  <c r="BE114" i="41"/>
  <c r="BE103" i="41" s="1"/>
  <c r="BE119" i="41"/>
  <c r="BD93" i="43"/>
  <c r="BD94" i="43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E119" i="49"/>
  <c r="BE114" i="49"/>
  <c r="BE103" i="49" s="1"/>
  <c r="BD204" i="51"/>
  <c r="BD220" i="51" s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D91" i="41"/>
  <c r="BE115" i="40"/>
  <c r="BE121" i="40"/>
  <c r="BE124" i="40"/>
  <c r="BE115" i="45"/>
  <c r="BE121" i="44"/>
  <c r="BE124" i="44"/>
  <c r="BE115" i="44"/>
  <c r="BE305" i="51"/>
  <c r="BE309" i="51" s="1"/>
  <c r="BD91" i="48"/>
  <c r="BD93" i="48"/>
  <c r="BD94" i="48" s="1"/>
  <c r="BE124" i="49"/>
  <c r="BE121" i="49"/>
  <c r="BE115" i="42"/>
  <c r="BD91" i="45"/>
  <c r="BD93" i="45"/>
  <c r="BD94" i="45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E86" i="45" l="1"/>
  <c r="BE162" i="33"/>
  <c r="BE246" i="33" s="1"/>
  <c r="BE86" i="46"/>
  <c r="BE163" i="33"/>
  <c r="BE247" i="33" s="1"/>
  <c r="BE66" i="46"/>
  <c r="BE67" i="46" s="1"/>
  <c r="BE101" i="46"/>
  <c r="BE217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55" i="33"/>
  <c r="BE124" i="33"/>
  <c r="BE101" i="33" s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2" i="33" l="1"/>
  <c r="BE231" i="33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45" i="33"/>
  <c r="BE209" i="33"/>
  <c r="BE229" i="33"/>
  <c r="BE234" i="33"/>
  <c r="BE226" i="33"/>
  <c r="BE5" i="59" l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E81" i="44"/>
  <c r="BE62" i="44" s="1"/>
  <c r="BE63" i="44" s="1"/>
  <c r="BE81" i="40"/>
  <c r="BE62" i="40" s="1"/>
  <c r="BE63" i="40" s="1"/>
  <c r="BE81" i="49"/>
  <c r="BE62" i="49" s="1"/>
  <c r="BE63" i="49" s="1"/>
  <c r="BE81" i="41"/>
  <c r="BE62" i="41" s="1"/>
  <c r="BE63" i="41" s="1"/>
  <c r="BE81" i="43"/>
  <c r="BE62" i="43" s="1"/>
  <c r="BE63" i="43" s="1"/>
  <c r="BE62" i="59"/>
  <c r="BE3" i="56"/>
  <c r="BE81" i="42"/>
  <c r="BE62" i="42" s="1"/>
  <c r="BE63" i="42" s="1"/>
  <c r="BE81" i="48"/>
  <c r="BE62" i="48" s="1"/>
  <c r="BE63" i="48" s="1"/>
  <c r="BE81" i="47"/>
  <c r="BE62" i="47" s="1"/>
  <c r="BE63" i="47" s="1"/>
  <c r="BE81" i="45"/>
  <c r="BE62" i="45" s="1"/>
  <c r="BE63" i="45" s="1"/>
  <c r="BE81" i="32"/>
  <c r="BE62" i="32" s="1"/>
  <c r="BE63" i="3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64" i="59"/>
  <c r="BE64" i="45"/>
  <c r="BE65" i="45" s="1"/>
  <c r="BE68" i="45" s="1"/>
  <c r="BE155" i="45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46" i="33"/>
  <c r="BE49" i="59" s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7" i="59" s="1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88" i="32" l="1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DW49" i="57"/>
  <c r="DW61" i="57" s="1"/>
  <c r="BF49" i="33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E130" i="44"/>
  <c r="BE51" i="33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E93" i="45"/>
  <c r="BE94" i="45" s="1"/>
  <c r="BE91" i="45"/>
  <c r="BF119" i="45"/>
  <c r="BF114" i="45"/>
  <c r="BF103" i="45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F50" i="48"/>
  <c r="BF50" i="41"/>
  <c r="BF50" i="49"/>
  <c r="BE77" i="59"/>
  <c r="BF50" i="45"/>
  <c r="BF50" i="47"/>
  <c r="BF50" i="44"/>
  <c r="BF50" i="40"/>
  <c r="BF50" i="43"/>
  <c r="BF50" i="46"/>
  <c r="BF50" i="32"/>
  <c r="BF50" i="42"/>
  <c r="BF114" i="49"/>
  <c r="BF103" i="49" s="1"/>
  <c r="BF119" i="49"/>
  <c r="BE204" i="51"/>
  <c r="BE220" i="51" s="1"/>
  <c r="BF119" i="46"/>
  <c r="BF114" i="46"/>
  <c r="BF103" i="46" s="1"/>
  <c r="BE93" i="40"/>
  <c r="BE94" i="40" s="1"/>
  <c r="BE91" i="40"/>
  <c r="BF114" i="44"/>
  <c r="BF103" i="44" s="1"/>
  <c r="BF119" i="44"/>
  <c r="BE93" i="47"/>
  <c r="BE94" i="47" s="1"/>
  <c r="BE91" i="47"/>
  <c r="BF114" i="48"/>
  <c r="BF103" i="48" s="1"/>
  <c r="BF119" i="48"/>
  <c r="BF297" i="51"/>
  <c r="BF295" i="51"/>
  <c r="BE91" i="49"/>
  <c r="BE93" i="49"/>
  <c r="BE94" i="49" s="1"/>
  <c r="BE93" i="42"/>
  <c r="BE94" i="42" s="1"/>
  <c r="BE91" i="42"/>
  <c r="BF119" i="32"/>
  <c r="BF114" i="32"/>
  <c r="BF103" i="32" s="1"/>
  <c r="BF119" i="47"/>
  <c r="BF114" i="47"/>
  <c r="BF103" i="47" s="1"/>
  <c r="BE93" i="43"/>
  <c r="BE94" i="43" s="1"/>
  <c r="BE91" i="43"/>
  <c r="BF114" i="42"/>
  <c r="BF103" i="42" s="1"/>
  <c r="BF119" i="42"/>
  <c r="BE93" i="46"/>
  <c r="BE94" i="46" s="1"/>
  <c r="BE91" i="46"/>
  <c r="BF114" i="43"/>
  <c r="BF103" i="43" s="1"/>
  <c r="BF119" i="43"/>
  <c r="BF119" i="41"/>
  <c r="BF114" i="41"/>
  <c r="BF103" i="41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F115" i="40"/>
  <c r="BE93" i="48"/>
  <c r="BE94" i="48" s="1"/>
  <c r="BE91" i="48"/>
  <c r="BF155" i="33" l="1"/>
  <c r="BF124" i="33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5" i="59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227" i="33"/>
  <c r="BF228" i="33"/>
  <c r="BF225" i="33"/>
  <c r="BF45" i="33"/>
  <c r="BF209" i="33"/>
  <c r="BF224" i="33" s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F81" i="43"/>
  <c r="BF62" i="43" s="1"/>
  <c r="BF63" i="43" s="1"/>
  <c r="BF81" i="46"/>
  <c r="BF62" i="46" s="1"/>
  <c r="BF63" i="46" s="1"/>
  <c r="BF81" i="40"/>
  <c r="BF62" i="40" s="1"/>
  <c r="BF63" i="40" s="1"/>
  <c r="BF81" i="32"/>
  <c r="BF62" i="32" s="1"/>
  <c r="BF63" i="32" s="1"/>
  <c r="BF81" i="44"/>
  <c r="BF62" i="44" s="1"/>
  <c r="BF63" i="44" s="1"/>
  <c r="BF62" i="59"/>
  <c r="BF3" i="56"/>
  <c r="BF81" i="47"/>
  <c r="BF62" i="47" s="1"/>
  <c r="BF63" i="47" s="1"/>
  <c r="BF81" i="41"/>
  <c r="BF62" i="41" s="1"/>
  <c r="BF63" i="41" s="1"/>
  <c r="BF81" i="49"/>
  <c r="BF62" i="49" s="1"/>
  <c r="BF63" i="49" s="1"/>
  <c r="BF81" i="42"/>
  <c r="BF62" i="42" s="1"/>
  <c r="BF63" i="42" s="1"/>
  <c r="BF81" i="48"/>
  <c r="BF62" i="48" s="1"/>
  <c r="BF63" i="48" s="1"/>
  <c r="BG72" i="33"/>
  <c r="BF64" i="48" l="1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64" i="59"/>
  <c r="BF155" i="42"/>
  <c r="BF64" i="42"/>
  <c r="BF65" i="42" s="1"/>
  <c r="BF68" i="42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7" i="59" s="1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G85" i="47"/>
  <c r="BG61" i="47"/>
  <c r="DX58" i="57" s="1"/>
  <c r="BG285" i="51"/>
  <c r="BF84" i="42"/>
  <c r="BF87" i="40" l="1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G78" i="47"/>
  <c r="BG77" i="47"/>
  <c r="BG128" i="47"/>
  <c r="BG112" i="47"/>
  <c r="BG49" i="33"/>
  <c r="BG51" i="59" s="1"/>
  <c r="BG276" i="51"/>
  <c r="BG288" i="51" s="1"/>
  <c r="BG290" i="51" s="1"/>
  <c r="DX49" i="57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90" i="41"/>
  <c r="BF93" i="41" s="1"/>
  <c r="BF94" i="41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F213" i="51"/>
  <c r="BF229" i="51" s="1"/>
  <c r="BG300" i="51"/>
  <c r="BF90" i="47"/>
  <c r="BF93" i="47" s="1"/>
  <c r="BF94" i="47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G114" i="42"/>
  <c r="BG103" i="42" s="1"/>
  <c r="BG119" i="42"/>
  <c r="BG119" i="46"/>
  <c r="BG114" i="46"/>
  <c r="BG103" i="46" s="1"/>
  <c r="BF91" i="48"/>
  <c r="BF93" i="48"/>
  <c r="BF94" i="48" s="1"/>
  <c r="BF93" i="43"/>
  <c r="BF94" i="43" s="1"/>
  <c r="BF91" i="43"/>
  <c r="BG50" i="42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G114" i="48"/>
  <c r="BG103" i="48" s="1"/>
  <c r="BG119" i="48"/>
  <c r="BG119" i="47"/>
  <c r="BG114" i="47"/>
  <c r="BG103" i="47" s="1"/>
  <c r="BF93" i="40"/>
  <c r="BF94" i="40" s="1"/>
  <c r="BF91" i="40"/>
  <c r="BG119" i="32"/>
  <c r="BG114" i="32"/>
  <c r="BG103" i="32" s="1"/>
  <c r="BG114" i="45"/>
  <c r="BG103" i="45" s="1"/>
  <c r="BG119" i="45"/>
  <c r="BG119" i="41"/>
  <c r="BG114" i="41"/>
  <c r="BG103" i="41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G119" i="44"/>
  <c r="BG114" i="44"/>
  <c r="BG103" i="44" s="1"/>
  <c r="BG114" i="49"/>
  <c r="BG103" i="49" s="1"/>
  <c r="BG119" i="49"/>
  <c r="BG39" i="33"/>
  <c r="BF51" i="33"/>
  <c r="BF52" i="59" s="1"/>
  <c r="BF91" i="32" l="1"/>
  <c r="BF91" i="44"/>
  <c r="BF204" i="51"/>
  <c r="BF220" i="51" s="1"/>
  <c r="BF91" i="41"/>
  <c r="BF93" i="49"/>
  <c r="BF94" i="49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G115" i="45"/>
  <c r="BG115" i="48"/>
  <c r="BG115" i="46"/>
  <c r="BG124" i="46"/>
  <c r="BG121" i="46"/>
  <c r="BG115" i="40"/>
  <c r="BG121" i="40"/>
  <c r="BG124" i="40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G121" i="48"/>
  <c r="BG124" i="48"/>
  <c r="BG124" i="42"/>
  <c r="BG121" i="42"/>
  <c r="BG115" i="42"/>
  <c r="BG310" i="51" l="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55" i="33"/>
  <c r="BG124" i="33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5" i="59"/>
  <c r="BG56" i="33"/>
  <c r="BG45" i="33"/>
  <c r="BG209" i="33"/>
  <c r="BG233" i="33"/>
  <c r="BG227" i="33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40"/>
  <c r="BH106" i="40" s="1"/>
  <c r="BH109" i="40" s="1"/>
  <c r="BH107" i="44"/>
  <c r="BH106" i="44" s="1"/>
  <c r="BH109" i="44" s="1"/>
  <c r="BG81" i="41"/>
  <c r="BG62" i="41" s="1"/>
  <c r="BG63" i="41" s="1"/>
  <c r="BG81" i="47"/>
  <c r="BG62" i="47" s="1"/>
  <c r="BG63" i="47" s="1"/>
  <c r="BG81" i="45"/>
  <c r="BG62" i="45" s="1"/>
  <c r="BG63" i="45" s="1"/>
  <c r="BG81" i="40"/>
  <c r="BG62" i="40" s="1"/>
  <c r="BG63" i="40" s="1"/>
  <c r="BG62" i="59"/>
  <c r="BG81" i="32"/>
  <c r="BG62" i="32" s="1"/>
  <c r="BG63" i="32" s="1"/>
  <c r="BG3" i="56"/>
  <c r="BG81" i="43"/>
  <c r="BG62" i="43" s="1"/>
  <c r="BG63" i="43" s="1"/>
  <c r="BG81" i="49"/>
  <c r="BG62" i="49" s="1"/>
  <c r="BG63" i="49" s="1"/>
  <c r="BG81" i="46"/>
  <c r="BG62" i="46" s="1"/>
  <c r="BG63" i="46" s="1"/>
  <c r="BG81" i="42"/>
  <c r="BG62" i="42" s="1"/>
  <c r="BG63" i="42" s="1"/>
  <c r="BG81" i="44"/>
  <c r="BG62" i="44" s="1"/>
  <c r="BG63" i="44" s="1"/>
  <c r="BG81" i="48"/>
  <c r="BG62" i="48" s="1"/>
  <c r="BG63" i="48" s="1"/>
  <c r="BH72" i="33"/>
  <c r="BG155" i="48" l="1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155" i="40"/>
  <c r="BG64" i="40"/>
  <c r="BG65" i="40" s="1"/>
  <c r="BG68" i="40" s="1"/>
  <c r="BG155" i="47"/>
  <c r="BG64" i="47"/>
  <c r="BG65" i="47" s="1"/>
  <c r="BG68" i="47" s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7" i="59" s="1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H61" i="45"/>
  <c r="DY56" i="57" s="1"/>
  <c r="BH85" i="45"/>
  <c r="BH283" i="51"/>
  <c r="BG84" i="47"/>
  <c r="BG84" i="43"/>
  <c r="BG84" i="49"/>
  <c r="BG87" i="41" l="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49" i="33"/>
  <c r="BH51" i="59" s="1"/>
  <c r="DY49" i="57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51" i="33"/>
  <c r="BG52" i="59" s="1"/>
  <c r="BH119" i="49"/>
  <c r="BH114" i="49"/>
  <c r="BH103" i="49" s="1"/>
  <c r="BH119" i="46"/>
  <c r="BH114" i="46"/>
  <c r="BH103" i="46" s="1"/>
  <c r="BG91" i="41"/>
  <c r="BG93" i="41"/>
  <c r="BG94" i="41" s="1"/>
  <c r="BH114" i="42"/>
  <c r="BH103" i="42" s="1"/>
  <c r="BH119" i="42"/>
  <c r="BH119" i="40"/>
  <c r="BH114" i="40"/>
  <c r="BH103" i="40" s="1"/>
  <c r="BH114" i="44"/>
  <c r="BH103" i="44" s="1"/>
  <c r="BH119" i="44"/>
  <c r="BH50" i="32"/>
  <c r="BH50" i="47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G91" i="45"/>
  <c r="BH114" i="45"/>
  <c r="BH103" i="45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H119" i="43"/>
  <c r="BG91" i="46"/>
  <c r="BG93" i="46"/>
  <c r="BG94" i="46" s="1"/>
  <c r="BG93" i="48"/>
  <c r="BG94" i="48" s="1"/>
  <c r="BG91" i="48"/>
  <c r="BH119" i="48"/>
  <c r="BH114" i="48"/>
  <c r="BH103" i="48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G91" i="32"/>
  <c r="BG93" i="32"/>
  <c r="BG94" i="32" s="1"/>
  <c r="BH119" i="32"/>
  <c r="BH114" i="32"/>
  <c r="BH103" i="32" s="1"/>
  <c r="BG93" i="42"/>
  <c r="BG94" i="42" s="1"/>
  <c r="BG91" i="42"/>
  <c r="BH39" i="33"/>
  <c r="BG93" i="40"/>
  <c r="BG94" i="40" s="1"/>
  <c r="BG91" i="40"/>
  <c r="BG93" i="44" l="1"/>
  <c r="BG94" i="44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H115" i="41"/>
  <c r="BG93" i="43"/>
  <c r="BG94" i="43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G204" i="51"/>
  <c r="BG220" i="51" s="1"/>
  <c r="BG50" i="59"/>
  <c r="BG52" i="33"/>
  <c r="BG53" i="59" s="1"/>
  <c r="BG87" i="33"/>
  <c r="BG53" i="33"/>
  <c r="BG54" i="59" s="1"/>
  <c r="BG369" i="33"/>
  <c r="BG375" i="33" s="1"/>
  <c r="BG376" i="33" s="1"/>
  <c r="BH115" i="32"/>
  <c r="BH115" i="47"/>
  <c r="BH121" i="41"/>
  <c r="BH124" i="41"/>
  <c r="BH115" i="43"/>
  <c r="BG93" i="47"/>
  <c r="BG94" i="47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4" i="33"/>
  <c r="BH101" i="33" s="1"/>
  <c r="BH155" i="33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209" i="33"/>
  <c r="BH45" i="33"/>
  <c r="BH229" i="33"/>
  <c r="BH227" i="33"/>
  <c r="BH230" i="33"/>
  <c r="BH233" i="33"/>
  <c r="BH228" i="33"/>
  <c r="BH231" i="33"/>
  <c r="BH184" i="33" l="1"/>
  <c r="BH113" i="33" s="1"/>
  <c r="BH239" i="33"/>
  <c r="BH251" i="33" s="1"/>
  <c r="BH167" i="33"/>
  <c r="BH224" i="33"/>
  <c r="BH236" i="33" s="1"/>
  <c r="BH56" i="33"/>
  <c r="BH5" i="59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H81" i="32"/>
  <c r="BH62" i="32" s="1"/>
  <c r="BH63" i="32" s="1"/>
  <c r="BH81" i="40"/>
  <c r="BH62" i="40" s="1"/>
  <c r="BH63" i="40" s="1"/>
  <c r="BH81" i="43"/>
  <c r="BH62" i="43" s="1"/>
  <c r="BH63" i="43" s="1"/>
  <c r="BH3" i="56"/>
  <c r="BH81" i="46"/>
  <c r="BH62" i="46" s="1"/>
  <c r="BH63" i="46" s="1"/>
  <c r="BH81" i="42"/>
  <c r="BH62" i="42" s="1"/>
  <c r="BH63" i="42" s="1"/>
  <c r="BH81" i="47"/>
  <c r="BH62" i="47" s="1"/>
  <c r="BH63" i="47" s="1"/>
  <c r="BH81" i="45"/>
  <c r="BH62" i="45" s="1"/>
  <c r="BH63" i="45" s="1"/>
  <c r="BH81" i="48"/>
  <c r="BH62" i="48" s="1"/>
  <c r="BH63" i="48" s="1"/>
  <c r="BH62" i="59"/>
  <c r="BH81" i="41"/>
  <c r="BH62" i="41" s="1"/>
  <c r="BH63" i="41" s="1"/>
  <c r="BH81" i="44"/>
  <c r="BH62" i="44" s="1"/>
  <c r="BH63" i="44" s="1"/>
  <c r="BI72" i="33"/>
  <c r="BH64" i="44" l="1"/>
  <c r="BH65" i="44" s="1"/>
  <c r="BH68" i="44" s="1"/>
  <c r="BH155" i="44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H139" i="43"/>
  <c r="BH73" i="43"/>
  <c r="BI74" i="43" s="1"/>
  <c r="BH139" i="47"/>
  <c r="BH73" i="47"/>
  <c r="BI74" i="47" s="1"/>
  <c r="BH43" i="33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7" i="59" s="1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46" i="33"/>
  <c r="BH49" i="59" s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87" i="42" l="1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154" i="49"/>
  <c r="BH87" i="46"/>
  <c r="BI84" i="46"/>
  <c r="BI88" i="46" s="1"/>
  <c r="BH88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49" i="33"/>
  <c r="BI51" i="59" s="1"/>
  <c r="DZ49" i="57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6" l="1"/>
  <c r="B154" i="47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H129" i="49"/>
  <c r="BI130" i="49"/>
  <c r="BH132" i="49"/>
  <c r="BH133" i="49" s="1"/>
  <c r="BH134" i="49" s="1"/>
  <c r="BG79" i="49" s="1"/>
  <c r="BH148" i="49" s="1"/>
  <c r="BI296" i="51"/>
  <c r="BH90" i="45"/>
  <c r="BH93" i="45" s="1"/>
  <c r="BH94" i="45" s="1"/>
  <c r="BH130" i="45"/>
  <c r="BH90" i="49"/>
  <c r="BH91" i="49" s="1"/>
  <c r="BI291" i="51"/>
  <c r="BI293" i="51"/>
  <c r="BI297" i="51"/>
  <c r="BH51" i="33"/>
  <c r="BH52" i="59" s="1"/>
  <c r="BH215" i="51"/>
  <c r="BH231" i="51" s="1"/>
  <c r="BH91" i="42"/>
  <c r="BH93" i="42"/>
  <c r="BH94" i="42" s="1"/>
  <c r="BH140" i="42"/>
  <c r="BI140" i="42" s="1"/>
  <c r="BH93" i="41"/>
  <c r="BH94" i="41" s="1"/>
  <c r="BH91" i="41"/>
  <c r="BI119" i="41"/>
  <c r="BI114" i="41"/>
  <c r="BI103" i="41" s="1"/>
  <c r="BI39" i="33"/>
  <c r="BI114" i="49"/>
  <c r="BI103" i="49" s="1"/>
  <c r="BI119" i="49"/>
  <c r="BI114" i="45"/>
  <c r="BI103" i="45" s="1"/>
  <c r="BI119" i="45"/>
  <c r="BI48" i="33"/>
  <c r="BI114" i="32"/>
  <c r="BI103" i="3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I91" i="45"/>
  <c r="BI114" i="44"/>
  <c r="BI103" i="44" s="1"/>
  <c r="BI119" i="44"/>
  <c r="BI114" i="47"/>
  <c r="BI103" i="47" s="1"/>
  <c r="BI119" i="47"/>
  <c r="BH91" i="32"/>
  <c r="BH93" i="32"/>
  <c r="BH94" i="3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I50" i="43"/>
  <c r="BI50" i="45"/>
  <c r="BI50" i="46"/>
  <c r="BI50" i="41"/>
  <c r="BI50" i="32"/>
  <c r="BI50" i="49"/>
  <c r="BI50" i="48"/>
  <c r="BI50" i="40"/>
  <c r="BI50" i="44"/>
  <c r="BI50" i="42"/>
  <c r="BI50" i="47"/>
  <c r="BH77" i="59"/>
  <c r="BI119" i="43"/>
  <c r="BI114" i="43"/>
  <c r="BI103" i="43" s="1"/>
  <c r="BH93" i="48"/>
  <c r="BH94" i="48" s="1"/>
  <c r="BH91" i="48"/>
  <c r="BI119" i="40"/>
  <c r="BI114" i="40"/>
  <c r="BI103" i="40" s="1"/>
  <c r="BH91" i="47"/>
  <c r="BH93" i="47"/>
  <c r="BH94" i="47" s="1"/>
  <c r="BI114" i="46"/>
  <c r="BI103" i="46" s="1"/>
  <c r="BI119" i="46"/>
  <c r="BH93" i="44"/>
  <c r="BH94" i="44" s="1"/>
  <c r="BH91" i="44"/>
  <c r="BI119" i="48"/>
  <c r="BI114" i="48"/>
  <c r="BI103" i="48" s="1"/>
  <c r="BI119" i="42"/>
  <c r="BI114" i="42"/>
  <c r="BI103" i="4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95" i="41" s="1"/>
  <c r="D95" i="41" s="1"/>
  <c r="BI93" i="44"/>
  <c r="BI94" i="44" s="1"/>
  <c r="B95" i="44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95" i="32" s="1"/>
  <c r="D95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95" i="47" s="1"/>
  <c r="BH369" i="33"/>
  <c r="BH375" i="33" s="1"/>
  <c r="BH376" i="33" s="1"/>
  <c r="BH50" i="59"/>
  <c r="BI91" i="47"/>
  <c r="BH204" i="51"/>
  <c r="BH220" i="51" s="1"/>
  <c r="BH131" i="49"/>
  <c r="BI131" i="49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146" i="1"/>
  <c r="BH93" i="49"/>
  <c r="BH94" i="49" s="1"/>
  <c r="B95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I115" i="42"/>
  <c r="BI124" i="42"/>
  <c r="BI121" i="42"/>
  <c r="BI124" i="46"/>
  <c r="BI121" i="46"/>
  <c r="BI115" i="46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95" i="42" s="1"/>
  <c r="BI91" i="42"/>
  <c r="BI121" i="47"/>
  <c r="BI124" i="47"/>
  <c r="BI115" i="44"/>
  <c r="BH91" i="46"/>
  <c r="BH93" i="46"/>
  <c r="BH94" i="46" s="1"/>
  <c r="BI93" i="43"/>
  <c r="BI94" i="43" s="1"/>
  <c r="B95" i="43" s="1"/>
  <c r="BI91" i="43"/>
  <c r="BH131" i="43"/>
  <c r="BI131" i="43" s="1"/>
  <c r="BI124" i="32"/>
  <c r="BI121" i="32"/>
  <c r="BI204" i="51"/>
  <c r="BI220" i="51" s="1"/>
  <c r="BI121" i="45"/>
  <c r="BI124" i="45"/>
  <c r="BI115" i="45"/>
  <c r="BI124" i="41"/>
  <c r="BI121" i="41"/>
  <c r="I174" i="51" l="1"/>
  <c r="L174" i="51" s="1"/>
  <c r="M174" i="51" s="1"/>
  <c r="BI91" i="40"/>
  <c r="BI93" i="40"/>
  <c r="BI94" i="40" s="1"/>
  <c r="B95" i="40" s="1"/>
  <c r="D95" i="40" s="1"/>
  <c r="BH131" i="40"/>
  <c r="BI131" i="40" s="1"/>
  <c r="C52" i="32"/>
  <c r="P170" i="51" s="1"/>
  <c r="C52" i="45"/>
  <c r="P176" i="51" s="1"/>
  <c r="C52" i="41"/>
  <c r="P171" i="51" s="1"/>
  <c r="B153" i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01" i="45"/>
  <c r="BI216" i="33" s="1"/>
  <c r="BI66" i="45"/>
  <c r="BI67" i="45" s="1"/>
  <c r="BI116" i="45"/>
  <c r="B95" i="1"/>
  <c r="C52" i="43"/>
  <c r="P173" i="51" s="1"/>
  <c r="D95" i="43"/>
  <c r="BI86" i="47"/>
  <c r="BI87" i="47" s="1"/>
  <c r="BI164" i="33"/>
  <c r="BI248" i="33" s="1"/>
  <c r="BI165" i="33"/>
  <c r="BI249" i="33" s="1"/>
  <c r="BI86" i="48"/>
  <c r="BI87" i="48" s="1"/>
  <c r="D95" i="49"/>
  <c r="C52" i="49"/>
  <c r="P180" i="51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4" i="33"/>
  <c r="BI101" i="33" s="1"/>
  <c r="BI155" i="33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0" l="1"/>
  <c r="P174" i="51" s="1"/>
  <c r="BI226" i="33"/>
  <c r="BI229" i="33"/>
  <c r="BI228" i="33"/>
  <c r="BI234" i="33"/>
  <c r="BI56" i="33"/>
  <c r="BI5" i="59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4" i="55"/>
  <c r="B54" i="1"/>
  <c r="C52" i="1"/>
  <c r="P169" i="51" s="1"/>
  <c r="D95" i="1"/>
  <c r="B75" i="33"/>
  <c r="I169" i="51"/>
  <c r="BI209" i="33"/>
  <c r="BI45" i="33"/>
  <c r="BI51" i="33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D75" i="33" l="1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81" i="40" l="1"/>
  <c r="BI62" i="40" s="1"/>
  <c r="BI63" i="40" s="1"/>
  <c r="BI81" i="43"/>
  <c r="BI62" i="43" s="1"/>
  <c r="BI63" i="43" s="1"/>
  <c r="BI81" i="44"/>
  <c r="BI62" i="44" s="1"/>
  <c r="BI63" i="44" s="1"/>
  <c r="BI3" i="56"/>
  <c r="BI81" i="49"/>
  <c r="BI62" i="49" s="1"/>
  <c r="BI63" i="49" s="1"/>
  <c r="BI369" i="33"/>
  <c r="BI375" i="33" s="1"/>
  <c r="BI376" i="33" s="1"/>
  <c r="BI81" i="45"/>
  <c r="BI62" i="45" s="1"/>
  <c r="BI63" i="45" s="1"/>
  <c r="BI81" i="48"/>
  <c r="BI62" i="48" s="1"/>
  <c r="BI63" i="48" s="1"/>
  <c r="BI81" i="32"/>
  <c r="BI62" i="32" s="1"/>
  <c r="BI63" i="32" s="1"/>
  <c r="BI81" i="47"/>
  <c r="BI62" i="47" s="1"/>
  <c r="BI63" i="47" s="1"/>
  <c r="BI81" i="46"/>
  <c r="BI62" i="46" s="1"/>
  <c r="BI63" i="46" s="1"/>
  <c r="BI81" i="41"/>
  <c r="BI62" i="41" s="1"/>
  <c r="BI63" i="41" s="1"/>
  <c r="BI81" i="42"/>
  <c r="BI62" i="42" s="1"/>
  <c r="BI63" i="42" s="1"/>
  <c r="BI62" i="59"/>
  <c r="BJ72" i="33"/>
  <c r="BM59" i="33"/>
  <c r="BL71" i="33" s="1"/>
  <c r="BM61" i="33"/>
  <c r="BN62" i="33" s="1"/>
  <c r="BL60" i="33"/>
  <c r="BL4" i="56" s="1"/>
  <c r="BK72" i="33" l="1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61" i="56"/>
  <c r="BI132" i="33"/>
  <c r="BI75" i="59" s="1"/>
  <c r="BK46" i="56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7" i="59" s="1"/>
  <c r="BI44" i="33"/>
  <c r="BJ60" i="56"/>
  <c r="BJ59" i="56"/>
  <c r="BK47" i="56"/>
  <c r="BK49" i="56" s="1"/>
  <c r="BK48" i="56" s="1"/>
  <c r="BN72" i="33" l="1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E72" i="33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C42" i="56" l="1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F72" i="33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G72" i="33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H72" i="33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I72" i="33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J72" i="33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B42" i="56" l="1"/>
  <c r="DB43" i="56" s="1"/>
  <c r="DC41" i="56" s="1"/>
  <c r="CO61" i="56"/>
  <c r="CO48" i="56"/>
  <c r="CP47" i="56" s="1"/>
  <c r="CP49" i="56" s="1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C46" i="56" l="1"/>
  <c r="DB48" i="56"/>
  <c r="DC47" i="56" s="1"/>
  <c r="DC49" i="56" s="1"/>
  <c r="DB61" i="56"/>
  <c r="DA62" i="56"/>
  <c r="DA135" i="33" s="1"/>
  <c r="DA134" i="33"/>
  <c r="DV71" i="33"/>
  <c r="DX59" i="33"/>
  <c r="DW60" i="33"/>
  <c r="DX61" i="33"/>
  <c r="DU72" i="33"/>
  <c r="DQ132" i="33"/>
  <c r="DR59" i="56"/>
  <c r="DR60" i="56"/>
  <c r="DR133" i="33" s="1"/>
  <c r="DD46" i="56" l="1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F46" i="56" l="1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DB2" i="56" l="1"/>
  <c r="DC2" i="56" s="1"/>
  <c r="DD2" i="56" s="1"/>
  <c r="DE2" i="56" s="1"/>
  <c r="DF2" i="56" s="1"/>
  <c r="DG2" i="56" s="1"/>
  <c r="DH2" i="56" s="1"/>
  <c r="DI2" i="56" s="1"/>
  <c r="DJ2" i="56" s="1"/>
  <c r="DK2" i="56" s="1"/>
  <c r="DL2" i="56" s="1"/>
  <c r="DM2" i="56" s="1"/>
  <c r="DN2" i="56" s="1"/>
  <c r="DO2" i="56" s="1"/>
  <c r="DP2" i="56" s="1"/>
  <c r="DQ2" i="56" s="1"/>
  <c r="DR2" i="56" s="1"/>
</calcChain>
</file>

<file path=xl/sharedStrings.xml><?xml version="1.0" encoding="utf-8"?>
<sst xmlns="http://schemas.openxmlformats.org/spreadsheetml/2006/main" count="4481" uniqueCount="1333">
  <si>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</si>
  <si>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</si>
  <si>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</si>
  <si>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</si>
  <si>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</si>
  <si>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</si>
  <si>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</si>
  <si>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</si>
  <si>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</si>
  <si>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</si>
  <si>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</si>
  <si>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</si>
  <si>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</si>
  <si>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</si>
  <si>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</si>
  <si>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</si>
  <si>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</si>
  <si>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</si>
  <si>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</si>
  <si>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</si>
  <si>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</si>
  <si>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</si>
  <si>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</si>
  <si>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</si>
  <si>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</si>
  <si>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</si>
  <si>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</si>
  <si>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</si>
  <si>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</si>
  <si>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</si>
  <si>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</si>
  <si>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</si>
  <si>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</si>
  <si>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</si>
  <si>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</si>
  <si>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</si>
  <si>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</si>
  <si>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</si>
  <si>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</si>
  <si>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</si>
  <si>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</si>
  <si>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</si>
  <si>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</si>
  <si>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</si>
  <si>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</si>
  <si>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</si>
  <si>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</si>
  <si>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</si>
  <si>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</si>
  <si>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</si>
  <si>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</si>
  <si>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</si>
  <si>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</si>
  <si>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</si>
  <si>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</si>
  <si>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</si>
  <si>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</si>
  <si>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</si>
  <si>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</si>
  <si>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</si>
  <si>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</si>
  <si>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</si>
  <si>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</si>
  <si>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</si>
  <si>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</si>
  <si>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</si>
  <si>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</si>
  <si>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</si>
  <si>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</si>
  <si>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</si>
  <si>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</si>
  <si>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</si>
  <si>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</si>
  <si>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</si>
  <si>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</si>
  <si>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</si>
  <si>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</si>
  <si>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</si>
  <si>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</si>
  <si>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</si>
  <si>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</si>
  <si>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</si>
  <si>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</si>
  <si>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</si>
  <si>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</si>
  <si>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</si>
  <si>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</si>
  <si>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</si>
  <si>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</si>
  <si>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</si>
  <si>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</si>
  <si>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</si>
  <si>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</si>
  <si>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</si>
  <si>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</si>
  <si>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</si>
  <si>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</si>
  <si>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</si>
  <si>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</si>
  <si>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</si>
  <si>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</si>
  <si>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</si>
  <si>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</si>
  <si>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</si>
  <si>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</si>
  <si>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</si>
  <si>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</si>
  <si>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</si>
  <si>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</si>
  <si>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</si>
  <si>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</si>
  <si>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</si>
  <si>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</si>
  <si>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</si>
  <si>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</si>
  <si>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</si>
  <si>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</si>
  <si>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</si>
  <si>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</si>
  <si>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</si>
  <si>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</si>
  <si>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</si>
  <si>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</si>
  <si>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</si>
  <si>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</si>
  <si>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</si>
  <si>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</si>
  <si>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</si>
  <si>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</si>
  <si>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</si>
  <si>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</si>
  <si>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</si>
  <si>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</si>
  <si>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</si>
  <si>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</si>
  <si>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</si>
  <si>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</si>
  <si>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</si>
  <si>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</si>
  <si>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</si>
  <si>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</si>
  <si>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</si>
  <si>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</si>
  <si>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</si>
  <si>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</si>
  <si>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</si>
  <si>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</si>
  <si>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</si>
  <si>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</si>
  <si>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</si>
  <si>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</si>
  <si>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</si>
  <si>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</si>
  <si>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</si>
  <si>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</si>
  <si>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</si>
  <si>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</si>
  <si>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</si>
  <si>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</si>
  <si>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</si>
  <si>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</si>
  <si>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</si>
  <si>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</si>
  <si>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</si>
  <si>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</si>
  <si>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</si>
  <si>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</si>
  <si>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</si>
  <si>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</si>
  <si>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</si>
  <si>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</si>
  <si>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</si>
  <si>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</si>
  <si>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</si>
  <si>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</si>
  <si>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</si>
  <si>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</si>
  <si>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</si>
  <si>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</si>
  <si>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</si>
  <si>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</si>
  <si>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</si>
  <si>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</si>
  <si>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</si>
  <si>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</si>
  <si>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</si>
  <si>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</si>
  <si>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</si>
  <si>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</si>
  <si>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</si>
  <si>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</si>
  <si>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</si>
  <si>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</si>
  <si>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</si>
  <si>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</si>
  <si>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</si>
  <si>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</si>
  <si>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</si>
  <si>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</si>
  <si>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</si>
  <si>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</si>
  <si>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</si>
  <si>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</si>
  <si>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</si>
  <si>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</si>
  <si>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</si>
  <si>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</si>
  <si>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</si>
  <si>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</si>
  <si>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</si>
  <si>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</si>
  <si>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</si>
  <si>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</si>
  <si>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</si>
  <si>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</si>
  <si>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</si>
  <si>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</si>
  <si>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</si>
  <si>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</si>
  <si>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</si>
  <si>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</si>
  <si>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</si>
  <si>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</si>
  <si>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</si>
  <si>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</si>
  <si>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</si>
  <si>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</si>
  <si>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</si>
  <si>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</si>
  <si>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</si>
  <si>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</si>
  <si>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</si>
  <si>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</si>
  <si>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</si>
  <si>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</si>
  <si>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</si>
  <si>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</si>
  <si>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</si>
  <si>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</si>
  <si>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</si>
  <si>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</si>
  <si>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</si>
  <si>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</si>
  <si>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</si>
  <si>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</si>
  <si>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</si>
  <si>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</si>
  <si>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</si>
  <si>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</si>
  <si>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</si>
  <si>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</si>
  <si>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</si>
  <si>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</si>
  <si>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</si>
  <si>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</si>
  <si>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</si>
  <si>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</si>
  <si>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</si>
  <si>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</si>
  <si>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</si>
  <si>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</si>
  <si>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</si>
  <si>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</si>
  <si>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</si>
  <si>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</si>
  <si>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</si>
  <si>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</si>
  <si>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</si>
  <si>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</si>
  <si>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</si>
  <si>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</si>
  <si>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</si>
  <si>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</si>
  <si>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</si>
  <si>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</si>
  <si>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</si>
  <si>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</si>
  <si>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</si>
  <si>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</si>
  <si>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</si>
  <si>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</si>
  <si>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</si>
  <si>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</si>
  <si>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</si>
  <si>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</si>
  <si>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</si>
  <si>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</si>
  <si>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</si>
  <si>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</si>
  <si>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</si>
  <si>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</si>
  <si>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</si>
  <si>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</si>
  <si>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</si>
  <si>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</si>
  <si>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</si>
  <si>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</si>
  <si>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</si>
  <si>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</si>
  <si>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</si>
  <si>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</si>
  <si>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</si>
  <si>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</si>
  <si>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</si>
  <si>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</si>
  <si>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</si>
  <si>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</si>
  <si>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</si>
  <si>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</si>
  <si>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</si>
  <si>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</si>
  <si>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</si>
  <si>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</si>
  <si>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</si>
  <si>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</si>
  <si>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</si>
  <si>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</si>
  <si>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</si>
  <si>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</si>
  <si>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</si>
  <si>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</si>
  <si>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</si>
  <si>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</si>
  <si>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</si>
  <si>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</si>
  <si>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</si>
  <si>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</si>
  <si>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</si>
  <si>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</si>
  <si>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</si>
  <si>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</si>
  <si>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</si>
  <si>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</si>
  <si>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</si>
  <si>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</si>
  <si>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</si>
  <si>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</si>
  <si>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</si>
  <si>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</si>
  <si>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</si>
  <si>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</si>
  <si>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</si>
  <si>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</si>
  <si>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</si>
  <si>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</si>
  <si>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</si>
  <si>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</si>
  <si>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</si>
  <si>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</si>
  <si>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</si>
  <si>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</si>
  <si>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</si>
  <si>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</si>
  <si>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</si>
  <si>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</si>
  <si>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</si>
  <si>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</si>
  <si>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</si>
  <si>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</si>
  <si>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</si>
  <si>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</si>
  <si>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</si>
  <si>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</si>
  <si>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</si>
  <si>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</si>
  <si>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</si>
  <si>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</si>
  <si>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</si>
  <si>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</si>
  <si>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</si>
  <si>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</si>
  <si>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</si>
  <si>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</si>
  <si>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</si>
  <si>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</si>
  <si>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</si>
  <si>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</si>
  <si>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</si>
  <si>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</si>
  <si>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</si>
  <si>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</si>
  <si>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</si>
  <si>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</si>
  <si>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</si>
  <si>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</si>
  <si>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</si>
  <si>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</si>
  <si>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</si>
  <si>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</si>
  <si>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</si>
  <si>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</si>
  <si>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</si>
  <si>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</si>
  <si>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</si>
  <si>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</si>
  <si>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</si>
  <si>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</si>
  <si>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</si>
  <si>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</si>
  <si>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</si>
  <si>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</si>
  <si>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</si>
  <si>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</si>
  <si>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</si>
  <si>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</si>
  <si>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</si>
  <si>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</si>
  <si>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</si>
  <si>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</si>
  <si>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</si>
  <si>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</si>
  <si>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</si>
  <si>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</si>
  <si>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</si>
  <si>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</si>
  <si>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</si>
  <si>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</si>
  <si>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</si>
  <si>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</si>
  <si>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</si>
  <si>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</si>
  <si>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</si>
  <si>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</si>
  <si>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</si>
  <si>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</si>
  <si>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</si>
  <si>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</si>
  <si>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</si>
  <si>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</si>
  <si>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</si>
  <si>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</si>
  <si>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</si>
  <si>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</si>
  <si>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</si>
  <si>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</si>
  <si>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</si>
  <si>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</si>
  <si>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</si>
  <si>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</si>
  <si>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</si>
  <si>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</si>
  <si>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</si>
  <si>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</si>
  <si>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</si>
  <si>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</si>
  <si>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</si>
  <si>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</si>
  <si>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</si>
  <si>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</si>
  <si>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</si>
  <si>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</si>
  <si>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</si>
  <si>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</si>
  <si>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</si>
  <si>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</si>
  <si>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</si>
  <si>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</si>
  <si>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</si>
  <si>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</si>
  <si>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</si>
  <si>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</si>
  <si>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</si>
  <si>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</si>
  <si>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</si>
  <si>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</si>
  <si>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</si>
  <si>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</si>
  <si>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</si>
  <si>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</si>
  <si>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</si>
  <si>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</si>
  <si>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</si>
  <si>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</si>
  <si>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</si>
  <si>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</si>
  <si>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</si>
  <si>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</si>
  <si>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</si>
  <si>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</si>
  <si>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</si>
  <si>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</si>
  <si>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</si>
  <si>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</si>
  <si>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</si>
  <si>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</si>
  <si>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</si>
  <si>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</si>
  <si>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</si>
  <si>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</si>
  <si>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</si>
  <si>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</si>
  <si>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</si>
  <si>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</si>
  <si>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</si>
  <si>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</si>
  <si>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</si>
  <si>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</si>
  <si>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</si>
  <si>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</si>
  <si>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</si>
  <si>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</si>
  <si>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</si>
  <si>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</si>
  <si>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</si>
  <si>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</si>
  <si>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</si>
  <si>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</si>
  <si>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</si>
  <si>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</si>
  <si>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</si>
  <si>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</si>
  <si>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</si>
  <si>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</si>
  <si>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</si>
  <si>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</si>
  <si>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</si>
  <si>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</si>
  <si>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</si>
  <si>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</si>
  <si>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</si>
  <si>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</si>
  <si>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</si>
  <si>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</si>
  <si>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</si>
  <si>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</si>
  <si>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</si>
  <si>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</si>
  <si>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</si>
  <si>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</si>
  <si>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</si>
  <si>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</si>
  <si>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</si>
  <si>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</si>
  <si>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</si>
  <si>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</si>
  <si>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</si>
  <si>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</si>
  <si>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</si>
  <si>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</si>
  <si>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</si>
  <si>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</si>
  <si>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</si>
  <si>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</si>
  <si>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</si>
  <si>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</si>
  <si>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</si>
  <si>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</si>
  <si>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</si>
  <si>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</si>
  <si>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</si>
  <si>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</si>
  <si>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</si>
  <si>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</si>
  <si>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</si>
  <si>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</si>
  <si>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</si>
  <si>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</si>
  <si>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</si>
  <si>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</si>
  <si>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</si>
  <si>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</si>
  <si>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</si>
  <si>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</si>
  <si>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</si>
  <si>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</si>
  <si>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</si>
  <si>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</si>
  <si>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</si>
  <si>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</si>
  <si>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</si>
  <si>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</si>
  <si>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</si>
  <si>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</si>
  <si>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</si>
  <si>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</si>
  <si>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</si>
  <si>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</si>
  <si>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</si>
  <si>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</si>
  <si>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</si>
  <si>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</si>
  <si>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</si>
  <si>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</si>
  <si>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</si>
  <si>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</si>
  <si>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</si>
  <si>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</si>
  <si>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</si>
  <si>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</si>
  <si>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</si>
  <si>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</si>
  <si>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</si>
  <si>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</si>
  <si>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</si>
  <si>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</si>
  <si>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</si>
  <si>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</si>
  <si>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</si>
  <si>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</si>
  <si>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</si>
  <si>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</si>
  <si>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</si>
  <si>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</si>
  <si>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</si>
  <si>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</si>
  <si>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</si>
  <si>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</si>
  <si>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</si>
  <si>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</si>
  <si>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</si>
  <si>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</si>
  <si>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</si>
  <si>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</si>
  <si>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</si>
  <si>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</si>
  <si>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</si>
  <si>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</si>
  <si>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</si>
  <si>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</si>
  <si>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</si>
  <si>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</si>
  <si>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</si>
  <si>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</si>
  <si>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</si>
  <si>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</si>
  <si>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</si>
  <si>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</si>
  <si>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</si>
  <si>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</si>
  <si>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</si>
  <si>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</si>
  <si>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</si>
  <si>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</si>
  <si>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</si>
  <si>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</si>
  <si>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</si>
  <si>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</si>
  <si>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</si>
  <si>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</si>
  <si>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</si>
  <si>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</si>
  <si>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</si>
  <si>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</si>
  <si>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</si>
  <si>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</si>
  <si>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</si>
  <si>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</si>
  <si>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</si>
  <si>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</si>
  <si>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</si>
  <si>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</si>
  <si>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</si>
  <si>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</si>
  <si>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</si>
  <si>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</si>
  <si>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</si>
  <si>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</si>
  <si>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</si>
  <si>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</si>
  <si>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</si>
  <si>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</si>
  <si>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</si>
  <si>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</si>
  <si>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</si>
  <si>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</si>
  <si>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</si>
  <si>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</si>
  <si>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</si>
  <si>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</si>
  <si>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</si>
  <si>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</si>
  <si>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</si>
  <si>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</si>
  <si>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</si>
  <si>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</si>
  <si>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</si>
  <si>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</si>
  <si>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</si>
  <si>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</si>
  <si>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</si>
  <si>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</si>
  <si>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</si>
  <si>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</si>
  <si>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</si>
  <si>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</si>
  <si>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</si>
  <si>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</si>
  <si>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</si>
  <si>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</si>
  <si>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</si>
  <si>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</si>
  <si>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</si>
  <si>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</si>
  <si>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</si>
  <si>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</si>
  <si>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</si>
  <si>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</si>
  <si>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</si>
  <si>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</si>
  <si>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</si>
  <si>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</si>
  <si>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</si>
  <si>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</si>
  <si>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</si>
  <si>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</si>
  <si>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</si>
  <si>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</si>
  <si>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</si>
  <si>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</si>
  <si>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</si>
  <si>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</si>
  <si>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</si>
  <si>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</si>
  <si>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</si>
  <si>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</si>
  <si>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</si>
  <si>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</si>
  <si>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</si>
  <si>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</si>
  <si>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</si>
  <si>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</si>
  <si>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</si>
  <si>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</si>
  <si>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</si>
  <si>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</si>
  <si>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</si>
  <si>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</si>
  <si>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</si>
  <si>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</si>
  <si>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</si>
  <si>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</si>
  <si>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</si>
  <si>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</si>
  <si>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</si>
  <si>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</si>
  <si>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</si>
  <si>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</si>
  <si>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</si>
  <si>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</si>
  <si>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</si>
  <si>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</si>
  <si>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</si>
  <si>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</si>
  <si>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</si>
  <si>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</si>
  <si>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</si>
  <si>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</si>
  <si>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</si>
  <si>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</si>
  <si>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</si>
  <si>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</si>
  <si>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</si>
  <si>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</si>
  <si>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</si>
  <si>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</si>
  <si>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</si>
  <si>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</si>
  <si>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</si>
  <si>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</si>
  <si>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</si>
  <si>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</si>
  <si>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</si>
  <si>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</si>
  <si>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</si>
  <si>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</si>
  <si>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</si>
  <si>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</si>
  <si>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</si>
  <si>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</si>
  <si>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</si>
  <si>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</si>
  <si>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</si>
  <si>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</si>
  <si>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</si>
  <si>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</si>
  <si>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</si>
  <si>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</si>
  <si>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</si>
  <si>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</si>
  <si>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</si>
  <si>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</si>
  <si>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</si>
  <si>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</si>
  <si>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</si>
  <si>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</si>
  <si>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</si>
  <si>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</si>
  <si>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</si>
  <si>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</si>
  <si>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</si>
  <si>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</si>
  <si>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</si>
  <si>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</si>
  <si>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</si>
  <si>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</si>
  <si>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</si>
  <si>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</si>
  <si>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</si>
  <si>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</si>
  <si>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</si>
  <si>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</si>
  <si>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</si>
  <si>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</si>
  <si>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</si>
  <si>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</si>
  <si>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</si>
  <si>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</si>
  <si>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</si>
  <si>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</si>
  <si>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</si>
  <si>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</si>
  <si>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</si>
  <si>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</si>
  <si>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</si>
  <si>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</si>
  <si>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</si>
  <si>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</si>
  <si>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</si>
  <si>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</si>
  <si>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</si>
  <si>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</si>
  <si>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</si>
  <si>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</si>
  <si>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</si>
  <si>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</si>
  <si>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</si>
  <si>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</si>
  <si>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</si>
  <si>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</si>
  <si>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</si>
  <si>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</si>
  <si>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</si>
  <si>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</si>
  <si>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</si>
  <si>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</si>
  <si>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</si>
  <si>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</si>
  <si>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</si>
  <si>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</si>
  <si>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</si>
  <si>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</si>
  <si>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</si>
  <si>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</si>
  <si>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</si>
  <si>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</si>
  <si>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</si>
  <si>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</si>
  <si>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</si>
  <si>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</si>
  <si>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</si>
  <si>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</si>
  <si>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</si>
  <si>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</si>
  <si>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</si>
  <si>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</si>
  <si>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</si>
  <si>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</si>
  <si>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</si>
  <si>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</si>
  <si>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</si>
  <si>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</si>
  <si>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</si>
  <si>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</si>
  <si>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</si>
  <si>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</si>
  <si>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</si>
  <si>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</si>
  <si>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</si>
  <si>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</si>
  <si>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</si>
  <si>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</si>
  <si>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</si>
  <si>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</si>
  <si>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</si>
  <si>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</si>
  <si>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</si>
  <si>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</si>
  <si>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</si>
  <si>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</si>
  <si>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</si>
  <si>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</si>
  <si>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</si>
  <si>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</si>
  <si>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</si>
  <si>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</si>
  <si>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</si>
  <si>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</si>
  <si>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</si>
  <si>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</si>
  <si>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</si>
  <si>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</si>
  <si>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</si>
  <si>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</si>
  <si>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</si>
  <si>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</si>
  <si>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</si>
  <si>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</si>
  <si>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</si>
  <si>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</si>
  <si>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</si>
  <si>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</si>
  <si>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</si>
  <si>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</si>
  <si>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</si>
  <si>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</si>
  <si>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</si>
  <si>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</si>
  <si>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</si>
  <si>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</si>
  <si>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</si>
  <si>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</si>
  <si>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</si>
  <si>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</si>
  <si>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</si>
  <si>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</si>
  <si>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</si>
  <si>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</si>
  <si>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</si>
  <si>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</si>
  <si>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</si>
  <si>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</si>
  <si>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</si>
  <si>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</si>
  <si>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</si>
  <si>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</si>
  <si>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</si>
  <si>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</si>
  <si>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</si>
  <si>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</si>
  <si>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</si>
  <si>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</si>
  <si>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</si>
  <si>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</si>
  <si>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</si>
  <si>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</si>
  <si>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</si>
  <si>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</si>
  <si>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</si>
  <si>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</si>
  <si>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</si>
  <si>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</si>
  <si>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</si>
  <si>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</si>
  <si>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</si>
  <si>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</si>
  <si>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</si>
  <si>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</si>
  <si>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</si>
  <si>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</si>
  <si>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</si>
  <si>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</si>
  <si>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</si>
  <si>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</si>
  <si>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</si>
  <si>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</si>
  <si>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</si>
  <si>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</si>
  <si>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</si>
  <si>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</si>
  <si>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</si>
  <si>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</si>
  <si>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</si>
  <si>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</si>
  <si>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</si>
  <si>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</si>
  <si>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</si>
  <si>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</si>
  <si>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</si>
  <si>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</si>
  <si>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</si>
  <si>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</si>
  <si>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</si>
  <si>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</si>
  <si>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</si>
  <si>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</si>
  <si>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</si>
  <si>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</si>
  <si>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</si>
  <si>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</si>
  <si>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</si>
  <si>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</si>
  <si>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</si>
  <si>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</si>
  <si>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</si>
  <si>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</si>
  <si>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</si>
  <si>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</si>
  <si>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</si>
  <si>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</si>
  <si>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</si>
  <si>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</si>
  <si>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</si>
  <si>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</si>
  <si>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</si>
  <si>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</si>
  <si>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</si>
  <si>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</si>
  <si>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</si>
  <si>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</si>
  <si>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</si>
  <si>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</si>
  <si>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</si>
  <si>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</si>
  <si>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</si>
  <si>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</si>
  <si>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</si>
  <si>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</si>
  <si>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</si>
  <si>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</si>
  <si>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</si>
  <si>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</si>
  <si>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</si>
  <si>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</si>
  <si>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</si>
  <si>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</si>
  <si>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</si>
  <si>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</si>
  <si>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</si>
  <si>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</si>
  <si>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</si>
  <si>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</si>
  <si>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</si>
  <si>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</si>
  <si>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</si>
  <si>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</si>
  <si>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</si>
  <si>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</si>
  <si>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</si>
  <si>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</si>
  <si>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</si>
  <si>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</si>
  <si>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</si>
  <si>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</si>
  <si>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</si>
  <si>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</si>
  <si>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</si>
  <si>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</si>
  <si>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</si>
  <si>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</si>
  <si>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</si>
  <si>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</si>
  <si>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</si>
  <si>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</si>
  <si>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</si>
  <si>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</si>
  <si>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</si>
  <si>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</si>
  <si>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</si>
  <si>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</si>
  <si>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</si>
  <si>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</si>
  <si>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</si>
  <si>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</si>
  <si>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</si>
  <si>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</si>
  <si>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</si>
  <si>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</si>
  <si>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</si>
  <si>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</si>
  <si>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</si>
  <si>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</si>
  <si>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</si>
  <si>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</si>
  <si>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</si>
  <si>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</si>
  <si>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</si>
  <si>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</si>
  <si>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</si>
  <si>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</si>
  <si>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</si>
  <si>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</si>
  <si>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</si>
  <si>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</si>
  <si>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</si>
  <si>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</si>
  <si>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</si>
  <si>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</si>
  <si>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</si>
  <si>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</si>
  <si>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</si>
  <si>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</si>
  <si>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</si>
  <si>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</si>
  <si>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</si>
  <si>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</si>
  <si>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</si>
  <si>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</si>
  <si>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</si>
  <si>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</si>
  <si>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</si>
  <si>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</si>
  <si>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</si>
  <si>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</si>
  <si>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</si>
  <si>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</si>
  <si>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</si>
  <si>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</si>
  <si>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</si>
  <si>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</si>
  <si>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</si>
  <si>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</si>
  <si>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</si>
  <si>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</si>
  <si>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</si>
  <si>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</si>
  <si>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</si>
  <si>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</si>
  <si>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</si>
  <si>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</si>
  <si>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</si>
  <si>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</si>
  <si>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</si>
  <si>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</si>
  <si>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</si>
  <si>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</si>
  <si>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</si>
  <si>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</si>
  <si>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</si>
  <si>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</si>
  <si>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</si>
  <si>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</si>
  <si>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</si>
  <si>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</si>
  <si>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</si>
  <si>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</si>
  <si>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</si>
  <si>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</si>
  <si>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</si>
  <si>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</si>
  <si>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</si>
  <si>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</si>
  <si>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</si>
  <si>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</si>
  <si>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</si>
  <si>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</si>
  <si>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</si>
  <si>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</si>
  <si>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</si>
  <si>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</si>
  <si>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</si>
  <si>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</si>
  <si>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</si>
  <si>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</si>
  <si>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</si>
  <si>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</si>
  <si>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</si>
  <si>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</si>
  <si>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</si>
  <si>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</si>
  <si>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</si>
  <si>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</si>
  <si>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</si>
  <si>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</si>
  <si>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</si>
  <si>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</si>
  <si>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</si>
  <si>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</si>
  <si>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</si>
  <si>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</si>
  <si>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</si>
  <si>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</si>
  <si>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</si>
  <si>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</si>
  <si>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</si>
  <si>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</si>
  <si>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</si>
  <si>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</si>
  <si>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</si>
  <si>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</si>
  <si>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</si>
  <si>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</si>
  <si>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</si>
  <si>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</si>
  <si>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</si>
  <si>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</si>
  <si>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</si>
  <si>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</si>
  <si>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</si>
  <si>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</si>
  <si>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</si>
  <si>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</si>
  <si>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</si>
  <si>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</si>
  <si>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</si>
  <si>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</si>
  <si>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</si>
  <si>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</si>
  <si>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</si>
  <si>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</si>
  <si>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</si>
  <si>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</si>
  <si>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</si>
  <si>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</si>
  <si>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</si>
  <si>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</si>
  <si>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</si>
  <si>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</si>
  <si>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</si>
  <si>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</si>
  <si>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</si>
  <si>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</si>
  <si>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</si>
  <si>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</si>
  <si>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</si>
  <si>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</si>
  <si>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</si>
  <si>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</si>
  <si>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</si>
  <si>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</si>
  <si>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</si>
  <si>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</si>
  <si>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</si>
  <si>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</si>
  <si>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</si>
  <si>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</si>
  <si>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</si>
  <si>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</si>
  <si>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</si>
  <si>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</si>
  <si>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</si>
  <si>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</si>
  <si>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</si>
  <si>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</si>
  <si>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</si>
  <si>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</si>
  <si>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</si>
  <si>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</si>
  <si>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</si>
  <si>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</si>
  <si>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</si>
  <si>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</si>
  <si>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</si>
  <si>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</si>
  <si>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</si>
  <si>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</si>
  <si>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</si>
  <si>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</si>
  <si>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</si>
  <si>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</si>
  <si>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</si>
  <si>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</si>
  <si>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</si>
  <si>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</si>
  <si>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</si>
  <si>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</si>
  <si>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</si>
  <si>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</si>
  <si>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</si>
  <si>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</si>
  <si>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</si>
  <si>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</si>
  <si>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</si>
  <si>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</si>
  <si>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</si>
  <si>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</si>
  <si>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</si>
  <si>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</si>
  <si>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</si>
  <si>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</si>
  <si>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</si>
  <si>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</si>
  <si>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</si>
  <si>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</si>
  <si>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</si>
  <si>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</si>
  <si>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</si>
  <si>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</si>
  <si>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</si>
  <si>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</si>
  <si>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</si>
  <si>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</si>
  <si>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</si>
  <si>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</si>
  <si>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</si>
  <si>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</si>
  <si>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</si>
  <si>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</si>
  <si>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</si>
  <si>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</si>
  <si>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</si>
  <si>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</si>
  <si>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</si>
  <si>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</si>
  <si>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</si>
  <si>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</si>
  <si>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</si>
  <si>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</si>
  <si>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</si>
  <si>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</si>
  <si>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</si>
  <si>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</si>
  <si>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</si>
  <si>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</si>
  <si>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</si>
  <si>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</si>
  <si>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</si>
  <si>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</si>
  <si>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</si>
  <si>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</si>
  <si>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</si>
  <si>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</si>
  <si>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</si>
  <si>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</si>
  <si>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</si>
  <si>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</si>
  <si>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</si>
  <si>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</si>
  <si>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</si>
  <si>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</si>
  <si>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</si>
  <si>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https://www.columbia.edu/~mhs119/Temperature/Table_Ts.1880-2024vs1880-1920.txt</t>
  </si>
  <si>
    <t>https://www.columbia.edu/~mhs119/Temperature/</t>
  </si>
  <si>
    <t>------------------------------------------------------------------------------------</t>
  </si>
  <si>
    <t xml:space="preserve">       Global Mean Surface Temperature Relative to 1880-1920 (degC)</t>
  </si>
  <si>
    <t>Year</t>
  </si>
  <si>
    <t>Jan.</t>
  </si>
  <si>
    <t>Feb.</t>
  </si>
  <si>
    <t>Mar.</t>
  </si>
  <si>
    <t>Apr.</t>
  </si>
  <si>
    <t>May</t>
  </si>
  <si>
    <t>June</t>
  </si>
  <si>
    <t>July</t>
  </si>
  <si>
    <t>Aug.</t>
  </si>
  <si>
    <t>Sep.</t>
  </si>
  <si>
    <t>Oct.</t>
  </si>
  <si>
    <t>Nov.</t>
  </si>
  <si>
    <t>Dec.</t>
  </si>
  <si>
    <t>Annual</t>
  </si>
  <si>
    <t>2024  1.55  1.72  1.66 ***** ***** ***** ***** ***** ***** ***** ***** *****   *****</t>
  </si>
  <si>
    <t>10ym  1.26  1.24  1.34  1.19  1.15  1.13  1.11  1.16  1.18  1.22  1.21  1.24    1.20</t>
  </si>
  <si>
    <t>rank   1st   1st   1st</t>
  </si>
  <si>
    <t>The ranking is for each month of 2024.</t>
  </si>
  <si>
    <t>10ym is the decadal (2014-2023) mean for each month.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</si>
</sst>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00000"/>
    <numFmt numFmtId="168" formatCode="0.0"/>
    <numFmt numFmtId="169" formatCode="_(* #,##0.0000_);_(* \(#,##0.0000\);_(* &quot;-&quot;??_);_(@_)"/>
    <numFmt numFmtId="170" formatCode="_(* #,##0.0_);_(* \(#,##0.0\);_(* &quot;-&quot;??_);_(@_)"/>
    <numFmt numFmtId="171" formatCode="_(* #,##0.000_);_(* \(#,##0.000\);_(* &quot;-&quot;??_);_(@_)"/>
    <numFmt numFmtId="172" formatCode="#,##0.000"/>
    <numFmt numFmtId="173" formatCode="_(* #,##0_);_(* \(#,##0\);_(* &quot;-&quot;??_);_(@_)"/>
    <numFmt numFmtId="174" formatCode="_(* #,##0.00000_);_(* \(#,##0.00000\);_(* &quot;-&quot;??_);_(@_)"/>
    <numFmt numFmtId="175" formatCode="#,##0.0000"/>
    <numFmt numFmtId="176" formatCode="0.0%"/>
    <numFmt numFmtId="177" formatCode="_(* #,##0.0000000_);_(* \(#,##0.0000000\);_(* &quot;-&quot;??_);_(@_)"/>
    <numFmt numFmtId="178" formatCode="0.000E+00"/>
    <numFmt numFmtId="179" formatCode="0.000%"/>
    <numFmt numFmtId="180" formatCode="0_);\(0\)"/>
    <numFmt numFmtId="181" formatCode="0.0E+00"/>
    <numFmt numFmtId="182" formatCode="_(* #,##0.000000_);_(* \(#,##0.000000\);_(* &quot;-&quot;??_);_(@_)"/>
    <numFmt numFmtId="183" formatCode="0.0000000"/>
    <numFmt numFmtId="184" formatCode="_(* #,##0.0000_);_(* \(#,##0.0000\);_(* &quot;-&quot;????_);_(@_)"/>
    <numFmt numFmtId="185" formatCode="#,##0.000000"/>
    <numFmt numFmtId="186" formatCode="0.0000%"/>
    <numFmt numFmtId="187" formatCode="#,##0.00000"/>
    <numFmt numFmtId="188" formatCode="0.00000000"/>
  </numFmts>
  <fonts count="60" x14ac:knownFonts="1">
    <font>
      <sz val="10"/>
      <name val="Arial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10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" fillId="0" borderId="0"/>
  </cellStyleXfs>
  <cellXfs count="684">
    <xf numFmtId="0" fontId="0" fillId="0" borderId="0" xfId="0"/>
    <xf numFmtId="0" fontId="3" fillId="0" borderId="0" xfId="0" applyFont="1"/>
    <xf numFmtId="0" fontId="12" fillId="0" borderId="0" xfId="0" applyFont="1"/>
    <xf numFmtId="164" fontId="14" fillId="0" borderId="0" xfId="0" applyNumberFormat="1" applyFont="1" applyAlignment="1">
      <alignment horizontal="right"/>
    </xf>
    <xf numFmtId="164" fontId="14" fillId="0" borderId="0" xfId="0" applyNumberFormat="1" applyFont="1"/>
    <xf numFmtId="164" fontId="12" fillId="0" borderId="0" xfId="0" applyNumberFormat="1" applyFont="1" applyAlignment="1">
      <alignment wrapText="1"/>
    </xf>
    <xf numFmtId="164" fontId="12" fillId="0" borderId="0" xfId="0" applyNumberFormat="1" applyFont="1"/>
    <xf numFmtId="173" fontId="0" fillId="0" borderId="0" xfId="1" applyNumberFormat="1" applyFont="1"/>
    <xf numFmtId="171" fontId="0" fillId="0" borderId="0" xfId="1" applyNumberFormat="1" applyFont="1"/>
    <xf numFmtId="164" fontId="0" fillId="0" borderId="0" xfId="0" applyNumberFormat="1"/>
    <xf numFmtId="169" fontId="0" fillId="0" borderId="0" xfId="1" applyNumberFormat="1" applyFont="1"/>
    <xf numFmtId="171" fontId="0" fillId="0" borderId="0" xfId="0" applyNumberFormat="1"/>
    <xf numFmtId="43" fontId="0" fillId="0" borderId="0" xfId="1" applyFont="1"/>
    <xf numFmtId="170" fontId="0" fillId="0" borderId="0" xfId="1" applyNumberFormat="1" applyFont="1"/>
    <xf numFmtId="10" fontId="0" fillId="0" borderId="0" xfId="5" applyNumberFormat="1" applyFont="1"/>
    <xf numFmtId="173" fontId="0" fillId="0" borderId="0" xfId="0" applyNumberFormat="1"/>
    <xf numFmtId="170" fontId="0" fillId="0" borderId="0" xfId="0" applyNumberFormat="1"/>
    <xf numFmtId="171" fontId="3" fillId="0" borderId="0" xfId="1" applyNumberFormat="1" applyFont="1"/>
    <xf numFmtId="164" fontId="3" fillId="2" borderId="3" xfId="0" applyNumberFormat="1" applyFont="1" applyFill="1" applyBorder="1"/>
    <xf numFmtId="0" fontId="3" fillId="2" borderId="3" xfId="0" applyFont="1" applyFill="1" applyBorder="1"/>
    <xf numFmtId="43" fontId="0" fillId="0" borderId="0" xfId="0" applyNumberFormat="1"/>
    <xf numFmtId="164" fontId="9" fillId="2" borderId="3" xfId="0" applyNumberFormat="1" applyFont="1" applyFill="1" applyBorder="1" applyAlignment="1">
      <alignment wrapText="1"/>
    </xf>
    <xf numFmtId="164" fontId="14" fillId="2" borderId="3" xfId="0" applyNumberFormat="1" applyFont="1" applyFill="1" applyBorder="1"/>
    <xf numFmtId="164" fontId="9" fillId="2" borderId="3" xfId="0" applyNumberFormat="1" applyFont="1" applyFill="1" applyBorder="1"/>
    <xf numFmtId="1" fontId="7" fillId="2" borderId="3" xfId="0" applyNumberFormat="1" applyFont="1" applyFill="1" applyBorder="1" applyAlignment="1">
      <alignment wrapText="1"/>
    </xf>
    <xf numFmtId="1" fontId="9" fillId="2" borderId="3" xfId="0" applyNumberFormat="1" applyFont="1" applyFill="1" applyBorder="1" applyAlignment="1">
      <alignment horizontal="right"/>
    </xf>
    <xf numFmtId="1" fontId="9" fillId="2" borderId="3" xfId="0" applyNumberFormat="1" applyFont="1" applyFill="1" applyBorder="1"/>
    <xf numFmtId="1" fontId="16" fillId="2" borderId="3" xfId="0" applyNumberFormat="1" applyFont="1" applyFill="1" applyBorder="1" applyAlignment="1">
      <alignment wrapText="1"/>
    </xf>
    <xf numFmtId="164" fontId="9" fillId="2" borderId="3" xfId="0" applyNumberFormat="1" applyFont="1" applyFill="1" applyBorder="1" applyAlignment="1">
      <alignment horizontal="left" wrapText="1"/>
    </xf>
    <xf numFmtId="164" fontId="9" fillId="2" borderId="3" xfId="0" applyNumberFormat="1" applyFont="1" applyFill="1" applyBorder="1" applyAlignment="1">
      <alignment horizontal="right"/>
    </xf>
    <xf numFmtId="164" fontId="17" fillId="2" borderId="3" xfId="0" applyNumberFormat="1" applyFont="1" applyFill="1" applyBorder="1" applyAlignment="1">
      <alignment horizontal="center" wrapText="1"/>
    </xf>
    <xf numFmtId="164" fontId="9" fillId="0" borderId="3" xfId="0" applyNumberFormat="1" applyFont="1" applyBorder="1" applyAlignment="1">
      <alignment horizontal="right"/>
    </xf>
    <xf numFmtId="165" fontId="9" fillId="2" borderId="3" xfId="0" applyNumberFormat="1" applyFont="1" applyFill="1" applyBorder="1" applyAlignment="1">
      <alignment wrapText="1"/>
    </xf>
    <xf numFmtId="165" fontId="9" fillId="2" borderId="3" xfId="0" applyNumberFormat="1" applyFont="1" applyFill="1" applyBorder="1"/>
    <xf numFmtId="164" fontId="17" fillId="3" borderId="3" xfId="0" applyNumberFormat="1" applyFont="1" applyFill="1" applyBorder="1" applyAlignment="1">
      <alignment horizontal="center" wrapText="1"/>
    </xf>
    <xf numFmtId="2" fontId="9" fillId="2" borderId="3" xfId="0" applyNumberFormat="1" applyFont="1" applyFill="1" applyBorder="1" applyAlignment="1">
      <alignment wrapText="1"/>
    </xf>
    <xf numFmtId="2" fontId="9" fillId="2" borderId="3" xfId="0" applyNumberFormat="1" applyFont="1" applyFill="1" applyBorder="1" applyAlignment="1">
      <alignment horizontal="right"/>
    </xf>
    <xf numFmtId="2" fontId="9" fillId="2" borderId="3" xfId="0" applyNumberFormat="1" applyFont="1" applyFill="1" applyBorder="1"/>
    <xf numFmtId="164" fontId="18" fillId="2" borderId="3" xfId="0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>
      <alignment horizontal="right"/>
    </xf>
    <xf numFmtId="164" fontId="18" fillId="2" borderId="3" xfId="0" applyNumberFormat="1" applyFont="1" applyFill="1" applyBorder="1"/>
    <xf numFmtId="0" fontId="9" fillId="2" borderId="3" xfId="0" applyFont="1" applyFill="1" applyBorder="1" applyAlignment="1">
      <alignment horizontal="right"/>
    </xf>
    <xf numFmtId="0" fontId="9" fillId="2" borderId="3" xfId="0" applyFont="1" applyFill="1" applyBorder="1"/>
    <xf numFmtId="166" fontId="9" fillId="2" borderId="3" xfId="0" applyNumberFormat="1" applyFont="1" applyFill="1" applyBorder="1" applyAlignment="1">
      <alignment wrapText="1"/>
    </xf>
    <xf numFmtId="165" fontId="9" fillId="2" borderId="3" xfId="0" applyNumberFormat="1" applyFont="1" applyFill="1" applyBorder="1" applyAlignment="1">
      <alignment horizontal="right"/>
    </xf>
    <xf numFmtId="166" fontId="9" fillId="2" borderId="3" xfId="0" applyNumberFormat="1" applyFont="1" applyFill="1" applyBorder="1"/>
    <xf numFmtId="166" fontId="9" fillId="2" borderId="3" xfId="0" applyNumberFormat="1" applyFont="1" applyFill="1" applyBorder="1" applyAlignment="1">
      <alignment horizontal="right"/>
    </xf>
    <xf numFmtId="164" fontId="17" fillId="3" borderId="3" xfId="2" applyNumberFormat="1" applyFont="1" applyFill="1" applyBorder="1" applyAlignment="1">
      <alignment horizontal="center" wrapText="1"/>
    </xf>
    <xf numFmtId="164" fontId="9" fillId="2" borderId="3" xfId="2" applyNumberFormat="1" applyFont="1" applyFill="1" applyBorder="1" applyAlignment="1">
      <alignment horizontal="right"/>
    </xf>
    <xf numFmtId="164" fontId="9" fillId="2" borderId="3" xfId="2" applyNumberFormat="1" applyFont="1" applyFill="1" applyBorder="1"/>
    <xf numFmtId="167" fontId="9" fillId="2" borderId="3" xfId="2" applyNumberFormat="1" applyFont="1" applyFill="1" applyBorder="1" applyAlignment="1">
      <alignment wrapText="1"/>
    </xf>
    <xf numFmtId="164" fontId="17" fillId="2" borderId="3" xfId="0" applyNumberFormat="1" applyFont="1" applyFill="1" applyBorder="1" applyAlignment="1">
      <alignment horizontal="center"/>
    </xf>
    <xf numFmtId="164" fontId="17" fillId="2" borderId="3" xfId="4" applyNumberFormat="1" applyFont="1" applyFill="1" applyBorder="1" applyAlignment="1">
      <alignment horizontal="center" wrapText="1"/>
    </xf>
    <xf numFmtId="0" fontId="9" fillId="2" borderId="3" xfId="4" applyFont="1" applyFill="1" applyBorder="1" applyAlignment="1">
      <alignment horizontal="right"/>
    </xf>
    <xf numFmtId="0" fontId="9" fillId="2" borderId="3" xfId="4" applyFont="1" applyFill="1" applyBorder="1"/>
    <xf numFmtId="164" fontId="9" fillId="2" borderId="3" xfId="4" applyNumberFormat="1" applyFont="1" applyFill="1" applyBorder="1"/>
    <xf numFmtId="164" fontId="9" fillId="2" borderId="3" xfId="4" applyNumberFormat="1" applyFont="1" applyFill="1" applyBorder="1" applyAlignment="1">
      <alignment horizontal="right"/>
    </xf>
    <xf numFmtId="172" fontId="9" fillId="3" borderId="3" xfId="1" applyNumberFormat="1" applyFont="1" applyFill="1" applyBorder="1" applyAlignment="1">
      <alignment wrapText="1"/>
    </xf>
    <xf numFmtId="164" fontId="19" fillId="2" borderId="3" xfId="0" applyNumberFormat="1" applyFont="1" applyFill="1" applyBorder="1" applyAlignment="1">
      <alignment horizontal="center"/>
    </xf>
    <xf numFmtId="164" fontId="9" fillId="2" borderId="3" xfId="0" applyNumberFormat="1" applyFont="1" applyFill="1" applyBorder="1" applyAlignment="1">
      <alignment horizontal="left"/>
    </xf>
    <xf numFmtId="164" fontId="12" fillId="2" borderId="3" xfId="0" applyNumberFormat="1" applyFont="1" applyFill="1" applyBorder="1"/>
    <xf numFmtId="164" fontId="18" fillId="2" borderId="3" xfId="0" applyNumberFormat="1" applyFont="1" applyFill="1" applyBorder="1" applyAlignment="1">
      <alignment horizontal="left" wrapText="1"/>
    </xf>
    <xf numFmtId="0" fontId="18" fillId="2" borderId="3" xfId="0" applyFont="1" applyFill="1" applyBorder="1"/>
    <xf numFmtId="169" fontId="9" fillId="2" borderId="3" xfId="1" applyNumberFormat="1" applyFont="1" applyFill="1" applyBorder="1"/>
    <xf numFmtId="164" fontId="12" fillId="2" borderId="3" xfId="0" applyNumberFormat="1" applyFont="1" applyFill="1" applyBorder="1" applyAlignment="1">
      <alignment wrapText="1"/>
    </xf>
    <xf numFmtId="1" fontId="12" fillId="2" borderId="3" xfId="0" applyNumberFormat="1" applyFont="1" applyFill="1" applyBorder="1"/>
    <xf numFmtId="1" fontId="14" fillId="2" borderId="3" xfId="0" applyNumberFormat="1" applyFont="1" applyFill="1" applyBorder="1"/>
    <xf numFmtId="164" fontId="14" fillId="2" borderId="3" xfId="0" applyNumberFormat="1" applyFont="1" applyFill="1" applyBorder="1" applyAlignment="1">
      <alignment horizontal="left" wrapText="1"/>
    </xf>
    <xf numFmtId="164" fontId="20" fillId="2" borderId="3" xfId="0" applyNumberFormat="1" applyFont="1" applyFill="1" applyBorder="1" applyAlignment="1">
      <alignment horizontal="center" wrapText="1"/>
    </xf>
    <xf numFmtId="2" fontId="12" fillId="2" borderId="3" xfId="0" applyNumberFormat="1" applyFont="1" applyFill="1" applyBorder="1" applyAlignment="1">
      <alignment wrapText="1"/>
    </xf>
    <xf numFmtId="0" fontId="12" fillId="2" borderId="3" xfId="0" applyFont="1" applyFill="1" applyBorder="1"/>
    <xf numFmtId="164" fontId="8" fillId="2" borderId="3" xfId="0" applyNumberFormat="1" applyFont="1" applyFill="1" applyBorder="1" applyAlignment="1">
      <alignment wrapText="1"/>
    </xf>
    <xf numFmtId="164" fontId="7" fillId="2" borderId="3" xfId="0" applyNumberFormat="1" applyFont="1" applyFill="1" applyBorder="1" applyAlignment="1">
      <alignment wrapText="1"/>
    </xf>
    <xf numFmtId="166" fontId="9" fillId="0" borderId="3" xfId="0" applyNumberFormat="1" applyFont="1" applyBorder="1" applyAlignment="1">
      <alignment horizontal="right"/>
    </xf>
    <xf numFmtId="43" fontId="14" fillId="2" borderId="3" xfId="1" applyFont="1" applyFill="1" applyBorder="1" applyAlignment="1">
      <alignment wrapText="1"/>
    </xf>
    <xf numFmtId="43" fontId="21" fillId="2" borderId="3" xfId="1" applyFont="1" applyFill="1" applyBorder="1"/>
    <xf numFmtId="168" fontId="14" fillId="2" borderId="3" xfId="0" applyNumberFormat="1" applyFont="1" applyFill="1" applyBorder="1" applyAlignment="1">
      <alignment wrapText="1"/>
    </xf>
    <xf numFmtId="168" fontId="12" fillId="2" borderId="3" xfId="0" applyNumberFormat="1" applyFont="1" applyFill="1" applyBorder="1"/>
    <xf numFmtId="164" fontId="14" fillId="2" borderId="3" xfId="0" applyNumberFormat="1" applyFont="1" applyFill="1" applyBorder="1" applyAlignment="1">
      <alignment wrapText="1"/>
    </xf>
    <xf numFmtId="2" fontId="14" fillId="4" borderId="3" xfId="0" applyNumberFormat="1" applyFont="1" applyFill="1" applyBorder="1" applyAlignment="1">
      <alignment wrapText="1"/>
    </xf>
    <xf numFmtId="2" fontId="12" fillId="4" borderId="3" xfId="0" applyNumberFormat="1" applyFont="1" applyFill="1" applyBorder="1"/>
    <xf numFmtId="164" fontId="12" fillId="4" borderId="0" xfId="0" applyNumberFormat="1" applyFont="1" applyFill="1"/>
    <xf numFmtId="2" fontId="14" fillId="2" borderId="3" xfId="0" applyNumberFormat="1" applyFont="1" applyFill="1" applyBorder="1" applyAlignment="1">
      <alignment wrapText="1"/>
    </xf>
    <xf numFmtId="2" fontId="12" fillId="2" borderId="3" xfId="0" applyNumberFormat="1" applyFont="1" applyFill="1" applyBorder="1"/>
    <xf numFmtId="171" fontId="9" fillId="2" borderId="3" xfId="1" applyNumberFormat="1" applyFont="1" applyFill="1" applyBorder="1"/>
    <xf numFmtId="164" fontId="9" fillId="4" borderId="3" xfId="0" applyNumberFormat="1" applyFont="1" applyFill="1" applyBorder="1" applyAlignment="1">
      <alignment wrapText="1"/>
    </xf>
    <xf numFmtId="1" fontId="7" fillId="4" borderId="3" xfId="0" applyNumberFormat="1" applyFont="1" applyFill="1" applyBorder="1" applyAlignment="1">
      <alignment wrapText="1"/>
    </xf>
    <xf numFmtId="1" fontId="12" fillId="4" borderId="0" xfId="0" applyNumberFormat="1" applyFont="1" applyFill="1"/>
    <xf numFmtId="1" fontId="16" fillId="4" borderId="3" xfId="0" applyNumberFormat="1" applyFont="1" applyFill="1" applyBorder="1" applyAlignment="1">
      <alignment wrapText="1"/>
    </xf>
    <xf numFmtId="1" fontId="14" fillId="4" borderId="0" xfId="0" applyNumberFormat="1" applyFont="1" applyFill="1"/>
    <xf numFmtId="164" fontId="14" fillId="4" borderId="0" xfId="0" applyNumberFormat="1" applyFont="1" applyFill="1" applyAlignment="1">
      <alignment horizontal="left" wrapText="1"/>
    </xf>
    <xf numFmtId="164" fontId="14" fillId="4" borderId="0" xfId="0" applyNumberFormat="1" applyFont="1" applyFill="1"/>
    <xf numFmtId="164" fontId="17" fillId="4" borderId="3" xfId="0" applyNumberFormat="1" applyFont="1" applyFill="1" applyBorder="1" applyAlignment="1">
      <alignment horizontal="center" wrapText="1"/>
    </xf>
    <xf numFmtId="164" fontId="9" fillId="4" borderId="3" xfId="0" applyNumberFormat="1" applyFont="1" applyFill="1" applyBorder="1" applyAlignment="1">
      <alignment horizontal="right"/>
    </xf>
    <xf numFmtId="164" fontId="9" fillId="4" borderId="3" xfId="0" applyNumberFormat="1" applyFont="1" applyFill="1" applyBorder="1"/>
    <xf numFmtId="165" fontId="9" fillId="4" borderId="3" xfId="0" applyNumberFormat="1" applyFont="1" applyFill="1" applyBorder="1" applyAlignment="1">
      <alignment wrapText="1"/>
    </xf>
    <xf numFmtId="165" fontId="12" fillId="4" borderId="0" xfId="0" applyNumberFormat="1" applyFont="1" applyFill="1"/>
    <xf numFmtId="164" fontId="17" fillId="5" borderId="3" xfId="0" applyNumberFormat="1" applyFont="1" applyFill="1" applyBorder="1" applyAlignment="1">
      <alignment horizontal="center" wrapText="1"/>
    </xf>
    <xf numFmtId="2" fontId="9" fillId="4" borderId="3" xfId="0" applyNumberFormat="1" applyFont="1" applyFill="1" applyBorder="1" applyAlignment="1">
      <alignment wrapText="1"/>
    </xf>
    <xf numFmtId="2" fontId="9" fillId="4" borderId="3" xfId="0" applyNumberFormat="1" applyFont="1" applyFill="1" applyBorder="1" applyAlignment="1">
      <alignment horizontal="right"/>
    </xf>
    <xf numFmtId="2" fontId="9" fillId="4" borderId="3" xfId="0" applyNumberFormat="1" applyFont="1" applyFill="1" applyBorder="1"/>
    <xf numFmtId="164" fontId="18" fillId="4" borderId="3" xfId="0" applyNumberFormat="1" applyFont="1" applyFill="1" applyBorder="1" applyAlignment="1">
      <alignment wrapText="1"/>
    </xf>
    <xf numFmtId="164" fontId="18" fillId="4" borderId="3" xfId="0" applyNumberFormat="1" applyFont="1" applyFill="1" applyBorder="1" applyAlignment="1">
      <alignment horizontal="right"/>
    </xf>
    <xf numFmtId="164" fontId="18" fillId="4" borderId="3" xfId="0" applyNumberFormat="1" applyFont="1" applyFill="1" applyBorder="1"/>
    <xf numFmtId="0" fontId="12" fillId="4" borderId="0" xfId="0" applyFont="1" applyFill="1"/>
    <xf numFmtId="166" fontId="9" fillId="4" borderId="3" xfId="0" applyNumberFormat="1" applyFont="1" applyFill="1" applyBorder="1" applyAlignment="1">
      <alignment wrapText="1"/>
    </xf>
    <xf numFmtId="165" fontId="9" fillId="4" borderId="3" xfId="0" applyNumberFormat="1" applyFont="1" applyFill="1" applyBorder="1" applyAlignment="1">
      <alignment horizontal="right"/>
    </xf>
    <xf numFmtId="165" fontId="9" fillId="4" borderId="3" xfId="0" applyNumberFormat="1" applyFont="1" applyFill="1" applyBorder="1"/>
    <xf numFmtId="166" fontId="12" fillId="4" borderId="0" xfId="0" applyNumberFormat="1" applyFont="1" applyFill="1"/>
    <xf numFmtId="166" fontId="9" fillId="4" borderId="3" xfId="0" applyNumberFormat="1" applyFont="1" applyFill="1" applyBorder="1" applyAlignment="1">
      <alignment horizontal="right"/>
    </xf>
    <xf numFmtId="164" fontId="17" fillId="5" borderId="3" xfId="2" applyNumberFormat="1" applyFont="1" applyFill="1" applyBorder="1" applyAlignment="1">
      <alignment horizontal="center" wrapText="1"/>
    </xf>
    <xf numFmtId="164" fontId="14" fillId="4" borderId="0" xfId="2" applyNumberFormat="1" applyFont="1" applyFill="1"/>
    <xf numFmtId="164" fontId="17" fillId="4" borderId="3" xfId="0" applyNumberFormat="1" applyFont="1" applyFill="1" applyBorder="1" applyAlignment="1">
      <alignment horizontal="center"/>
    </xf>
    <xf numFmtId="166" fontId="9" fillId="4" borderId="3" xfId="0" applyNumberFormat="1" applyFont="1" applyFill="1" applyBorder="1"/>
    <xf numFmtId="164" fontId="12" fillId="4" borderId="1" xfId="0" applyNumberFormat="1" applyFont="1" applyFill="1" applyBorder="1"/>
    <xf numFmtId="164" fontId="14" fillId="4" borderId="2" xfId="0" applyNumberFormat="1" applyFont="1" applyFill="1" applyBorder="1"/>
    <xf numFmtId="164" fontId="12" fillId="4" borderId="2" xfId="0" applyNumberFormat="1" applyFont="1" applyFill="1" applyBorder="1"/>
    <xf numFmtId="164" fontId="20" fillId="4" borderId="0" xfId="0" applyNumberFormat="1" applyFont="1" applyFill="1" applyAlignment="1">
      <alignment horizontal="center" wrapText="1"/>
    </xf>
    <xf numFmtId="168" fontId="12" fillId="4" borderId="0" xfId="0" applyNumberFormat="1" applyFont="1" applyFill="1" applyAlignment="1">
      <alignment wrapText="1"/>
    </xf>
    <xf numFmtId="168" fontId="14" fillId="4" borderId="0" xfId="0" applyNumberFormat="1" applyFont="1" applyFill="1"/>
    <xf numFmtId="168" fontId="12" fillId="4" borderId="0" xfId="0" applyNumberFormat="1" applyFont="1" applyFill="1"/>
    <xf numFmtId="164" fontId="14" fillId="4" borderId="0" xfId="0" applyNumberFormat="1" applyFont="1" applyFill="1" applyAlignment="1">
      <alignment horizontal="right"/>
    </xf>
    <xf numFmtId="164" fontId="12" fillId="4" borderId="0" xfId="0" applyNumberFormat="1" applyFont="1" applyFill="1" applyAlignment="1">
      <alignment wrapText="1"/>
    </xf>
    <xf numFmtId="164" fontId="17" fillId="4" borderId="3" xfId="4" applyNumberFormat="1" applyFont="1" applyFill="1" applyBorder="1" applyAlignment="1">
      <alignment horizontal="center" wrapText="1"/>
    </xf>
    <xf numFmtId="0" fontId="9" fillId="4" borderId="3" xfId="4" applyFont="1" applyFill="1" applyBorder="1" applyAlignment="1">
      <alignment horizontal="right"/>
    </xf>
    <xf numFmtId="0" fontId="9" fillId="4" borderId="3" xfId="4" applyFont="1" applyFill="1" applyBorder="1"/>
    <xf numFmtId="164" fontId="9" fillId="4" borderId="3" xfId="4" applyNumberFormat="1" applyFont="1" applyFill="1" applyBorder="1"/>
    <xf numFmtId="172" fontId="9" fillId="5" borderId="3" xfId="1" applyNumberFormat="1" applyFont="1" applyFill="1" applyBorder="1" applyAlignment="1">
      <alignment wrapText="1"/>
    </xf>
    <xf numFmtId="172" fontId="9" fillId="4" borderId="3" xfId="1" applyNumberFormat="1" applyFont="1" applyFill="1" applyBorder="1" applyAlignment="1">
      <alignment horizontal="right"/>
    </xf>
    <xf numFmtId="172" fontId="9" fillId="4" borderId="3" xfId="1" applyNumberFormat="1" applyFont="1" applyFill="1" applyBorder="1"/>
    <xf numFmtId="174" fontId="9" fillId="4" borderId="3" xfId="1" applyNumberFormat="1" applyFont="1" applyFill="1" applyBorder="1"/>
    <xf numFmtId="164" fontId="19" fillId="4" borderId="3" xfId="0" applyNumberFormat="1" applyFont="1" applyFill="1" applyBorder="1" applyAlignment="1">
      <alignment horizontal="center"/>
    </xf>
    <xf numFmtId="164" fontId="9" fillId="4" borderId="3" xfId="0" applyNumberFormat="1" applyFont="1" applyFill="1" applyBorder="1" applyAlignment="1">
      <alignment horizontal="left"/>
    </xf>
    <xf numFmtId="168" fontId="9" fillId="2" borderId="3" xfId="0" applyNumberFormat="1" applyFont="1" applyFill="1" applyBorder="1" applyAlignment="1">
      <alignment horizontal="right"/>
    </xf>
    <xf numFmtId="172" fontId="3" fillId="2" borderId="3" xfId="1" applyNumberFormat="1" applyFont="1" applyFill="1" applyBorder="1"/>
    <xf numFmtId="164" fontId="9" fillId="6" borderId="3" xfId="0" applyNumberFormat="1" applyFont="1" applyFill="1" applyBorder="1" applyAlignment="1">
      <alignment horizontal="right"/>
    </xf>
    <xf numFmtId="2" fontId="15" fillId="2" borderId="3" xfId="0" applyNumberFormat="1" applyFont="1" applyFill="1" applyBorder="1"/>
    <xf numFmtId="43" fontId="3" fillId="2" borderId="3" xfId="1" applyFont="1" applyFill="1" applyBorder="1"/>
    <xf numFmtId="172" fontId="3" fillId="2" borderId="3" xfId="0" applyNumberFormat="1" applyFont="1" applyFill="1" applyBorder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6" fontId="3" fillId="2" borderId="3" xfId="0" applyNumberFormat="1" applyFont="1" applyFill="1" applyBorder="1"/>
    <xf numFmtId="167" fontId="9" fillId="2" borderId="3" xfId="0" applyNumberFormat="1" applyFont="1" applyFill="1" applyBorder="1"/>
    <xf numFmtId="43" fontId="9" fillId="2" borderId="3" xfId="1" applyFont="1" applyFill="1" applyBorder="1"/>
    <xf numFmtId="43" fontId="9" fillId="2" borderId="3" xfId="1" applyFont="1" applyFill="1" applyBorder="1" applyAlignment="1">
      <alignment horizontal="right"/>
    </xf>
    <xf numFmtId="43" fontId="22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4" fontId="0" fillId="4" borderId="0" xfId="0" applyNumberFormat="1" applyFill="1"/>
    <xf numFmtId="171" fontId="0" fillId="4" borderId="0" xfId="1" applyNumberFormat="1" applyFont="1" applyFill="1"/>
    <xf numFmtId="171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1" fontId="0" fillId="9" borderId="0" xfId="1" applyNumberFormat="1" applyFont="1" applyFill="1"/>
    <xf numFmtId="0" fontId="0" fillId="8" borderId="0" xfId="0" applyFill="1"/>
    <xf numFmtId="169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3" fillId="0" borderId="2" xfId="0" applyFont="1" applyBorder="1"/>
    <xf numFmtId="0" fontId="3" fillId="0" borderId="5" xfId="0" applyFont="1" applyBorder="1"/>
    <xf numFmtId="10" fontId="3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3" fillId="0" borderId="6" xfId="0" applyFont="1" applyBorder="1"/>
    <xf numFmtId="10" fontId="4" fillId="0" borderId="0" xfId="5" applyNumberFormat="1" applyFont="1" applyBorder="1"/>
    <xf numFmtId="10" fontId="4" fillId="0" borderId="7" xfId="5" applyNumberFormat="1" applyFont="1" applyBorder="1"/>
    <xf numFmtId="0" fontId="3" fillId="0" borderId="8" xfId="0" applyFont="1" applyBorder="1"/>
    <xf numFmtId="10" fontId="4" fillId="0" borderId="1" xfId="5" applyNumberFormat="1" applyFont="1" applyBorder="1"/>
    <xf numFmtId="10" fontId="4" fillId="0" borderId="9" xfId="5" applyNumberFormat="1" applyFont="1" applyBorder="1"/>
    <xf numFmtId="164" fontId="9" fillId="7" borderId="3" xfId="0" applyNumberFormat="1" applyFont="1" applyFill="1" applyBorder="1" applyAlignment="1">
      <alignment horizontal="left"/>
    </xf>
    <xf numFmtId="0" fontId="9" fillId="0" borderId="0" xfId="0" applyFont="1"/>
    <xf numFmtId="0" fontId="3" fillId="4" borderId="0" xfId="0" applyFont="1" applyFill="1"/>
    <xf numFmtId="177" fontId="3" fillId="2" borderId="3" xfId="1" applyNumberFormat="1" applyFont="1" applyFill="1" applyBorder="1"/>
    <xf numFmtId="0" fontId="11" fillId="8" borderId="0" xfId="0" applyFont="1" applyFill="1"/>
    <xf numFmtId="172" fontId="9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6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79" fontId="0" fillId="0" borderId="0" xfId="0" applyNumberFormat="1"/>
    <xf numFmtId="167" fontId="9" fillId="6" borderId="3" xfId="0" applyNumberFormat="1" applyFont="1" applyFill="1" applyBorder="1" applyAlignment="1">
      <alignment horizontal="right"/>
    </xf>
    <xf numFmtId="177" fontId="9" fillId="2" borderId="3" xfId="1" applyNumberFormat="1" applyFont="1" applyFill="1" applyBorder="1"/>
    <xf numFmtId="171" fontId="0" fillId="8" borderId="0" xfId="1" applyNumberFormat="1" applyFont="1" applyFill="1"/>
    <xf numFmtId="43" fontId="9" fillId="6" borderId="3" xfId="1" applyFont="1" applyFill="1" applyBorder="1" applyAlignment="1">
      <alignment horizontal="right"/>
    </xf>
    <xf numFmtId="43" fontId="14" fillId="0" borderId="0" xfId="1" applyFont="1" applyFill="1" applyAlignment="1">
      <alignment horizontal="right"/>
    </xf>
    <xf numFmtId="43" fontId="14" fillId="0" borderId="0" xfId="1" applyFont="1" applyFill="1"/>
    <xf numFmtId="174" fontId="9" fillId="6" borderId="3" xfId="1" applyNumberFormat="1" applyFont="1" applyFill="1" applyBorder="1" applyAlignment="1">
      <alignment horizontal="right"/>
    </xf>
    <xf numFmtId="43" fontId="12" fillId="0" borderId="0" xfId="1" applyFont="1"/>
    <xf numFmtId="166" fontId="9" fillId="2" borderId="3" xfId="1" applyNumberFormat="1" applyFont="1" applyFill="1" applyBorder="1" applyAlignment="1">
      <alignment horizontal="right"/>
    </xf>
    <xf numFmtId="171" fontId="9" fillId="2" borderId="3" xfId="1" applyNumberFormat="1" applyFont="1" applyFill="1" applyBorder="1" applyAlignment="1">
      <alignment horizontal="right"/>
    </xf>
    <xf numFmtId="43" fontId="0" fillId="9" borderId="0" xfId="0" applyNumberFormat="1" applyFill="1"/>
    <xf numFmtId="164" fontId="20" fillId="0" borderId="0" xfId="0" applyNumberFormat="1" applyFont="1" applyAlignment="1">
      <alignment horizontal="center" wrapText="1"/>
    </xf>
    <xf numFmtId="172" fontId="9" fillId="2" borderId="3" xfId="1" applyNumberFormat="1" applyFont="1" applyFill="1" applyBorder="1" applyAlignment="1">
      <alignment horizontal="right"/>
    </xf>
    <xf numFmtId="174" fontId="9" fillId="2" borderId="3" xfId="1" applyNumberFormat="1" applyFont="1" applyFill="1" applyBorder="1"/>
    <xf numFmtId="43" fontId="14" fillId="2" borderId="3" xfId="1" applyFont="1" applyFill="1" applyBorder="1"/>
    <xf numFmtId="43" fontId="9" fillId="0" borderId="3" xfId="1" applyFont="1" applyFill="1" applyBorder="1" applyAlignment="1">
      <alignment horizontal="right"/>
    </xf>
    <xf numFmtId="43" fontId="18" fillId="2" borderId="3" xfId="1" applyFont="1" applyFill="1" applyBorder="1" applyAlignment="1">
      <alignment horizontal="right"/>
    </xf>
    <xf numFmtId="43" fontId="18" fillId="2" borderId="3" xfId="1" applyFont="1" applyFill="1" applyBorder="1"/>
    <xf numFmtId="43" fontId="9" fillId="2" borderId="3" xfId="1" applyFont="1" applyFill="1" applyBorder="1" applyAlignment="1"/>
    <xf numFmtId="166" fontId="3" fillId="2" borderId="3" xfId="1" applyNumberFormat="1" applyFont="1" applyFill="1" applyBorder="1"/>
    <xf numFmtId="0" fontId="6" fillId="0" borderId="0" xfId="0" applyFont="1"/>
    <xf numFmtId="175" fontId="0" fillId="4" borderId="0" xfId="1" applyNumberFormat="1" applyFont="1" applyFill="1"/>
    <xf numFmtId="0" fontId="11" fillId="0" borderId="0" xfId="0" applyFont="1"/>
    <xf numFmtId="14" fontId="12" fillId="0" borderId="0" xfId="0" applyNumberFormat="1" applyFont="1"/>
    <xf numFmtId="0" fontId="24" fillId="0" borderId="0" xfId="0" applyFont="1"/>
    <xf numFmtId="43" fontId="3" fillId="0" borderId="0" xfId="1" applyFont="1"/>
    <xf numFmtId="180" fontId="0" fillId="0" borderId="0" xfId="1" applyNumberFormat="1" applyFont="1"/>
    <xf numFmtId="179" fontId="0" fillId="0" borderId="0" xfId="5" applyNumberFormat="1" applyFont="1"/>
    <xf numFmtId="164" fontId="20" fillId="4" borderId="3" xfId="0" applyNumberFormat="1" applyFont="1" applyFill="1" applyBorder="1" applyAlignment="1">
      <alignment horizontal="center" wrapText="1"/>
    </xf>
    <xf numFmtId="0" fontId="3" fillId="4" borderId="3" xfId="0" applyFont="1" applyFill="1" applyBorder="1"/>
    <xf numFmtId="170" fontId="9" fillId="4" borderId="3" xfId="1" applyNumberFormat="1" applyFont="1" applyFill="1" applyBorder="1" applyAlignment="1">
      <alignment horizontal="left"/>
    </xf>
    <xf numFmtId="0" fontId="25" fillId="0" borderId="0" xfId="0" applyFont="1"/>
    <xf numFmtId="0" fontId="23" fillId="0" borderId="0" xfId="0" applyFont="1"/>
    <xf numFmtId="0" fontId="7" fillId="0" borderId="0" xfId="0" applyFont="1"/>
    <xf numFmtId="10" fontId="7" fillId="0" borderId="0" xfId="5" applyNumberFormat="1" applyFont="1" applyBorder="1"/>
    <xf numFmtId="4" fontId="9" fillId="0" borderId="0" xfId="1" applyNumberFormat="1" applyFont="1"/>
    <xf numFmtId="0" fontId="27" fillId="0" borderId="0" xfId="0" applyFont="1"/>
    <xf numFmtId="167" fontId="9" fillId="2" borderId="3" xfId="0" applyNumberFormat="1" applyFont="1" applyFill="1" applyBorder="1" applyAlignment="1">
      <alignment horizontal="right"/>
    </xf>
    <xf numFmtId="43" fontId="9" fillId="0" borderId="0" xfId="1" applyFont="1"/>
    <xf numFmtId="0" fontId="28" fillId="0" borderId="0" xfId="0" applyFont="1"/>
    <xf numFmtId="43" fontId="28" fillId="2" borderId="3" xfId="1" applyFont="1" applyFill="1" applyBorder="1"/>
    <xf numFmtId="43" fontId="28" fillId="4" borderId="3" xfId="1" applyFont="1" applyFill="1" applyBorder="1" applyAlignment="1">
      <alignment horizontal="left"/>
    </xf>
    <xf numFmtId="43" fontId="28" fillId="4" borderId="3" xfId="1" applyFont="1" applyFill="1" applyBorder="1"/>
    <xf numFmtId="169" fontId="28" fillId="2" borderId="3" xfId="1" applyNumberFormat="1" applyFont="1" applyFill="1" applyBorder="1"/>
    <xf numFmtId="177" fontId="29" fillId="2" borderId="3" xfId="1" applyNumberFormat="1" applyFont="1" applyFill="1" applyBorder="1"/>
    <xf numFmtId="43" fontId="30" fillId="2" borderId="3" xfId="1" applyFont="1" applyFill="1" applyBorder="1"/>
    <xf numFmtId="43" fontId="6" fillId="2" borderId="3" xfId="1" applyFont="1" applyFill="1" applyBorder="1"/>
    <xf numFmtId="172" fontId="9" fillId="4" borderId="3" xfId="1" applyNumberFormat="1" applyFont="1" applyFill="1" applyBorder="1" applyAlignment="1">
      <alignment horizontal="left"/>
    </xf>
    <xf numFmtId="170" fontId="12" fillId="4" borderId="3" xfId="1" applyNumberFormat="1" applyFont="1" applyFill="1" applyBorder="1" applyAlignment="1">
      <alignment horizontal="center"/>
    </xf>
    <xf numFmtId="166" fontId="9" fillId="4" borderId="3" xfId="0" applyNumberFormat="1" applyFont="1" applyFill="1" applyBorder="1" applyAlignment="1">
      <alignment horizontal="center"/>
    </xf>
    <xf numFmtId="172" fontId="9" fillId="4" borderId="3" xfId="1" applyNumberFormat="1" applyFont="1" applyFill="1" applyBorder="1" applyAlignment="1">
      <alignment horizontal="center"/>
    </xf>
    <xf numFmtId="172" fontId="12" fillId="4" borderId="3" xfId="1" applyNumberFormat="1" applyFont="1" applyFill="1" applyBorder="1" applyAlignment="1">
      <alignment horizontal="center"/>
    </xf>
    <xf numFmtId="171" fontId="9" fillId="4" borderId="3" xfId="1" applyNumberFormat="1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2" fillId="0" borderId="0" xfId="0" applyFont="1"/>
    <xf numFmtId="168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right" vertical="center"/>
    </xf>
    <xf numFmtId="4" fontId="9" fillId="0" borderId="0" xfId="1" applyNumberFormat="1" applyFont="1" applyAlignment="1" applyProtection="1"/>
    <xf numFmtId="43" fontId="12" fillId="2" borderId="3" xfId="1" applyFont="1" applyFill="1" applyBorder="1" applyAlignment="1">
      <alignment vertical="top" wrapText="1"/>
    </xf>
    <xf numFmtId="173" fontId="0" fillId="4" borderId="0" xfId="1" applyNumberFormat="1" applyFont="1" applyFill="1"/>
    <xf numFmtId="171" fontId="9" fillId="4" borderId="3" xfId="1" applyNumberFormat="1" applyFont="1" applyFill="1" applyBorder="1"/>
    <xf numFmtId="43" fontId="0" fillId="4" borderId="0" xfId="1" applyFont="1" applyFill="1"/>
    <xf numFmtId="0" fontId="8" fillId="0" borderId="0" xfId="0" applyFont="1"/>
    <xf numFmtId="0" fontId="9" fillId="0" borderId="0" xfId="0" applyFont="1" applyAlignment="1">
      <alignment horizontal="right"/>
    </xf>
    <xf numFmtId="2" fontId="9" fillId="0" borderId="0" xfId="0" applyNumberFormat="1" applyFont="1" applyAlignment="1">
      <alignment horizontal="right"/>
    </xf>
    <xf numFmtId="2" fontId="9" fillId="0" borderId="0" xfId="0" applyNumberFormat="1" applyFont="1"/>
    <xf numFmtId="168" fontId="9" fillId="0" borderId="0" xfId="0" applyNumberFormat="1" applyFont="1" applyAlignment="1">
      <alignment horizontal="right"/>
    </xf>
    <xf numFmtId="168" fontId="9" fillId="0" borderId="0" xfId="0" applyNumberFormat="1" applyFont="1"/>
    <xf numFmtId="165" fontId="9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35" fillId="0" borderId="0" xfId="0" applyFont="1"/>
    <xf numFmtId="43" fontId="9" fillId="0" borderId="0" xfId="1" applyFont="1" applyAlignment="1">
      <alignment horizontal="right"/>
    </xf>
    <xf numFmtId="171" fontId="9" fillId="0" borderId="0" xfId="1" applyNumberFormat="1" applyFont="1"/>
    <xf numFmtId="171" fontId="9" fillId="0" borderId="0" xfId="1" applyNumberFormat="1" applyFont="1" applyAlignment="1">
      <alignment horizontal="right"/>
    </xf>
    <xf numFmtId="4" fontId="9" fillId="0" borderId="0" xfId="1" applyNumberFormat="1" applyFont="1" applyAlignment="1">
      <alignment horizontal="right"/>
    </xf>
    <xf numFmtId="4" fontId="9" fillId="4" borderId="0" xfId="1" applyNumberFormat="1" applyFont="1" applyFill="1" applyAlignment="1" applyProtection="1">
      <alignment horizontal="right"/>
    </xf>
    <xf numFmtId="4" fontId="9" fillId="4" borderId="0" xfId="1" applyNumberFormat="1" applyFont="1" applyFill="1" applyAlignment="1" applyProtection="1"/>
    <xf numFmtId="43" fontId="9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43" fontId="0" fillId="9" borderId="0" xfId="1" applyFont="1" applyFill="1"/>
    <xf numFmtId="10" fontId="0" fillId="9" borderId="0" xfId="5" applyNumberFormat="1" applyFont="1" applyFill="1" applyAlignment="1">
      <alignment horizontal="left"/>
    </xf>
    <xf numFmtId="169" fontId="0" fillId="4" borderId="0" xfId="1" applyNumberFormat="1" applyFont="1" applyFill="1"/>
    <xf numFmtId="169" fontId="0" fillId="4" borderId="0" xfId="0" applyNumberFormat="1" applyFill="1"/>
    <xf numFmtId="0" fontId="36" fillId="0" borderId="0" xfId="0" applyFont="1"/>
    <xf numFmtId="173" fontId="0" fillId="8" borderId="0" xfId="0" applyNumberFormat="1" applyFill="1"/>
    <xf numFmtId="43" fontId="0" fillId="8" borderId="0" xfId="1" applyFont="1" applyFill="1"/>
    <xf numFmtId="43" fontId="11" fillId="8" borderId="0" xfId="1" applyFont="1" applyFill="1"/>
    <xf numFmtId="43" fontId="26" fillId="0" borderId="0" xfId="1" applyFont="1" applyAlignment="1">
      <alignment wrapText="1"/>
    </xf>
    <xf numFmtId="0" fontId="12" fillId="11" borderId="0" xfId="0" applyFont="1" applyFill="1"/>
    <xf numFmtId="1" fontId="21" fillId="11" borderId="3" xfId="0" applyNumberFormat="1" applyFont="1" applyFill="1" applyBorder="1" applyAlignment="1">
      <alignment wrapText="1"/>
    </xf>
    <xf numFmtId="1" fontId="12" fillId="11" borderId="3" xfId="0" applyNumberFormat="1" applyFont="1" applyFill="1" applyBorder="1" applyAlignment="1">
      <alignment horizontal="right"/>
    </xf>
    <xf numFmtId="1" fontId="12" fillId="11" borderId="3" xfId="0" applyNumberFormat="1" applyFont="1" applyFill="1" applyBorder="1"/>
    <xf numFmtId="43" fontId="12" fillId="11" borderId="0" xfId="1" applyFont="1" applyFill="1"/>
    <xf numFmtId="43" fontId="9" fillId="11" borderId="3" xfId="1" applyFont="1" applyFill="1" applyBorder="1"/>
    <xf numFmtId="0" fontId="0" fillId="11" borderId="0" xfId="0" applyFill="1"/>
    <xf numFmtId="164" fontId="9" fillId="11" borderId="3" xfId="0" applyNumberFormat="1" applyFont="1" applyFill="1" applyBorder="1"/>
    <xf numFmtId="43" fontId="12" fillId="11" borderId="0" xfId="1" applyFont="1" applyFill="1" applyBorder="1"/>
    <xf numFmtId="164" fontId="9" fillId="11" borderId="0" xfId="0" applyNumberFormat="1" applyFont="1" applyFill="1"/>
    <xf numFmtId="171" fontId="12" fillId="11" borderId="0" xfId="1" applyNumberFormat="1" applyFont="1" applyFill="1" applyBorder="1"/>
    <xf numFmtId="171" fontId="0" fillId="11" borderId="0" xfId="1" applyNumberFormat="1" applyFont="1" applyFill="1"/>
    <xf numFmtId="171" fontId="9" fillId="11" borderId="3" xfId="1" applyNumberFormat="1" applyFont="1" applyFill="1" applyBorder="1"/>
    <xf numFmtId="171" fontId="3" fillId="11" borderId="0" xfId="1" applyNumberFormat="1" applyFont="1" applyFill="1"/>
    <xf numFmtId="178" fontId="0" fillId="11" borderId="0" xfId="1" applyNumberFormat="1" applyFont="1" applyFill="1"/>
    <xf numFmtId="171" fontId="3" fillId="12" borderId="0" xfId="1" applyNumberFormat="1" applyFont="1" applyFill="1"/>
    <xf numFmtId="171" fontId="0" fillId="12" borderId="0" xfId="1" applyNumberFormat="1" applyFont="1" applyFill="1"/>
    <xf numFmtId="171" fontId="9" fillId="12" borderId="3" xfId="1" applyNumberFormat="1" applyFont="1" applyFill="1" applyBorder="1"/>
    <xf numFmtId="173" fontId="0" fillId="12" borderId="0" xfId="1" applyNumberFormat="1" applyFont="1" applyFill="1"/>
    <xf numFmtId="173" fontId="9" fillId="12" borderId="3" xfId="1" applyNumberFormat="1" applyFont="1" applyFill="1" applyBorder="1"/>
    <xf numFmtId="171" fontId="37" fillId="4" borderId="0" xfId="1" applyNumberFormat="1" applyFont="1" applyFill="1"/>
    <xf numFmtId="171" fontId="31" fillId="4" borderId="3" xfId="1" applyNumberFormat="1" applyFont="1" applyFill="1" applyBorder="1"/>
    <xf numFmtId="170" fontId="12" fillId="8" borderId="0" xfId="1" applyNumberFormat="1" applyFont="1" applyFill="1"/>
    <xf numFmtId="170" fontId="9" fillId="8" borderId="3" xfId="1" applyNumberFormat="1" applyFont="1" applyFill="1" applyBorder="1"/>
    <xf numFmtId="170" fontId="0" fillId="8" borderId="0" xfId="1" applyNumberFormat="1" applyFont="1" applyFill="1"/>
    <xf numFmtId="43" fontId="38" fillId="13" borderId="0" xfId="1" applyFont="1" applyFill="1"/>
    <xf numFmtId="43" fontId="34" fillId="13" borderId="3" xfId="1" applyFont="1" applyFill="1" applyBorder="1"/>
    <xf numFmtId="0" fontId="9" fillId="9" borderId="0" xfId="0" applyFont="1" applyFill="1" applyAlignment="1">
      <alignment horizontal="right"/>
    </xf>
    <xf numFmtId="164" fontId="25" fillId="4" borderId="0" xfId="0" applyNumberFormat="1" applyFont="1" applyFill="1"/>
    <xf numFmtId="164" fontId="9" fillId="4" borderId="0" xfId="0" applyNumberFormat="1" applyFont="1" applyFill="1"/>
    <xf numFmtId="167" fontId="9" fillId="4" borderId="0" xfId="0" applyNumberFormat="1" applyFont="1" applyFill="1"/>
    <xf numFmtId="2" fontId="9" fillId="4" borderId="0" xfId="0" applyNumberFormat="1" applyFont="1" applyFill="1"/>
    <xf numFmtId="1" fontId="9" fillId="4" borderId="0" xfId="0" applyNumberFormat="1" applyFont="1" applyFill="1"/>
    <xf numFmtId="164" fontId="8" fillId="4" borderId="0" xfId="0" applyNumberFormat="1" applyFont="1" applyFill="1"/>
    <xf numFmtId="164" fontId="9" fillId="4" borderId="0" xfId="0" applyNumberFormat="1" applyFont="1" applyFill="1" applyAlignment="1">
      <alignment horizontal="left"/>
    </xf>
    <xf numFmtId="164" fontId="9" fillId="4" borderId="0" xfId="0" applyNumberFormat="1" applyFont="1" applyFill="1" applyAlignment="1">
      <alignment wrapText="1"/>
    </xf>
    <xf numFmtId="43" fontId="9" fillId="4" borderId="0" xfId="1" applyFont="1" applyFill="1" applyBorder="1"/>
    <xf numFmtId="165" fontId="9" fillId="4" borderId="0" xfId="0" applyNumberFormat="1" applyFont="1" applyFill="1"/>
    <xf numFmtId="2" fontId="9" fillId="4" borderId="0" xfId="0" applyNumberFormat="1" applyFont="1" applyFill="1" applyAlignment="1">
      <alignment horizontal="right"/>
    </xf>
    <xf numFmtId="0" fontId="9" fillId="4" borderId="0" xfId="0" applyFont="1" applyFill="1"/>
    <xf numFmtId="2" fontId="9" fillId="4" borderId="0" xfId="0" applyNumberFormat="1" applyFont="1" applyFill="1" applyAlignment="1">
      <alignment wrapText="1"/>
    </xf>
    <xf numFmtId="169" fontId="8" fillId="4" borderId="0" xfId="1" applyNumberFormat="1" applyFont="1" applyFill="1" applyBorder="1"/>
    <xf numFmtId="164" fontId="8" fillId="4" borderId="0" xfId="0" applyNumberFormat="1" applyFont="1" applyFill="1" applyAlignment="1">
      <alignment wrapText="1"/>
    </xf>
    <xf numFmtId="1" fontId="25" fillId="4" borderId="0" xfId="0" applyNumberFormat="1" applyFont="1" applyFill="1"/>
    <xf numFmtId="0" fontId="9" fillId="9" borderId="0" xfId="0" applyFont="1" applyFill="1"/>
    <xf numFmtId="172" fontId="12" fillId="12" borderId="3" xfId="7" applyNumberFormat="1" applyFont="1" applyFill="1" applyBorder="1" applyAlignment="1">
      <alignment horizontal="center"/>
    </xf>
    <xf numFmtId="0" fontId="39" fillId="0" borderId="0" xfId="0" applyFont="1"/>
    <xf numFmtId="0" fontId="40" fillId="0" borderId="0" xfId="0" applyFont="1"/>
    <xf numFmtId="0" fontId="41" fillId="0" borderId="0" xfId="0" applyFont="1"/>
    <xf numFmtId="172" fontId="0" fillId="0" borderId="0" xfId="0" applyNumberFormat="1"/>
    <xf numFmtId="4" fontId="0" fillId="0" borderId="0" xfId="0" applyNumberFormat="1"/>
    <xf numFmtId="171" fontId="0" fillId="0" borderId="0" xfId="7" applyNumberFormat="1" applyFont="1"/>
    <xf numFmtId="164" fontId="3" fillId="0" borderId="0" xfId="0" applyNumberFormat="1" applyFont="1"/>
    <xf numFmtId="175" fontId="0" fillId="0" borderId="0" xfId="0" applyNumberFormat="1"/>
    <xf numFmtId="0" fontId="42" fillId="0" borderId="0" xfId="0" applyFont="1"/>
    <xf numFmtId="0" fontId="43" fillId="0" borderId="0" xfId="0" applyFont="1"/>
    <xf numFmtId="0" fontId="44" fillId="0" borderId="0" xfId="0" applyFont="1"/>
    <xf numFmtId="168" fontId="0" fillId="0" borderId="0" xfId="0" applyNumberFormat="1"/>
    <xf numFmtId="171" fontId="3" fillId="0" borderId="0" xfId="7" applyNumberFormat="1" applyFont="1"/>
    <xf numFmtId="170" fontId="3" fillId="0" borderId="0" xfId="7" applyNumberFormat="1" applyFont="1"/>
    <xf numFmtId="173" fontId="3" fillId="0" borderId="0" xfId="7" applyNumberFormat="1" applyFont="1"/>
    <xf numFmtId="173" fontId="0" fillId="0" borderId="0" xfId="7" applyNumberFormat="1" applyFont="1"/>
    <xf numFmtId="171" fontId="45" fillId="0" borderId="0" xfId="7" applyNumberFormat="1" applyFont="1"/>
    <xf numFmtId="0" fontId="2" fillId="0" borderId="0" xfId="0" applyFont="1"/>
    <xf numFmtId="0" fontId="4" fillId="0" borderId="0" xfId="0" applyFont="1"/>
    <xf numFmtId="4" fontId="4" fillId="0" borderId="0" xfId="0" applyNumberFormat="1" applyFont="1"/>
    <xf numFmtId="168" fontId="4" fillId="0" borderId="0" xfId="0" applyNumberFormat="1" applyFont="1"/>
    <xf numFmtId="171" fontId="4" fillId="0" borderId="0" xfId="7" applyNumberFormat="1" applyFont="1"/>
    <xf numFmtId="166" fontId="4" fillId="0" borderId="0" xfId="0" applyNumberFormat="1" applyFont="1"/>
    <xf numFmtId="2" fontId="4" fillId="0" borderId="0" xfId="0" applyNumberFormat="1" applyFont="1"/>
    <xf numFmtId="164" fontId="4" fillId="0" borderId="0" xfId="0" applyNumberFormat="1" applyFont="1"/>
    <xf numFmtId="172" fontId="3" fillId="4" borderId="0" xfId="7" applyNumberFormat="1" applyFont="1" applyFill="1"/>
    <xf numFmtId="172" fontId="0" fillId="4" borderId="0" xfId="7" applyNumberFormat="1" applyFont="1" applyFill="1"/>
    <xf numFmtId="0" fontId="3" fillId="8" borderId="0" xfId="0" applyFont="1" applyFill="1"/>
    <xf numFmtId="4" fontId="0" fillId="8" borderId="0" xfId="0" applyNumberFormat="1" applyFill="1"/>
    <xf numFmtId="4" fontId="3" fillId="0" borderId="0" xfId="0" applyNumberFormat="1" applyFont="1"/>
    <xf numFmtId="4" fontId="46" fillId="0" borderId="0" xfId="0" applyNumberFormat="1" applyFont="1"/>
    <xf numFmtId="4" fontId="47" fillId="0" borderId="0" xfId="0" applyNumberFormat="1" applyFont="1"/>
    <xf numFmtId="4" fontId="0" fillId="11" borderId="0" xfId="0" applyNumberFormat="1" applyFill="1"/>
    <xf numFmtId="0" fontId="3" fillId="7" borderId="0" xfId="0" applyFont="1" applyFill="1"/>
    <xf numFmtId="4" fontId="3" fillId="7" borderId="0" xfId="0" applyNumberFormat="1" applyFont="1" applyFill="1"/>
    <xf numFmtId="0" fontId="3" fillId="9" borderId="0" xfId="0" applyFont="1" applyFill="1"/>
    <xf numFmtId="4" fontId="0" fillId="9" borderId="0" xfId="0" applyNumberFormat="1" applyFill="1"/>
    <xf numFmtId="172" fontId="0" fillId="9" borderId="0" xfId="0" applyNumberFormat="1" applyFill="1"/>
    <xf numFmtId="0" fontId="3" fillId="0" borderId="0" xfId="0" applyFont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9" fillId="8" borderId="0" xfId="0" applyFont="1" applyFill="1"/>
    <xf numFmtId="0" fontId="7" fillId="8" borderId="0" xfId="0" applyFont="1" applyFill="1"/>
    <xf numFmtId="175" fontId="9" fillId="0" borderId="0" xfId="1" applyNumberFormat="1" applyFont="1"/>
    <xf numFmtId="166" fontId="9" fillId="0" borderId="0" xfId="0" applyNumberFormat="1" applyFont="1"/>
    <xf numFmtId="175" fontId="9" fillId="0" borderId="0" xfId="0" applyNumberFormat="1" applyFont="1"/>
    <xf numFmtId="0" fontId="25" fillId="9" borderId="0" xfId="0" applyFont="1" applyFill="1"/>
    <xf numFmtId="0" fontId="25" fillId="8" borderId="0" xfId="0" applyFont="1" applyFill="1"/>
    <xf numFmtId="171" fontId="12" fillId="10" borderId="3" xfId="1" applyNumberFormat="1" applyFont="1" applyFill="1" applyBorder="1" applyAlignment="1">
      <alignment horizontal="right"/>
    </xf>
    <xf numFmtId="0" fontId="48" fillId="0" borderId="0" xfId="0" applyFont="1"/>
    <xf numFmtId="4" fontId="6" fillId="0" borderId="0" xfId="0" applyNumberFormat="1" applyFont="1"/>
    <xf numFmtId="171" fontId="28" fillId="0" borderId="0" xfId="1" applyNumberFormat="1" applyFont="1"/>
    <xf numFmtId="164" fontId="9" fillId="9" borderId="3" xfId="0" applyNumberFormat="1" applyFont="1" applyFill="1" applyBorder="1" applyAlignment="1">
      <alignment horizontal="left"/>
    </xf>
    <xf numFmtId="164" fontId="9" fillId="9" borderId="3" xfId="0" applyNumberFormat="1" applyFont="1" applyFill="1" applyBorder="1" applyAlignment="1">
      <alignment horizontal="right"/>
    </xf>
    <xf numFmtId="164" fontId="9" fillId="9" borderId="3" xfId="0" applyNumberFormat="1" applyFont="1" applyFill="1" applyBorder="1"/>
    <xf numFmtId="164" fontId="12" fillId="9" borderId="3" xfId="0" applyNumberFormat="1" applyFont="1" applyFill="1" applyBorder="1"/>
    <xf numFmtId="164" fontId="25" fillId="9" borderId="3" xfId="0" applyNumberFormat="1" applyFont="1" applyFill="1" applyBorder="1" applyAlignment="1">
      <alignment horizontal="left"/>
    </xf>
    <xf numFmtId="164" fontId="25" fillId="14" borderId="3" xfId="0" applyNumberFormat="1" applyFont="1" applyFill="1" applyBorder="1" applyAlignment="1">
      <alignment horizontal="left"/>
    </xf>
    <xf numFmtId="164" fontId="18" fillId="14" borderId="3" xfId="0" applyNumberFormat="1" applyFont="1" applyFill="1" applyBorder="1" applyAlignment="1">
      <alignment horizontal="right"/>
    </xf>
    <xf numFmtId="164" fontId="18" fillId="14" borderId="3" xfId="0" applyNumberFormat="1" applyFont="1" applyFill="1" applyBorder="1"/>
    <xf numFmtId="164" fontId="12" fillId="14" borderId="3" xfId="0" applyNumberFormat="1" applyFont="1" applyFill="1" applyBorder="1"/>
    <xf numFmtId="164" fontId="9" fillId="14" borderId="3" xfId="0" applyNumberFormat="1" applyFont="1" applyFill="1" applyBorder="1"/>
    <xf numFmtId="164" fontId="9" fillId="14" borderId="3" xfId="0" applyNumberFormat="1" applyFont="1" applyFill="1" applyBorder="1" applyAlignment="1">
      <alignment horizontal="left"/>
    </xf>
    <xf numFmtId="164" fontId="9" fillId="14" borderId="3" xfId="0" applyNumberFormat="1" applyFont="1" applyFill="1" applyBorder="1" applyAlignment="1">
      <alignment horizontal="right"/>
    </xf>
    <xf numFmtId="1" fontId="9" fillId="14" borderId="3" xfId="0" applyNumberFormat="1" applyFont="1" applyFill="1" applyBorder="1" applyAlignment="1">
      <alignment horizontal="right"/>
    </xf>
    <xf numFmtId="164" fontId="9" fillId="7" borderId="3" xfId="0" applyNumberFormat="1" applyFont="1" applyFill="1" applyBorder="1" applyAlignment="1">
      <alignment horizontal="right"/>
    </xf>
    <xf numFmtId="164" fontId="9" fillId="7" borderId="3" xfId="0" applyNumberFormat="1" applyFont="1" applyFill="1" applyBorder="1"/>
    <xf numFmtId="164" fontId="12" fillId="2" borderId="3" xfId="0" applyNumberFormat="1" applyFont="1" applyFill="1" applyBorder="1" applyAlignment="1">
      <alignment horizontal="center" vertical="top" wrapText="1"/>
    </xf>
    <xf numFmtId="164" fontId="7" fillId="7" borderId="3" xfId="0" applyNumberFormat="1" applyFont="1" applyFill="1" applyBorder="1" applyAlignment="1">
      <alignment horizontal="left" wrapText="1"/>
    </xf>
    <xf numFmtId="43" fontId="9" fillId="7" borderId="3" xfId="1" applyFont="1" applyFill="1" applyBorder="1" applyAlignment="1">
      <alignment horizontal="right"/>
    </xf>
    <xf numFmtId="164" fontId="9" fillId="15" borderId="3" xfId="0" applyNumberFormat="1" applyFont="1" applyFill="1" applyBorder="1" applyAlignment="1">
      <alignment horizontal="left"/>
    </xf>
    <xf numFmtId="172" fontId="9" fillId="15" borderId="3" xfId="1" applyNumberFormat="1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164" fontId="25" fillId="16" borderId="3" xfId="0" applyNumberFormat="1" applyFont="1" applyFill="1" applyBorder="1" applyAlignment="1">
      <alignment horizontal="left"/>
    </xf>
    <xf numFmtId="172" fontId="9" fillId="16" borderId="3" xfId="1" applyNumberFormat="1" applyFont="1" applyFill="1" applyBorder="1" applyAlignment="1">
      <alignment horizontal="center"/>
    </xf>
    <xf numFmtId="0" fontId="3" fillId="16" borderId="3" xfId="0" applyFont="1" applyFill="1" applyBorder="1" applyAlignment="1">
      <alignment horizontal="center"/>
    </xf>
    <xf numFmtId="164" fontId="9" fillId="16" borderId="3" xfId="0" applyNumberFormat="1" applyFont="1" applyFill="1" applyBorder="1"/>
    <xf numFmtId="164" fontId="9" fillId="16" borderId="3" xfId="0" applyNumberFormat="1" applyFont="1" applyFill="1" applyBorder="1" applyAlignment="1">
      <alignment horizontal="left"/>
    </xf>
    <xf numFmtId="164" fontId="12" fillId="8" borderId="3" xfId="0" applyNumberFormat="1" applyFont="1" applyFill="1" applyBorder="1" applyAlignment="1">
      <alignment horizontal="left"/>
    </xf>
    <xf numFmtId="164" fontId="25" fillId="17" borderId="3" xfId="0" applyNumberFormat="1" applyFont="1" applyFill="1" applyBorder="1" applyAlignment="1">
      <alignment horizontal="left"/>
    </xf>
    <xf numFmtId="1" fontId="9" fillId="17" borderId="3" xfId="0" applyNumberFormat="1" applyFont="1" applyFill="1" applyBorder="1" applyAlignment="1">
      <alignment horizontal="right"/>
    </xf>
    <xf numFmtId="164" fontId="18" fillId="17" borderId="3" xfId="0" applyNumberFormat="1" applyFont="1" applyFill="1" applyBorder="1"/>
    <xf numFmtId="164" fontId="9" fillId="17" borderId="3" xfId="0" applyNumberFormat="1" applyFont="1" applyFill="1" applyBorder="1"/>
    <xf numFmtId="164" fontId="9" fillId="17" borderId="3" xfId="0" applyNumberFormat="1" applyFont="1" applyFill="1" applyBorder="1" applyAlignment="1">
      <alignment horizontal="left"/>
    </xf>
    <xf numFmtId="164" fontId="9" fillId="17" borderId="3" xfId="0" applyNumberFormat="1" applyFont="1" applyFill="1" applyBorder="1" applyAlignment="1">
      <alignment wrapText="1"/>
    </xf>
    <xf numFmtId="164" fontId="9" fillId="17" borderId="3" xfId="0" applyNumberFormat="1" applyFont="1" applyFill="1" applyBorder="1" applyAlignment="1">
      <alignment horizontal="right"/>
    </xf>
    <xf numFmtId="164" fontId="12" fillId="17" borderId="3" xfId="0" applyNumberFormat="1" applyFont="1" applyFill="1" applyBorder="1"/>
    <xf numFmtId="172" fontId="9" fillId="14" borderId="3" xfId="1" applyNumberFormat="1" applyFont="1" applyFill="1" applyBorder="1" applyAlignment="1">
      <alignment horizontal="center"/>
    </xf>
    <xf numFmtId="0" fontId="3" fillId="14" borderId="3" xfId="0" applyFont="1" applyFill="1" applyBorder="1" applyAlignment="1">
      <alignment horizontal="center"/>
    </xf>
    <xf numFmtId="4" fontId="43" fillId="0" borderId="0" xfId="0" applyNumberFormat="1" applyFont="1"/>
    <xf numFmtId="164" fontId="9" fillId="14" borderId="3" xfId="0" applyNumberFormat="1" applyFont="1" applyFill="1" applyBorder="1" applyAlignment="1">
      <alignment wrapText="1"/>
    </xf>
    <xf numFmtId="164" fontId="9" fillId="14" borderId="3" xfId="0" applyNumberFormat="1" applyFont="1" applyFill="1" applyBorder="1" applyAlignment="1">
      <alignment horizontal="left" wrapText="1"/>
    </xf>
    <xf numFmtId="171" fontId="3" fillId="2" borderId="3" xfId="1" applyNumberFormat="1" applyFont="1" applyFill="1" applyBorder="1"/>
    <xf numFmtId="171" fontId="3" fillId="2" borderId="3" xfId="0" applyNumberFormat="1" applyFont="1" applyFill="1" applyBorder="1"/>
    <xf numFmtId="43" fontId="3" fillId="2" borderId="3" xfId="0" applyNumberFormat="1" applyFont="1" applyFill="1" applyBorder="1"/>
    <xf numFmtId="4" fontId="9" fillId="17" borderId="3" xfId="1" applyNumberFormat="1" applyFont="1" applyFill="1" applyBorder="1" applyAlignment="1">
      <alignment horizontal="left" wrapText="1"/>
    </xf>
    <xf numFmtId="4" fontId="9" fillId="17" borderId="3" xfId="1" applyNumberFormat="1" applyFont="1" applyFill="1" applyBorder="1" applyAlignment="1">
      <alignment horizontal="right"/>
    </xf>
    <xf numFmtId="4" fontId="9" fillId="17" borderId="3" xfId="1" applyNumberFormat="1" applyFont="1" applyFill="1" applyBorder="1" applyAlignment="1">
      <alignment horizontal="left"/>
    </xf>
    <xf numFmtId="4" fontId="4" fillId="17" borderId="3" xfId="1" applyNumberFormat="1" applyFont="1" applyFill="1" applyBorder="1" applyAlignment="1">
      <alignment horizontal="right"/>
    </xf>
    <xf numFmtId="172" fontId="9" fillId="17" borderId="0" xfId="1" applyNumberFormat="1" applyFont="1" applyFill="1" applyBorder="1" applyAlignment="1">
      <alignment horizontal="left" wrapText="1"/>
    </xf>
    <xf numFmtId="172" fontId="9" fillId="17" borderId="0" xfId="1" applyNumberFormat="1" applyFont="1" applyFill="1" applyBorder="1" applyAlignment="1">
      <alignment horizontal="right"/>
    </xf>
    <xf numFmtId="172" fontId="4" fillId="17" borderId="3" xfId="1" applyNumberFormat="1" applyFont="1" applyFill="1" applyBorder="1" applyAlignment="1">
      <alignment horizontal="right"/>
    </xf>
    <xf numFmtId="0" fontId="3" fillId="14" borderId="3" xfId="0" applyFont="1" applyFill="1" applyBorder="1"/>
    <xf numFmtId="11" fontId="9" fillId="16" borderId="3" xfId="0" applyNumberFormat="1" applyFont="1" applyFill="1" applyBorder="1" applyAlignment="1">
      <alignment horizontal="left"/>
    </xf>
    <xf numFmtId="11" fontId="9" fillId="16" borderId="3" xfId="1" applyNumberFormat="1" applyFont="1" applyFill="1" applyBorder="1" applyAlignment="1">
      <alignment horizontal="center"/>
    </xf>
    <xf numFmtId="11" fontId="3" fillId="16" borderId="3" xfId="0" applyNumberFormat="1" applyFont="1" applyFill="1" applyBorder="1" applyAlignment="1">
      <alignment horizontal="center"/>
    </xf>
    <xf numFmtId="181" fontId="9" fillId="16" borderId="3" xfId="1" applyNumberFormat="1" applyFont="1" applyFill="1" applyBorder="1" applyAlignment="1">
      <alignment horizontal="center"/>
    </xf>
    <xf numFmtId="165" fontId="9" fillId="14" borderId="3" xfId="0" applyNumberFormat="1" applyFont="1" applyFill="1" applyBorder="1" applyAlignment="1">
      <alignment horizontal="right"/>
    </xf>
    <xf numFmtId="165" fontId="12" fillId="2" borderId="3" xfId="0" applyNumberFormat="1" applyFont="1" applyFill="1" applyBorder="1"/>
    <xf numFmtId="165" fontId="14" fillId="2" borderId="3" xfId="0" applyNumberFormat="1" applyFont="1" applyFill="1" applyBorder="1"/>
    <xf numFmtId="165" fontId="3" fillId="2" borderId="3" xfId="0" applyNumberFormat="1" applyFont="1" applyFill="1" applyBorder="1"/>
    <xf numFmtId="165" fontId="3" fillId="4" borderId="3" xfId="0" applyNumberFormat="1" applyFont="1" applyFill="1" applyBorder="1"/>
    <xf numFmtId="165" fontId="12" fillId="4" borderId="3" xfId="1" applyNumberFormat="1" applyFont="1" applyFill="1" applyBorder="1" applyAlignment="1">
      <alignment horizontal="center"/>
    </xf>
    <xf numFmtId="165" fontId="9" fillId="4" borderId="3" xfId="0" applyNumberFormat="1" applyFont="1" applyFill="1" applyBorder="1" applyAlignment="1">
      <alignment horizontal="center"/>
    </xf>
    <xf numFmtId="165" fontId="9" fillId="4" borderId="3" xfId="1" applyNumberFormat="1" applyFont="1" applyFill="1" applyBorder="1" applyAlignment="1">
      <alignment horizontal="center"/>
    </xf>
    <xf numFmtId="165" fontId="9" fillId="14" borderId="3" xfId="1" applyNumberFormat="1" applyFont="1" applyFill="1" applyBorder="1" applyAlignment="1">
      <alignment horizontal="center"/>
    </xf>
    <xf numFmtId="165" fontId="9" fillId="15" borderId="3" xfId="1" applyNumberFormat="1" applyFont="1" applyFill="1" applyBorder="1" applyAlignment="1">
      <alignment horizontal="center"/>
    </xf>
    <xf numFmtId="165" fontId="9" fillId="16" borderId="3" xfId="1" applyNumberFormat="1" applyFont="1" applyFill="1" applyBorder="1" applyAlignment="1">
      <alignment horizontal="center"/>
    </xf>
    <xf numFmtId="165" fontId="9" fillId="17" borderId="3" xfId="1" applyNumberFormat="1" applyFont="1" applyFill="1" applyBorder="1" applyAlignment="1">
      <alignment horizontal="right"/>
    </xf>
    <xf numFmtId="165" fontId="9" fillId="17" borderId="0" xfId="1" applyNumberFormat="1" applyFont="1" applyFill="1" applyBorder="1" applyAlignment="1">
      <alignment horizontal="right"/>
    </xf>
    <xf numFmtId="165" fontId="12" fillId="2" borderId="3" xfId="1" applyNumberFormat="1" applyFont="1" applyFill="1" applyBorder="1"/>
    <xf numFmtId="165" fontId="0" fillId="0" borderId="0" xfId="1" applyNumberFormat="1" applyFont="1"/>
    <xf numFmtId="165" fontId="3" fillId="2" borderId="3" xfId="1" applyNumberFormat="1" applyFont="1" applyFill="1" applyBorder="1"/>
    <xf numFmtId="2" fontId="18" fillId="2" borderId="3" xfId="0" applyNumberFormat="1" applyFont="1" applyFill="1" applyBorder="1"/>
    <xf numFmtId="2" fontId="9" fillId="2" borderId="3" xfId="2" applyNumberFormat="1" applyFont="1" applyFill="1" applyBorder="1"/>
    <xf numFmtId="2" fontId="9" fillId="2" borderId="3" xfId="2" applyNumberFormat="1" applyFont="1" applyFill="1" applyBorder="1" applyAlignment="1">
      <alignment horizontal="right"/>
    </xf>
    <xf numFmtId="2" fontId="9" fillId="2" borderId="3" xfId="4" applyNumberFormat="1" applyFont="1" applyFill="1" applyBorder="1"/>
    <xf numFmtId="2" fontId="9" fillId="14" borderId="3" xfId="0" applyNumberFormat="1" applyFont="1" applyFill="1" applyBorder="1"/>
    <xf numFmtId="2" fontId="9" fillId="14" borderId="3" xfId="0" applyNumberFormat="1" applyFont="1" applyFill="1" applyBorder="1" applyAlignment="1">
      <alignment horizontal="right"/>
    </xf>
    <xf numFmtId="2" fontId="9" fillId="7" borderId="3" xfId="0" applyNumberFormat="1" applyFont="1" applyFill="1" applyBorder="1" applyAlignment="1">
      <alignment horizontal="right"/>
    </xf>
    <xf numFmtId="2" fontId="9" fillId="9" borderId="3" xfId="0" applyNumberFormat="1" applyFont="1" applyFill="1" applyBorder="1" applyAlignment="1">
      <alignment horizontal="right"/>
    </xf>
    <xf numFmtId="2" fontId="12" fillId="9" borderId="3" xfId="0" applyNumberFormat="1" applyFont="1" applyFill="1" applyBorder="1"/>
    <xf numFmtId="2" fontId="18" fillId="14" borderId="3" xfId="0" applyNumberFormat="1" applyFont="1" applyFill="1" applyBorder="1"/>
    <xf numFmtId="2" fontId="9" fillId="17" borderId="3" xfId="0" applyNumberFormat="1" applyFont="1" applyFill="1" applyBorder="1" applyAlignment="1">
      <alignment horizontal="right"/>
    </xf>
    <xf numFmtId="2" fontId="12" fillId="17" borderId="3" xfId="0" applyNumberFormat="1" applyFont="1" applyFill="1" applyBorder="1"/>
    <xf numFmtId="171" fontId="9" fillId="14" borderId="3" xfId="1" applyNumberFormat="1" applyFont="1" applyFill="1" applyBorder="1"/>
    <xf numFmtId="171" fontId="18" fillId="14" borderId="3" xfId="1" applyNumberFormat="1" applyFont="1" applyFill="1" applyBorder="1"/>
    <xf numFmtId="171" fontId="9" fillId="14" borderId="3" xfId="1" applyNumberFormat="1" applyFont="1" applyFill="1" applyBorder="1" applyAlignment="1">
      <alignment horizontal="right"/>
    </xf>
    <xf numFmtId="170" fontId="9" fillId="14" borderId="3" xfId="1" applyNumberFormat="1" applyFont="1" applyFill="1" applyBorder="1" applyAlignment="1">
      <alignment horizontal="right"/>
    </xf>
    <xf numFmtId="170" fontId="18" fillId="14" borderId="3" xfId="1" applyNumberFormat="1" applyFont="1" applyFill="1" applyBorder="1"/>
    <xf numFmtId="172" fontId="9" fillId="14" borderId="3" xfId="1" applyNumberFormat="1" applyFont="1" applyFill="1" applyBorder="1" applyAlignment="1">
      <alignment horizontal="left" wrapText="1"/>
    </xf>
    <xf numFmtId="172" fontId="9" fillId="14" borderId="3" xfId="1" applyNumberFormat="1" applyFont="1" applyFill="1" applyBorder="1" applyAlignment="1">
      <alignment horizontal="right"/>
    </xf>
    <xf numFmtId="172" fontId="3" fillId="14" borderId="3" xfId="1" applyNumberFormat="1" applyFont="1" applyFill="1" applyBorder="1"/>
    <xf numFmtId="170" fontId="9" fillId="18" borderId="3" xfId="1" applyNumberFormat="1" applyFont="1" applyFill="1" applyBorder="1" applyAlignment="1">
      <alignment horizontal="right"/>
    </xf>
    <xf numFmtId="164" fontId="18" fillId="18" borderId="3" xfId="0" applyNumberFormat="1" applyFont="1" applyFill="1" applyBorder="1"/>
    <xf numFmtId="172" fontId="9" fillId="18" borderId="3" xfId="1" applyNumberFormat="1" applyFont="1" applyFill="1" applyBorder="1" applyAlignment="1">
      <alignment horizontal="right"/>
    </xf>
    <xf numFmtId="2" fontId="9" fillId="18" borderId="3" xfId="1" applyNumberFormat="1" applyFont="1" applyFill="1" applyBorder="1" applyAlignment="1">
      <alignment horizontal="right"/>
    </xf>
    <xf numFmtId="172" fontId="9" fillId="18" borderId="3" xfId="1" applyNumberFormat="1" applyFont="1" applyFill="1" applyBorder="1" applyAlignment="1">
      <alignment horizontal="left"/>
    </xf>
    <xf numFmtId="172" fontId="9" fillId="18" borderId="0" xfId="1" applyNumberFormat="1" applyFont="1" applyFill="1" applyBorder="1" applyAlignment="1">
      <alignment horizontal="right"/>
    </xf>
    <xf numFmtId="172" fontId="9" fillId="18" borderId="3" xfId="1" applyNumberFormat="1" applyFont="1" applyFill="1" applyBorder="1"/>
    <xf numFmtId="164" fontId="9" fillId="18" borderId="3" xfId="0" applyNumberFormat="1" applyFont="1" applyFill="1" applyBorder="1" applyAlignment="1">
      <alignment horizontal="left" wrapText="1"/>
    </xf>
    <xf numFmtId="4" fontId="9" fillId="18" borderId="3" xfId="1" applyNumberFormat="1" applyFont="1" applyFill="1" applyBorder="1" applyAlignment="1">
      <alignment horizontal="right"/>
    </xf>
    <xf numFmtId="0" fontId="9" fillId="0" borderId="0" xfId="0" applyFont="1" applyAlignment="1">
      <alignment vertical="top"/>
    </xf>
    <xf numFmtId="0" fontId="12" fillId="8" borderId="0" xfId="0" applyFont="1" applyFill="1"/>
    <xf numFmtId="0" fontId="14" fillId="8" borderId="12" xfId="0" applyFont="1" applyFill="1" applyBorder="1"/>
    <xf numFmtId="1" fontId="14" fillId="8" borderId="12" xfId="0" applyNumberFormat="1" applyFont="1" applyFill="1" applyBorder="1" applyAlignment="1">
      <alignment horizontal="right"/>
    </xf>
    <xf numFmtId="172" fontId="9" fillId="14" borderId="3" xfId="7" applyNumberFormat="1" applyFont="1" applyFill="1" applyBorder="1" applyAlignment="1">
      <alignment horizontal="center"/>
    </xf>
    <xf numFmtId="173" fontId="28" fillId="2" borderId="3" xfId="1" applyNumberFormat="1" applyFont="1" applyFill="1" applyBorder="1"/>
    <xf numFmtId="173" fontId="28" fillId="0" borderId="0" xfId="1" applyNumberFormat="1" applyFont="1"/>
    <xf numFmtId="3" fontId="28" fillId="0" borderId="0" xfId="1" applyNumberFormat="1" applyFont="1"/>
    <xf numFmtId="3" fontId="28" fillId="2" borderId="3" xfId="7" applyNumberFormat="1" applyFont="1" applyFill="1" applyBorder="1"/>
    <xf numFmtId="3" fontId="28" fillId="0" borderId="0" xfId="0" applyNumberFormat="1" applyFont="1"/>
    <xf numFmtId="3" fontId="48" fillId="0" borderId="0" xfId="0" applyNumberFormat="1" applyFont="1"/>
    <xf numFmtId="0" fontId="7" fillId="4" borderId="0" xfId="0" applyFont="1" applyFill="1"/>
    <xf numFmtId="0" fontId="7" fillId="4" borderId="0" xfId="0" quotePrefix="1" applyFont="1" applyFill="1"/>
    <xf numFmtId="0" fontId="6" fillId="4" borderId="0" xfId="0" applyFont="1" applyFill="1"/>
    <xf numFmtId="0" fontId="23" fillId="4" borderId="0" xfId="0" applyFont="1" applyFill="1"/>
    <xf numFmtId="0" fontId="6" fillId="8" borderId="12" xfId="0" applyFont="1" applyFill="1" applyBorder="1"/>
    <xf numFmtId="164" fontId="7" fillId="8" borderId="3" xfId="0" applyNumberFormat="1" applyFont="1" applyFill="1" applyBorder="1" applyAlignment="1">
      <alignment horizontal="left"/>
    </xf>
    <xf numFmtId="1" fontId="6" fillId="8" borderId="12" xfId="0" applyNumberFormat="1" applyFont="1" applyFill="1" applyBorder="1" applyAlignment="1">
      <alignment horizontal="right"/>
    </xf>
    <xf numFmtId="1" fontId="6" fillId="4" borderId="0" xfId="0" applyNumberFormat="1" applyFont="1" applyFill="1" applyAlignment="1">
      <alignment horizontal="right"/>
    </xf>
    <xf numFmtId="164" fontId="7" fillId="4" borderId="0" xfId="0" applyNumberFormat="1" applyFont="1" applyFill="1" applyAlignment="1">
      <alignment horizontal="left"/>
    </xf>
    <xf numFmtId="169" fontId="28" fillId="0" borderId="0" xfId="7" applyNumberFormat="1" applyFont="1"/>
    <xf numFmtId="171" fontId="9" fillId="8" borderId="3" xfId="1" applyNumberFormat="1" applyFont="1" applyFill="1" applyBorder="1"/>
    <xf numFmtId="171" fontId="0" fillId="13" borderId="0" xfId="1" applyNumberFormat="1" applyFont="1" applyFill="1"/>
    <xf numFmtId="171" fontId="9" fillId="13" borderId="3" xfId="1" applyNumberFormat="1" applyFont="1" applyFill="1" applyBorder="1"/>
    <xf numFmtId="165" fontId="9" fillId="2" borderId="3" xfId="0" applyNumberFormat="1" applyFont="1" applyFill="1" applyBorder="1" applyAlignment="1">
      <alignment horizontal="left" wrapText="1"/>
    </xf>
    <xf numFmtId="166" fontId="9" fillId="2" borderId="3" xfId="0" applyNumberFormat="1" applyFont="1" applyFill="1" applyBorder="1" applyAlignment="1">
      <alignment horizontal="left" wrapText="1"/>
    </xf>
    <xf numFmtId="164" fontId="9" fillId="2" borderId="3" xfId="4" applyNumberFormat="1" applyFont="1" applyFill="1" applyBorder="1" applyAlignment="1">
      <alignment horizontal="left" wrapText="1"/>
    </xf>
    <xf numFmtId="183" fontId="9" fillId="2" borderId="3" xfId="0" applyNumberFormat="1" applyFont="1" applyFill="1" applyBorder="1"/>
    <xf numFmtId="183" fontId="9" fillId="2" borderId="3" xfId="0" applyNumberFormat="1" applyFont="1" applyFill="1" applyBorder="1" applyAlignment="1">
      <alignment horizontal="right"/>
    </xf>
    <xf numFmtId="171" fontId="28" fillId="4" borderId="3" xfId="1" applyNumberFormat="1" applyFont="1" applyFill="1" applyBorder="1" applyAlignment="1">
      <alignment horizontal="left"/>
    </xf>
    <xf numFmtId="171" fontId="28" fillId="4" borderId="3" xfId="1" applyNumberFormat="1" applyFont="1" applyFill="1" applyBorder="1" applyAlignment="1">
      <alignment horizontal="right"/>
    </xf>
    <xf numFmtId="171" fontId="28" fillId="4" borderId="3" xfId="1" applyNumberFormat="1" applyFont="1" applyFill="1" applyBorder="1"/>
    <xf numFmtId="2" fontId="18" fillId="18" borderId="3" xfId="0" applyNumberFormat="1" applyFont="1" applyFill="1" applyBorder="1"/>
    <xf numFmtId="0" fontId="17" fillId="0" borderId="0" xfId="0" applyFont="1"/>
    <xf numFmtId="43" fontId="28" fillId="0" borderId="0" xfId="1" applyFont="1"/>
    <xf numFmtId="175" fontId="9" fillId="9" borderId="0" xfId="7" applyNumberFormat="1" applyFont="1" applyFill="1"/>
    <xf numFmtId="3" fontId="9" fillId="9" borderId="0" xfId="7" applyNumberFormat="1" applyFont="1" applyFill="1"/>
    <xf numFmtId="164" fontId="12" fillId="4" borderId="3" xfId="0" applyNumberFormat="1" applyFont="1" applyFill="1" applyBorder="1" applyAlignment="1">
      <alignment horizontal="left"/>
    </xf>
    <xf numFmtId="2" fontId="18" fillId="4" borderId="3" xfId="0" applyNumberFormat="1" applyFont="1" applyFill="1" applyBorder="1"/>
    <xf numFmtId="164" fontId="9" fillId="9" borderId="0" xfId="0" applyNumberFormat="1" applyFont="1" applyFill="1"/>
    <xf numFmtId="0" fontId="26" fillId="9" borderId="3" xfId="0" applyFont="1" applyFill="1" applyBorder="1"/>
    <xf numFmtId="43" fontId="26" fillId="9" borderId="3" xfId="0" applyNumberFormat="1" applyFont="1" applyFill="1" applyBorder="1"/>
    <xf numFmtId="169" fontId="26" fillId="9" borderId="3" xfId="0" applyNumberFormat="1" applyFont="1" applyFill="1" applyBorder="1"/>
    <xf numFmtId="184" fontId="3" fillId="2" borderId="3" xfId="0" applyNumberFormat="1" applyFont="1" applyFill="1" applyBorder="1"/>
    <xf numFmtId="165" fontId="12" fillId="4" borderId="3" xfId="1" applyNumberFormat="1" applyFont="1" applyFill="1" applyBorder="1"/>
    <xf numFmtId="11" fontId="3" fillId="2" borderId="3" xfId="0" applyNumberFormat="1" applyFont="1" applyFill="1" applyBorder="1"/>
    <xf numFmtId="186" fontId="0" fillId="0" borderId="0" xfId="5" applyNumberFormat="1" applyFont="1"/>
    <xf numFmtId="186" fontId="0" fillId="9" borderId="0" xfId="5" applyNumberFormat="1" applyFont="1" applyFill="1"/>
    <xf numFmtId="186" fontId="0" fillId="0" borderId="0" xfId="0" applyNumberFormat="1"/>
    <xf numFmtId="186" fontId="0" fillId="4" borderId="0" xfId="5" applyNumberFormat="1" applyFont="1" applyFill="1"/>
    <xf numFmtId="172" fontId="12" fillId="4" borderId="3" xfId="7" applyNumberFormat="1" applyFont="1" applyFill="1" applyBorder="1" applyAlignment="1">
      <alignment horizontal="left"/>
    </xf>
    <xf numFmtId="170" fontId="28" fillId="9" borderId="3" xfId="7" applyNumberFormat="1" applyFont="1" applyFill="1" applyBorder="1"/>
    <xf numFmtId="176" fontId="9" fillId="0" borderId="0" xfId="5" applyNumberFormat="1" applyFont="1"/>
    <xf numFmtId="164" fontId="9" fillId="0" borderId="0" xfId="0" applyNumberFormat="1" applyFont="1" applyAlignment="1">
      <alignment horizontal="left"/>
    </xf>
    <xf numFmtId="169" fontId="9" fillId="4" borderId="0" xfId="1" applyNumberFormat="1" applyFont="1" applyFill="1"/>
    <xf numFmtId="169" fontId="9" fillId="9" borderId="0" xfId="1" applyNumberFormat="1" applyFont="1" applyFill="1"/>
    <xf numFmtId="185" fontId="12" fillId="2" borderId="3" xfId="1" applyNumberFormat="1" applyFont="1" applyFill="1" applyBorder="1" applyAlignment="1">
      <alignment horizontal="right"/>
    </xf>
    <xf numFmtId="43" fontId="0" fillId="0" borderId="0" xfId="7" applyFont="1"/>
    <xf numFmtId="10" fontId="0" fillId="9" borderId="0" xfId="7" applyNumberFormat="1" applyFont="1" applyFill="1"/>
    <xf numFmtId="0" fontId="49" fillId="0" borderId="0" xfId="0" applyFont="1" applyAlignment="1">
      <alignment wrapText="1"/>
    </xf>
    <xf numFmtId="0" fontId="49" fillId="9" borderId="0" xfId="0" applyFont="1" applyFill="1" applyAlignment="1">
      <alignment wrapText="1"/>
    </xf>
    <xf numFmtId="0" fontId="49" fillId="15" borderId="0" xfId="0" applyFont="1" applyFill="1" applyAlignment="1">
      <alignment wrapText="1"/>
    </xf>
    <xf numFmtId="0" fontId="49" fillId="0" borderId="0" xfId="0" applyFont="1"/>
    <xf numFmtId="1" fontId="50" fillId="2" borderId="3" xfId="0" applyNumberFormat="1" applyFont="1" applyFill="1" applyBorder="1"/>
    <xf numFmtId="166" fontId="49" fillId="0" borderId="0" xfId="0" applyNumberFormat="1" applyFont="1"/>
    <xf numFmtId="2" fontId="49" fillId="0" borderId="0" xfId="0" applyNumberFormat="1" applyFont="1"/>
    <xf numFmtId="43" fontId="50" fillId="2" borderId="3" xfId="7" applyFont="1" applyFill="1" applyBorder="1" applyAlignment="1">
      <alignment wrapText="1"/>
    </xf>
    <xf numFmtId="164" fontId="49" fillId="2" borderId="3" xfId="0" applyNumberFormat="1" applyFont="1" applyFill="1" applyBorder="1" applyAlignment="1">
      <alignment horizontal="right"/>
    </xf>
    <xf numFmtId="164" fontId="49" fillId="0" borderId="0" xfId="0" applyNumberFormat="1" applyFont="1"/>
    <xf numFmtId="43" fontId="49" fillId="0" borderId="0" xfId="7" applyFont="1"/>
    <xf numFmtId="170" fontId="49" fillId="0" borderId="0" xfId="7" applyNumberFormat="1" applyFont="1"/>
    <xf numFmtId="164" fontId="51" fillId="0" borderId="0" xfId="0" applyNumberFormat="1" applyFont="1"/>
    <xf numFmtId="0" fontId="49" fillId="9" borderId="0" xfId="0" applyFont="1" applyFill="1"/>
    <xf numFmtId="1" fontId="52" fillId="2" borderId="3" xfId="0" applyNumberFormat="1" applyFont="1" applyFill="1" applyBorder="1" applyAlignment="1">
      <alignment wrapText="1"/>
    </xf>
    <xf numFmtId="2" fontId="49" fillId="9" borderId="0" xfId="0" applyNumberFormat="1" applyFont="1" applyFill="1"/>
    <xf numFmtId="164" fontId="49" fillId="9" borderId="0" xfId="0" applyNumberFormat="1" applyFont="1" applyFill="1"/>
    <xf numFmtId="2" fontId="49" fillId="14" borderId="0" xfId="0" applyNumberFormat="1" applyFont="1" applyFill="1" applyAlignment="1">
      <alignment horizontal="right"/>
    </xf>
    <xf numFmtId="0" fontId="49" fillId="14" borderId="0" xfId="0" applyFont="1" applyFill="1" applyAlignment="1">
      <alignment horizontal="right"/>
    </xf>
    <xf numFmtId="172" fontId="49" fillId="14" borderId="3" xfId="7" applyNumberFormat="1" applyFont="1" applyFill="1" applyBorder="1" applyAlignment="1">
      <alignment horizontal="right"/>
    </xf>
    <xf numFmtId="43" fontId="49" fillId="14" borderId="0" xfId="1" applyFont="1" applyFill="1" applyAlignment="1">
      <alignment horizontal="right"/>
    </xf>
    <xf numFmtId="11" fontId="9" fillId="2" borderId="3" xfId="0" applyNumberFormat="1" applyFont="1" applyFill="1" applyBorder="1"/>
    <xf numFmtId="164" fontId="9" fillId="8" borderId="3" xfId="0" applyNumberFormat="1" applyFont="1" applyFill="1" applyBorder="1" applyAlignment="1">
      <alignment horizontal="right"/>
    </xf>
    <xf numFmtId="164" fontId="9" fillId="0" borderId="0" xfId="0" applyNumberFormat="1" applyFont="1"/>
    <xf numFmtId="166" fontId="9" fillId="2" borderId="3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53" fillId="0" borderId="0" xfId="0" applyFont="1" applyAlignment="1">
      <alignment horizontal="left"/>
    </xf>
    <xf numFmtId="174" fontId="9" fillId="0" borderId="0" xfId="1" applyNumberFormat="1" applyFont="1"/>
    <xf numFmtId="43" fontId="9" fillId="2" borderId="3" xfId="1" applyFont="1" applyFill="1" applyBorder="1" applyAlignment="1">
      <alignment horizontal="left"/>
    </xf>
    <xf numFmtId="187" fontId="9" fillId="0" borderId="0" xfId="0" applyNumberFormat="1" applyFont="1"/>
    <xf numFmtId="167" fontId="9" fillId="0" borderId="0" xfId="0" applyNumberFormat="1" applyFont="1"/>
    <xf numFmtId="164" fontId="25" fillId="4" borderId="0" xfId="0" applyNumberFormat="1" applyFont="1" applyFill="1" applyAlignment="1">
      <alignment wrapText="1"/>
    </xf>
    <xf numFmtId="169" fontId="9" fillId="2" borderId="3" xfId="1" applyNumberFormat="1" applyFont="1" applyFill="1" applyBorder="1" applyAlignment="1">
      <alignment horizontal="left"/>
    </xf>
    <xf numFmtId="43" fontId="12" fillId="2" borderId="3" xfId="1" applyFont="1" applyFill="1" applyBorder="1"/>
    <xf numFmtId="43" fontId="28" fillId="0" borderId="0" xfId="7" applyFont="1"/>
    <xf numFmtId="168" fontId="9" fillId="4" borderId="0" xfId="0" applyNumberFormat="1" applyFont="1" applyFill="1" applyAlignment="1">
      <alignment wrapText="1"/>
    </xf>
    <xf numFmtId="0" fontId="7" fillId="8" borderId="12" xfId="0" applyFont="1" applyFill="1" applyBorder="1"/>
    <xf numFmtId="0" fontId="25" fillId="4" borderId="0" xfId="0" applyFont="1" applyFill="1"/>
    <xf numFmtId="10" fontId="7" fillId="4" borderId="0" xfId="5" applyNumberFormat="1" applyFont="1" applyFill="1" applyBorder="1"/>
    <xf numFmtId="176" fontId="7" fillId="4" borderId="0" xfId="5" applyNumberFormat="1" applyFont="1" applyFill="1" applyBorder="1"/>
    <xf numFmtId="164" fontId="12" fillId="4" borderId="3" xfId="0" applyNumberFormat="1" applyFont="1" applyFill="1" applyBorder="1" applyAlignment="1">
      <alignment horizontal="center" vertical="top" wrapText="1"/>
    </xf>
    <xf numFmtId="0" fontId="28" fillId="4" borderId="0" xfId="0" applyFont="1" applyFill="1"/>
    <xf numFmtId="0" fontId="9" fillId="4" borderId="12" xfId="0" applyFont="1" applyFill="1" applyBorder="1"/>
    <xf numFmtId="0" fontId="3" fillId="9" borderId="11" xfId="0" applyFont="1" applyFill="1" applyBorder="1" applyAlignment="1">
      <alignment wrapText="1"/>
    </xf>
    <xf numFmtId="0" fontId="3" fillId="9" borderId="10" xfId="0" applyFont="1" applyFill="1" applyBorder="1" applyAlignment="1">
      <alignment horizontal="center" vertical="center" wrapText="1"/>
    </xf>
    <xf numFmtId="0" fontId="3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Alignment="1">
      <alignment horizontal="right" vertical="center"/>
    </xf>
    <xf numFmtId="43" fontId="0" fillId="9" borderId="0" xfId="7" applyFont="1" applyFill="1" applyBorder="1" applyAlignment="1">
      <alignment horizontal="right" vertical="center"/>
    </xf>
    <xf numFmtId="0" fontId="3" fillId="9" borderId="7" xfId="0" applyFont="1" applyFill="1" applyBorder="1" applyAlignment="1">
      <alignment horizontal="left" vertical="center" wrapText="1"/>
    </xf>
    <xf numFmtId="0" fontId="3" fillId="9" borderId="7" xfId="0" applyFont="1" applyFill="1" applyBorder="1" applyAlignment="1">
      <alignment horizontal="right" vertical="center"/>
    </xf>
    <xf numFmtId="0" fontId="3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43" fontId="0" fillId="9" borderId="1" xfId="7" applyFont="1" applyFill="1" applyBorder="1" applyAlignment="1">
      <alignment horizontal="right" vertical="center"/>
    </xf>
    <xf numFmtId="0" fontId="3" fillId="9" borderId="9" xfId="0" applyFont="1" applyFill="1" applyBorder="1" applyAlignment="1">
      <alignment horizontal="right" vertical="center"/>
    </xf>
    <xf numFmtId="0" fontId="54" fillId="0" borderId="0" xfId="0" applyFont="1"/>
    <xf numFmtId="1" fontId="14" fillId="4" borderId="0" xfId="0" applyNumberFormat="1" applyFont="1" applyFill="1" applyAlignment="1">
      <alignment horizontal="right"/>
    </xf>
    <xf numFmtId="182" fontId="28" fillId="4" borderId="0" xfId="7" applyNumberFormat="1" applyFont="1" applyFill="1"/>
    <xf numFmtId="11" fontId="9" fillId="2" borderId="3" xfId="0" applyNumberFormat="1" applyFont="1" applyFill="1" applyBorder="1" applyAlignment="1">
      <alignment horizontal="left" wrapText="1"/>
    </xf>
    <xf numFmtId="11" fontId="9" fillId="2" borderId="3" xfId="0" applyNumberFormat="1" applyFont="1" applyFill="1" applyBorder="1" applyAlignment="1">
      <alignment horizontal="right"/>
    </xf>
    <xf numFmtId="188" fontId="9" fillId="2" borderId="3" xfId="0" applyNumberFormat="1" applyFont="1" applyFill="1" applyBorder="1"/>
    <xf numFmtId="43" fontId="28" fillId="0" borderId="0" xfId="0" applyNumberFormat="1" applyFont="1"/>
    <xf numFmtId="0" fontId="55" fillId="0" borderId="0" xfId="0" applyFont="1"/>
    <xf numFmtId="0" fontId="56" fillId="0" borderId="0" xfId="0" applyFont="1"/>
    <xf numFmtId="171" fontId="28" fillId="0" borderId="0" xfId="7" applyNumberFormat="1" applyFont="1"/>
    <xf numFmtId="164" fontId="17" fillId="2" borderId="3" xfId="0" applyNumberFormat="1" applyFont="1" applyFill="1" applyBorder="1" applyAlignment="1">
      <alignment wrapText="1"/>
    </xf>
    <xf numFmtId="11" fontId="9" fillId="2" borderId="3" xfId="0" applyNumberFormat="1" applyFont="1" applyFill="1" applyBorder="1" applyAlignment="1">
      <alignment wrapText="1"/>
    </xf>
    <xf numFmtId="164" fontId="17" fillId="3" borderId="3" xfId="0" applyNumberFormat="1" applyFont="1" applyFill="1" applyBorder="1" applyAlignment="1">
      <alignment wrapText="1"/>
    </xf>
    <xf numFmtId="183" fontId="9" fillId="2" borderId="3" xfId="0" applyNumberFormat="1" applyFont="1" applyFill="1" applyBorder="1" applyAlignment="1">
      <alignment wrapText="1"/>
    </xf>
    <xf numFmtId="164" fontId="17" fillId="3" borderId="3" xfId="2" applyNumberFormat="1" applyFont="1" applyFill="1" applyBorder="1" applyAlignment="1">
      <alignment wrapText="1"/>
    </xf>
    <xf numFmtId="0" fontId="53" fillId="0" borderId="0" xfId="0" applyFont="1"/>
    <xf numFmtId="171" fontId="17" fillId="2" borderId="3" xfId="1" applyNumberFormat="1" applyFont="1" applyFill="1" applyBorder="1" applyAlignment="1"/>
    <xf numFmtId="164" fontId="17" fillId="2" borderId="3" xfId="0" applyNumberFormat="1" applyFont="1" applyFill="1" applyBorder="1"/>
    <xf numFmtId="169" fontId="9" fillId="2" borderId="3" xfId="1" applyNumberFormat="1" applyFont="1" applyFill="1" applyBorder="1" applyAlignment="1"/>
    <xf numFmtId="164" fontId="17" fillId="2" borderId="3" xfId="4" applyNumberFormat="1" applyFont="1" applyFill="1" applyBorder="1" applyAlignment="1">
      <alignment wrapText="1"/>
    </xf>
    <xf numFmtId="164" fontId="9" fillId="2" borderId="3" xfId="4" applyNumberFormat="1" applyFont="1" applyFill="1" applyBorder="1" applyAlignment="1">
      <alignment wrapText="1"/>
    </xf>
    <xf numFmtId="164" fontId="19" fillId="2" borderId="3" xfId="0" applyNumberFormat="1" applyFont="1" applyFill="1" applyBorder="1"/>
    <xf numFmtId="164" fontId="12" fillId="8" borderId="3" xfId="0" applyNumberFormat="1" applyFont="1" applyFill="1" applyBorder="1"/>
    <xf numFmtId="164" fontId="12" fillId="4" borderId="3" xfId="0" applyNumberFormat="1" applyFont="1" applyFill="1" applyBorder="1"/>
    <xf numFmtId="2" fontId="9" fillId="18" borderId="3" xfId="0" applyNumberFormat="1" applyFont="1" applyFill="1" applyBorder="1" applyAlignment="1">
      <alignment wrapText="1"/>
    </xf>
    <xf numFmtId="172" fontId="7" fillId="18" borderId="3" xfId="1" applyNumberFormat="1" applyFont="1" applyFill="1" applyBorder="1" applyAlignment="1">
      <alignment wrapText="1"/>
    </xf>
    <xf numFmtId="172" fontId="9" fillId="18" borderId="0" xfId="1" applyNumberFormat="1" applyFont="1" applyFill="1" applyBorder="1" applyAlignment="1">
      <alignment wrapText="1"/>
    </xf>
    <xf numFmtId="164" fontId="25" fillId="9" borderId="3" xfId="0" applyNumberFormat="1" applyFont="1" applyFill="1" applyBorder="1"/>
    <xf numFmtId="164" fontId="25" fillId="14" borderId="3" xfId="0" applyNumberFormat="1" applyFont="1" applyFill="1" applyBorder="1"/>
    <xf numFmtId="171" fontId="9" fillId="14" borderId="3" xfId="1" applyNumberFormat="1" applyFont="1" applyFill="1" applyBorder="1" applyAlignment="1"/>
    <xf numFmtId="170" fontId="9" fillId="14" borderId="3" xfId="1" applyNumberFormat="1" applyFont="1" applyFill="1" applyBorder="1" applyAlignment="1"/>
    <xf numFmtId="164" fontId="25" fillId="17" borderId="3" xfId="0" applyNumberFormat="1" applyFont="1" applyFill="1" applyBorder="1"/>
    <xf numFmtId="175" fontId="9" fillId="9" borderId="0" xfId="0" applyNumberFormat="1" applyFont="1" applyFill="1"/>
    <xf numFmtId="10" fontId="7" fillId="4" borderId="0" xfId="5" applyNumberFormat="1" applyFont="1" applyFill="1" applyBorder="1" applyAlignment="1">
      <alignment horizontal="center" vertical="center"/>
    </xf>
    <xf numFmtId="0" fontId="57" fillId="4" borderId="0" xfId="0" applyFont="1" applyFill="1" applyAlignment="1">
      <alignment horizontal="center" vertical="center"/>
    </xf>
    <xf numFmtId="0" fontId="3" fillId="7" borderId="3" xfId="0" applyFont="1" applyFill="1" applyBorder="1"/>
    <xf numFmtId="0" fontId="0" fillId="7" borderId="0" xfId="0" applyFill="1"/>
    <xf numFmtId="175" fontId="9" fillId="4" borderId="0" xfId="0" applyNumberFormat="1" applyFont="1" applyFill="1"/>
    <xf numFmtId="1" fontId="23" fillId="14" borderId="3" xfId="0" applyNumberFormat="1" applyFont="1" applyFill="1" applyBorder="1" applyAlignment="1">
      <alignment wrapText="1"/>
    </xf>
    <xf numFmtId="1" fontId="14" fillId="14" borderId="3" xfId="0" applyNumberFormat="1" applyFont="1" applyFill="1" applyBorder="1"/>
    <xf numFmtId="43" fontId="12" fillId="14" borderId="0" xfId="1" applyFont="1" applyFill="1"/>
    <xf numFmtId="43" fontId="9" fillId="14" borderId="3" xfId="1" applyFont="1" applyFill="1" applyBorder="1"/>
    <xf numFmtId="43" fontId="12" fillId="14" borderId="0" xfId="7" applyFont="1" applyFill="1"/>
    <xf numFmtId="43" fontId="9" fillId="14" borderId="3" xfId="7" applyFont="1" applyFill="1" applyBorder="1"/>
    <xf numFmtId="169" fontId="9" fillId="14" borderId="3" xfId="7" applyNumberFormat="1" applyFont="1" applyFill="1" applyBorder="1"/>
    <xf numFmtId="43" fontId="14" fillId="14" borderId="0" xfId="7" applyFont="1" applyFill="1"/>
    <xf numFmtId="169" fontId="12" fillId="14" borderId="0" xfId="7" applyNumberFormat="1" applyFont="1" applyFill="1"/>
    <xf numFmtId="165" fontId="9" fillId="14" borderId="3" xfId="0" applyNumberFormat="1" applyFont="1" applyFill="1" applyBorder="1"/>
    <xf numFmtId="0" fontId="12" fillId="14" borderId="3" xfId="0" applyFont="1" applyFill="1" applyBorder="1"/>
    <xf numFmtId="0" fontId="7" fillId="14" borderId="3" xfId="0" applyFont="1" applyFill="1" applyBorder="1"/>
    <xf numFmtId="165" fontId="12" fillId="14" borderId="3" xfId="0" applyNumberFormat="1" applyFont="1" applyFill="1" applyBorder="1"/>
    <xf numFmtId="43" fontId="12" fillId="14" borderId="3" xfId="0" applyNumberFormat="1" applyFont="1" applyFill="1" applyBorder="1"/>
    <xf numFmtId="10" fontId="12" fillId="14" borderId="3" xfId="5" applyNumberFormat="1" applyFont="1" applyFill="1" applyBorder="1"/>
    <xf numFmtId="0" fontId="6" fillId="14" borderId="3" xfId="0" applyFont="1" applyFill="1" applyBorder="1"/>
    <xf numFmtId="16" fontId="12" fillId="14" borderId="3" xfId="0" quotePrefix="1" applyNumberFormat="1" applyFont="1" applyFill="1" applyBorder="1"/>
    <xf numFmtId="0" fontId="12" fillId="14" borderId="3" xfId="0" quotePrefix="1" applyFont="1" applyFill="1" applyBorder="1"/>
    <xf numFmtId="176" fontId="12" fillId="14" borderId="3" xfId="5" applyNumberFormat="1" applyFont="1" applyFill="1" applyBorder="1"/>
    <xf numFmtId="171" fontId="12" fillId="14" borderId="3" xfId="0" applyNumberFormat="1" applyFont="1" applyFill="1" applyBorder="1"/>
    <xf numFmtId="170" fontId="12" fillId="14" borderId="3" xfId="0" applyNumberFormat="1" applyFont="1" applyFill="1" applyBorder="1"/>
    <xf numFmtId="176" fontId="14" fillId="14" borderId="3" xfId="5" applyNumberFormat="1" applyFont="1" applyFill="1" applyBorder="1"/>
    <xf numFmtId="171" fontId="14" fillId="14" borderId="3" xfId="0" applyNumberFormat="1" applyFont="1" applyFill="1" applyBorder="1"/>
    <xf numFmtId="170" fontId="14" fillId="14" borderId="3" xfId="0" applyNumberFormat="1" applyFont="1" applyFill="1" applyBorder="1"/>
    <xf numFmtId="43" fontId="14" fillId="14" borderId="3" xfId="0" applyNumberFormat="1" applyFont="1" applyFill="1" applyBorder="1"/>
    <xf numFmtId="0" fontId="14" fillId="14" borderId="3" xfId="0" applyFont="1" applyFill="1" applyBorder="1"/>
    <xf numFmtId="169" fontId="12" fillId="14" borderId="3" xfId="0" applyNumberFormat="1" applyFont="1" applyFill="1" applyBorder="1"/>
    <xf numFmtId="171" fontId="9" fillId="14" borderId="3" xfId="0" applyNumberFormat="1" applyFont="1" applyFill="1" applyBorder="1"/>
    <xf numFmtId="176" fontId="9" fillId="14" borderId="3" xfId="0" applyNumberFormat="1" applyFont="1" applyFill="1" applyBorder="1"/>
    <xf numFmtId="43" fontId="9" fillId="14" borderId="3" xfId="0" applyNumberFormat="1" applyFont="1" applyFill="1" applyBorder="1"/>
    <xf numFmtId="174" fontId="0" fillId="0" borderId="0" xfId="1" applyNumberFormat="1" applyFont="1"/>
    <xf numFmtId="0" fontId="3" fillId="9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14" fontId="3" fillId="0" borderId="0" xfId="0" applyNumberFormat="1" applyFont="1" applyAlignment="1">
      <alignment wrapText="1"/>
    </xf>
    <xf numFmtId="170" fontId="0" fillId="4" borderId="0" xfId="1" applyNumberFormat="1" applyFont="1" applyFill="1"/>
    <xf numFmtId="170" fontId="0" fillId="4" borderId="0" xfId="0" applyNumberFormat="1" applyFill="1"/>
    <xf numFmtId="170" fontId="0" fillId="9" borderId="0" xfId="1" applyNumberFormat="1" applyFont="1" applyFill="1"/>
    <xf numFmtId="171" fontId="12" fillId="2" borderId="3" xfId="1" applyNumberFormat="1" applyFont="1" applyFill="1" applyBorder="1"/>
    <xf numFmtId="168" fontId="0" fillId="9" borderId="0" xfId="0" applyNumberFormat="1" applyFill="1"/>
    <xf numFmtId="169" fontId="28" fillId="12" borderId="0" xfId="7" applyNumberFormat="1" applyFont="1" applyFill="1"/>
    <xf numFmtId="182" fontId="28" fillId="12" borderId="0" xfId="7" applyNumberFormat="1" applyFont="1" applyFill="1"/>
    <xf numFmtId="169" fontId="28" fillId="2" borderId="3" xfId="7" applyNumberFormat="1" applyFont="1" applyFill="1" applyBorder="1"/>
    <xf numFmtId="182" fontId="28" fillId="0" borderId="0" xfId="0" applyNumberFormat="1" applyFont="1"/>
    <xf numFmtId="1" fontId="14" fillId="8" borderId="12" xfId="0" quotePrefix="1" applyNumberFormat="1" applyFont="1" applyFill="1" applyBorder="1" applyAlignment="1">
      <alignment horizontal="right"/>
    </xf>
    <xf numFmtId="172" fontId="3" fillId="7" borderId="0" xfId="0" applyNumberFormat="1" applyFont="1" applyFill="1"/>
    <xf numFmtId="43" fontId="4" fillId="0" borderId="0" xfId="1" applyFont="1"/>
    <xf numFmtId="164" fontId="23" fillId="4" borderId="0" xfId="0" applyNumberFormat="1" applyFont="1" applyFill="1" applyAlignment="1">
      <alignment horizontal="left"/>
    </xf>
    <xf numFmtId="0" fontId="58" fillId="4" borderId="0" xfId="0" applyFont="1" applyFill="1"/>
    <xf numFmtId="164" fontId="58" fillId="4" borderId="0" xfId="0" applyNumberFormat="1" applyFont="1" applyFill="1" applyAlignment="1">
      <alignment horizontal="left"/>
    </xf>
    <xf numFmtId="0" fontId="59" fillId="4" borderId="0" xfId="0" applyFont="1" applyFill="1"/>
    <xf numFmtId="0" fontId="7" fillId="9" borderId="0" xfId="0" applyFont="1" applyFill="1"/>
    <xf numFmtId="0" fontId="23" fillId="9" borderId="0" xfId="0" applyFont="1" applyFill="1"/>
    <xf numFmtId="171" fontId="11" fillId="0" borderId="0" xfId="1" applyNumberFormat="1" applyFont="1"/>
    <xf numFmtId="0" fontId="1" fillId="0" borderId="0" xfId="8"/>
    <xf numFmtId="2" fontId="12" fillId="8" borderId="3" xfId="0" applyNumberFormat="1" applyFont="1" applyFill="1" applyBorder="1"/>
    <xf numFmtId="164" fontId="12" fillId="8" borderId="0" xfId="0" applyNumberFormat="1" applyFont="1" applyFill="1"/>
    <xf numFmtId="165" fontId="12" fillId="8" borderId="0" xfId="0" applyNumberFormat="1" applyFont="1" applyFill="1"/>
    <xf numFmtId="166" fontId="9" fillId="8" borderId="3" xfId="0" applyNumberFormat="1" applyFont="1" applyFill="1" applyBorder="1"/>
    <xf numFmtId="1" fontId="9" fillId="0" borderId="0" xfId="0" applyNumberFormat="1" applyFont="1" applyAlignment="1">
      <alignment horizontal="right"/>
    </xf>
  </cellXfs>
  <cellStyles count="9">
    <cellStyle name="Comma" xfId="1" builtinId="3"/>
    <cellStyle name="Comma 2" xfId="7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Normal 5" xfId="8" xr:uid="{04AFF462-34E5-5C4A-9E39-EC8F135F0EDC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43.266376816447405</c:v>
                </c:pt>
                <c:pt idx="1">
                  <c:v>42.718635586508469</c:v>
                </c:pt>
                <c:pt idx="2">
                  <c:v>42.134536598324118</c:v>
                </c:pt>
                <c:pt idx="3">
                  <c:v>42.955594292880782</c:v>
                </c:pt>
                <c:pt idx="4">
                  <c:v>44.654235655635205</c:v>
                </c:pt>
                <c:pt idx="5">
                  <c:v>46.520759434186537</c:v>
                </c:pt>
                <c:pt idx="6">
                  <c:v>48.410727915447829</c:v>
                </c:pt>
                <c:pt idx="7">
                  <c:v>49.583724383859035</c:v>
                </c:pt>
                <c:pt idx="8">
                  <c:v>51.08842071670059</c:v>
                </c:pt>
                <c:pt idx="9">
                  <c:v>53.601230262318865</c:v>
                </c:pt>
                <c:pt idx="10" formatCode="0.00000">
                  <c:v>54.508450037783142</c:v>
                </c:pt>
                <c:pt idx="11">
                  <c:v>56.021057301849012</c:v>
                </c:pt>
                <c:pt idx="12">
                  <c:v>57.602283739104251</c:v>
                </c:pt>
                <c:pt idx="13">
                  <c:v>60.488936574947616</c:v>
                </c:pt>
                <c:pt idx="14">
                  <c:v>63.396142879218587</c:v>
                </c:pt>
                <c:pt idx="15">
                  <c:v>66.591350955992382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90-0341-A075-FF0E5AF79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89856"/>
        <c:axId val="61691392"/>
      </c:lineChart>
      <c:catAx>
        <c:axId val="61689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691392"/>
        <c:crosses val="autoZero"/>
        <c:auto val="1"/>
        <c:lblAlgn val="ctr"/>
        <c:lblOffset val="100"/>
        <c:tickLblSkip val="5"/>
        <c:noMultiLvlLbl val="0"/>
      </c:catAx>
      <c:valAx>
        <c:axId val="61691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68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6.6397842998354886</c:v>
                </c:pt>
                <c:pt idx="1">
                  <c:v>5.6166541833748393</c:v>
                </c:pt>
                <c:pt idx="2">
                  <c:v>4.8287983380619988</c:v>
                </c:pt>
                <c:pt idx="3">
                  <c:v>4.2274768448397797</c:v>
                </c:pt>
                <c:pt idx="4">
                  <c:v>3.8082798990896345</c:v>
                </c:pt>
                <c:pt idx="5">
                  <c:v>3.4530813106478595</c:v>
                </c:pt>
                <c:pt idx="6">
                  <c:v>3.166329950816221</c:v>
                </c:pt>
                <c:pt idx="7">
                  <c:v>2.8881458316795663</c:v>
                </c:pt>
                <c:pt idx="8">
                  <c:v>2.698645388448309</c:v>
                </c:pt>
                <c:pt idx="9">
                  <c:v>2.5715553641959437</c:v>
                </c:pt>
                <c:pt idx="10">
                  <c:v>2.4144381352801507</c:v>
                </c:pt>
                <c:pt idx="11">
                  <c:v>2.290692485111566</c:v>
                </c:pt>
                <c:pt idx="12">
                  <c:v>2.2095431026309145</c:v>
                </c:pt>
                <c:pt idx="13">
                  <c:v>2.1685306029050841</c:v>
                </c:pt>
                <c:pt idx="14">
                  <c:v>2.1287460088635966</c:v>
                </c:pt>
                <c:pt idx="15">
                  <c:v>2.1113519854660878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9B-414E-B6B7-B1C00DFC3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66656"/>
        <c:axId val="61776640"/>
      </c:lineChart>
      <c:catAx>
        <c:axId val="6176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776640"/>
        <c:crosses val="autoZero"/>
        <c:auto val="1"/>
        <c:lblAlgn val="ctr"/>
        <c:lblOffset val="100"/>
        <c:tickLblSkip val="5"/>
        <c:noMultiLvlLbl val="0"/>
      </c:catAx>
      <c:valAx>
        <c:axId val="6177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766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409.41817598044832</c:v>
                </c:pt>
                <c:pt idx="2">
                  <c:v>422.90754791377805</c:v>
                </c:pt>
                <c:pt idx="3">
                  <c:v>431.6697776839863</c:v>
                </c:pt>
                <c:pt idx="4">
                  <c:v>437.19330056482465</c:v>
                </c:pt>
                <c:pt idx="5">
                  <c:v>440.73819054101551</c:v>
                </c:pt>
                <c:pt idx="6">
                  <c:v>442.83959754746508</c:v>
                </c:pt>
                <c:pt idx="7">
                  <c:v>443.97831668815508</c:v>
                </c:pt>
                <c:pt idx="8">
                  <c:v>444.28889186050503</c:v>
                </c:pt>
                <c:pt idx="9">
                  <c:v>444.26152665122845</c:v>
                </c:pt>
                <c:pt idx="10" formatCode="0.00000">
                  <c:v>444.20090770033119</c:v>
                </c:pt>
                <c:pt idx="11">
                  <c:v>443.94077692497387</c:v>
                </c:pt>
                <c:pt idx="12">
                  <c:v>443.63381196111158</c:v>
                </c:pt>
                <c:pt idx="13">
                  <c:v>443.45800717738803</c:v>
                </c:pt>
                <c:pt idx="14">
                  <c:v>443.55962543377206</c:v>
                </c:pt>
                <c:pt idx="15">
                  <c:v>443.88682454796736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2-3F46-9D29-DF3EA5D50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30400"/>
        <c:axId val="85031936"/>
      </c:lineChart>
      <c:catAx>
        <c:axId val="85030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5031936"/>
        <c:crosses val="autoZero"/>
        <c:auto val="1"/>
        <c:lblAlgn val="ctr"/>
        <c:lblOffset val="100"/>
        <c:tickLblSkip val="5"/>
        <c:noMultiLvlLbl val="0"/>
      </c:catAx>
      <c:valAx>
        <c:axId val="85031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8503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0.10421107996627985</c:v>
                </c:pt>
                <c:pt idx="1">
                  <c:v>0.10760073387746941</c:v>
                </c:pt>
                <c:pt idx="2">
                  <c:v>0.11102915870839468</c:v>
                </c:pt>
                <c:pt idx="3">
                  <c:v>0.11533808594519483</c:v>
                </c:pt>
                <c:pt idx="4">
                  <c:v>0.12110822001643053</c:v>
                </c:pt>
                <c:pt idx="5">
                  <c:v>0.12541524376201885</c:v>
                </c:pt>
                <c:pt idx="6">
                  <c:v>0.13118352017076582</c:v>
                </c:pt>
                <c:pt idx="7">
                  <c:v>0.13849824862304994</c:v>
                </c:pt>
                <c:pt idx="8">
                  <c:v>0.14298849111405826</c:v>
                </c:pt>
                <c:pt idx="9">
                  <c:v>0.14749100659880571</c:v>
                </c:pt>
                <c:pt idx="10" formatCode="0.00000">
                  <c:v>0.15357044876575959</c:v>
                </c:pt>
                <c:pt idx="11">
                  <c:v>0.16070732848252034</c:v>
                </c:pt>
                <c:pt idx="12">
                  <c:v>0.16755199897009102</c:v>
                </c:pt>
                <c:pt idx="13">
                  <c:v>0.17314844985309027</c:v>
                </c:pt>
                <c:pt idx="14">
                  <c:v>0.1802954896752379</c:v>
                </c:pt>
                <c:pt idx="15">
                  <c:v>0.18690931424055685</c:v>
                </c:pt>
                <c:pt idx="16">
                  <c:v>0.19360466484360228</c:v>
                </c:pt>
                <c:pt idx="17">
                  <c:v>0.19869424877143191</c:v>
                </c:pt>
                <c:pt idx="18">
                  <c:v>0.20498548292150637</c:v>
                </c:pt>
                <c:pt idx="19">
                  <c:v>0.21196791337044665</c:v>
                </c:pt>
                <c:pt idx="20">
                  <c:v>0.21745804607503344</c:v>
                </c:pt>
                <c:pt idx="21">
                  <c:v>0.22329752039270284</c:v>
                </c:pt>
                <c:pt idx="22">
                  <c:v>0.22935754481971485</c:v>
                </c:pt>
                <c:pt idx="23">
                  <c:v>0.23599395147776694</c:v>
                </c:pt>
                <c:pt idx="24">
                  <c:v>0.24439667036444396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0-0D41-8B67-DC2FAFA59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87840"/>
        <c:axId val="171753472"/>
      </c:lineChart>
      <c:catAx>
        <c:axId val="1715878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753472"/>
        <c:crosses val="autoZero"/>
        <c:auto val="1"/>
        <c:lblAlgn val="ctr"/>
        <c:lblOffset val="100"/>
        <c:tickLblSkip val="5"/>
        <c:noMultiLvlLbl val="0"/>
      </c:catAx>
      <c:valAx>
        <c:axId val="171753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17158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6.1796922123588516</c:v>
                </c:pt>
                <c:pt idx="1">
                  <c:v>5.5051071849156106</c:v>
                </c:pt>
                <c:pt idx="2">
                  <c:v>5.1555897507799475</c:v>
                </c:pt>
                <c:pt idx="3">
                  <c:v>4.9389392388370439</c:v>
                </c:pt>
                <c:pt idx="4">
                  <c:v>4.8676646584731902</c:v>
                </c:pt>
                <c:pt idx="5">
                  <c:v>4.9813852971933557</c:v>
                </c:pt>
                <c:pt idx="6">
                  <c:v>5.1597607047390586</c:v>
                </c:pt>
                <c:pt idx="7">
                  <c:v>5.3456826645218705</c:v>
                </c:pt>
                <c:pt idx="8">
                  <c:v>5.4568913083575161</c:v>
                </c:pt>
                <c:pt idx="9">
                  <c:v>5.6243112252119456</c:v>
                </c:pt>
                <c:pt idx="10">
                  <c:v>5.8913770258251699</c:v>
                </c:pt>
                <c:pt idx="11">
                  <c:v>6.0182274386035726</c:v>
                </c:pt>
                <c:pt idx="12">
                  <c:v>6.2308269215801539</c:v>
                </c:pt>
                <c:pt idx="13">
                  <c:v>6.5142413113574893</c:v>
                </c:pt>
                <c:pt idx="14">
                  <c:v>6.9007057207426694</c:v>
                </c:pt>
                <c:pt idx="15">
                  <c:v>7.2681734435739394</c:v>
                </c:pt>
                <c:pt idx="16">
                  <c:v>7.7009718919702497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4A-5F4A-A684-021618A8D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66464"/>
        <c:axId val="171968768"/>
      </c:lineChart>
      <c:catAx>
        <c:axId val="171966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968768"/>
        <c:crosses val="autoZero"/>
        <c:auto val="1"/>
        <c:lblAlgn val="ctr"/>
        <c:lblOffset val="100"/>
        <c:tickLblSkip val="5"/>
        <c:noMultiLvlLbl val="0"/>
      </c:catAx>
      <c:valAx>
        <c:axId val="171968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7196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5.8577418211122279E-2</c:v>
                </c:pt>
                <c:pt idx="1">
                  <c:v>8.0944317882376993E-2</c:v>
                </c:pt>
                <c:pt idx="2">
                  <c:v>6.7115723062755706E-2</c:v>
                </c:pt>
                <c:pt idx="3">
                  <c:v>7.64546521775884E-2</c:v>
                </c:pt>
                <c:pt idx="4">
                  <c:v>9.6138836771800129E-2</c:v>
                </c:pt>
                <c:pt idx="5">
                  <c:v>0.12762875096129989</c:v>
                </c:pt>
                <c:pt idx="6">
                  <c:v>0.12620697706741879</c:v>
                </c:pt>
                <c:pt idx="7">
                  <c:v>0.16191863019108865</c:v>
                </c:pt>
                <c:pt idx="8">
                  <c:v>0.20449078629272321</c:v>
                </c:pt>
                <c:pt idx="9">
                  <c:v>0.18434296628828406</c:v>
                </c:pt>
                <c:pt idx="10">
                  <c:v>0.20771624417845658</c:v>
                </c:pt>
                <c:pt idx="11">
                  <c:v>0.25546058327438459</c:v>
                </c:pt>
                <c:pt idx="12">
                  <c:v>0.3001601599750785</c:v>
                </c:pt>
                <c:pt idx="13">
                  <c:v>0.32537123487919928</c:v>
                </c:pt>
                <c:pt idx="14">
                  <c:v>0.336853367843716</c:v>
                </c:pt>
                <c:pt idx="15">
                  <c:v>0.41012802849547825</c:v>
                </c:pt>
                <c:pt idx="16">
                  <c:v>0.44806873812288472</c:v>
                </c:pt>
                <c:pt idx="17">
                  <c:v>0.50882735477043184</c:v>
                </c:pt>
                <c:pt idx="18">
                  <c:v>0.5193197734538586</c:v>
                </c:pt>
                <c:pt idx="19">
                  <c:v>0.58836576503330207</c:v>
                </c:pt>
                <c:pt idx="20">
                  <c:v>0.67550211804018545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B-B54B-9A18-EFB7F43D9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49216"/>
        <c:axId val="193941504"/>
      </c:lineChart>
      <c:catAx>
        <c:axId val="1938492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3941504"/>
        <c:crosses val="autoZero"/>
        <c:auto val="1"/>
        <c:lblAlgn val="ctr"/>
        <c:lblOffset val="100"/>
        <c:tickLblSkip val="5"/>
        <c:noMultiLvlLbl val="0"/>
      </c:catAx>
      <c:valAx>
        <c:axId val="193941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9384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1.6014922298415619E-3</c:v>
                </c:pt>
                <c:pt idx="1">
                  <c:v>1.3042293477531269E-3</c:v>
                </c:pt>
                <c:pt idx="2">
                  <c:v>1.4611513248751484E-3</c:v>
                </c:pt>
                <c:pt idx="3">
                  <c:v>1.7870757562488166E-3</c:v>
                </c:pt>
                <c:pt idx="4">
                  <c:v>2.2834652178861559E-3</c:v>
                </c:pt>
                <c:pt idx="5">
                  <c:v>2.1763876401726116E-3</c:v>
                </c:pt>
                <c:pt idx="6">
                  <c:v>2.6869826015345037E-3</c:v>
                </c:pt>
                <c:pt idx="7">
                  <c:v>3.3107945995039922E-3</c:v>
                </c:pt>
                <c:pt idx="8">
                  <c:v>2.8777184374980994E-3</c:v>
                </c:pt>
                <c:pt idx="9">
                  <c:v>3.092736403438324E-3</c:v>
                </c:pt>
                <c:pt idx="10">
                  <c:v>3.7161832236113283E-3</c:v>
                </c:pt>
                <c:pt idx="11">
                  <c:v>4.2514914650829874E-3</c:v>
                </c:pt>
                <c:pt idx="12">
                  <c:v>4.4447398661500784E-3</c:v>
                </c:pt>
                <c:pt idx="13">
                  <c:v>4.3807667645890287E-3</c:v>
                </c:pt>
                <c:pt idx="14">
                  <c:v>5.1026763434421103E-3</c:v>
                </c:pt>
                <c:pt idx="15">
                  <c:v>5.3039188507252076E-3</c:v>
                </c:pt>
                <c:pt idx="16">
                  <c:v>5.7307658345472079E-3</c:v>
                </c:pt>
                <c:pt idx="17">
                  <c:v>5.6935298155949693E-3</c:v>
                </c:pt>
                <c:pt idx="18">
                  <c:v>6.4984845141579459E-3</c:v>
                </c:pt>
                <c:pt idx="19">
                  <c:v>7.1039689732047507E-3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E-4743-A917-F4988C6F1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834624"/>
        <c:axId val="261894144"/>
      </c:lineChart>
      <c:catAx>
        <c:axId val="261834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61894144"/>
        <c:crosses val="autoZero"/>
        <c:auto val="1"/>
        <c:lblAlgn val="ctr"/>
        <c:lblOffset val="100"/>
        <c:tickLblSkip val="5"/>
        <c:noMultiLvlLbl val="0"/>
      </c:catAx>
      <c:valAx>
        <c:axId val="261894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61834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1.1236984719613053E-2</c:v>
                </c:pt>
                <c:pt idx="2">
                  <c:v>1.6845306488896344E-2</c:v>
                </c:pt>
                <c:pt idx="3">
                  <c:v>1.7802029736078643E-2</c:v>
                </c:pt>
                <c:pt idx="4">
                  <c:v>1.8331426736881661E-2</c:v>
                </c:pt>
                <c:pt idx="5">
                  <c:v>1.8570697333199271E-2</c:v>
                </c:pt>
                <c:pt idx="6">
                  <c:v>1.9918520991412364E-2</c:v>
                </c:pt>
                <c:pt idx="7">
                  <c:v>2.034484217132173E-2</c:v>
                </c:pt>
                <c:pt idx="8">
                  <c:v>2.0688487892194719E-2</c:v>
                </c:pt>
                <c:pt idx="9">
                  <c:v>2.0770423635831852E-2</c:v>
                </c:pt>
                <c:pt idx="10">
                  <c:v>1.6977534661694101E-2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0-6240-BFDC-46F486CF3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960512"/>
        <c:axId val="290962432"/>
      </c:lineChart>
      <c:catAx>
        <c:axId val="290960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0962432"/>
        <c:crosses val="autoZero"/>
        <c:auto val="1"/>
        <c:lblAlgn val="ctr"/>
        <c:lblOffset val="100"/>
        <c:tickLblSkip val="5"/>
        <c:noMultiLvlLbl val="0"/>
      </c:catAx>
      <c:valAx>
        <c:axId val="290962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9096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4832510900888924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27.923692977223421</c:v>
                </c:pt>
                <c:pt idx="1">
                  <c:v>24.610547967944818</c:v>
                </c:pt>
                <c:pt idx="2">
                  <c:v>23.715871722392777</c:v>
                </c:pt>
                <c:pt idx="3">
                  <c:v>23.067167474522776</c:v>
                </c:pt>
                <c:pt idx="4">
                  <c:v>23.019046505443633</c:v>
                </c:pt>
                <c:pt idx="5">
                  <c:v>23.049079482189875</c:v>
                </c:pt>
                <c:pt idx="6">
                  <c:v>23.536259210396992</c:v>
                </c:pt>
                <c:pt idx="7">
                  <c:v>24.173676822534713</c:v>
                </c:pt>
                <c:pt idx="8">
                  <c:v>24.825340681266105</c:v>
                </c:pt>
                <c:pt idx="9">
                  <c:v>25.614766599544144</c:v>
                </c:pt>
                <c:pt idx="10">
                  <c:v>26.388624512648047</c:v>
                </c:pt>
                <c:pt idx="11" formatCode="0.00">
                  <c:v>25.992475306888569</c:v>
                </c:pt>
                <c:pt idx="12">
                  <c:v>26.235955890620108</c:v>
                </c:pt>
                <c:pt idx="13">
                  <c:v>26.775307077968765</c:v>
                </c:pt>
                <c:pt idx="14">
                  <c:v>27.611773687885268</c:v>
                </c:pt>
                <c:pt idx="15">
                  <c:v>28.357220007192289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05-D642-A723-480A4C2EBB80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23.801359962825604</c:v>
                </c:pt>
                <c:pt idx="1">
                  <c:v>22.658822833527019</c:v>
                </c:pt>
                <c:pt idx="2">
                  <c:v>22.619430055521214</c:v>
                </c:pt>
                <c:pt idx="3">
                  <c:v>22.506568527047694</c:v>
                </c:pt>
                <c:pt idx="4">
                  <c:v>23.078064501017305</c:v>
                </c:pt>
                <c:pt idx="5">
                  <c:v>24.112643346327161</c:v>
                </c:pt>
                <c:pt idx="6">
                  <c:v>25.207283587850092</c:v>
                </c:pt>
                <c:pt idx="7">
                  <c:v>26.603753136633589</c:v>
                </c:pt>
                <c:pt idx="8">
                  <c:v>27.991600883161823</c:v>
                </c:pt>
                <c:pt idx="9">
                  <c:v>29.190236633315081</c:v>
                </c:pt>
                <c:pt idx="10">
                  <c:v>30.465773495424109</c:v>
                </c:pt>
                <c:pt idx="11">
                  <c:v>30.476212254813635</c:v>
                </c:pt>
                <c:pt idx="12">
                  <c:v>30.752450691304759</c:v>
                </c:pt>
                <c:pt idx="13">
                  <c:v>31.054119325342164</c:v>
                </c:pt>
                <c:pt idx="14">
                  <c:v>31.826633597559052</c:v>
                </c:pt>
                <c:pt idx="15">
                  <c:v>32.443444682540196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05-D642-A723-480A4C2EBB80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0.79566170124862734</c:v>
                </c:pt>
                <c:pt idx="1">
                  <c:v>0.98020656842442555</c:v>
                </c:pt>
                <c:pt idx="2">
                  <c:v>1.0916078981810002</c:v>
                </c:pt>
                <c:pt idx="3">
                  <c:v>1.2464595194078631</c:v>
                </c:pt>
                <c:pt idx="4">
                  <c:v>1.4369774093799852</c:v>
                </c:pt>
                <c:pt idx="5">
                  <c:v>1.6448972934702786</c:v>
                </c:pt>
                <c:pt idx="6">
                  <c:v>1.8688920274758853</c:v>
                </c:pt>
                <c:pt idx="7">
                  <c:v>2.1083279493808535</c:v>
                </c:pt>
                <c:pt idx="8">
                  <c:v>2.3480251088607651</c:v>
                </c:pt>
                <c:pt idx="9">
                  <c:v>2.5924482080642322</c:v>
                </c:pt>
                <c:pt idx="10">
                  <c:v>2.8211834164553538</c:v>
                </c:pt>
                <c:pt idx="11">
                  <c:v>3.067962834943283</c:v>
                </c:pt>
                <c:pt idx="12">
                  <c:v>3.3388014283137593</c:v>
                </c:pt>
                <c:pt idx="13">
                  <c:v>3.6644407450519227</c:v>
                </c:pt>
                <c:pt idx="14">
                  <c:v>4.0253479174422981</c:v>
                </c:pt>
                <c:pt idx="15">
                  <c:v>4.470276658490441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05-D642-A723-480A4C2EBB80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1.9815597271453651</c:v>
                </c:pt>
                <c:pt idx="1">
                  <c:v>1.6019561901955108</c:v>
                </c:pt>
                <c:pt idx="2">
                  <c:v>1.3771115849305051</c:v>
                </c:pt>
                <c:pt idx="3">
                  <c:v>1.2045765063795786</c:v>
                </c:pt>
                <c:pt idx="4">
                  <c:v>1.1121903594672138</c:v>
                </c:pt>
                <c:pt idx="5">
                  <c:v>1.0885870853032977</c:v>
                </c:pt>
                <c:pt idx="6">
                  <c:v>1.1124181715161099</c:v>
                </c:pt>
                <c:pt idx="7">
                  <c:v>1.1193684818462428</c:v>
                </c:pt>
                <c:pt idx="8">
                  <c:v>1.1205618982320003</c:v>
                </c:pt>
                <c:pt idx="9">
                  <c:v>1.1879919099364729</c:v>
                </c:pt>
                <c:pt idx="10">
                  <c:v>1.2427410013731095</c:v>
                </c:pt>
                <c:pt idx="11">
                  <c:v>1.320847542009193</c:v>
                </c:pt>
                <c:pt idx="12">
                  <c:v>1.4135760709155221</c:v>
                </c:pt>
                <c:pt idx="13">
                  <c:v>1.5124408667487266</c:v>
                </c:pt>
                <c:pt idx="14">
                  <c:v>1.6347050856131866</c:v>
                </c:pt>
                <c:pt idx="15">
                  <c:v>1.7659605646648322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05-D642-A723-480A4C2EBB80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1.0159441739130284</c:v>
                </c:pt>
                <c:pt idx="1">
                  <c:v>0.9305228314999725</c:v>
                </c:pt>
                <c:pt idx="2">
                  <c:v>0.90667644608166575</c:v>
                </c:pt>
                <c:pt idx="3">
                  <c:v>0.90190719313715972</c:v>
                </c:pt>
                <c:pt idx="4">
                  <c:v>0.93540201336384432</c:v>
                </c:pt>
                <c:pt idx="5">
                  <c:v>1.0052664498444503</c:v>
                </c:pt>
                <c:pt idx="6">
                  <c:v>1.09426038789101</c:v>
                </c:pt>
                <c:pt idx="7">
                  <c:v>1.1498315016750698</c:v>
                </c:pt>
                <c:pt idx="8">
                  <c:v>1.2319380935716733</c:v>
                </c:pt>
                <c:pt idx="9">
                  <c:v>1.35554149349654</c:v>
                </c:pt>
                <c:pt idx="10">
                  <c:v>1.4204981804909482</c:v>
                </c:pt>
                <c:pt idx="11">
                  <c:v>1.4994632237682319</c:v>
                </c:pt>
                <c:pt idx="12">
                  <c:v>1.5727851947553511</c:v>
                </c:pt>
                <c:pt idx="13">
                  <c:v>1.7155343132381007</c:v>
                </c:pt>
                <c:pt idx="14">
                  <c:v>1.8734086424373082</c:v>
                </c:pt>
                <c:pt idx="15">
                  <c:v>2.042375807484472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05-D642-A723-480A4C2EBB80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6.1796922123588516</c:v>
                </c:pt>
                <c:pt idx="1">
                  <c:v>5.5051071849156106</c:v>
                </c:pt>
                <c:pt idx="2">
                  <c:v>5.1555897507799475</c:v>
                </c:pt>
                <c:pt idx="3">
                  <c:v>4.9389392388370439</c:v>
                </c:pt>
                <c:pt idx="4">
                  <c:v>4.8676646584731902</c:v>
                </c:pt>
                <c:pt idx="5">
                  <c:v>4.9813852971933557</c:v>
                </c:pt>
                <c:pt idx="6">
                  <c:v>5.1597607047390586</c:v>
                </c:pt>
                <c:pt idx="7">
                  <c:v>5.3456826645218705</c:v>
                </c:pt>
                <c:pt idx="8">
                  <c:v>5.4568913083575161</c:v>
                </c:pt>
                <c:pt idx="9">
                  <c:v>5.6243112252119456</c:v>
                </c:pt>
                <c:pt idx="10">
                  <c:v>5.8913770258251699</c:v>
                </c:pt>
                <c:pt idx="11">
                  <c:v>6.0182274386035726</c:v>
                </c:pt>
                <c:pt idx="12">
                  <c:v>6.2308269215801539</c:v>
                </c:pt>
                <c:pt idx="13">
                  <c:v>6.5142413113574893</c:v>
                </c:pt>
                <c:pt idx="14">
                  <c:v>6.9007057207426694</c:v>
                </c:pt>
                <c:pt idx="15">
                  <c:v>7.2681734435739394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C05-D642-A723-480A4C2EB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41472"/>
        <c:axId val="297643392"/>
      </c:lineChart>
      <c:catAx>
        <c:axId val="297641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7643392"/>
        <c:crosses val="autoZero"/>
        <c:auto val="1"/>
        <c:lblAlgn val="ctr"/>
        <c:lblOffset val="100"/>
        <c:tickLblSkip val="5"/>
        <c:noMultiLvlLbl val="0"/>
      </c:catAx>
      <c:valAx>
        <c:axId val="297643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976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27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5588246232854603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27.923692977223421</c:v>
                </c:pt>
                <c:pt idx="1">
                  <c:v>24.610547967944818</c:v>
                </c:pt>
                <c:pt idx="2">
                  <c:v>23.715871722392777</c:v>
                </c:pt>
                <c:pt idx="3">
                  <c:v>23.067167474522776</c:v>
                </c:pt>
                <c:pt idx="4">
                  <c:v>23.019046505443633</c:v>
                </c:pt>
                <c:pt idx="5">
                  <c:v>23.049079482189875</c:v>
                </c:pt>
                <c:pt idx="6">
                  <c:v>23.536259210396992</c:v>
                </c:pt>
                <c:pt idx="7">
                  <c:v>24.173676822534713</c:v>
                </c:pt>
                <c:pt idx="8">
                  <c:v>24.825340681266105</c:v>
                </c:pt>
                <c:pt idx="9">
                  <c:v>25.614766599544144</c:v>
                </c:pt>
                <c:pt idx="10">
                  <c:v>26.388624512648047</c:v>
                </c:pt>
                <c:pt idx="11" formatCode="0.00">
                  <c:v>25.992475306888569</c:v>
                </c:pt>
                <c:pt idx="12">
                  <c:v>26.235955890620108</c:v>
                </c:pt>
                <c:pt idx="13">
                  <c:v>26.775307077968765</c:v>
                </c:pt>
                <c:pt idx="14">
                  <c:v>27.611773687885268</c:v>
                </c:pt>
                <c:pt idx="15">
                  <c:v>28.357220007192289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93-4D40-B23C-6B47EF5093BE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23.801359962825604</c:v>
                </c:pt>
                <c:pt idx="1">
                  <c:v>22.658822833527019</c:v>
                </c:pt>
                <c:pt idx="2">
                  <c:v>22.619430055521214</c:v>
                </c:pt>
                <c:pt idx="3">
                  <c:v>22.506568527047694</c:v>
                </c:pt>
                <c:pt idx="4">
                  <c:v>23.078064501017305</c:v>
                </c:pt>
                <c:pt idx="5">
                  <c:v>24.112643346327161</c:v>
                </c:pt>
                <c:pt idx="6">
                  <c:v>25.207283587850092</c:v>
                </c:pt>
                <c:pt idx="7">
                  <c:v>26.603753136633589</c:v>
                </c:pt>
                <c:pt idx="8">
                  <c:v>27.991600883161823</c:v>
                </c:pt>
                <c:pt idx="9">
                  <c:v>29.190236633315081</c:v>
                </c:pt>
                <c:pt idx="10">
                  <c:v>30.465773495424109</c:v>
                </c:pt>
                <c:pt idx="11">
                  <c:v>30.476212254813635</c:v>
                </c:pt>
                <c:pt idx="12">
                  <c:v>30.752450691304759</c:v>
                </c:pt>
                <c:pt idx="13">
                  <c:v>31.054119325342164</c:v>
                </c:pt>
                <c:pt idx="14">
                  <c:v>31.826633597559052</c:v>
                </c:pt>
                <c:pt idx="15">
                  <c:v>32.443444682540196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3-4D40-B23C-6B47EF5093BE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0.79566170124862734</c:v>
                </c:pt>
                <c:pt idx="1">
                  <c:v>0.98020656842442555</c:v>
                </c:pt>
                <c:pt idx="2">
                  <c:v>1.0916078981810002</c:v>
                </c:pt>
                <c:pt idx="3">
                  <c:v>1.2464595194078631</c:v>
                </c:pt>
                <c:pt idx="4">
                  <c:v>1.4369774093799852</c:v>
                </c:pt>
                <c:pt idx="5">
                  <c:v>1.6448972934702786</c:v>
                </c:pt>
                <c:pt idx="6">
                  <c:v>1.8688920274758853</c:v>
                </c:pt>
                <c:pt idx="7">
                  <c:v>2.1083279493808535</c:v>
                </c:pt>
                <c:pt idx="8">
                  <c:v>2.3480251088607651</c:v>
                </c:pt>
                <c:pt idx="9">
                  <c:v>2.5924482080642322</c:v>
                </c:pt>
                <c:pt idx="10">
                  <c:v>2.8211834164553538</c:v>
                </c:pt>
                <c:pt idx="11">
                  <c:v>3.067962834943283</c:v>
                </c:pt>
                <c:pt idx="12">
                  <c:v>3.3388014283137593</c:v>
                </c:pt>
                <c:pt idx="13">
                  <c:v>3.6644407450519227</c:v>
                </c:pt>
                <c:pt idx="14">
                  <c:v>4.0253479174422981</c:v>
                </c:pt>
                <c:pt idx="15">
                  <c:v>4.470276658490441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3-4D40-B23C-6B47EF5093BE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1.9815597271453651</c:v>
                </c:pt>
                <c:pt idx="1">
                  <c:v>1.6019561901955108</c:v>
                </c:pt>
                <c:pt idx="2">
                  <c:v>1.3771115849305051</c:v>
                </c:pt>
                <c:pt idx="3">
                  <c:v>1.2045765063795786</c:v>
                </c:pt>
                <c:pt idx="4">
                  <c:v>1.1121903594672138</c:v>
                </c:pt>
                <c:pt idx="5">
                  <c:v>1.0885870853032977</c:v>
                </c:pt>
                <c:pt idx="6">
                  <c:v>1.1124181715161099</c:v>
                </c:pt>
                <c:pt idx="7">
                  <c:v>1.1193684818462428</c:v>
                </c:pt>
                <c:pt idx="8">
                  <c:v>1.1205618982320003</c:v>
                </c:pt>
                <c:pt idx="9">
                  <c:v>1.1879919099364729</c:v>
                </c:pt>
                <c:pt idx="10">
                  <c:v>1.2427410013731095</c:v>
                </c:pt>
                <c:pt idx="11">
                  <c:v>1.320847542009193</c:v>
                </c:pt>
                <c:pt idx="12">
                  <c:v>1.4135760709155221</c:v>
                </c:pt>
                <c:pt idx="13">
                  <c:v>1.5124408667487266</c:v>
                </c:pt>
                <c:pt idx="14">
                  <c:v>1.6347050856131866</c:v>
                </c:pt>
                <c:pt idx="15">
                  <c:v>1.7659605646648322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3-4D40-B23C-6B47EF5093BE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1.0159441739130284</c:v>
                </c:pt>
                <c:pt idx="1">
                  <c:v>0.9305228314999725</c:v>
                </c:pt>
                <c:pt idx="2">
                  <c:v>0.90667644608166575</c:v>
                </c:pt>
                <c:pt idx="3">
                  <c:v>0.90190719313715972</c:v>
                </c:pt>
                <c:pt idx="4">
                  <c:v>0.93540201336384432</c:v>
                </c:pt>
                <c:pt idx="5">
                  <c:v>1.0052664498444503</c:v>
                </c:pt>
                <c:pt idx="6">
                  <c:v>1.09426038789101</c:v>
                </c:pt>
                <c:pt idx="7">
                  <c:v>1.1498315016750698</c:v>
                </c:pt>
                <c:pt idx="8">
                  <c:v>1.2319380935716733</c:v>
                </c:pt>
                <c:pt idx="9">
                  <c:v>1.35554149349654</c:v>
                </c:pt>
                <c:pt idx="10">
                  <c:v>1.4204981804909482</c:v>
                </c:pt>
                <c:pt idx="11">
                  <c:v>1.4994632237682319</c:v>
                </c:pt>
                <c:pt idx="12">
                  <c:v>1.5727851947553511</c:v>
                </c:pt>
                <c:pt idx="13">
                  <c:v>1.7155343132381007</c:v>
                </c:pt>
                <c:pt idx="14">
                  <c:v>1.8734086424373082</c:v>
                </c:pt>
                <c:pt idx="15">
                  <c:v>2.042375807484472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93-4D40-B23C-6B47EF5093BE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6.1796922123588516</c:v>
                </c:pt>
                <c:pt idx="1">
                  <c:v>5.5051071849156106</c:v>
                </c:pt>
                <c:pt idx="2">
                  <c:v>5.1555897507799475</c:v>
                </c:pt>
                <c:pt idx="3">
                  <c:v>4.9389392388370439</c:v>
                </c:pt>
                <c:pt idx="4">
                  <c:v>4.8676646584731902</c:v>
                </c:pt>
                <c:pt idx="5">
                  <c:v>4.9813852971933557</c:v>
                </c:pt>
                <c:pt idx="6">
                  <c:v>5.1597607047390586</c:v>
                </c:pt>
                <c:pt idx="7">
                  <c:v>5.3456826645218705</c:v>
                </c:pt>
                <c:pt idx="8">
                  <c:v>5.4568913083575161</c:v>
                </c:pt>
                <c:pt idx="9">
                  <c:v>5.6243112252119456</c:v>
                </c:pt>
                <c:pt idx="10">
                  <c:v>5.8913770258251699</c:v>
                </c:pt>
                <c:pt idx="11">
                  <c:v>6.0182274386035726</c:v>
                </c:pt>
                <c:pt idx="12">
                  <c:v>6.2308269215801539</c:v>
                </c:pt>
                <c:pt idx="13">
                  <c:v>6.5142413113574893</c:v>
                </c:pt>
                <c:pt idx="14">
                  <c:v>6.9007057207426694</c:v>
                </c:pt>
                <c:pt idx="15">
                  <c:v>7.2681734435739394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93-4D40-B23C-6B47EF509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6416"/>
        <c:axId val="345215744"/>
      </c:lineChart>
      <c:catAx>
        <c:axId val="345196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215744"/>
        <c:crosses val="autoZero"/>
        <c:auto val="1"/>
        <c:lblAlgn val="ctr"/>
        <c:lblOffset val="100"/>
        <c:tickLblSkip val="5"/>
        <c:noMultiLvlLbl val="0"/>
      </c:catAx>
      <c:valAx>
        <c:axId val="3452157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345196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  <c:pt idx="39">
                  <c:v>2065</c:v>
                </c:pt>
                <c:pt idx="40">
                  <c:v>2075</c:v>
                </c:pt>
                <c:pt idx="41">
                  <c:v>2085</c:v>
                </c:pt>
                <c:pt idx="42">
                  <c:v>2095</c:v>
                </c:pt>
                <c:pt idx="43">
                  <c:v>2105</c:v>
                </c:pt>
                <c:pt idx="44">
                  <c:v>2115</c:v>
                </c:pt>
                <c:pt idx="45">
                  <c:v>2125</c:v>
                </c:pt>
                <c:pt idx="46">
                  <c:v>2135</c:v>
                </c:pt>
                <c:pt idx="47">
                  <c:v>2145</c:v>
                </c:pt>
                <c:pt idx="48">
                  <c:v>2155</c:v>
                </c:pt>
                <c:pt idx="49">
                  <c:v>2165</c:v>
                </c:pt>
                <c:pt idx="50">
                  <c:v>2175</c:v>
                </c:pt>
                <c:pt idx="51">
                  <c:v>2185</c:v>
                </c:pt>
                <c:pt idx="52">
                  <c:v>2195</c:v>
                </c:pt>
                <c:pt idx="53">
                  <c:v>2205</c:v>
                </c:pt>
                <c:pt idx="54">
                  <c:v>2215</c:v>
                </c:pt>
                <c:pt idx="55">
                  <c:v>2225</c:v>
                </c:pt>
                <c:pt idx="56">
                  <c:v>2235</c:v>
                </c:pt>
                <c:pt idx="57">
                  <c:v>2245</c:v>
                </c:pt>
                <c:pt idx="58">
                  <c:v>2255</c:v>
                </c:pt>
                <c:pt idx="59">
                  <c:v>2265</c:v>
                </c:pt>
                <c:pt idx="60">
                  <c:v>2275</c:v>
                </c:pt>
                <c:pt idx="61">
                  <c:v>2285</c:v>
                </c:pt>
                <c:pt idx="62">
                  <c:v>2295</c:v>
                </c:pt>
                <c:pt idx="63">
                  <c:v>2305</c:v>
                </c:pt>
                <c:pt idx="64">
                  <c:v>2315</c:v>
                </c:pt>
                <c:pt idx="65">
                  <c:v>2325</c:v>
                </c:pt>
                <c:pt idx="66">
                  <c:v>2335</c:v>
                </c:pt>
                <c:pt idx="67">
                  <c:v>2345</c:v>
                </c:pt>
                <c:pt idx="68">
                  <c:v>2355</c:v>
                </c:pt>
                <c:pt idx="69">
                  <c:v>2365</c:v>
                </c:pt>
                <c:pt idx="70">
                  <c:v>2375</c:v>
                </c:pt>
                <c:pt idx="71">
                  <c:v>2385</c:v>
                </c:pt>
                <c:pt idx="72">
                  <c:v>2395</c:v>
                </c:pt>
                <c:pt idx="73">
                  <c:v>2405</c:v>
                </c:pt>
                <c:pt idx="74">
                  <c:v>2415</c:v>
                </c:pt>
                <c:pt idx="75">
                  <c:v>2425</c:v>
                </c:pt>
                <c:pt idx="76">
                  <c:v>2435</c:v>
                </c:pt>
                <c:pt idx="77">
                  <c:v>2445</c:v>
                </c:pt>
                <c:pt idx="78">
                  <c:v>2455</c:v>
                </c:pt>
                <c:pt idx="79">
                  <c:v>2465</c:v>
                </c:pt>
                <c:pt idx="80">
                  <c:v>2475</c:v>
                </c:pt>
                <c:pt idx="81">
                  <c:v>2485</c:v>
                </c:pt>
                <c:pt idx="82">
                  <c:v>2495</c:v>
                </c:pt>
                <c:pt idx="83">
                  <c:v>2505</c:v>
                </c:pt>
                <c:pt idx="84">
                  <c:v>2515</c:v>
                </c:pt>
                <c:pt idx="85">
                  <c:v>2525</c:v>
                </c:pt>
                <c:pt idx="86">
                  <c:v>2535</c:v>
                </c:pt>
                <c:pt idx="87">
                  <c:v>2545</c:v>
                </c:pt>
                <c:pt idx="88">
                  <c:v>2555</c:v>
                </c:pt>
                <c:pt idx="89">
                  <c:v>2565</c:v>
                </c:pt>
                <c:pt idx="90">
                  <c:v>2575</c:v>
                </c:pt>
                <c:pt idx="91">
                  <c:v>2585</c:v>
                </c:pt>
                <c:pt idx="92">
                  <c:v>2595</c:v>
                </c:pt>
                <c:pt idx="93">
                  <c:v>2605</c:v>
                </c:pt>
                <c:pt idx="94">
                  <c:v>2615</c:v>
                </c:pt>
                <c:pt idx="95">
                  <c:v>2625</c:v>
                </c:pt>
                <c:pt idx="96">
                  <c:v>2635</c:v>
                </c:pt>
                <c:pt idx="97">
                  <c:v>2645</c:v>
                </c:pt>
                <c:pt idx="98">
                  <c:v>2655</c:v>
                </c:pt>
                <c:pt idx="99">
                  <c:v>2665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0.1396047102233087</c:v>
                </c:pt>
                <c:pt idx="1">
                  <c:v>0.16199024832191464</c:v>
                </c:pt>
                <c:pt idx="2">
                  <c:v>0.18442934013857976</c:v>
                </c:pt>
                <c:pt idx="3">
                  <c:v>0.20851621384843474</c:v>
                </c:pt>
                <c:pt idx="4">
                  <c:v>0.23531738545888586</c:v>
                </c:pt>
                <c:pt idx="5">
                  <c:v>0.25939736296545618</c:v>
                </c:pt>
                <c:pt idx="6">
                  <c:v>0.28614696841074205</c:v>
                </c:pt>
                <c:pt idx="7">
                  <c:v>0.31568763815937667</c:v>
                </c:pt>
                <c:pt idx="8">
                  <c:v>0.34008672693126701</c:v>
                </c:pt>
                <c:pt idx="9">
                  <c:v>0.36448566789628134</c:v>
                </c:pt>
                <c:pt idx="10" formatCode="0.00000">
                  <c:v>0.38606246874644762</c:v>
                </c:pt>
                <c:pt idx="11">
                  <c:v>0.40946507716200242</c:v>
                </c:pt>
                <c:pt idx="12">
                  <c:v>0.4323000049681523</c:v>
                </c:pt>
                <c:pt idx="13">
                  <c:v>0.45291477732356833</c:v>
                </c:pt>
                <c:pt idx="14">
                  <c:v>0.47615083771973099</c:v>
                </c:pt>
                <c:pt idx="15">
                  <c:v>0.49841130186329574</c:v>
                </c:pt>
                <c:pt idx="16">
                  <c:v>0.520746545695699</c:v>
                </c:pt>
                <c:pt idx="17">
                  <c:v>0.54032476069682556</c:v>
                </c:pt>
                <c:pt idx="18">
                  <c:v>0.5618490429323606</c:v>
                </c:pt>
                <c:pt idx="19">
                  <c:v>0.58444655296217185</c:v>
                </c:pt>
                <c:pt idx="20">
                  <c:v>0.60452669534776471</c:v>
                </c:pt>
                <c:pt idx="21">
                  <c:v>0.62511084267662242</c:v>
                </c:pt>
                <c:pt idx="22">
                  <c:v>0.64598178935680517</c:v>
                </c:pt>
                <c:pt idx="23">
                  <c:v>0.66770056879699846</c:v>
                </c:pt>
                <c:pt idx="24">
                  <c:v>0.69213504883916244</c:v>
                </c:pt>
                <c:pt idx="25">
                  <c:v>0.71822098534897605</c:v>
                </c:pt>
                <c:pt idx="26">
                  <c:v>0.74213832796905577</c:v>
                </c:pt>
                <c:pt idx="27">
                  <c:v>0.76434424193450368</c:v>
                </c:pt>
                <c:pt idx="28">
                  <c:v>0.78857744596718893</c:v>
                </c:pt>
                <c:pt idx="29">
                  <c:v>0.81292607072554124</c:v>
                </c:pt>
                <c:pt idx="30">
                  <c:v>0.83395118260620404</c:v>
                </c:pt>
                <c:pt idx="31">
                  <c:v>0.85536135769135313</c:v>
                </c:pt>
                <c:pt idx="32">
                  <c:v>0.881397764987363</c:v>
                </c:pt>
                <c:pt idx="33">
                  <c:v>0.88160641131686601</c:v>
                </c:pt>
                <c:pt idx="34">
                  <c:v>0.88199027649951112</c:v>
                </c:pt>
                <c:pt idx="35">
                  <c:v>0.88254503535322093</c:v>
                </c:pt>
                <c:pt idx="36">
                  <c:v>0.88326646691721866</c:v>
                </c:pt>
                <c:pt idx="37">
                  <c:v>0.8841504519427098</c:v>
                </c:pt>
                <c:pt idx="38">
                  <c:v>0.88519297044397816</c:v>
                </c:pt>
                <c:pt idx="39">
                  <c:v>0.88639009930844181</c:v>
                </c:pt>
                <c:pt idx="40">
                  <c:v>0.88773800996425056</c:v>
                </c:pt>
                <c:pt idx="41">
                  <c:v>0.88923296610403746</c:v>
                </c:pt>
                <c:pt idx="42">
                  <c:v>0.8908713214634747</c:v>
                </c:pt>
                <c:pt idx="43">
                  <c:v>0.89264951765331346</c:v>
                </c:pt>
                <c:pt idx="44">
                  <c:v>0.89456408204361881</c:v>
                </c:pt>
                <c:pt idx="45">
                  <c:v>0.89661162569894526</c:v>
                </c:pt>
                <c:pt idx="46">
                  <c:v>0.8987888413632249</c:v>
                </c:pt>
                <c:pt idx="47">
                  <c:v>0.90109250149317133</c:v>
                </c:pt>
                <c:pt idx="48">
                  <c:v>0.90351945633903308</c:v>
                </c:pt>
                <c:pt idx="49">
                  <c:v>0.90606663207155314</c:v>
                </c:pt>
                <c:pt idx="50">
                  <c:v>0.90873102895402558</c:v>
                </c:pt>
                <c:pt idx="51">
                  <c:v>0.91150971955836191</c:v>
                </c:pt>
                <c:pt idx="52">
                  <c:v>0.91439984702410715</c:v>
                </c:pt>
                <c:pt idx="53">
                  <c:v>0.91739862335937283</c:v>
                </c:pt>
                <c:pt idx="54">
                  <c:v>0.92050332778267618</c:v>
                </c:pt>
                <c:pt idx="55">
                  <c:v>0.9237113051047019</c:v>
                </c:pt>
                <c:pt idx="56">
                  <c:v>0.92701996414902599</c:v>
                </c:pt>
                <c:pt idx="57">
                  <c:v>0.93042677621086012</c:v>
                </c:pt>
                <c:pt idx="58">
                  <c:v>0.933929273552906</c:v>
                </c:pt>
                <c:pt idx="59">
                  <c:v>0.9375250479374222</c:v>
                </c:pt>
                <c:pt idx="60">
                  <c:v>0.94121174919363404</c:v>
                </c:pt>
                <c:pt idx="61">
                  <c:v>0.94498708381963437</c:v>
                </c:pt>
                <c:pt idx="62">
                  <c:v>0.94884881361794571</c:v>
                </c:pt>
                <c:pt idx="63">
                  <c:v>0.95279475436393168</c:v>
                </c:pt>
                <c:pt idx="64">
                  <c:v>0.95682277450626951</c:v>
                </c:pt>
                <c:pt idx="65">
                  <c:v>0.96093079389870995</c:v>
                </c:pt>
                <c:pt idx="66">
                  <c:v>0.96511678256236999</c:v>
                </c:pt>
                <c:pt idx="67">
                  <c:v>0.96937875947782659</c:v>
                </c:pt>
                <c:pt idx="68">
                  <c:v>0.97371479140629258</c:v>
                </c:pt>
                <c:pt idx="69">
                  <c:v>0.97812299173917128</c:v>
                </c:pt>
                <c:pt idx="70">
                  <c:v>0.9826015193753127</c:v>
                </c:pt>
                <c:pt idx="71">
                  <c:v>0.98714857762529962</c:v>
                </c:pt>
                <c:pt idx="72">
                  <c:v>0.99176241314211422</c:v>
                </c:pt>
                <c:pt idx="73">
                  <c:v>0.9964413148775505</c:v>
                </c:pt>
                <c:pt idx="74">
                  <c:v>1.0011836130637528</c:v>
                </c:pt>
                <c:pt idx="75">
                  <c:v>1.0059876782192732</c:v>
                </c:pt>
                <c:pt idx="76">
                  <c:v>1.010851920179062</c:v>
                </c:pt>
                <c:pt idx="77">
                  <c:v>1.0157747871478098</c:v>
                </c:pt>
                <c:pt idx="78">
                  <c:v>1.0207547647760835</c:v>
                </c:pt>
                <c:pt idx="79">
                  <c:v>1.0257903752587041</c:v>
                </c:pt>
                <c:pt idx="80">
                  <c:v>1.0308801764548319</c:v>
                </c:pt>
                <c:pt idx="81">
                  <c:v>1.0360227610292387</c:v>
                </c:pt>
                <c:pt idx="82">
                  <c:v>1.0412167556142529</c:v>
                </c:pt>
                <c:pt idx="83">
                  <c:v>1.0464608199918819</c:v>
                </c:pt>
                <c:pt idx="84">
                  <c:v>1.0517536462956278</c:v>
                </c:pt>
                <c:pt idx="85">
                  <c:v>1.0570939582315177</c:v>
                </c:pt>
                <c:pt idx="86">
                  <c:v>1.0624805103178914</c:v>
                </c:pt>
                <c:pt idx="87">
                  <c:v>1.0679120871434891</c:v>
                </c:pt>
                <c:pt idx="88">
                  <c:v>1.0733875026434041</c:v>
                </c:pt>
                <c:pt idx="89">
                  <c:v>1.0789055993924674</c:v>
                </c:pt>
                <c:pt idx="90">
                  <c:v>1.0844652479156427</c:v>
                </c:pt>
                <c:pt idx="91">
                  <c:v>1.0900653460150278</c:v>
                </c:pt>
                <c:pt idx="92">
                  <c:v>1.0957048181130569</c:v>
                </c:pt>
                <c:pt idx="93">
                  <c:v>1.1013826146115173</c:v>
                </c:pt>
                <c:pt idx="94">
                  <c:v>1.107097711265997</c:v>
                </c:pt>
                <c:pt idx="95">
                  <c:v>1.1128491085753958</c:v>
                </c:pt>
                <c:pt idx="96">
                  <c:v>1.1186358311861324</c:v>
                </c:pt>
                <c:pt idx="97">
                  <c:v>1.1244569273106972</c:v>
                </c:pt>
                <c:pt idx="98">
                  <c:v>1.1303114681602038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D-4D42-A359-F2832BFBA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225472"/>
        <c:axId val="345420928"/>
      </c:lineChart>
      <c:catAx>
        <c:axId val="345225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420928"/>
        <c:crosses val="autoZero"/>
        <c:auto val="1"/>
        <c:lblAlgn val="ctr"/>
        <c:lblOffset val="100"/>
        <c:tickLblSkip val="20"/>
        <c:noMultiLvlLbl val="0"/>
      </c:catAx>
      <c:valAx>
        <c:axId val="345420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522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0.67</c:v>
                </c:pt>
                <c:pt idx="1">
                  <c:v>0.49</c:v>
                </c:pt>
                <c:pt idx="2">
                  <c:v>0.5</c:v>
                </c:pt>
                <c:pt idx="3">
                  <c:v>0.57999999999999996</c:v>
                </c:pt>
                <c:pt idx="4">
                  <c:v>0.71</c:v>
                </c:pt>
                <c:pt idx="5">
                  <c:v>0.6</c:v>
                </c:pt>
                <c:pt idx="6">
                  <c:v>0.73</c:v>
                </c:pt>
                <c:pt idx="7">
                  <c:v>0.87</c:v>
                </c:pt>
                <c:pt idx="8">
                  <c:v>0.65</c:v>
                </c:pt>
                <c:pt idx="9">
                  <c:v>0.66</c:v>
                </c:pt>
                <c:pt idx="10" formatCode="0.00000">
                  <c:v>0.8</c:v>
                </c:pt>
                <c:pt idx="11">
                  <c:v>0.9</c:v>
                </c:pt>
                <c:pt idx="12">
                  <c:v>0.89</c:v>
                </c:pt>
                <c:pt idx="13">
                  <c:v>0.8</c:v>
                </c:pt>
                <c:pt idx="14">
                  <c:v>0.94</c:v>
                </c:pt>
                <c:pt idx="15">
                  <c:v>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C-9047-B2C3-236B88693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045888"/>
        <c:axId val="349048192"/>
      </c:lineChart>
      <c:catAx>
        <c:axId val="349045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9048192"/>
        <c:crosses val="autoZero"/>
        <c:auto val="1"/>
        <c:lblAlgn val="ctr"/>
        <c:lblOffset val="100"/>
        <c:tickLblSkip val="5"/>
        <c:noMultiLvlLbl val="0"/>
      </c:catAx>
      <c:valAx>
        <c:axId val="34904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904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0.67</c:v>
                </c:pt>
                <c:pt idx="1">
                  <c:v>0.49</c:v>
                </c:pt>
                <c:pt idx="2">
                  <c:v>0.5</c:v>
                </c:pt>
                <c:pt idx="3">
                  <c:v>0.57999999999999996</c:v>
                </c:pt>
                <c:pt idx="4">
                  <c:v>0.71</c:v>
                </c:pt>
                <c:pt idx="5">
                  <c:v>0.6</c:v>
                </c:pt>
                <c:pt idx="6">
                  <c:v>0.73</c:v>
                </c:pt>
                <c:pt idx="7">
                  <c:v>0.87</c:v>
                </c:pt>
                <c:pt idx="8">
                  <c:v>0.65</c:v>
                </c:pt>
                <c:pt idx="9">
                  <c:v>0.66</c:v>
                </c:pt>
                <c:pt idx="10" formatCode="0.00000">
                  <c:v>0.8</c:v>
                </c:pt>
                <c:pt idx="11">
                  <c:v>0.9</c:v>
                </c:pt>
                <c:pt idx="12">
                  <c:v>0.89</c:v>
                </c:pt>
                <c:pt idx="13">
                  <c:v>0.8</c:v>
                </c:pt>
                <c:pt idx="14">
                  <c:v>0.94</c:v>
                </c:pt>
                <c:pt idx="15">
                  <c:v>0.91</c:v>
                </c:pt>
                <c:pt idx="16">
                  <c:v>0.93</c:v>
                </c:pt>
                <c:pt idx="17">
                  <c:v>0.81</c:v>
                </c:pt>
                <c:pt idx="18">
                  <c:v>0.92</c:v>
                </c:pt>
                <c:pt idx="19">
                  <c:v>0.99</c:v>
                </c:pt>
                <c:pt idx="20">
                  <c:v>0.88</c:v>
                </c:pt>
                <c:pt idx="21">
                  <c:v>0.92</c:v>
                </c:pt>
                <c:pt idx="22">
                  <c:v>0.95</c:v>
                </c:pt>
                <c:pt idx="23">
                  <c:v>1.01</c:v>
                </c:pt>
                <c:pt idx="24">
                  <c:v>1.17</c:v>
                </c:pt>
                <c:pt idx="25">
                  <c:v>1.28</c:v>
                </c:pt>
                <c:pt idx="26">
                  <c:v>1.19</c:v>
                </c:pt>
                <c:pt idx="27">
                  <c:v>1.1200000000000001</c:v>
                </c:pt>
                <c:pt idx="28">
                  <c:v>1.25</c:v>
                </c:pt>
                <c:pt idx="29">
                  <c:v>1.28</c:v>
                </c:pt>
                <c:pt idx="30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AA-644F-AE96-346E2995F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218496"/>
        <c:axId val="352748672"/>
      </c:lineChart>
      <c:catAx>
        <c:axId val="3522184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52748672"/>
        <c:crosses val="autoZero"/>
        <c:auto val="1"/>
        <c:lblAlgn val="ctr"/>
        <c:lblOffset val="100"/>
        <c:tickLblSkip val="5"/>
        <c:noMultiLvlLbl val="0"/>
      </c:catAx>
      <c:valAx>
        <c:axId val="35274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52218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4.5549649637615763E-4</c:v>
                </c:pt>
                <c:pt idx="3">
                  <c:v>4.6716769082530039E-4</c:v>
                </c:pt>
                <c:pt idx="4">
                  <c:v>4.7906680601439899E-4</c:v>
                </c:pt>
                <c:pt idx="5">
                  <c:v>4.9119315021222852E-4</c:v>
                </c:pt>
                <c:pt idx="6">
                  <c:v>5.0354561587584142E-4</c:v>
                </c:pt>
                <c:pt idx="7">
                  <c:v>5.161226565772761E-4</c:v>
                </c:pt>
                <c:pt idx="8">
                  <c:v>5.2892226424812146E-4</c:v>
                </c:pt>
                <c:pt idx="9">
                  <c:v>5.4194194693668336E-4</c:v>
                </c:pt>
                <c:pt idx="10">
                  <c:v>5.5517870729326186E-4</c:v>
                </c:pt>
                <c:pt idx="11">
                  <c:v>5.6862902201112336E-4</c:v>
                </c:pt>
                <c:pt idx="12">
                  <c:v>5.8228882245573853E-4</c:v>
                </c:pt>
                <c:pt idx="13">
                  <c:v>5.9615347676425718E-4</c:v>
                </c:pt>
                <c:pt idx="14">
                  <c:v>6.1021777367142166E-4</c:v>
                </c:pt>
                <c:pt idx="15">
                  <c:v>6.2447590834889522E-4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0-6949-88B6-31801698CFA4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3.5635427292863116E-4</c:v>
                </c:pt>
                <c:pt idx="3">
                  <c:v>3.6548514450551842E-4</c:v>
                </c:pt>
                <c:pt idx="4">
                  <c:v>3.7479432816651346E-4</c:v>
                </c:pt>
                <c:pt idx="5">
                  <c:v>3.8428128274087123E-4</c:v>
                </c:pt>
                <c:pt idx="6">
                  <c:v>3.9394514175066219E-4</c:v>
                </c:pt>
                <c:pt idx="7">
                  <c:v>4.0378469535954959E-4</c:v>
                </c:pt>
                <c:pt idx="8">
                  <c:v>4.1379837257024928E-4</c:v>
                </c:pt>
                <c:pt idx="9">
                  <c:v>4.2398422382301679E-4</c:v>
                </c:pt>
                <c:pt idx="10">
                  <c:v>4.3433990416375754E-4</c:v>
                </c:pt>
                <c:pt idx="11">
                  <c:v>4.4486265715983466E-4</c:v>
                </c:pt>
                <c:pt idx="12">
                  <c:v>4.5554929974549212E-4</c:v>
                </c:pt>
                <c:pt idx="13">
                  <c:v>4.6639620821751425E-4</c:v>
                </c:pt>
                <c:pt idx="14">
                  <c:v>4.7739930558155175E-4</c:v>
                </c:pt>
                <c:pt idx="15">
                  <c:v>4.8855405047362591E-4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B0-6949-88B6-31801698CFA4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5.2374616639300198E-4</c:v>
                </c:pt>
                <c:pt idx="3">
                  <c:v>5.3716612329409211E-4</c:v>
                </c:pt>
                <c:pt idx="4">
                  <c:v>5.5084815161558494E-4</c:v>
                </c:pt>
                <c:pt idx="5">
                  <c:v>5.6479145598017032E-4</c:v>
                </c:pt>
                <c:pt idx="6">
                  <c:v>5.7899476289534845E-4</c:v>
                </c:pt>
                <c:pt idx="7">
                  <c:v>5.9345629422292501E-4</c:v>
                </c:pt>
                <c:pt idx="8">
                  <c:v>6.0817374101400454E-4</c:v>
                </c:pt>
                <c:pt idx="9">
                  <c:v>6.2314423793338497E-4</c:v>
                </c:pt>
                <c:pt idx="10">
                  <c:v>6.3836433852115196E-4</c:v>
                </c:pt>
                <c:pt idx="11">
                  <c:v>6.538299915531835E-4</c:v>
                </c:pt>
                <c:pt idx="12">
                  <c:v>6.6953651876794557E-4</c:v>
                </c:pt>
                <c:pt idx="13">
                  <c:v>6.8547859428383286E-4</c:v>
                </c:pt>
                <c:pt idx="14">
                  <c:v>7.0165022600162546E-4</c:v>
                </c:pt>
                <c:pt idx="15">
                  <c:v>7.1804473932204189E-4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0-6949-88B6-31801698CFA4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4.1788428101055547E-4</c:v>
                </c:pt>
                <c:pt idx="4">
                  <c:v>4.2852811039583268E-4</c:v>
                </c:pt>
                <c:pt idx="5">
                  <c:v>4.3937519748236519E-4</c:v>
                </c:pt>
                <c:pt idx="6">
                  <c:v>4.5042455156639357E-4</c:v>
                </c:pt>
                <c:pt idx="7">
                  <c:v>4.6167478935889777E-4</c:v>
                </c:pt>
                <c:pt idx="8">
                  <c:v>4.7312411463072701E-4</c:v>
                </c:pt>
                <c:pt idx="9">
                  <c:v>4.8477029831625471E-4</c:v>
                </c:pt>
                <c:pt idx="10">
                  <c:v>4.966106592683273E-4</c:v>
                </c:pt>
                <c:pt idx="11">
                  <c:v>5.0864204586809362E-4</c:v>
                </c:pt>
                <c:pt idx="12">
                  <c:v>5.2086081869774235E-4</c:v>
                </c:pt>
                <c:pt idx="13">
                  <c:v>5.3326283452837431E-4</c:v>
                </c:pt>
                <c:pt idx="14">
                  <c:v>5.4584343185218797E-4</c:v>
                </c:pt>
                <c:pt idx="15">
                  <c:v>5.5859741821567572E-4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B0-6949-88B6-31801698CFA4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4.1788428101055547E-4</c:v>
                </c:pt>
                <c:pt idx="4">
                  <c:v>4.2852811039583268E-4</c:v>
                </c:pt>
                <c:pt idx="5">
                  <c:v>4.3937519748236519E-4</c:v>
                </c:pt>
                <c:pt idx="6">
                  <c:v>4.5042455156639357E-4</c:v>
                </c:pt>
                <c:pt idx="7">
                  <c:v>4.6167478935889777E-4</c:v>
                </c:pt>
                <c:pt idx="8">
                  <c:v>4.7312411463072701E-4</c:v>
                </c:pt>
                <c:pt idx="9">
                  <c:v>4.8477029831625471E-4</c:v>
                </c:pt>
                <c:pt idx="10">
                  <c:v>4.966106592683273E-4</c:v>
                </c:pt>
                <c:pt idx="11">
                  <c:v>5.0864204586809362E-4</c:v>
                </c:pt>
                <c:pt idx="12">
                  <c:v>5.2086081869774235E-4</c:v>
                </c:pt>
                <c:pt idx="13">
                  <c:v>5.3326283452837431E-4</c:v>
                </c:pt>
                <c:pt idx="14">
                  <c:v>5.4584343185218797E-4</c:v>
                </c:pt>
                <c:pt idx="15">
                  <c:v>5.5859741821567572E-4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B0-6949-88B6-31801698CFA4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5.7057602358638344E-4</c:v>
                </c:pt>
                <c:pt idx="3">
                  <c:v>5.8519590271229331E-4</c:v>
                </c:pt>
                <c:pt idx="4">
                  <c:v>6.0010128592118117E-4</c:v>
                </c:pt>
                <c:pt idx="5">
                  <c:v>6.1529130671845057E-4</c:v>
                </c:pt>
                <c:pt idx="6">
                  <c:v>6.3076457774447327E-4</c:v>
                </c:pt>
                <c:pt idx="7">
                  <c:v>6.4651916187190522E-4</c:v>
                </c:pt>
                <c:pt idx="8">
                  <c:v>6.6255254370118082E-4</c:v>
                </c:pt>
                <c:pt idx="9">
                  <c:v>6.7886160169810844E-4</c:v>
                </c:pt>
                <c:pt idx="10">
                  <c:v>6.9544258124352597E-4</c:v>
                </c:pt>
                <c:pt idx="11">
                  <c:v>7.1229106888011471E-4</c:v>
                </c:pt>
                <c:pt idx="12">
                  <c:v>7.2940196804768072E-4</c:v>
                </c:pt>
                <c:pt idx="13">
                  <c:v>7.4676947666013269E-4</c:v>
                </c:pt>
                <c:pt idx="14">
                  <c:v>7.6438706684506545E-4</c:v>
                </c:pt>
                <c:pt idx="15">
                  <c:v>7.8224746720545306E-4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B0-6949-88B6-31801698CFA4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3.8821707361780494E-4</c:v>
                </c:pt>
                <c:pt idx="3">
                  <c:v>3.9816436627695311E-4</c:v>
                </c:pt>
                <c:pt idx="4">
                  <c:v>4.0830591448666394E-4</c:v>
                </c:pt>
                <c:pt idx="5">
                  <c:v>4.1864112868834642E-4</c:v>
                </c:pt>
                <c:pt idx="6">
                  <c:v>4.2916906492944623E-4</c:v>
                </c:pt>
                <c:pt idx="7">
                  <c:v>4.3988840519820397E-4</c:v>
                </c:pt>
                <c:pt idx="8">
                  <c:v>4.5079743802933184E-4</c:v>
                </c:pt>
                <c:pt idx="9">
                  <c:v>4.6189403954657334E-4</c:v>
                </c:pt>
                <c:pt idx="10">
                  <c:v>4.7317565512582381E-4</c:v>
                </c:pt>
                <c:pt idx="11">
                  <c:v>4.8463928187278914E-4</c:v>
                </c:pt>
                <c:pt idx="12">
                  <c:v>4.9628145211339707E-4</c:v>
                </c:pt>
                <c:pt idx="13">
                  <c:v>5.080982181372806E-4</c:v>
                </c:pt>
                <c:pt idx="14">
                  <c:v>5.2008513841269395E-4</c:v>
                </c:pt>
                <c:pt idx="15">
                  <c:v>5.3223726551745716E-4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B0-6949-88B6-31801698C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2176"/>
        <c:axId val="365773184"/>
      </c:lineChart>
      <c:catAx>
        <c:axId val="363842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65773184"/>
        <c:crosses val="autoZero"/>
        <c:auto val="1"/>
        <c:lblAlgn val="ctr"/>
        <c:lblOffset val="100"/>
        <c:tickLblSkip val="5"/>
        <c:noMultiLvlLbl val="0"/>
      </c:catAx>
      <c:valAx>
        <c:axId val="3657731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63842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4.5549649637615763E-4</c:v>
                </c:pt>
                <c:pt idx="3">
                  <c:v>4.6716769082530039E-4</c:v>
                </c:pt>
                <c:pt idx="4">
                  <c:v>4.7906680601439899E-4</c:v>
                </c:pt>
                <c:pt idx="5">
                  <c:v>4.9119315021222852E-4</c:v>
                </c:pt>
                <c:pt idx="6">
                  <c:v>5.0354561587584142E-4</c:v>
                </c:pt>
                <c:pt idx="7">
                  <c:v>5.161226565772761E-4</c:v>
                </c:pt>
                <c:pt idx="8">
                  <c:v>5.2892226424812146E-4</c:v>
                </c:pt>
                <c:pt idx="9">
                  <c:v>5.4194194693668336E-4</c:v>
                </c:pt>
                <c:pt idx="10">
                  <c:v>5.5517870729326186E-4</c:v>
                </c:pt>
                <c:pt idx="11">
                  <c:v>5.6862902201112336E-4</c:v>
                </c:pt>
                <c:pt idx="12">
                  <c:v>5.8228882245573853E-4</c:v>
                </c:pt>
                <c:pt idx="13">
                  <c:v>5.9615347676425718E-4</c:v>
                </c:pt>
                <c:pt idx="14">
                  <c:v>6.1021777367142166E-4</c:v>
                </c:pt>
                <c:pt idx="15">
                  <c:v>6.2447590834889522E-4</c:v>
                </c:pt>
                <c:pt idx="16">
                  <c:v>6.389214705031876E-4</c:v>
                </c:pt>
                <c:pt idx="17">
                  <c:v>6.5354743512446986E-4</c:v>
                </c:pt>
                <c:pt idx="18">
                  <c:v>6.6834615605990068E-4</c:v>
                </c:pt>
                <c:pt idx="19">
                  <c:v>6.8330936253121273E-4</c:v>
                </c:pt>
                <c:pt idx="20">
                  <c:v>6.9842815896589336E-4</c:v>
                </c:pt>
                <c:pt idx="21">
                  <c:v>7.1369303029513408E-4</c:v>
                </c:pt>
                <c:pt idx="22">
                  <c:v>7.2909384818255977E-4</c:v>
                </c:pt>
                <c:pt idx="23">
                  <c:v>7.4461988335854567E-4</c:v>
                </c:pt>
                <c:pt idx="24">
                  <c:v>7.6025982201154564E-4</c:v>
                </c:pt>
                <c:pt idx="25">
                  <c:v>7.7600178650404474E-4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A4-734B-82A9-2D14986F47C3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3.5635427292863116E-4</c:v>
                </c:pt>
                <c:pt idx="3">
                  <c:v>3.6548514450551842E-4</c:v>
                </c:pt>
                <c:pt idx="4">
                  <c:v>3.7479432816651346E-4</c:v>
                </c:pt>
                <c:pt idx="5">
                  <c:v>3.8428128274087123E-4</c:v>
                </c:pt>
                <c:pt idx="6">
                  <c:v>3.9394514175066219E-4</c:v>
                </c:pt>
                <c:pt idx="7">
                  <c:v>4.0378469535954959E-4</c:v>
                </c:pt>
                <c:pt idx="8">
                  <c:v>4.1379837257024928E-4</c:v>
                </c:pt>
                <c:pt idx="9">
                  <c:v>4.2398422382301679E-4</c:v>
                </c:pt>
                <c:pt idx="10">
                  <c:v>4.3433990416375754E-4</c:v>
                </c:pt>
                <c:pt idx="11">
                  <c:v>4.4486265715983466E-4</c:v>
                </c:pt>
                <c:pt idx="12">
                  <c:v>4.5554929974549212E-4</c:v>
                </c:pt>
                <c:pt idx="13">
                  <c:v>4.6639620821751425E-4</c:v>
                </c:pt>
                <c:pt idx="14">
                  <c:v>4.7739930558155175E-4</c:v>
                </c:pt>
                <c:pt idx="15">
                  <c:v>4.8855405047362591E-4</c:v>
                </c:pt>
                <c:pt idx="16">
                  <c:v>4.9985542784862838E-4</c:v>
                </c:pt>
                <c:pt idx="17">
                  <c:v>5.1129794174272587E-4</c:v>
                </c:pt>
                <c:pt idx="18">
                  <c:v>5.2287561024550214E-4</c:v>
                </c:pt>
                <c:pt idx="19">
                  <c:v>5.3458196277551579E-4</c:v>
                </c:pt>
                <c:pt idx="20">
                  <c:v>5.4641003994822615E-4</c:v>
                </c:pt>
                <c:pt idx="21">
                  <c:v>5.5835239772080651E-4</c:v>
                </c:pt>
                <c:pt idx="22">
                  <c:v>5.7040111226513881E-4</c:v>
                </c:pt>
                <c:pt idx="23">
                  <c:v>5.8254778961747903E-4</c:v>
                </c:pt>
                <c:pt idx="24">
                  <c:v>5.9478357850208899E-4</c:v>
                </c:pt>
                <c:pt idx="25">
                  <c:v>6.0709918653820496E-4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A4-734B-82A9-2D14986F47C3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5.2374616639300198E-4</c:v>
                </c:pt>
                <c:pt idx="3">
                  <c:v>5.3716612329409211E-4</c:v>
                </c:pt>
                <c:pt idx="4">
                  <c:v>5.5084815161558494E-4</c:v>
                </c:pt>
                <c:pt idx="5">
                  <c:v>5.6479145598017032E-4</c:v>
                </c:pt>
                <c:pt idx="6">
                  <c:v>5.7899476289534845E-4</c:v>
                </c:pt>
                <c:pt idx="7">
                  <c:v>5.9345629422292501E-4</c:v>
                </c:pt>
                <c:pt idx="8">
                  <c:v>6.0817374101400454E-4</c:v>
                </c:pt>
                <c:pt idx="9">
                  <c:v>6.2314423793338497E-4</c:v>
                </c:pt>
                <c:pt idx="10">
                  <c:v>6.3836433852115196E-4</c:v>
                </c:pt>
                <c:pt idx="11">
                  <c:v>6.538299915531835E-4</c:v>
                </c:pt>
                <c:pt idx="12">
                  <c:v>6.6953651876794557E-4</c:v>
                </c:pt>
                <c:pt idx="13">
                  <c:v>6.8547859428383286E-4</c:v>
                </c:pt>
                <c:pt idx="14">
                  <c:v>7.0165022600162546E-4</c:v>
                </c:pt>
                <c:pt idx="15">
                  <c:v>7.1804473932204189E-4</c:v>
                </c:pt>
                <c:pt idx="16">
                  <c:v>7.3465476346030621E-4</c:v>
                </c:pt>
                <c:pt idx="17">
                  <c:v>7.5147222080880331E-4</c:v>
                </c:pt>
                <c:pt idx="18">
                  <c:v>7.6848831954746705E-4</c:v>
                </c:pt>
                <c:pt idx="19">
                  <c:v>7.8569354963956451E-4</c:v>
                </c:pt>
                <c:pt idx="20">
                  <c:v>8.03077682637596E-4</c:v>
                </c:pt>
                <c:pt idx="21">
                  <c:v>8.2062977777505282E-4</c:v>
                </c:pt>
                <c:pt idx="22">
                  <c:v>8.3833818912844077E-4</c:v>
                </c:pt>
                <c:pt idx="23">
                  <c:v>8.561905797997173E-4</c:v>
                </c:pt>
                <c:pt idx="24">
                  <c:v>8.7417394076363172E-4</c:v>
                </c:pt>
                <c:pt idx="25">
                  <c:v>8.9227461468765785E-4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A4-734B-82A9-2D14986F47C3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4.1788428101055547E-4</c:v>
                </c:pt>
                <c:pt idx="4">
                  <c:v>4.2852811039583268E-4</c:v>
                </c:pt>
                <c:pt idx="5">
                  <c:v>4.3937519748236519E-4</c:v>
                </c:pt>
                <c:pt idx="6">
                  <c:v>4.5042455156639357E-4</c:v>
                </c:pt>
                <c:pt idx="7">
                  <c:v>4.6167478935889777E-4</c:v>
                </c:pt>
                <c:pt idx="8">
                  <c:v>4.7312411463072701E-4</c:v>
                </c:pt>
                <c:pt idx="9">
                  <c:v>4.8477029831625471E-4</c:v>
                </c:pt>
                <c:pt idx="10">
                  <c:v>4.966106592683273E-4</c:v>
                </c:pt>
                <c:pt idx="11">
                  <c:v>5.0864204586809362E-4</c:v>
                </c:pt>
                <c:pt idx="12">
                  <c:v>5.2086081869774235E-4</c:v>
                </c:pt>
                <c:pt idx="13">
                  <c:v>5.3326283452837431E-4</c:v>
                </c:pt>
                <c:pt idx="14">
                  <c:v>5.4584343185218797E-4</c:v>
                </c:pt>
                <c:pt idx="15">
                  <c:v>5.5859741821567572E-4</c:v>
                </c:pt>
                <c:pt idx="16">
                  <c:v>5.715190595731416E-4</c:v>
                </c:pt>
                <c:pt idx="17">
                  <c:v>5.8460207201146475E-4</c:v>
                </c:pt>
                <c:pt idx="18">
                  <c:v>5.978396160014048E-4</c:v>
                </c:pt>
                <c:pt idx="19">
                  <c:v>6.1122429328255433E-4</c:v>
                </c:pt>
                <c:pt idx="20">
                  <c:v>6.2474814671233711E-4</c:v>
                </c:pt>
                <c:pt idx="21">
                  <c:v>6.3840266500504977E-4</c:v>
                </c:pt>
                <c:pt idx="22">
                  <c:v>6.5217878830350017E-4</c:v>
                </c:pt>
                <c:pt idx="23">
                  <c:v>6.6606691921212329E-4</c:v>
                </c:pt>
                <c:pt idx="24">
                  <c:v>6.8005693745913089E-4</c:v>
                </c:pt>
                <c:pt idx="25">
                  <c:v>6.941382184270428E-4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A4-734B-82A9-2D14986F47C3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4.0744432808423477E-4</c:v>
                </c:pt>
                <c:pt idx="3">
                  <c:v>4.1788428101055547E-4</c:v>
                </c:pt>
                <c:pt idx="4">
                  <c:v>4.2852811039583268E-4</c:v>
                </c:pt>
                <c:pt idx="5">
                  <c:v>4.3937519748236519E-4</c:v>
                </c:pt>
                <c:pt idx="6">
                  <c:v>4.5042455156639357E-4</c:v>
                </c:pt>
                <c:pt idx="7">
                  <c:v>4.6167478935889777E-4</c:v>
                </c:pt>
                <c:pt idx="8">
                  <c:v>4.7312411463072701E-4</c:v>
                </c:pt>
                <c:pt idx="9">
                  <c:v>4.8477029831625471E-4</c:v>
                </c:pt>
                <c:pt idx="10">
                  <c:v>4.966106592683273E-4</c:v>
                </c:pt>
                <c:pt idx="11">
                  <c:v>5.0864204586809362E-4</c:v>
                </c:pt>
                <c:pt idx="12">
                  <c:v>5.2086081869774235E-4</c:v>
                </c:pt>
                <c:pt idx="13">
                  <c:v>5.3326283452837431E-4</c:v>
                </c:pt>
                <c:pt idx="14">
                  <c:v>5.4584343185218797E-4</c:v>
                </c:pt>
                <c:pt idx="15">
                  <c:v>5.5859741821567572E-4</c:v>
                </c:pt>
                <c:pt idx="16">
                  <c:v>5.715190595731416E-4</c:v>
                </c:pt>
                <c:pt idx="17">
                  <c:v>5.8460207201146475E-4</c:v>
                </c:pt>
                <c:pt idx="18">
                  <c:v>5.978396160014048E-4</c:v>
                </c:pt>
                <c:pt idx="19">
                  <c:v>6.1122429328255433E-4</c:v>
                </c:pt>
                <c:pt idx="20">
                  <c:v>6.2474814671233711E-4</c:v>
                </c:pt>
                <c:pt idx="21">
                  <c:v>6.3840266500504977E-4</c:v>
                </c:pt>
                <c:pt idx="22">
                  <c:v>6.5217878830350017E-4</c:v>
                </c:pt>
                <c:pt idx="23">
                  <c:v>6.6606691921212329E-4</c:v>
                </c:pt>
                <c:pt idx="24">
                  <c:v>6.8005693745913089E-4</c:v>
                </c:pt>
                <c:pt idx="25">
                  <c:v>6.941382184270428E-4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A4-734B-82A9-2D14986F47C3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5.7057602358638344E-4</c:v>
                </c:pt>
                <c:pt idx="3">
                  <c:v>5.8519590271229331E-4</c:v>
                </c:pt>
                <c:pt idx="4">
                  <c:v>6.0010128592118117E-4</c:v>
                </c:pt>
                <c:pt idx="5">
                  <c:v>6.1529130671845057E-4</c:v>
                </c:pt>
                <c:pt idx="6">
                  <c:v>6.3076457774447327E-4</c:v>
                </c:pt>
                <c:pt idx="7">
                  <c:v>6.4651916187190522E-4</c:v>
                </c:pt>
                <c:pt idx="8">
                  <c:v>6.6255254370118082E-4</c:v>
                </c:pt>
                <c:pt idx="9">
                  <c:v>6.7886160169810844E-4</c:v>
                </c:pt>
                <c:pt idx="10">
                  <c:v>6.9544258124352597E-4</c:v>
                </c:pt>
                <c:pt idx="11">
                  <c:v>7.1229106888011471E-4</c:v>
                </c:pt>
                <c:pt idx="12">
                  <c:v>7.2940196804768072E-4</c:v>
                </c:pt>
                <c:pt idx="13">
                  <c:v>7.4676947666013269E-4</c:v>
                </c:pt>
                <c:pt idx="14">
                  <c:v>7.6438706684506545E-4</c:v>
                </c:pt>
                <c:pt idx="15">
                  <c:v>7.8224746720545306E-4</c:v>
                </c:pt>
                <c:pt idx="16">
                  <c:v>8.003426479105529E-4</c:v>
                </c:pt>
                <c:pt idx="17">
                  <c:v>8.1866380910744247E-4</c:v>
                </c:pt>
                <c:pt idx="18">
                  <c:v>8.3720137287067713E-4</c:v>
                </c:pt>
                <c:pt idx="19">
                  <c:v>8.5594497884004556E-4</c:v>
                </c:pt>
                <c:pt idx="20">
                  <c:v>8.7488348400911395E-4</c:v>
                </c:pt>
                <c:pt idx="21">
                  <c:v>8.9400496936166787E-4</c:v>
                </c:pt>
                <c:pt idx="22">
                  <c:v>9.132967476741154E-4</c:v>
                </c:pt>
                <c:pt idx="23">
                  <c:v>9.3274537896602297E-4</c:v>
                </c:pt>
                <c:pt idx="24">
                  <c:v>9.5233669103265766E-4</c:v>
                </c:pt>
                <c:pt idx="25">
                  <c:v>9.7205580539473765E-4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A4-734B-82A9-2D14986F47C3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3.8821707361780494E-4</c:v>
                </c:pt>
                <c:pt idx="3">
                  <c:v>3.9816436627695311E-4</c:v>
                </c:pt>
                <c:pt idx="4">
                  <c:v>4.0830591448666394E-4</c:v>
                </c:pt>
                <c:pt idx="5">
                  <c:v>4.1864112868834642E-4</c:v>
                </c:pt>
                <c:pt idx="6">
                  <c:v>4.2916906492944623E-4</c:v>
                </c:pt>
                <c:pt idx="7">
                  <c:v>4.3988840519820397E-4</c:v>
                </c:pt>
                <c:pt idx="8">
                  <c:v>4.5079743802933184E-4</c:v>
                </c:pt>
                <c:pt idx="9">
                  <c:v>4.6189403954657334E-4</c:v>
                </c:pt>
                <c:pt idx="10">
                  <c:v>4.7317565512582381E-4</c:v>
                </c:pt>
                <c:pt idx="11">
                  <c:v>4.8463928187278914E-4</c:v>
                </c:pt>
                <c:pt idx="12">
                  <c:v>4.9628145211339707E-4</c:v>
                </c:pt>
                <c:pt idx="13">
                  <c:v>5.080982181372806E-4</c:v>
                </c:pt>
                <c:pt idx="14">
                  <c:v>5.2008513841269395E-4</c:v>
                </c:pt>
                <c:pt idx="15">
                  <c:v>5.3223726551745716E-4</c:v>
                </c:pt>
                <c:pt idx="16">
                  <c:v>5.4454913599488123E-4</c:v>
                </c:pt>
                <c:pt idx="17">
                  <c:v>5.5701476246903679E-4</c:v>
                </c:pt>
                <c:pt idx="18">
                  <c:v>5.6962762816733863E-4</c:v>
                </c:pt>
                <c:pt idx="19">
                  <c:v>5.8238068395250126E-4</c:v>
                </c:pt>
                <c:pt idx="20">
                  <c:v>5.9526634817866082E-4</c:v>
                </c:pt>
                <c:pt idx="21">
                  <c:v>6.0827651120677888E-4</c:v>
                </c:pt>
                <c:pt idx="22">
                  <c:v>6.2140254071335859E-4</c:v>
                </c:pt>
                <c:pt idx="23">
                  <c:v>6.346352922029123E-4</c:v>
                </c:pt>
                <c:pt idx="24">
                  <c:v>6.4796512297819785E-4</c:v>
                </c:pt>
                <c:pt idx="25">
                  <c:v>6.6138190979630443E-4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A4-734B-82A9-2D14986F4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26176"/>
        <c:axId val="379716736"/>
      </c:lineChart>
      <c:catAx>
        <c:axId val="376626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79716736"/>
        <c:crosses val="autoZero"/>
        <c:auto val="1"/>
        <c:lblAlgn val="ctr"/>
        <c:lblOffset val="100"/>
        <c:tickLblSkip val="5"/>
        <c:noMultiLvlLbl val="0"/>
      </c:catAx>
      <c:valAx>
        <c:axId val="379716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76626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SLR!$B$2:$DR$2</c:f>
              <c:numCache>
                <c:formatCode>0</c:formatCode>
                <c:ptCount val="12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  <c:pt idx="39">
                  <c:v>2065</c:v>
                </c:pt>
                <c:pt idx="40">
                  <c:v>2075</c:v>
                </c:pt>
                <c:pt idx="41">
                  <c:v>2085</c:v>
                </c:pt>
                <c:pt idx="42">
                  <c:v>2095</c:v>
                </c:pt>
                <c:pt idx="43">
                  <c:v>2105</c:v>
                </c:pt>
                <c:pt idx="44">
                  <c:v>2115</c:v>
                </c:pt>
                <c:pt idx="45">
                  <c:v>2125</c:v>
                </c:pt>
                <c:pt idx="46">
                  <c:v>2135</c:v>
                </c:pt>
                <c:pt idx="47">
                  <c:v>2145</c:v>
                </c:pt>
                <c:pt idx="48">
                  <c:v>2155</c:v>
                </c:pt>
                <c:pt idx="49">
                  <c:v>2165</c:v>
                </c:pt>
                <c:pt idx="50">
                  <c:v>2175</c:v>
                </c:pt>
                <c:pt idx="51">
                  <c:v>2185</c:v>
                </c:pt>
                <c:pt idx="52">
                  <c:v>2195</c:v>
                </c:pt>
                <c:pt idx="53">
                  <c:v>2205</c:v>
                </c:pt>
                <c:pt idx="54">
                  <c:v>2215</c:v>
                </c:pt>
                <c:pt idx="55">
                  <c:v>2225</c:v>
                </c:pt>
                <c:pt idx="56">
                  <c:v>2235</c:v>
                </c:pt>
                <c:pt idx="57">
                  <c:v>2245</c:v>
                </c:pt>
                <c:pt idx="58">
                  <c:v>2255</c:v>
                </c:pt>
                <c:pt idx="59">
                  <c:v>2265</c:v>
                </c:pt>
                <c:pt idx="60">
                  <c:v>2275</c:v>
                </c:pt>
                <c:pt idx="61">
                  <c:v>2285</c:v>
                </c:pt>
                <c:pt idx="62">
                  <c:v>2295</c:v>
                </c:pt>
                <c:pt idx="63">
                  <c:v>2305</c:v>
                </c:pt>
                <c:pt idx="64">
                  <c:v>2315</c:v>
                </c:pt>
                <c:pt idx="65">
                  <c:v>2325</c:v>
                </c:pt>
                <c:pt idx="66">
                  <c:v>2335</c:v>
                </c:pt>
                <c:pt idx="67">
                  <c:v>2345</c:v>
                </c:pt>
                <c:pt idx="68">
                  <c:v>2355</c:v>
                </c:pt>
                <c:pt idx="69">
                  <c:v>2365</c:v>
                </c:pt>
                <c:pt idx="70">
                  <c:v>2375</c:v>
                </c:pt>
                <c:pt idx="71">
                  <c:v>2385</c:v>
                </c:pt>
                <c:pt idx="72">
                  <c:v>2395</c:v>
                </c:pt>
                <c:pt idx="73">
                  <c:v>2405</c:v>
                </c:pt>
                <c:pt idx="74">
                  <c:v>2415</c:v>
                </c:pt>
                <c:pt idx="75">
                  <c:v>2425</c:v>
                </c:pt>
                <c:pt idx="76">
                  <c:v>2435</c:v>
                </c:pt>
                <c:pt idx="77">
                  <c:v>2445</c:v>
                </c:pt>
                <c:pt idx="78">
                  <c:v>2455</c:v>
                </c:pt>
                <c:pt idx="79">
                  <c:v>2465</c:v>
                </c:pt>
                <c:pt idx="80">
                  <c:v>2475</c:v>
                </c:pt>
                <c:pt idx="81">
                  <c:v>2485</c:v>
                </c:pt>
                <c:pt idx="82">
                  <c:v>2495</c:v>
                </c:pt>
                <c:pt idx="83">
                  <c:v>2505</c:v>
                </c:pt>
                <c:pt idx="84">
                  <c:v>2515</c:v>
                </c:pt>
                <c:pt idx="85">
                  <c:v>2525</c:v>
                </c:pt>
                <c:pt idx="86">
                  <c:v>2535</c:v>
                </c:pt>
                <c:pt idx="87">
                  <c:v>2545</c:v>
                </c:pt>
                <c:pt idx="88">
                  <c:v>2555</c:v>
                </c:pt>
                <c:pt idx="89">
                  <c:v>2565</c:v>
                </c:pt>
                <c:pt idx="90">
                  <c:v>2575</c:v>
                </c:pt>
                <c:pt idx="91">
                  <c:v>2585</c:v>
                </c:pt>
                <c:pt idx="92">
                  <c:v>2595</c:v>
                </c:pt>
                <c:pt idx="93">
                  <c:v>2605</c:v>
                </c:pt>
                <c:pt idx="94">
                  <c:v>2615</c:v>
                </c:pt>
                <c:pt idx="95">
                  <c:v>2625</c:v>
                </c:pt>
                <c:pt idx="96">
                  <c:v>2635</c:v>
                </c:pt>
                <c:pt idx="97">
                  <c:v>2645</c:v>
                </c:pt>
                <c:pt idx="98">
                  <c:v>2655</c:v>
                </c:pt>
                <c:pt idx="99">
                  <c:v>2665</c:v>
                </c:pt>
                <c:pt idx="100">
                  <c:v>2675</c:v>
                </c:pt>
                <c:pt idx="101">
                  <c:v>2685</c:v>
                </c:pt>
                <c:pt idx="102">
                  <c:v>2695</c:v>
                </c:pt>
                <c:pt idx="103">
                  <c:v>2705</c:v>
                </c:pt>
                <c:pt idx="104" formatCode="General">
                  <c:v>2715</c:v>
                </c:pt>
                <c:pt idx="105" formatCode="General">
                  <c:v>2725</c:v>
                </c:pt>
                <c:pt idx="106" formatCode="General">
                  <c:v>2735</c:v>
                </c:pt>
                <c:pt idx="107" formatCode="General">
                  <c:v>2745</c:v>
                </c:pt>
                <c:pt idx="108" formatCode="General">
                  <c:v>2755</c:v>
                </c:pt>
                <c:pt idx="109" formatCode="General">
                  <c:v>2765</c:v>
                </c:pt>
                <c:pt idx="110" formatCode="General">
                  <c:v>2775</c:v>
                </c:pt>
                <c:pt idx="111" formatCode="General">
                  <c:v>2785</c:v>
                </c:pt>
                <c:pt idx="112" formatCode="General">
                  <c:v>2795</c:v>
                </c:pt>
                <c:pt idx="113" formatCode="General">
                  <c:v>2805</c:v>
                </c:pt>
                <c:pt idx="114" formatCode="General">
                  <c:v>2815</c:v>
                </c:pt>
                <c:pt idx="115" formatCode="General">
                  <c:v>2825</c:v>
                </c:pt>
                <c:pt idx="116" formatCode="General">
                  <c:v>2835</c:v>
                </c:pt>
                <c:pt idx="117" formatCode="General">
                  <c:v>2845</c:v>
                </c:pt>
                <c:pt idx="118" formatCode="General">
                  <c:v>2855</c:v>
                </c:pt>
                <c:pt idx="119" formatCode="General">
                  <c:v>2865</c:v>
                </c:pt>
                <c:pt idx="120" formatCode="General">
                  <c:v>2875</c:v>
                </c:pt>
              </c:numCache>
            </c:numRef>
          </c:cat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9.8517493766526229E-2</c:v>
                </c:pt>
                <c:pt idx="1">
                  <c:v>0.10421107996627985</c:v>
                </c:pt>
                <c:pt idx="2">
                  <c:v>0.10760073387746941</c:v>
                </c:pt>
                <c:pt idx="3">
                  <c:v>0.11102915870839468</c:v>
                </c:pt>
                <c:pt idx="4">
                  <c:v>0.11533808594519483</c:v>
                </c:pt>
                <c:pt idx="5">
                  <c:v>0.12110822001643053</c:v>
                </c:pt>
                <c:pt idx="6">
                  <c:v>0.12541524376201885</c:v>
                </c:pt>
                <c:pt idx="7">
                  <c:v>0.13118352017076582</c:v>
                </c:pt>
                <c:pt idx="8">
                  <c:v>0.13849824862304994</c:v>
                </c:pt>
                <c:pt idx="9">
                  <c:v>0.14298849111405826</c:v>
                </c:pt>
                <c:pt idx="10">
                  <c:v>0.14749100659880571</c:v>
                </c:pt>
                <c:pt idx="11">
                  <c:v>0.15357044876575959</c:v>
                </c:pt>
                <c:pt idx="12">
                  <c:v>0.16070732848252034</c:v>
                </c:pt>
                <c:pt idx="13">
                  <c:v>0.16755199897009102</c:v>
                </c:pt>
                <c:pt idx="14">
                  <c:v>0.17314844985309027</c:v>
                </c:pt>
                <c:pt idx="15">
                  <c:v>0.1802954896752379</c:v>
                </c:pt>
                <c:pt idx="16">
                  <c:v>0.18690931424055685</c:v>
                </c:pt>
                <c:pt idx="17">
                  <c:v>0.19360466484360228</c:v>
                </c:pt>
                <c:pt idx="18">
                  <c:v>0.19869424877143191</c:v>
                </c:pt>
                <c:pt idx="19">
                  <c:v>0.20498548292150637</c:v>
                </c:pt>
                <c:pt idx="20">
                  <c:v>0.21196791337044665</c:v>
                </c:pt>
                <c:pt idx="21">
                  <c:v>0.21745804607503344</c:v>
                </c:pt>
                <c:pt idx="22">
                  <c:v>0.22329752039270284</c:v>
                </c:pt>
                <c:pt idx="23">
                  <c:v>0.22935754481971485</c:v>
                </c:pt>
                <c:pt idx="24">
                  <c:v>0.23599395147776694</c:v>
                </c:pt>
                <c:pt idx="25">
                  <c:v>0.24439667036444396</c:v>
                </c:pt>
                <c:pt idx="26">
                  <c:v>0.25392127196844522</c:v>
                </c:pt>
                <c:pt idx="27">
                  <c:v>0.26213313156804163</c:v>
                </c:pt>
                <c:pt idx="28">
                  <c:v>0.26930461633653302</c:v>
                </c:pt>
                <c:pt idx="29">
                  <c:v>0.27786838860027485</c:v>
                </c:pt>
                <c:pt idx="30">
                  <c:v>0.28658712039147305</c:v>
                </c:pt>
                <c:pt idx="31">
                  <c:v>0.29316984747335328</c:v>
                </c:pt>
                <c:pt idx="32">
                  <c:v>0.30007561071186795</c:v>
                </c:pt>
                <c:pt idx="33">
                  <c:v>0.31018576958099975</c:v>
                </c:pt>
                <c:pt idx="34">
                  <c:v>0.30271769320962227</c:v>
                </c:pt>
                <c:pt idx="35">
                  <c:v>0.29542941929908645</c:v>
                </c:pt>
                <c:pt idx="36">
                  <c:v>0.28831661889996579</c:v>
                </c:pt>
                <c:pt idx="37">
                  <c:v>0.28137506728723127</c:v>
                </c:pt>
                <c:pt idx="38">
                  <c:v>0.27460064145092999</c:v>
                </c:pt>
                <c:pt idx="39">
                  <c:v>0.26798931764727862</c:v>
                </c:pt>
                <c:pt idx="40">
                  <c:v>0.2615371690087171</c:v>
                </c:pt>
                <c:pt idx="41">
                  <c:v>0.25524036321150301</c:v>
                </c:pt>
                <c:pt idx="42">
                  <c:v>0.24909516019946132</c:v>
                </c:pt>
                <c:pt idx="43">
                  <c:v>0.24309790996253738</c:v>
                </c:pt>
                <c:pt idx="44">
                  <c:v>0.23724505036883384</c:v>
                </c:pt>
                <c:pt idx="45">
                  <c:v>0.23153310504884364</c:v>
                </c:pt>
                <c:pt idx="46">
                  <c:v>0.22595868133062275</c:v>
                </c:pt>
                <c:pt idx="47">
                  <c:v>0.22051846822467566</c:v>
                </c:pt>
                <c:pt idx="48">
                  <c:v>0.21520923445735737</c:v>
                </c:pt>
                <c:pt idx="49">
                  <c:v>0.21002782655162322</c:v>
                </c:pt>
                <c:pt idx="50">
                  <c:v>0.20497116695398698</c:v>
                </c:pt>
                <c:pt idx="51">
                  <c:v>0.20003625220657459</c:v>
                </c:pt>
                <c:pt idx="52">
                  <c:v>0.19522015116318767</c:v>
                </c:pt>
                <c:pt idx="53">
                  <c:v>0.19052000324831747</c:v>
                </c:pt>
                <c:pt idx="54">
                  <c:v>0.18593301675807497</c:v>
                </c:pt>
                <c:pt idx="55">
                  <c:v>0.18145646720202799</c:v>
                </c:pt>
                <c:pt idx="56">
                  <c:v>0.17708769568496061</c:v>
                </c:pt>
                <c:pt idx="57">
                  <c:v>0.1728241073275934</c:v>
                </c:pt>
                <c:pt idx="58">
                  <c:v>0.16866316972532674</c:v>
                </c:pt>
                <c:pt idx="59">
                  <c:v>0.1646024114440916</c:v>
                </c:pt>
                <c:pt idx="60">
                  <c:v>0.16063942055241442</c:v>
                </c:pt>
                <c:pt idx="61">
                  <c:v>0.15677184318882431</c:v>
                </c:pt>
                <c:pt idx="62">
                  <c:v>0.15299738216375133</c:v>
                </c:pt>
                <c:pt idx="63">
                  <c:v>0.1493137955950859</c:v>
                </c:pt>
                <c:pt idx="64">
                  <c:v>0.14571889557658857</c:v>
                </c:pt>
                <c:pt idx="65">
                  <c:v>0.1422105468783593</c:v>
                </c:pt>
                <c:pt idx="66">
                  <c:v>0.13878666567859455</c:v>
                </c:pt>
                <c:pt idx="67">
                  <c:v>0.13544521832587864</c:v>
                </c:pt>
                <c:pt idx="68">
                  <c:v>0.13218422013127443</c:v>
                </c:pt>
                <c:pt idx="69">
                  <c:v>0.12900173418949576</c:v>
                </c:pt>
                <c:pt idx="70">
                  <c:v>0.12589587022846155</c:v>
                </c:pt>
                <c:pt idx="71">
                  <c:v>0.12286478348654813</c:v>
                </c:pt>
                <c:pt idx="72">
                  <c:v>0.1199066736168731</c:v>
                </c:pt>
                <c:pt idx="73">
                  <c:v>0.11701978361795971</c:v>
                </c:pt>
                <c:pt idx="74">
                  <c:v>0.11420239879014676</c:v>
                </c:pt>
                <c:pt idx="75">
                  <c:v>0.11145284571712415</c:v>
                </c:pt>
                <c:pt idx="76">
                  <c:v>0.10876949127198902</c:v>
                </c:pt>
                <c:pt idx="77">
                  <c:v>0.10615074164723239</c:v>
                </c:pt>
                <c:pt idx="78">
                  <c:v>0.10359504140807979</c:v>
                </c:pt>
                <c:pt idx="79">
                  <c:v>0.10110087256862398</c:v>
                </c:pt>
                <c:pt idx="80">
                  <c:v>9.8666753690200629E-2</c:v>
                </c:pt>
                <c:pt idx="81">
                  <c:v>9.6291239001471837E-2</c:v>
                </c:pt>
                <c:pt idx="82">
                  <c:v>9.39729175396945E-2</c:v>
                </c:pt>
                <c:pt idx="83">
                  <c:v>9.171041231266365E-2</c:v>
                </c:pt>
                <c:pt idx="84">
                  <c:v>8.9502379480833047E-2</c:v>
                </c:pt>
                <c:pt idx="85">
                  <c:v>8.7347507559127027E-2</c:v>
                </c:pt>
                <c:pt idx="86">
                  <c:v>8.5244516637969725E-2</c:v>
                </c:pt>
                <c:pt idx="87">
                  <c:v>8.3192157623068891E-2</c:v>
                </c:pt>
                <c:pt idx="88">
                  <c:v>8.1189211493502778E-2</c:v>
                </c:pt>
                <c:pt idx="89">
                  <c:v>7.923448857766939E-2</c:v>
                </c:pt>
                <c:pt idx="90">
                  <c:v>7.7326827846668153E-2</c:v>
                </c:pt>
                <c:pt idx="91">
                  <c:v>7.5465096224694189E-2</c:v>
                </c:pt>
                <c:pt idx="92">
                  <c:v>7.364818791603564E-2</c:v>
                </c:pt>
                <c:pt idx="93">
                  <c:v>7.1875023748274272E-2</c:v>
                </c:pt>
                <c:pt idx="94">
                  <c:v>7.0144550531299324E-2</c:v>
                </c:pt>
                <c:pt idx="95">
                  <c:v>6.8455740431753814E-2</c:v>
                </c:pt>
                <c:pt idx="96">
                  <c:v>6.6807590362541719E-2</c:v>
                </c:pt>
                <c:pt idx="97">
                  <c:v>6.5199121387033543E-2</c:v>
                </c:pt>
                <c:pt idx="98">
                  <c:v>6.3629378137616266E-2</c:v>
                </c:pt>
                <c:pt idx="99">
                  <c:v>6.2097428248242353E-2</c:v>
                </c:pt>
                <c:pt idx="100">
                  <c:v>6.0602361800640839E-2</c:v>
                </c:pt>
                <c:pt idx="101">
                  <c:v>5.9143290783861484E-2</c:v>
                </c:pt>
                <c:pt idx="102">
                  <c:v>5.7719348566831037E-2</c:v>
                </c:pt>
                <c:pt idx="103">
                  <c:v>5.6329689383608286E-2</c:v>
                </c:pt>
                <c:pt idx="104">
                  <c:v>5.497348783103221E-2</c:v>
                </c:pt>
                <c:pt idx="105">
                  <c:v>5.3649938378464782E-2</c:v>
                </c:pt>
                <c:pt idx="106">
                  <c:v>5.2358254889337326E-2</c:v>
                </c:pt>
                <c:pt idx="107">
                  <c:v>5.1097670154216158E-2</c:v>
                </c:pt>
                <c:pt idx="108">
                  <c:v>4.9867435435110213E-2</c:v>
                </c:pt>
                <c:pt idx="109">
                  <c:v>4.8666820020749985E-2</c:v>
                </c:pt>
                <c:pt idx="110">
                  <c:v>4.7495110792573625E-2</c:v>
                </c:pt>
                <c:pt idx="111">
                  <c:v>4.6351611801162443E-2</c:v>
                </c:pt>
                <c:pt idx="112">
                  <c:v>4.5235643852874187E-2</c:v>
                </c:pt>
                <c:pt idx="113">
                  <c:v>4.4146544106428598E-2</c:v>
                </c:pt>
                <c:pt idx="114">
                  <c:v>4.308366567920565E-2</c:v>
                </c:pt>
                <c:pt idx="115">
                  <c:v>4.2046377263022579E-2</c:v>
                </c:pt>
                <c:pt idx="116">
                  <c:v>4.1034062749161541E-2</c:v>
                </c:pt>
                <c:pt idx="117">
                  <c:v>4.0046120862425143E-2</c:v>
                </c:pt>
                <c:pt idx="118">
                  <c:v>3.9081964804002521E-2</c:v>
                </c:pt>
                <c:pt idx="119">
                  <c:v>3.8141021902933808E-2</c:v>
                </c:pt>
                <c:pt idx="120">
                  <c:v>3.7222733275965994E-2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69-BB4E-8A6D-A73A8D95869F}"/>
            </c:ext>
          </c:extLst>
        </c:ser>
        <c:ser>
          <c:idx val="1"/>
          <c:order val="1"/>
          <c:marker>
            <c:symbol val="none"/>
          </c:marker>
          <c:cat>
            <c:numRef>
              <c:f>SLR!$B$2:$DR$2</c:f>
              <c:numCache>
                <c:formatCode>0</c:formatCode>
                <c:ptCount val="12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  <c:pt idx="39">
                  <c:v>2065</c:v>
                </c:pt>
                <c:pt idx="40">
                  <c:v>2075</c:v>
                </c:pt>
                <c:pt idx="41">
                  <c:v>2085</c:v>
                </c:pt>
                <c:pt idx="42">
                  <c:v>2095</c:v>
                </c:pt>
                <c:pt idx="43">
                  <c:v>2105</c:v>
                </c:pt>
                <c:pt idx="44">
                  <c:v>2115</c:v>
                </c:pt>
                <c:pt idx="45">
                  <c:v>2125</c:v>
                </c:pt>
                <c:pt idx="46">
                  <c:v>2135</c:v>
                </c:pt>
                <c:pt idx="47">
                  <c:v>2145</c:v>
                </c:pt>
                <c:pt idx="48">
                  <c:v>2155</c:v>
                </c:pt>
                <c:pt idx="49">
                  <c:v>2165</c:v>
                </c:pt>
                <c:pt idx="50">
                  <c:v>2175</c:v>
                </c:pt>
                <c:pt idx="51">
                  <c:v>2185</c:v>
                </c:pt>
                <c:pt idx="52">
                  <c:v>2195</c:v>
                </c:pt>
                <c:pt idx="53">
                  <c:v>2205</c:v>
                </c:pt>
                <c:pt idx="54">
                  <c:v>2215</c:v>
                </c:pt>
                <c:pt idx="55">
                  <c:v>2225</c:v>
                </c:pt>
                <c:pt idx="56">
                  <c:v>2235</c:v>
                </c:pt>
                <c:pt idx="57">
                  <c:v>2245</c:v>
                </c:pt>
                <c:pt idx="58">
                  <c:v>2255</c:v>
                </c:pt>
                <c:pt idx="59">
                  <c:v>2265</c:v>
                </c:pt>
                <c:pt idx="60">
                  <c:v>2275</c:v>
                </c:pt>
                <c:pt idx="61">
                  <c:v>2285</c:v>
                </c:pt>
                <c:pt idx="62">
                  <c:v>2295</c:v>
                </c:pt>
                <c:pt idx="63">
                  <c:v>2305</c:v>
                </c:pt>
                <c:pt idx="64">
                  <c:v>2315</c:v>
                </c:pt>
                <c:pt idx="65">
                  <c:v>2325</c:v>
                </c:pt>
                <c:pt idx="66">
                  <c:v>2335</c:v>
                </c:pt>
                <c:pt idx="67">
                  <c:v>2345</c:v>
                </c:pt>
                <c:pt idx="68">
                  <c:v>2355</c:v>
                </c:pt>
                <c:pt idx="69">
                  <c:v>2365</c:v>
                </c:pt>
                <c:pt idx="70">
                  <c:v>2375</c:v>
                </c:pt>
                <c:pt idx="71">
                  <c:v>2385</c:v>
                </c:pt>
                <c:pt idx="72">
                  <c:v>2395</c:v>
                </c:pt>
                <c:pt idx="73">
                  <c:v>2405</c:v>
                </c:pt>
                <c:pt idx="74">
                  <c:v>2415</c:v>
                </c:pt>
                <c:pt idx="75">
                  <c:v>2425</c:v>
                </c:pt>
                <c:pt idx="76">
                  <c:v>2435</c:v>
                </c:pt>
                <c:pt idx="77">
                  <c:v>2445</c:v>
                </c:pt>
                <c:pt idx="78">
                  <c:v>2455</c:v>
                </c:pt>
                <c:pt idx="79">
                  <c:v>2465</c:v>
                </c:pt>
                <c:pt idx="80">
                  <c:v>2475</c:v>
                </c:pt>
                <c:pt idx="81">
                  <c:v>2485</c:v>
                </c:pt>
                <c:pt idx="82">
                  <c:v>2495</c:v>
                </c:pt>
                <c:pt idx="83">
                  <c:v>2505</c:v>
                </c:pt>
                <c:pt idx="84">
                  <c:v>2515</c:v>
                </c:pt>
                <c:pt idx="85">
                  <c:v>2525</c:v>
                </c:pt>
                <c:pt idx="86">
                  <c:v>2535</c:v>
                </c:pt>
                <c:pt idx="87">
                  <c:v>2545</c:v>
                </c:pt>
                <c:pt idx="88">
                  <c:v>2555</c:v>
                </c:pt>
                <c:pt idx="89">
                  <c:v>2565</c:v>
                </c:pt>
                <c:pt idx="90">
                  <c:v>2575</c:v>
                </c:pt>
                <c:pt idx="91">
                  <c:v>2585</c:v>
                </c:pt>
                <c:pt idx="92">
                  <c:v>2595</c:v>
                </c:pt>
                <c:pt idx="93">
                  <c:v>2605</c:v>
                </c:pt>
                <c:pt idx="94">
                  <c:v>2615</c:v>
                </c:pt>
                <c:pt idx="95">
                  <c:v>2625</c:v>
                </c:pt>
                <c:pt idx="96">
                  <c:v>2635</c:v>
                </c:pt>
                <c:pt idx="97">
                  <c:v>2645</c:v>
                </c:pt>
                <c:pt idx="98">
                  <c:v>2655</c:v>
                </c:pt>
                <c:pt idx="99">
                  <c:v>2665</c:v>
                </c:pt>
                <c:pt idx="100">
                  <c:v>2675</c:v>
                </c:pt>
                <c:pt idx="101">
                  <c:v>2685</c:v>
                </c:pt>
                <c:pt idx="102">
                  <c:v>2695</c:v>
                </c:pt>
                <c:pt idx="103">
                  <c:v>2705</c:v>
                </c:pt>
                <c:pt idx="104" formatCode="General">
                  <c:v>2715</c:v>
                </c:pt>
                <c:pt idx="105" formatCode="General">
                  <c:v>2725</c:v>
                </c:pt>
                <c:pt idx="106" formatCode="General">
                  <c:v>2735</c:v>
                </c:pt>
                <c:pt idx="107" formatCode="General">
                  <c:v>2745</c:v>
                </c:pt>
                <c:pt idx="108" formatCode="General">
                  <c:v>2755</c:v>
                </c:pt>
                <c:pt idx="109" formatCode="General">
                  <c:v>2765</c:v>
                </c:pt>
                <c:pt idx="110" formatCode="General">
                  <c:v>2775</c:v>
                </c:pt>
                <c:pt idx="111" formatCode="General">
                  <c:v>2785</c:v>
                </c:pt>
                <c:pt idx="112" formatCode="General">
                  <c:v>2795</c:v>
                </c:pt>
                <c:pt idx="113" formatCode="General">
                  <c:v>2805</c:v>
                </c:pt>
                <c:pt idx="114" formatCode="General">
                  <c:v>2815</c:v>
                </c:pt>
                <c:pt idx="115" formatCode="General">
                  <c:v>2825</c:v>
                </c:pt>
                <c:pt idx="116" formatCode="General">
                  <c:v>2835</c:v>
                </c:pt>
                <c:pt idx="117" formatCode="General">
                  <c:v>2845</c:v>
                </c:pt>
                <c:pt idx="118" formatCode="General">
                  <c:v>2855</c:v>
                </c:pt>
                <c:pt idx="119" formatCode="General">
                  <c:v>2865</c:v>
                </c:pt>
                <c:pt idx="120" formatCode="General">
                  <c:v>2875</c:v>
                </c:pt>
              </c:numCache>
            </c:numRef>
          </c:cat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0.11227749376652622</c:v>
                </c:pt>
                <c:pt idx="1">
                  <c:v>0.12304741227397215</c:v>
                </c:pt>
                <c:pt idx="2">
                  <c:v>0.13007307225190728</c:v>
                </c:pt>
                <c:pt idx="3">
                  <c:v>0.13715576880014888</c:v>
                </c:pt>
                <c:pt idx="4">
                  <c:v>0.14563843653377312</c:v>
                </c:pt>
                <c:pt idx="5">
                  <c:v>0.15642662448445832</c:v>
                </c:pt>
                <c:pt idx="6">
                  <c:v>0.16488161614755997</c:v>
                </c:pt>
                <c:pt idx="7">
                  <c:v>0.17560341711503172</c:v>
                </c:pt>
                <c:pt idx="8">
                  <c:v>0.18868905909526934</c:v>
                </c:pt>
                <c:pt idx="9">
                  <c:v>0.19737548537683328</c:v>
                </c:pt>
                <c:pt idx="10">
                  <c:v>0.20605352651655207</c:v>
                </c:pt>
                <c:pt idx="11">
                  <c:v>0.21709142973168449</c:v>
                </c:pt>
                <c:pt idx="12">
                  <c:v>0.22966926689861963</c:v>
                </c:pt>
                <c:pt idx="13">
                  <c:v>0.24174544122648789</c:v>
                </c:pt>
                <c:pt idx="14">
                  <c:v>0.25191559199240665</c:v>
                </c:pt>
                <c:pt idx="15">
                  <c:v>0.26430444370344786</c:v>
                </c:pt>
                <c:pt idx="16">
                  <c:v>0.27584601755597693</c:v>
                </c:pt>
                <c:pt idx="17">
                  <c:v>0.28743641018722726</c:v>
                </c:pt>
                <c:pt idx="18">
                  <c:v>0.29666741830803117</c:v>
                </c:pt>
                <c:pt idx="19">
                  <c:v>0.30754525812045419</c:v>
                </c:pt>
                <c:pt idx="20">
                  <c:v>0.31932356003256501</c:v>
                </c:pt>
                <c:pt idx="21">
                  <c:v>0.32894683215060827</c:v>
                </c:pt>
                <c:pt idx="22">
                  <c:v>0.33899031621629216</c:v>
                </c:pt>
                <c:pt idx="23">
                  <c:v>0.34926855122692235</c:v>
                </c:pt>
                <c:pt idx="24">
                  <c:v>0.36025849276278121</c:v>
                </c:pt>
                <c:pt idx="25">
                  <c:v>0.37354768816319772</c:v>
                </c:pt>
                <c:pt idx="26">
                  <c:v>0.38822572660466342</c:v>
                </c:pt>
                <c:pt idx="27">
                  <c:v>0.40103997694219523</c:v>
                </c:pt>
                <c:pt idx="28">
                  <c:v>0.41238451811625426</c:v>
                </c:pt>
                <c:pt idx="29">
                  <c:v>0.4254452172346222</c:v>
                </c:pt>
                <c:pt idx="30">
                  <c:v>0.43859169239037532</c:v>
                </c:pt>
                <c:pt idx="31">
                  <c:v>0.44889610806798569</c:v>
                </c:pt>
                <c:pt idx="32">
                  <c:v>0.45952364169758425</c:v>
                </c:pt>
                <c:pt idx="33">
                  <c:v>0.47408902627073357</c:v>
                </c:pt>
                <c:pt idx="34">
                  <c:v>0.4666209498993561</c:v>
                </c:pt>
                <c:pt idx="35">
                  <c:v>0.45933267598882022</c:v>
                </c:pt>
                <c:pt idx="36">
                  <c:v>0.45221987558969956</c:v>
                </c:pt>
                <c:pt idx="37">
                  <c:v>0.4452783239769651</c:v>
                </c:pt>
                <c:pt idx="38">
                  <c:v>0.43850389814066382</c:v>
                </c:pt>
                <c:pt idx="39">
                  <c:v>0.43189257433701245</c:v>
                </c:pt>
                <c:pt idx="40">
                  <c:v>0.42544042569845086</c:v>
                </c:pt>
                <c:pt idx="41">
                  <c:v>0.41914361990123683</c:v>
                </c:pt>
                <c:pt idx="42">
                  <c:v>0.41299841688919514</c:v>
                </c:pt>
                <c:pt idx="43">
                  <c:v>0.40700116665227115</c:v>
                </c:pt>
                <c:pt idx="44">
                  <c:v>0.40114830705856763</c:v>
                </c:pt>
                <c:pt idx="45">
                  <c:v>0.39543636173857744</c:v>
                </c:pt>
                <c:pt idx="46">
                  <c:v>0.38986193802035651</c:v>
                </c:pt>
                <c:pt idx="47">
                  <c:v>0.38442172491440946</c:v>
                </c:pt>
                <c:pt idx="48">
                  <c:v>0.37911249114709117</c:v>
                </c:pt>
                <c:pt idx="49">
                  <c:v>0.37393108324135704</c:v>
                </c:pt>
                <c:pt idx="50">
                  <c:v>0.36887442364372081</c:v>
                </c:pt>
                <c:pt idx="51">
                  <c:v>0.36393950889630838</c:v>
                </c:pt>
                <c:pt idx="52">
                  <c:v>0.35912340785292146</c:v>
                </c:pt>
                <c:pt idx="53">
                  <c:v>0.35442325993805124</c:v>
                </c:pt>
                <c:pt idx="54">
                  <c:v>0.34983627344780877</c:v>
                </c:pt>
                <c:pt idx="55">
                  <c:v>0.34535972389176178</c:v>
                </c:pt>
                <c:pt idx="56">
                  <c:v>0.3409909523746944</c:v>
                </c:pt>
                <c:pt idx="57">
                  <c:v>0.33672736401732717</c:v>
                </c:pt>
                <c:pt idx="58">
                  <c:v>0.33256642641506051</c:v>
                </c:pt>
                <c:pt idx="59">
                  <c:v>0.32850566813382542</c:v>
                </c:pt>
                <c:pt idx="60">
                  <c:v>0.32454267724214825</c:v>
                </c:pt>
                <c:pt idx="61">
                  <c:v>0.32067509987855813</c:v>
                </c:pt>
                <c:pt idx="62">
                  <c:v>0.31690063885348513</c:v>
                </c:pt>
                <c:pt idx="63">
                  <c:v>0.31321705228481966</c:v>
                </c:pt>
                <c:pt idx="64">
                  <c:v>0.30962215226632239</c:v>
                </c:pt>
                <c:pt idx="65">
                  <c:v>0.30611380356809309</c:v>
                </c:pt>
                <c:pt idx="66">
                  <c:v>0.30268992236832837</c:v>
                </c:pt>
                <c:pt idx="67">
                  <c:v>0.29934847501561246</c:v>
                </c:pt>
                <c:pt idx="68">
                  <c:v>0.29608747682100822</c:v>
                </c:pt>
                <c:pt idx="69">
                  <c:v>0.29290499087922955</c:v>
                </c:pt>
                <c:pt idx="70">
                  <c:v>0.28979912691819532</c:v>
                </c:pt>
                <c:pt idx="71">
                  <c:v>0.28676804017628194</c:v>
                </c:pt>
                <c:pt idx="72">
                  <c:v>0.28380993030660689</c:v>
                </c:pt>
                <c:pt idx="73">
                  <c:v>0.28092304030769349</c:v>
                </c:pt>
                <c:pt idx="74">
                  <c:v>0.27810565547988053</c:v>
                </c:pt>
                <c:pt idx="75">
                  <c:v>0.27535610240685793</c:v>
                </c:pt>
                <c:pt idx="76">
                  <c:v>0.27267274796172281</c:v>
                </c:pt>
                <c:pt idx="77">
                  <c:v>0.27005399833696619</c:v>
                </c:pt>
                <c:pt idx="78">
                  <c:v>0.26749829809781356</c:v>
                </c:pt>
                <c:pt idx="79">
                  <c:v>0.26500412925835776</c:v>
                </c:pt>
                <c:pt idx="80">
                  <c:v>0.26257001037993444</c:v>
                </c:pt>
                <c:pt idx="81">
                  <c:v>0.26019449569120562</c:v>
                </c:pt>
                <c:pt idx="82">
                  <c:v>0.25787617422942832</c:v>
                </c:pt>
                <c:pt idx="83">
                  <c:v>0.25561366900239746</c:v>
                </c:pt>
                <c:pt idx="84">
                  <c:v>0.25340563617056683</c:v>
                </c:pt>
                <c:pt idx="85">
                  <c:v>0.25125076424886084</c:v>
                </c:pt>
                <c:pt idx="86">
                  <c:v>0.24914777332770352</c:v>
                </c:pt>
                <c:pt idx="87">
                  <c:v>0.24709541431280269</c:v>
                </c:pt>
                <c:pt idx="88">
                  <c:v>0.24509246818323657</c:v>
                </c:pt>
                <c:pt idx="89">
                  <c:v>0.24313774526740317</c:v>
                </c:pt>
                <c:pt idx="90">
                  <c:v>0.24123008453640193</c:v>
                </c:pt>
                <c:pt idx="91">
                  <c:v>0.23936835291442798</c:v>
                </c:pt>
                <c:pt idx="92">
                  <c:v>0.23755144460576944</c:v>
                </c:pt>
                <c:pt idx="93">
                  <c:v>0.23577828043800808</c:v>
                </c:pt>
                <c:pt idx="94">
                  <c:v>0.23404780722103313</c:v>
                </c:pt>
                <c:pt idx="95">
                  <c:v>0.23235899712148761</c:v>
                </c:pt>
                <c:pt idx="96">
                  <c:v>0.23071084705227551</c:v>
                </c:pt>
                <c:pt idx="97">
                  <c:v>0.22910237807676734</c:v>
                </c:pt>
                <c:pt idx="98">
                  <c:v>0.22753263482735006</c:v>
                </c:pt>
                <c:pt idx="99">
                  <c:v>0.22600068493797615</c:v>
                </c:pt>
                <c:pt idx="100">
                  <c:v>0.22450561849037465</c:v>
                </c:pt>
                <c:pt idx="101">
                  <c:v>0.22304654747359529</c:v>
                </c:pt>
                <c:pt idx="102">
                  <c:v>0.22162260525656483</c:v>
                </c:pt>
                <c:pt idx="103">
                  <c:v>0.2202329460733421</c:v>
                </c:pt>
                <c:pt idx="104">
                  <c:v>0.218876744520766</c:v>
                </c:pt>
                <c:pt idx="105">
                  <c:v>0.21755319506819859</c:v>
                </c:pt>
                <c:pt idx="106">
                  <c:v>0.21626151157907111</c:v>
                </c:pt>
                <c:pt idx="107">
                  <c:v>0.21500092684394995</c:v>
                </c:pt>
                <c:pt idx="108">
                  <c:v>0.21377069212484401</c:v>
                </c:pt>
                <c:pt idx="109">
                  <c:v>0.21257007671048378</c:v>
                </c:pt>
                <c:pt idx="110">
                  <c:v>0.21139836748230742</c:v>
                </c:pt>
                <c:pt idx="111">
                  <c:v>0.21025486849089625</c:v>
                </c:pt>
                <c:pt idx="112">
                  <c:v>0.20913890054260798</c:v>
                </c:pt>
                <c:pt idx="113">
                  <c:v>0.20804980079616239</c:v>
                </c:pt>
                <c:pt idx="114">
                  <c:v>0.20698692236893945</c:v>
                </c:pt>
                <c:pt idx="115">
                  <c:v>0.20594963395275637</c:v>
                </c:pt>
                <c:pt idx="116">
                  <c:v>0.20493731943889534</c:v>
                </c:pt>
                <c:pt idx="117">
                  <c:v>0.20394937755215894</c:v>
                </c:pt>
                <c:pt idx="118">
                  <c:v>0.20298522149373632</c:v>
                </c:pt>
                <c:pt idx="119">
                  <c:v>0.2020442785926676</c:v>
                </c:pt>
                <c:pt idx="120">
                  <c:v>0.2011259899656998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69-BB4E-8A6D-A73A8D95869F}"/>
            </c:ext>
          </c:extLst>
        </c:ser>
        <c:ser>
          <c:idx val="2"/>
          <c:order val="2"/>
          <c:marker>
            <c:symbol val="none"/>
          </c:marker>
          <c:cat>
            <c:numRef>
              <c:f>SLR!$B$2:$DR$2</c:f>
              <c:numCache>
                <c:formatCode>0</c:formatCode>
                <c:ptCount val="12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  <c:pt idx="39">
                  <c:v>2065</c:v>
                </c:pt>
                <c:pt idx="40">
                  <c:v>2075</c:v>
                </c:pt>
                <c:pt idx="41">
                  <c:v>2085</c:v>
                </c:pt>
                <c:pt idx="42">
                  <c:v>2095</c:v>
                </c:pt>
                <c:pt idx="43">
                  <c:v>2105</c:v>
                </c:pt>
                <c:pt idx="44">
                  <c:v>2115</c:v>
                </c:pt>
                <c:pt idx="45">
                  <c:v>2125</c:v>
                </c:pt>
                <c:pt idx="46">
                  <c:v>2135</c:v>
                </c:pt>
                <c:pt idx="47">
                  <c:v>2145</c:v>
                </c:pt>
                <c:pt idx="48">
                  <c:v>2155</c:v>
                </c:pt>
                <c:pt idx="49">
                  <c:v>2165</c:v>
                </c:pt>
                <c:pt idx="50">
                  <c:v>2175</c:v>
                </c:pt>
                <c:pt idx="51">
                  <c:v>2185</c:v>
                </c:pt>
                <c:pt idx="52">
                  <c:v>2195</c:v>
                </c:pt>
                <c:pt idx="53">
                  <c:v>2205</c:v>
                </c:pt>
                <c:pt idx="54">
                  <c:v>2215</c:v>
                </c:pt>
                <c:pt idx="55">
                  <c:v>2225</c:v>
                </c:pt>
                <c:pt idx="56">
                  <c:v>2235</c:v>
                </c:pt>
                <c:pt idx="57">
                  <c:v>2245</c:v>
                </c:pt>
                <c:pt idx="58">
                  <c:v>2255</c:v>
                </c:pt>
                <c:pt idx="59">
                  <c:v>2265</c:v>
                </c:pt>
                <c:pt idx="60">
                  <c:v>2275</c:v>
                </c:pt>
                <c:pt idx="61">
                  <c:v>2285</c:v>
                </c:pt>
                <c:pt idx="62">
                  <c:v>2295</c:v>
                </c:pt>
                <c:pt idx="63">
                  <c:v>2305</c:v>
                </c:pt>
                <c:pt idx="64">
                  <c:v>2315</c:v>
                </c:pt>
                <c:pt idx="65">
                  <c:v>2325</c:v>
                </c:pt>
                <c:pt idx="66">
                  <c:v>2335</c:v>
                </c:pt>
                <c:pt idx="67">
                  <c:v>2345</c:v>
                </c:pt>
                <c:pt idx="68">
                  <c:v>2355</c:v>
                </c:pt>
                <c:pt idx="69">
                  <c:v>2365</c:v>
                </c:pt>
                <c:pt idx="70">
                  <c:v>2375</c:v>
                </c:pt>
                <c:pt idx="71">
                  <c:v>2385</c:v>
                </c:pt>
                <c:pt idx="72">
                  <c:v>2395</c:v>
                </c:pt>
                <c:pt idx="73">
                  <c:v>2405</c:v>
                </c:pt>
                <c:pt idx="74">
                  <c:v>2415</c:v>
                </c:pt>
                <c:pt idx="75">
                  <c:v>2425</c:v>
                </c:pt>
                <c:pt idx="76">
                  <c:v>2435</c:v>
                </c:pt>
                <c:pt idx="77">
                  <c:v>2445</c:v>
                </c:pt>
                <c:pt idx="78">
                  <c:v>2455</c:v>
                </c:pt>
                <c:pt idx="79">
                  <c:v>2465</c:v>
                </c:pt>
                <c:pt idx="80">
                  <c:v>2475</c:v>
                </c:pt>
                <c:pt idx="81">
                  <c:v>2485</c:v>
                </c:pt>
                <c:pt idx="82">
                  <c:v>2495</c:v>
                </c:pt>
                <c:pt idx="83">
                  <c:v>2505</c:v>
                </c:pt>
                <c:pt idx="84">
                  <c:v>2515</c:v>
                </c:pt>
                <c:pt idx="85">
                  <c:v>2525</c:v>
                </c:pt>
                <c:pt idx="86">
                  <c:v>2535</c:v>
                </c:pt>
                <c:pt idx="87">
                  <c:v>2545</c:v>
                </c:pt>
                <c:pt idx="88">
                  <c:v>2555</c:v>
                </c:pt>
                <c:pt idx="89">
                  <c:v>2565</c:v>
                </c:pt>
                <c:pt idx="90">
                  <c:v>2575</c:v>
                </c:pt>
                <c:pt idx="91">
                  <c:v>2585</c:v>
                </c:pt>
                <c:pt idx="92">
                  <c:v>2595</c:v>
                </c:pt>
                <c:pt idx="93">
                  <c:v>2605</c:v>
                </c:pt>
                <c:pt idx="94">
                  <c:v>2615</c:v>
                </c:pt>
                <c:pt idx="95">
                  <c:v>2625</c:v>
                </c:pt>
                <c:pt idx="96">
                  <c:v>2635</c:v>
                </c:pt>
                <c:pt idx="97">
                  <c:v>2645</c:v>
                </c:pt>
                <c:pt idx="98">
                  <c:v>2655</c:v>
                </c:pt>
                <c:pt idx="99">
                  <c:v>2665</c:v>
                </c:pt>
                <c:pt idx="100">
                  <c:v>2675</c:v>
                </c:pt>
                <c:pt idx="101">
                  <c:v>2685</c:v>
                </c:pt>
                <c:pt idx="102">
                  <c:v>2695</c:v>
                </c:pt>
                <c:pt idx="103">
                  <c:v>2705</c:v>
                </c:pt>
                <c:pt idx="104" formatCode="General">
                  <c:v>2715</c:v>
                </c:pt>
                <c:pt idx="105" formatCode="General">
                  <c:v>2725</c:v>
                </c:pt>
                <c:pt idx="106" formatCode="General">
                  <c:v>2735</c:v>
                </c:pt>
                <c:pt idx="107" formatCode="General">
                  <c:v>2745</c:v>
                </c:pt>
                <c:pt idx="108" formatCode="General">
                  <c:v>2755</c:v>
                </c:pt>
                <c:pt idx="109" formatCode="General">
                  <c:v>2765</c:v>
                </c:pt>
                <c:pt idx="110" formatCode="General">
                  <c:v>2775</c:v>
                </c:pt>
                <c:pt idx="111" formatCode="General">
                  <c:v>2785</c:v>
                </c:pt>
                <c:pt idx="112" formatCode="General">
                  <c:v>2795</c:v>
                </c:pt>
                <c:pt idx="113" formatCode="General">
                  <c:v>2805</c:v>
                </c:pt>
                <c:pt idx="114" formatCode="General">
                  <c:v>2815</c:v>
                </c:pt>
                <c:pt idx="115" formatCode="General">
                  <c:v>2825</c:v>
                </c:pt>
                <c:pt idx="116" formatCode="General">
                  <c:v>2835</c:v>
                </c:pt>
                <c:pt idx="117" formatCode="General">
                  <c:v>2845</c:v>
                </c:pt>
                <c:pt idx="118" formatCode="General">
                  <c:v>2855</c:v>
                </c:pt>
                <c:pt idx="119" formatCode="General">
                  <c:v>2865</c:v>
                </c:pt>
                <c:pt idx="120" formatCode="General">
                  <c:v>2875</c:v>
                </c:pt>
              </c:numCache>
            </c:numRef>
          </c:cat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0.11827749376652623</c:v>
                </c:pt>
                <c:pt idx="1">
                  <c:v>0.13504741227397216</c:v>
                </c:pt>
                <c:pt idx="2">
                  <c:v>0.15355421624925447</c:v>
                </c:pt>
                <c:pt idx="3">
                  <c:v>0.17219262687667669</c:v>
                </c:pt>
                <c:pt idx="4">
                  <c:v>0.1931032428699348</c:v>
                </c:pt>
                <c:pt idx="5">
                  <c:v>0.21774284490683876</c:v>
                </c:pt>
                <c:pt idx="6">
                  <c:v>0.23880267056497367</c:v>
                </c:pt>
                <c:pt idx="7">
                  <c:v>0.26354681230487392</c:v>
                </c:pt>
                <c:pt idx="8">
                  <c:v>0.29217475942525339</c:v>
                </c:pt>
                <c:pt idx="9">
                  <c:v>0.31394396101911209</c:v>
                </c:pt>
                <c:pt idx="10">
                  <c:v>0.33579106774017553</c:v>
                </c:pt>
                <c:pt idx="11">
                  <c:v>0.36151210331680173</c:v>
                </c:pt>
                <c:pt idx="12">
                  <c:v>0.38983947579962397</c:v>
                </c:pt>
                <c:pt idx="13">
                  <c:v>0.41752111473896053</c:v>
                </c:pt>
                <c:pt idx="14">
                  <c:v>0.44228012182083648</c:v>
                </c:pt>
                <c:pt idx="15">
                  <c:v>0.47075315802058959</c:v>
                </c:pt>
                <c:pt idx="16">
                  <c:v>0.49801643916550253</c:v>
                </c:pt>
                <c:pt idx="17">
                  <c:v>0.52551060586741549</c:v>
                </c:pt>
                <c:pt idx="18">
                  <c:v>0.54931110852908271</c:v>
                </c:pt>
                <c:pt idx="19">
                  <c:v>0.57591626070004664</c:v>
                </c:pt>
                <c:pt idx="20">
                  <c:v>0.60414101120385211</c:v>
                </c:pt>
                <c:pt idx="21">
                  <c:v>0.62898981178855085</c:v>
                </c:pt>
                <c:pt idx="22">
                  <c:v>0.65465482905283756</c:v>
                </c:pt>
                <c:pt idx="23">
                  <c:v>0.68084080447069151</c:v>
                </c:pt>
                <c:pt idx="24">
                  <c:v>0.7083429302530404</c:v>
                </c:pt>
                <c:pt idx="25">
                  <c:v>0.73980960358265202</c:v>
                </c:pt>
                <c:pt idx="26">
                  <c:v>0.7737863156548016</c:v>
                </c:pt>
                <c:pt idx="27">
                  <c:v>0.80489195743049047</c:v>
                </c:pt>
                <c:pt idx="28">
                  <c:v>0.83373980001298231</c:v>
                </c:pt>
                <c:pt idx="29">
                  <c:v>0.86562962080576122</c:v>
                </c:pt>
                <c:pt idx="30">
                  <c:v>0.8978690211264494</c:v>
                </c:pt>
                <c:pt idx="31">
                  <c:v>0.92553606162415614</c:v>
                </c:pt>
                <c:pt idx="32">
                  <c:v>0.95390037706267217</c:v>
                </c:pt>
                <c:pt idx="33">
                  <c:v>0.98907640686630993</c:v>
                </c:pt>
                <c:pt idx="34">
                  <c:v>0.98718505319581284</c:v>
                </c:pt>
                <c:pt idx="35">
                  <c:v>0.98546891837845796</c:v>
                </c:pt>
                <c:pt idx="36">
                  <c:v>0.98392367723216778</c:v>
                </c:pt>
                <c:pt idx="37">
                  <c:v>0.98254510879616552</c:v>
                </c:pt>
                <c:pt idx="38">
                  <c:v>0.98132909382165667</c:v>
                </c:pt>
                <c:pt idx="39">
                  <c:v>0.98027161232292503</c:v>
                </c:pt>
                <c:pt idx="40">
                  <c:v>0.9793687411873887</c:v>
                </c:pt>
                <c:pt idx="41">
                  <c:v>0.97861665184319746</c:v>
                </c:pt>
                <c:pt idx="42">
                  <c:v>0.97801160798298425</c:v>
                </c:pt>
                <c:pt idx="43">
                  <c:v>0.9775499633424215</c:v>
                </c:pt>
                <c:pt idx="44">
                  <c:v>0.97722815953226028</c:v>
                </c:pt>
                <c:pt idx="45">
                  <c:v>0.97704272392256564</c:v>
                </c:pt>
                <c:pt idx="46">
                  <c:v>0.97699026757789209</c:v>
                </c:pt>
                <c:pt idx="47">
                  <c:v>0.97706748324217174</c:v>
                </c:pt>
                <c:pt idx="48">
                  <c:v>0.97727114337211818</c:v>
                </c:pt>
                <c:pt idx="49">
                  <c:v>0.97759809821797994</c:v>
                </c:pt>
                <c:pt idx="50">
                  <c:v>0.97804527395049989</c:v>
                </c:pt>
                <c:pt idx="51">
                  <c:v>0.97860967083297234</c:v>
                </c:pt>
                <c:pt idx="52">
                  <c:v>0.97928836143730869</c:v>
                </c:pt>
                <c:pt idx="53">
                  <c:v>0.98007848890305393</c:v>
                </c:pt>
                <c:pt idx="54">
                  <c:v>0.98097726523831963</c:v>
                </c:pt>
                <c:pt idx="55">
                  <c:v>0.98198196966162299</c:v>
                </c:pt>
                <c:pt idx="56">
                  <c:v>0.98308994698364871</c:v>
                </c:pt>
                <c:pt idx="57">
                  <c:v>0.98429860602797281</c:v>
                </c:pt>
                <c:pt idx="58">
                  <c:v>0.98560541808980695</c:v>
                </c:pt>
                <c:pt idx="59">
                  <c:v>0.98700791543185284</c:v>
                </c:pt>
                <c:pt idx="60">
                  <c:v>0.98850368981636905</c:v>
                </c:pt>
                <c:pt idx="61">
                  <c:v>0.9900903910725809</c:v>
                </c:pt>
                <c:pt idx="62">
                  <c:v>0.99176572569858124</c:v>
                </c:pt>
                <c:pt idx="63">
                  <c:v>0.99352745549689248</c:v>
                </c:pt>
                <c:pt idx="64">
                  <c:v>0.99537339624287846</c:v>
                </c:pt>
                <c:pt idx="65">
                  <c:v>0.9973014163852163</c:v>
                </c:pt>
                <c:pt idx="66">
                  <c:v>0.99930943577765674</c:v>
                </c:pt>
                <c:pt idx="67">
                  <c:v>1.0013954244413168</c:v>
                </c:pt>
                <c:pt idx="68">
                  <c:v>1.0035574013567734</c:v>
                </c:pt>
                <c:pt idx="69">
                  <c:v>1.0057934332852394</c:v>
                </c:pt>
                <c:pt idx="70">
                  <c:v>1.0081016336181181</c:v>
                </c:pt>
                <c:pt idx="71">
                  <c:v>1.0104801612542595</c:v>
                </c:pt>
                <c:pt idx="72">
                  <c:v>1.0129272195042465</c:v>
                </c:pt>
                <c:pt idx="73">
                  <c:v>1.0154410550210611</c:v>
                </c:pt>
                <c:pt idx="74">
                  <c:v>1.0180199567564974</c:v>
                </c:pt>
                <c:pt idx="75">
                  <c:v>1.0206622549426996</c:v>
                </c:pt>
                <c:pt idx="76">
                  <c:v>1.0233663200982199</c:v>
                </c:pt>
                <c:pt idx="77">
                  <c:v>1.0261305620580088</c:v>
                </c:pt>
                <c:pt idx="78">
                  <c:v>1.0289534290267566</c:v>
                </c:pt>
                <c:pt idx="79">
                  <c:v>1.0318334066550303</c:v>
                </c:pt>
                <c:pt idx="80">
                  <c:v>1.0347690171376509</c:v>
                </c:pt>
                <c:pt idx="81">
                  <c:v>1.0377588183337787</c:v>
                </c:pt>
                <c:pt idx="82">
                  <c:v>1.0408014029081856</c:v>
                </c:pt>
                <c:pt idx="83">
                  <c:v>1.0438953974931997</c:v>
                </c:pt>
                <c:pt idx="84">
                  <c:v>1.0470394618708287</c:v>
                </c:pt>
                <c:pt idx="85">
                  <c:v>1.0502322881745747</c:v>
                </c:pt>
                <c:pt idx="86">
                  <c:v>1.0534726001104646</c:v>
                </c:pt>
                <c:pt idx="87">
                  <c:v>1.0567591521968382</c:v>
                </c:pt>
                <c:pt idx="88">
                  <c:v>1.060090729022436</c:v>
                </c:pt>
                <c:pt idx="89">
                  <c:v>1.063466144522351</c:v>
                </c:pt>
                <c:pt idx="90">
                  <c:v>1.0668842412714143</c:v>
                </c:pt>
                <c:pt idx="91">
                  <c:v>1.0703438897945896</c:v>
                </c:pt>
                <c:pt idx="92">
                  <c:v>1.0738439878939747</c:v>
                </c:pt>
                <c:pt idx="93">
                  <c:v>1.0773834599920038</c:v>
                </c:pt>
                <c:pt idx="94">
                  <c:v>1.080961256490464</c:v>
                </c:pt>
                <c:pt idx="95">
                  <c:v>1.0845763531449437</c:v>
                </c:pt>
                <c:pt idx="96">
                  <c:v>1.0882277504543425</c:v>
                </c:pt>
                <c:pt idx="97">
                  <c:v>1.0919144730650792</c:v>
                </c:pt>
                <c:pt idx="98">
                  <c:v>1.095635569189644</c:v>
                </c:pt>
                <c:pt idx="99">
                  <c:v>1.0993901100391505</c:v>
                </c:pt>
                <c:pt idx="100">
                  <c:v>1.1031771892695481</c:v>
                </c:pt>
                <c:pt idx="101">
                  <c:v>1.1069959224411692</c:v>
                </c:pt>
                <c:pt idx="102">
                  <c:v>1.1108454464912887</c:v>
                </c:pt>
                <c:pt idx="103">
                  <c:v>1.11472491921938</c:v>
                </c:pt>
                <c:pt idx="104">
                  <c:v>1.118633518784766</c:v>
                </c:pt>
                <c:pt idx="105">
                  <c:v>1.1225704432163652</c:v>
                </c:pt>
                <c:pt idx="106">
                  <c:v>1.1265349099342392</c:v>
                </c:pt>
                <c:pt idx="107">
                  <c:v>1.1305261552826618</c:v>
                </c:pt>
                <c:pt idx="108">
                  <c:v>1.1345434340744283</c:v>
                </c:pt>
                <c:pt idx="109">
                  <c:v>1.1385860191461368</c:v>
                </c:pt>
                <c:pt idx="110">
                  <c:v>1.1426532009241777</c:v>
                </c:pt>
                <c:pt idx="111">
                  <c:v>1.1467442870011704</c:v>
                </c:pt>
                <c:pt idx="112">
                  <c:v>1.1508586017225997</c:v>
                </c:pt>
                <c:pt idx="113">
                  <c:v>1.1549954857834035</c:v>
                </c:pt>
                <c:pt idx="114">
                  <c:v>1.1591542958342731</c:v>
                </c:pt>
                <c:pt idx="115">
                  <c:v>1.1633344040974336</c:v>
                </c:pt>
                <c:pt idx="116">
                  <c:v>1.1675351979916728</c:v>
                </c:pt>
                <c:pt idx="117">
                  <c:v>1.1717560797663999</c:v>
                </c:pt>
                <c:pt idx="118">
                  <c:v>1.1759964661445137</c:v>
                </c:pt>
                <c:pt idx="119">
                  <c:v>1.1802557879738689</c:v>
                </c:pt>
                <c:pt idx="120">
                  <c:v>1.1845334898871358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69-BB4E-8A6D-A73A8D95869F}"/>
            </c:ext>
          </c:extLst>
        </c:ser>
        <c:ser>
          <c:idx val="3"/>
          <c:order val="3"/>
          <c:marker>
            <c:symbol val="none"/>
          </c:marker>
          <c:cat>
            <c:numRef>
              <c:f>SLR!$B$2:$DR$2</c:f>
              <c:numCache>
                <c:formatCode>0</c:formatCode>
                <c:ptCount val="12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2035</c:v>
                </c:pt>
                <c:pt idx="37">
                  <c:v>2045</c:v>
                </c:pt>
                <c:pt idx="38">
                  <c:v>2055</c:v>
                </c:pt>
                <c:pt idx="39">
                  <c:v>2065</c:v>
                </c:pt>
                <c:pt idx="40">
                  <c:v>2075</c:v>
                </c:pt>
                <c:pt idx="41">
                  <c:v>2085</c:v>
                </c:pt>
                <c:pt idx="42">
                  <c:v>2095</c:v>
                </c:pt>
                <c:pt idx="43">
                  <c:v>2105</c:v>
                </c:pt>
                <c:pt idx="44">
                  <c:v>2115</c:v>
                </c:pt>
                <c:pt idx="45">
                  <c:v>2125</c:v>
                </c:pt>
                <c:pt idx="46">
                  <c:v>2135</c:v>
                </c:pt>
                <c:pt idx="47">
                  <c:v>2145</c:v>
                </c:pt>
                <c:pt idx="48">
                  <c:v>2155</c:v>
                </c:pt>
                <c:pt idx="49">
                  <c:v>2165</c:v>
                </c:pt>
                <c:pt idx="50">
                  <c:v>2175</c:v>
                </c:pt>
                <c:pt idx="51">
                  <c:v>2185</c:v>
                </c:pt>
                <c:pt idx="52">
                  <c:v>2195</c:v>
                </c:pt>
                <c:pt idx="53">
                  <c:v>2205</c:v>
                </c:pt>
                <c:pt idx="54">
                  <c:v>2215</c:v>
                </c:pt>
                <c:pt idx="55">
                  <c:v>2225</c:v>
                </c:pt>
                <c:pt idx="56">
                  <c:v>2235</c:v>
                </c:pt>
                <c:pt idx="57">
                  <c:v>2245</c:v>
                </c:pt>
                <c:pt idx="58">
                  <c:v>2255</c:v>
                </c:pt>
                <c:pt idx="59">
                  <c:v>2265</c:v>
                </c:pt>
                <c:pt idx="60">
                  <c:v>2275</c:v>
                </c:pt>
                <c:pt idx="61">
                  <c:v>2285</c:v>
                </c:pt>
                <c:pt idx="62">
                  <c:v>2295</c:v>
                </c:pt>
                <c:pt idx="63">
                  <c:v>2305</c:v>
                </c:pt>
                <c:pt idx="64">
                  <c:v>2315</c:v>
                </c:pt>
                <c:pt idx="65">
                  <c:v>2325</c:v>
                </c:pt>
                <c:pt idx="66">
                  <c:v>2335</c:v>
                </c:pt>
                <c:pt idx="67">
                  <c:v>2345</c:v>
                </c:pt>
                <c:pt idx="68">
                  <c:v>2355</c:v>
                </c:pt>
                <c:pt idx="69">
                  <c:v>2365</c:v>
                </c:pt>
                <c:pt idx="70">
                  <c:v>2375</c:v>
                </c:pt>
                <c:pt idx="71">
                  <c:v>2385</c:v>
                </c:pt>
                <c:pt idx="72">
                  <c:v>2395</c:v>
                </c:pt>
                <c:pt idx="73">
                  <c:v>2405</c:v>
                </c:pt>
                <c:pt idx="74">
                  <c:v>2415</c:v>
                </c:pt>
                <c:pt idx="75">
                  <c:v>2425</c:v>
                </c:pt>
                <c:pt idx="76">
                  <c:v>2435</c:v>
                </c:pt>
                <c:pt idx="77">
                  <c:v>2445</c:v>
                </c:pt>
                <c:pt idx="78">
                  <c:v>2455</c:v>
                </c:pt>
                <c:pt idx="79">
                  <c:v>2465</c:v>
                </c:pt>
                <c:pt idx="80">
                  <c:v>2475</c:v>
                </c:pt>
                <c:pt idx="81">
                  <c:v>2485</c:v>
                </c:pt>
                <c:pt idx="82">
                  <c:v>2495</c:v>
                </c:pt>
                <c:pt idx="83">
                  <c:v>2505</c:v>
                </c:pt>
                <c:pt idx="84">
                  <c:v>2515</c:v>
                </c:pt>
                <c:pt idx="85">
                  <c:v>2525</c:v>
                </c:pt>
                <c:pt idx="86">
                  <c:v>2535</c:v>
                </c:pt>
                <c:pt idx="87">
                  <c:v>2545</c:v>
                </c:pt>
                <c:pt idx="88">
                  <c:v>2555</c:v>
                </c:pt>
                <c:pt idx="89">
                  <c:v>2565</c:v>
                </c:pt>
                <c:pt idx="90">
                  <c:v>2575</c:v>
                </c:pt>
                <c:pt idx="91">
                  <c:v>2585</c:v>
                </c:pt>
                <c:pt idx="92">
                  <c:v>2595</c:v>
                </c:pt>
                <c:pt idx="93">
                  <c:v>2605</c:v>
                </c:pt>
                <c:pt idx="94">
                  <c:v>2615</c:v>
                </c:pt>
                <c:pt idx="95">
                  <c:v>2625</c:v>
                </c:pt>
                <c:pt idx="96">
                  <c:v>2635</c:v>
                </c:pt>
                <c:pt idx="97">
                  <c:v>2645</c:v>
                </c:pt>
                <c:pt idx="98">
                  <c:v>2655</c:v>
                </c:pt>
                <c:pt idx="99">
                  <c:v>2665</c:v>
                </c:pt>
                <c:pt idx="100">
                  <c:v>2675</c:v>
                </c:pt>
                <c:pt idx="101">
                  <c:v>2685</c:v>
                </c:pt>
                <c:pt idx="102">
                  <c:v>2695</c:v>
                </c:pt>
                <c:pt idx="103">
                  <c:v>2705</c:v>
                </c:pt>
                <c:pt idx="104" formatCode="General">
                  <c:v>2715</c:v>
                </c:pt>
                <c:pt idx="105" formatCode="General">
                  <c:v>2725</c:v>
                </c:pt>
                <c:pt idx="106" formatCode="General">
                  <c:v>2735</c:v>
                </c:pt>
                <c:pt idx="107" formatCode="General">
                  <c:v>2745</c:v>
                </c:pt>
                <c:pt idx="108" formatCode="General">
                  <c:v>2755</c:v>
                </c:pt>
                <c:pt idx="109" formatCode="General">
                  <c:v>2765</c:v>
                </c:pt>
                <c:pt idx="110" formatCode="General">
                  <c:v>2775</c:v>
                </c:pt>
                <c:pt idx="111" formatCode="General">
                  <c:v>2785</c:v>
                </c:pt>
                <c:pt idx="112" formatCode="General">
                  <c:v>2795</c:v>
                </c:pt>
                <c:pt idx="113" formatCode="General">
                  <c:v>2805</c:v>
                </c:pt>
                <c:pt idx="114" formatCode="General">
                  <c:v>2815</c:v>
                </c:pt>
                <c:pt idx="115" formatCode="General">
                  <c:v>2825</c:v>
                </c:pt>
                <c:pt idx="116" formatCode="General">
                  <c:v>2835</c:v>
                </c:pt>
                <c:pt idx="117" formatCode="General">
                  <c:v>2845</c:v>
                </c:pt>
                <c:pt idx="118" formatCode="General">
                  <c:v>2855</c:v>
                </c:pt>
                <c:pt idx="119" formatCode="General">
                  <c:v>2865</c:v>
                </c:pt>
                <c:pt idx="120" formatCode="General">
                  <c:v>2875</c:v>
                </c:pt>
              </c:numCache>
            </c:numRef>
          </c:cat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0.12036101040599263</c:v>
                </c:pt>
                <c:pt idx="1">
                  <c:v>0.1396047102233087</c:v>
                </c:pt>
                <c:pt idx="2">
                  <c:v>0.16199024832191464</c:v>
                </c:pt>
                <c:pt idx="3">
                  <c:v>0.18442934013857976</c:v>
                </c:pt>
                <c:pt idx="4">
                  <c:v>0.20851621384843474</c:v>
                </c:pt>
                <c:pt idx="5">
                  <c:v>0.23531738545888586</c:v>
                </c:pt>
                <c:pt idx="6">
                  <c:v>0.25939736296545618</c:v>
                </c:pt>
                <c:pt idx="7">
                  <c:v>0.28614696841074205</c:v>
                </c:pt>
                <c:pt idx="8">
                  <c:v>0.31568763815937667</c:v>
                </c:pt>
                <c:pt idx="9">
                  <c:v>0.34008672693126701</c:v>
                </c:pt>
                <c:pt idx="10">
                  <c:v>0.36448566789628134</c:v>
                </c:pt>
                <c:pt idx="11">
                  <c:v>0.38606246874644762</c:v>
                </c:pt>
                <c:pt idx="12">
                  <c:v>0.40946507716200242</c:v>
                </c:pt>
                <c:pt idx="13">
                  <c:v>0.4323000049681523</c:v>
                </c:pt>
                <c:pt idx="14">
                  <c:v>0.45291477732356833</c:v>
                </c:pt>
                <c:pt idx="15">
                  <c:v>0.47615083771973099</c:v>
                </c:pt>
                <c:pt idx="16">
                  <c:v>0.49841130186329574</c:v>
                </c:pt>
                <c:pt idx="17">
                  <c:v>0.520746545695699</c:v>
                </c:pt>
                <c:pt idx="18">
                  <c:v>0.54032476069682556</c:v>
                </c:pt>
                <c:pt idx="19">
                  <c:v>0.5618490429323606</c:v>
                </c:pt>
                <c:pt idx="20">
                  <c:v>0.58444655296217185</c:v>
                </c:pt>
                <c:pt idx="21">
                  <c:v>0.60452669534776471</c:v>
                </c:pt>
                <c:pt idx="22">
                  <c:v>0.62511084267662242</c:v>
                </c:pt>
                <c:pt idx="23">
                  <c:v>0.64598178935680517</c:v>
                </c:pt>
                <c:pt idx="24">
                  <c:v>0.66770056879699846</c:v>
                </c:pt>
                <c:pt idx="25">
                  <c:v>0.69213504883916244</c:v>
                </c:pt>
                <c:pt idx="26">
                  <c:v>0.71822098534897605</c:v>
                </c:pt>
                <c:pt idx="27">
                  <c:v>0.74213832796905577</c:v>
                </c:pt>
                <c:pt idx="28">
                  <c:v>0.76434424193450368</c:v>
                </c:pt>
                <c:pt idx="29">
                  <c:v>0.78857744596718893</c:v>
                </c:pt>
                <c:pt idx="30">
                  <c:v>0.81292607072554124</c:v>
                </c:pt>
                <c:pt idx="31">
                  <c:v>0.83395118260620404</c:v>
                </c:pt>
                <c:pt idx="32">
                  <c:v>0.85536135769135313</c:v>
                </c:pt>
                <c:pt idx="33">
                  <c:v>0.881397764987363</c:v>
                </c:pt>
                <c:pt idx="34">
                  <c:v>0.88160641131686601</c:v>
                </c:pt>
                <c:pt idx="35">
                  <c:v>0.88199027649951112</c:v>
                </c:pt>
                <c:pt idx="36">
                  <c:v>0.88254503535322093</c:v>
                </c:pt>
                <c:pt idx="37">
                  <c:v>0.88326646691721866</c:v>
                </c:pt>
                <c:pt idx="38">
                  <c:v>0.8841504519427098</c:v>
                </c:pt>
                <c:pt idx="39">
                  <c:v>0.88519297044397816</c:v>
                </c:pt>
                <c:pt idx="40">
                  <c:v>0.88639009930844181</c:v>
                </c:pt>
                <c:pt idx="41">
                  <c:v>0.88773800996425056</c:v>
                </c:pt>
                <c:pt idx="42">
                  <c:v>0.88923296610403746</c:v>
                </c:pt>
                <c:pt idx="43">
                  <c:v>0.8908713214634747</c:v>
                </c:pt>
                <c:pt idx="44">
                  <c:v>0.89264951765331346</c:v>
                </c:pt>
                <c:pt idx="45">
                  <c:v>0.89456408204361881</c:v>
                </c:pt>
                <c:pt idx="46">
                  <c:v>0.89661162569894526</c:v>
                </c:pt>
                <c:pt idx="47">
                  <c:v>0.8987888413632249</c:v>
                </c:pt>
                <c:pt idx="48">
                  <c:v>0.90109250149317133</c:v>
                </c:pt>
                <c:pt idx="49">
                  <c:v>0.90351945633903308</c:v>
                </c:pt>
                <c:pt idx="50">
                  <c:v>0.90606663207155314</c:v>
                </c:pt>
                <c:pt idx="51">
                  <c:v>0.90873102895402558</c:v>
                </c:pt>
                <c:pt idx="52">
                  <c:v>0.91150971955836191</c:v>
                </c:pt>
                <c:pt idx="53">
                  <c:v>0.91439984702410715</c:v>
                </c:pt>
                <c:pt idx="54">
                  <c:v>0.91739862335937283</c:v>
                </c:pt>
                <c:pt idx="55">
                  <c:v>0.92050332778267618</c:v>
                </c:pt>
                <c:pt idx="56">
                  <c:v>0.9237113051047019</c:v>
                </c:pt>
                <c:pt idx="57">
                  <c:v>0.92701996414902599</c:v>
                </c:pt>
                <c:pt idx="58">
                  <c:v>0.93042677621086012</c:v>
                </c:pt>
                <c:pt idx="59">
                  <c:v>0.933929273552906</c:v>
                </c:pt>
                <c:pt idx="60">
                  <c:v>0.9375250479374222</c:v>
                </c:pt>
                <c:pt idx="61">
                  <c:v>0.94121174919363404</c:v>
                </c:pt>
                <c:pt idx="62">
                  <c:v>0.94498708381963437</c:v>
                </c:pt>
                <c:pt idx="63">
                  <c:v>0.94884881361794571</c:v>
                </c:pt>
                <c:pt idx="64">
                  <c:v>0.95279475436393168</c:v>
                </c:pt>
                <c:pt idx="65">
                  <c:v>0.95682277450626951</c:v>
                </c:pt>
                <c:pt idx="66">
                  <c:v>0.96093079389870995</c:v>
                </c:pt>
                <c:pt idx="67">
                  <c:v>0.96511678256236999</c:v>
                </c:pt>
                <c:pt idx="68">
                  <c:v>0.96937875947782659</c:v>
                </c:pt>
                <c:pt idx="69">
                  <c:v>0.97371479140629258</c:v>
                </c:pt>
                <c:pt idx="70">
                  <c:v>0.97812299173917128</c:v>
                </c:pt>
                <c:pt idx="71">
                  <c:v>0.9826015193753127</c:v>
                </c:pt>
                <c:pt idx="72">
                  <c:v>0.98714857762529962</c:v>
                </c:pt>
                <c:pt idx="73">
                  <c:v>0.99176241314211422</c:v>
                </c:pt>
                <c:pt idx="74">
                  <c:v>0.9964413148775505</c:v>
                </c:pt>
                <c:pt idx="75">
                  <c:v>1.0011836130637528</c:v>
                </c:pt>
                <c:pt idx="76">
                  <c:v>1.0059876782192732</c:v>
                </c:pt>
                <c:pt idx="77">
                  <c:v>1.010851920179062</c:v>
                </c:pt>
                <c:pt idx="78">
                  <c:v>1.0157747871478098</c:v>
                </c:pt>
                <c:pt idx="79">
                  <c:v>1.0207547647760835</c:v>
                </c:pt>
                <c:pt idx="80">
                  <c:v>1.0257903752587041</c:v>
                </c:pt>
                <c:pt idx="81">
                  <c:v>1.0308801764548319</c:v>
                </c:pt>
                <c:pt idx="82">
                  <c:v>1.0360227610292387</c:v>
                </c:pt>
                <c:pt idx="83">
                  <c:v>1.0412167556142529</c:v>
                </c:pt>
                <c:pt idx="84">
                  <c:v>1.0464608199918819</c:v>
                </c:pt>
                <c:pt idx="85">
                  <c:v>1.0517536462956278</c:v>
                </c:pt>
                <c:pt idx="86">
                  <c:v>1.0570939582315177</c:v>
                </c:pt>
                <c:pt idx="87">
                  <c:v>1.0624805103178914</c:v>
                </c:pt>
                <c:pt idx="88">
                  <c:v>1.0679120871434891</c:v>
                </c:pt>
                <c:pt idx="89">
                  <c:v>1.0733875026434041</c:v>
                </c:pt>
                <c:pt idx="90">
                  <c:v>1.0789055993924674</c:v>
                </c:pt>
                <c:pt idx="91">
                  <c:v>1.0844652479156427</c:v>
                </c:pt>
                <c:pt idx="92">
                  <c:v>1.0900653460150278</c:v>
                </c:pt>
                <c:pt idx="93">
                  <c:v>1.0957048181130569</c:v>
                </c:pt>
                <c:pt idx="94">
                  <c:v>1.1013826146115173</c:v>
                </c:pt>
                <c:pt idx="95">
                  <c:v>1.107097711265997</c:v>
                </c:pt>
                <c:pt idx="96">
                  <c:v>1.1128491085753958</c:v>
                </c:pt>
                <c:pt idx="97">
                  <c:v>1.1186358311861324</c:v>
                </c:pt>
                <c:pt idx="98">
                  <c:v>1.1244569273106972</c:v>
                </c:pt>
                <c:pt idx="99">
                  <c:v>1.1303114681602038</c:v>
                </c:pt>
                <c:pt idx="100">
                  <c:v>1.1361985473906013</c:v>
                </c:pt>
                <c:pt idx="101">
                  <c:v>1.1421172805622224</c:v>
                </c:pt>
                <c:pt idx="102">
                  <c:v>1.1480668046123419</c:v>
                </c:pt>
                <c:pt idx="103">
                  <c:v>1.1540462773404332</c:v>
                </c:pt>
                <c:pt idx="104">
                  <c:v>1.1600548769058192</c:v>
                </c:pt>
                <c:pt idx="105">
                  <c:v>1.1660918013374184</c:v>
                </c:pt>
                <c:pt idx="106">
                  <c:v>1.1721562680552924</c:v>
                </c:pt>
                <c:pt idx="107">
                  <c:v>1.1782475134037149</c:v>
                </c:pt>
                <c:pt idx="108">
                  <c:v>1.1843647921954814</c:v>
                </c:pt>
                <c:pt idx="109">
                  <c:v>1.1905073772671899</c:v>
                </c:pt>
                <c:pt idx="110">
                  <c:v>1.1966745590452308</c:v>
                </c:pt>
                <c:pt idx="111">
                  <c:v>1.2028656451222235</c:v>
                </c:pt>
                <c:pt idx="112">
                  <c:v>1.2090799598436528</c:v>
                </c:pt>
                <c:pt idx="113">
                  <c:v>1.2153168439044566</c:v>
                </c:pt>
                <c:pt idx="114">
                  <c:v>1.2215756539553262</c:v>
                </c:pt>
                <c:pt idx="115">
                  <c:v>1.2278557622184867</c:v>
                </c:pt>
                <c:pt idx="116">
                  <c:v>1.2341565561127259</c:v>
                </c:pt>
                <c:pt idx="117">
                  <c:v>1.240477437887453</c:v>
                </c:pt>
                <c:pt idx="118">
                  <c:v>1.246817824265567</c:v>
                </c:pt>
                <c:pt idx="119">
                  <c:v>1.2531771460949221</c:v>
                </c:pt>
                <c:pt idx="120">
                  <c:v>1.2595548480081891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69-BB4E-8A6D-A73A8D958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399616"/>
        <c:axId val="342405504"/>
      </c:lineChart>
      <c:catAx>
        <c:axId val="342399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2405504"/>
        <c:crosses val="autoZero"/>
        <c:auto val="1"/>
        <c:lblAlgn val="ctr"/>
        <c:lblOffset val="100"/>
        <c:noMultiLvlLbl val="0"/>
      </c:catAx>
      <c:valAx>
        <c:axId val="34240550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34239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P172"/>
  <sheetViews>
    <sheetView topLeftCell="A155" zoomScale="85" zoomScaleNormal="85" workbookViewId="0">
      <selection activeCell="A169" sqref="A169"/>
    </sheetView>
  </sheetViews>
  <sheetFormatPr baseColWidth="10" defaultColWidth="9.1640625" defaultRowHeight="15" x14ac:dyDescent="0.2"/>
  <cols>
    <col min="1" max="2" width="10.5" style="170" customWidth="1"/>
    <col min="3" max="3" width="19.1640625" style="170" customWidth="1"/>
    <col min="4" max="4" width="10.5" style="170" customWidth="1"/>
    <col min="5" max="5" width="9.1640625" style="170"/>
    <col min="6" max="10" width="12" style="170" bestFit="1" customWidth="1"/>
    <col min="11" max="16384" width="9.1640625" style="170"/>
  </cols>
  <sheetData>
    <row r="1" spans="1:9" s="483" customFormat="1" ht="18.75" customHeight="1" x14ac:dyDescent="0.2">
      <c r="A1" s="483" t="s">
        <v>865</v>
      </c>
      <c r="G1" s="484"/>
    </row>
    <row r="2" spans="1:9" s="483" customFormat="1" ht="18.75" customHeight="1" x14ac:dyDescent="0.2">
      <c r="A2" s="485"/>
      <c r="C2" s="206"/>
      <c r="D2" s="2"/>
      <c r="E2" s="2"/>
    </row>
    <row r="3" spans="1:9" s="485" customFormat="1" ht="18.75" customHeight="1" x14ac:dyDescent="0.2"/>
    <row r="4" spans="1:9" s="483" customFormat="1" ht="18.75" customHeight="1" x14ac:dyDescent="0.3">
      <c r="A4" s="672" t="s">
        <v>308</v>
      </c>
    </row>
    <row r="5" spans="1:9" s="483" customFormat="1" ht="18.75" customHeight="1" x14ac:dyDescent="0.2">
      <c r="A5" s="483" t="s">
        <v>1143</v>
      </c>
    </row>
    <row r="6" spans="1:9" s="483" customFormat="1" ht="18.75" customHeight="1" x14ac:dyDescent="0.2">
      <c r="A6" s="483" t="s">
        <v>830</v>
      </c>
    </row>
    <row r="7" spans="1:9" s="483" customFormat="1" ht="18.75" customHeight="1" x14ac:dyDescent="0.2">
      <c r="A7" s="483" t="s">
        <v>1020</v>
      </c>
    </row>
    <row r="8" spans="1:9" s="483" customFormat="1" ht="18.75" customHeight="1" x14ac:dyDescent="0.2"/>
    <row r="9" spans="1:9" s="483" customFormat="1" ht="18.75" customHeight="1" x14ac:dyDescent="0.2">
      <c r="A9" s="483" t="s">
        <v>1021</v>
      </c>
    </row>
    <row r="11" spans="1:9" s="483" customFormat="1" ht="18.75" customHeight="1" thickBot="1" x14ac:dyDescent="0.25">
      <c r="A11" s="483" t="s">
        <v>1269</v>
      </c>
    </row>
    <row r="12" spans="1:9" s="483" customFormat="1" ht="18.75" customHeight="1" thickBot="1" x14ac:dyDescent="0.25">
      <c r="A12" s="362" t="s">
        <v>954</v>
      </c>
      <c r="B12" s="362"/>
      <c r="C12" s="215"/>
      <c r="D12" s="215"/>
      <c r="E12" s="215"/>
      <c r="F12" s="215"/>
      <c r="I12" s="487">
        <v>1</v>
      </c>
    </row>
    <row r="13" spans="1:9" s="483" customFormat="1" ht="18.75" customHeight="1" thickBot="1" x14ac:dyDescent="0.25">
      <c r="A13" s="488" t="s">
        <v>966</v>
      </c>
      <c r="B13" s="362"/>
      <c r="C13" s="215"/>
      <c r="D13" s="215"/>
      <c r="E13" s="215"/>
      <c r="F13" s="215"/>
      <c r="I13" s="489">
        <v>1</v>
      </c>
    </row>
    <row r="14" spans="1:9" s="483" customFormat="1" ht="18.75" customHeight="1" thickBot="1" x14ac:dyDescent="0.25">
      <c r="I14" s="567"/>
    </row>
    <row r="15" spans="1:9" s="483" customFormat="1" ht="18.75" customHeight="1" x14ac:dyDescent="0.2">
      <c r="A15" s="483" t="s">
        <v>831</v>
      </c>
      <c r="D15" s="490"/>
    </row>
    <row r="16" spans="1:9" s="483" customFormat="1" ht="18.75" customHeight="1" x14ac:dyDescent="0.2">
      <c r="A16" s="491" t="s">
        <v>1144</v>
      </c>
      <c r="D16" s="490"/>
    </row>
    <row r="17" spans="1:9" s="483" customFormat="1" ht="18.75" customHeight="1" thickBot="1" x14ac:dyDescent="0.25">
      <c r="A17" s="491" t="s">
        <v>1022</v>
      </c>
      <c r="D17" s="490"/>
    </row>
    <row r="18" spans="1:9" s="483" customFormat="1" ht="18.75" customHeight="1" thickBot="1" x14ac:dyDescent="0.25">
      <c r="A18" s="362" t="s">
        <v>954</v>
      </c>
      <c r="B18" s="362"/>
      <c r="C18" s="215"/>
      <c r="D18" s="215"/>
      <c r="E18" s="215"/>
      <c r="F18" s="215"/>
      <c r="I18" s="487">
        <v>1</v>
      </c>
    </row>
    <row r="19" spans="1:9" s="483" customFormat="1" ht="18.75" customHeight="1" thickBot="1" x14ac:dyDescent="0.25">
      <c r="A19" s="488" t="s">
        <v>966</v>
      </c>
      <c r="B19" s="362"/>
      <c r="C19" s="215"/>
      <c r="D19" s="215"/>
      <c r="E19" s="215"/>
      <c r="F19" s="215"/>
      <c r="I19" s="489">
        <v>1</v>
      </c>
    </row>
    <row r="20" spans="1:9" s="483" customFormat="1" ht="18.75" customHeight="1" thickBot="1" x14ac:dyDescent="0.25">
      <c r="I20" s="567"/>
    </row>
    <row r="21" spans="1:9" s="483" customFormat="1" ht="18.75" customHeight="1" x14ac:dyDescent="0.2">
      <c r="A21" s="491"/>
      <c r="D21" s="490"/>
    </row>
    <row r="22" spans="1:9" s="483" customFormat="1" ht="18.75" customHeight="1" thickBot="1" x14ac:dyDescent="0.25">
      <c r="A22" s="491" t="s">
        <v>1023</v>
      </c>
      <c r="D22" s="490"/>
    </row>
    <row r="23" spans="1:9" s="483" customFormat="1" ht="18.75" customHeight="1" thickBot="1" x14ac:dyDescent="0.25">
      <c r="A23" s="362" t="s">
        <v>954</v>
      </c>
      <c r="B23" s="362"/>
      <c r="C23" s="362"/>
      <c r="D23" s="487">
        <v>1</v>
      </c>
    </row>
    <row r="24" spans="1:9" s="483" customFormat="1" ht="18.75" customHeight="1" thickBot="1" x14ac:dyDescent="0.25">
      <c r="A24" s="491" t="s">
        <v>1024</v>
      </c>
      <c r="D24" s="490"/>
    </row>
    <row r="25" spans="1:9" s="483" customFormat="1" ht="18.75" customHeight="1" thickBot="1" x14ac:dyDescent="0.25">
      <c r="A25" s="398" t="s">
        <v>966</v>
      </c>
      <c r="B25" s="473"/>
      <c r="C25" s="473"/>
      <c r="D25" s="475">
        <v>0</v>
      </c>
    </row>
    <row r="26" spans="1:9" s="483" customFormat="1" ht="18.75" customHeight="1" x14ac:dyDescent="0.2">
      <c r="A26" s="491" t="s">
        <v>1178</v>
      </c>
      <c r="D26" s="490"/>
    </row>
    <row r="27" spans="1:9" s="483" customFormat="1" ht="18.75" customHeight="1" x14ac:dyDescent="0.2">
      <c r="A27" s="491" t="s">
        <v>1179</v>
      </c>
      <c r="B27" s="104"/>
      <c r="C27" s="104"/>
      <c r="D27" s="588"/>
    </row>
    <row r="28" spans="1:9" s="483" customFormat="1" ht="18.75" customHeight="1" x14ac:dyDescent="0.2">
      <c r="A28" s="491"/>
      <c r="B28" s="104"/>
      <c r="C28" s="104"/>
      <c r="D28" s="588"/>
    </row>
    <row r="29" spans="1:9" s="483" customFormat="1" ht="18.75" customHeight="1" thickBot="1" x14ac:dyDescent="0.25">
      <c r="A29" s="491" t="s">
        <v>1268</v>
      </c>
      <c r="D29" s="490"/>
    </row>
    <row r="30" spans="1:9" s="483" customFormat="1" ht="18.75" customHeight="1" thickBot="1" x14ac:dyDescent="0.25">
      <c r="A30" s="398" t="s">
        <v>966</v>
      </c>
      <c r="B30" s="473"/>
      <c r="C30" s="473"/>
      <c r="D30" s="475">
        <v>1</v>
      </c>
    </row>
    <row r="31" spans="1:9" s="483" customFormat="1" ht="18.75" customHeight="1" x14ac:dyDescent="0.2">
      <c r="A31" s="491" t="s">
        <v>1180</v>
      </c>
      <c r="B31" s="104"/>
      <c r="C31" s="104"/>
      <c r="D31" s="588"/>
    </row>
    <row r="32" spans="1:9" s="483" customFormat="1" ht="18.75" customHeight="1" x14ac:dyDescent="0.2">
      <c r="A32" s="491"/>
      <c r="B32" s="104"/>
      <c r="C32" s="104"/>
      <c r="D32" s="588"/>
    </row>
    <row r="33" spans="1:4" s="483" customFormat="1" ht="18.75" customHeight="1" x14ac:dyDescent="0.3">
      <c r="A33" s="673" t="s">
        <v>1267</v>
      </c>
      <c r="B33" s="104"/>
      <c r="C33" s="104"/>
      <c r="D33" s="588"/>
    </row>
    <row r="34" spans="1:4" s="483" customFormat="1" ht="27.75" customHeight="1" x14ac:dyDescent="0.25">
      <c r="A34" s="671" t="s">
        <v>1260</v>
      </c>
      <c r="B34" s="104"/>
      <c r="C34" s="104"/>
      <c r="D34" s="588"/>
    </row>
    <row r="35" spans="1:4" s="483" customFormat="1" ht="18.75" customHeight="1" x14ac:dyDescent="0.2">
      <c r="A35" s="491" t="s">
        <v>1270</v>
      </c>
      <c r="B35" s="104"/>
      <c r="C35" s="104"/>
      <c r="D35" s="588"/>
    </row>
    <row r="36" spans="1:4" s="483" customFormat="1" ht="18.75" customHeight="1" x14ac:dyDescent="0.2">
      <c r="A36" s="491" t="s">
        <v>1261</v>
      </c>
      <c r="B36" s="104"/>
      <c r="C36" s="104"/>
      <c r="D36" s="588"/>
    </row>
    <row r="37" spans="1:4" s="483" customFormat="1" ht="18.75" customHeight="1" x14ac:dyDescent="0.2">
      <c r="A37" s="483" t="s">
        <v>1262</v>
      </c>
    </row>
    <row r="38" spans="1:4" s="483" customFormat="1" ht="16" x14ac:dyDescent="0.2">
      <c r="A38" s="483" t="s">
        <v>1263</v>
      </c>
    </row>
    <row r="39" spans="1:4" s="483" customFormat="1" ht="16" x14ac:dyDescent="0.2">
      <c r="A39" s="483" t="s">
        <v>1264</v>
      </c>
    </row>
    <row r="40" spans="1:4" s="483" customFormat="1" ht="16" x14ac:dyDescent="0.2"/>
    <row r="41" spans="1:4" s="483" customFormat="1" ht="16" x14ac:dyDescent="0.2">
      <c r="A41" s="483" t="s">
        <v>1271</v>
      </c>
    </row>
    <row r="42" spans="1:4" s="483" customFormat="1" ht="16" x14ac:dyDescent="0.2">
      <c r="A42" s="483" t="s">
        <v>1265</v>
      </c>
    </row>
    <row r="43" spans="1:4" s="483" customFormat="1" ht="16" x14ac:dyDescent="0.2">
      <c r="A43" s="483" t="s">
        <v>1266</v>
      </c>
    </row>
    <row r="44" spans="1:4" s="215" customFormat="1" ht="18.75" customHeight="1" x14ac:dyDescent="0.2">
      <c r="A44" s="483"/>
    </row>
    <row r="45" spans="1:4" s="674" customFormat="1" ht="18.75" customHeight="1" x14ac:dyDescent="0.3">
      <c r="A45" s="672" t="s">
        <v>832</v>
      </c>
    </row>
    <row r="46" spans="1:4" s="483" customFormat="1" ht="8.25" customHeight="1" x14ac:dyDescent="0.2"/>
    <row r="47" spans="1:4" s="483" customFormat="1" ht="18.75" customHeight="1" x14ac:dyDescent="0.2">
      <c r="A47" s="483" t="s">
        <v>1272</v>
      </c>
    </row>
    <row r="48" spans="1:4" s="483" customFormat="1" ht="18.75" customHeight="1" x14ac:dyDescent="0.2">
      <c r="A48" s="483" t="s">
        <v>309</v>
      </c>
    </row>
    <row r="49" spans="1:1" s="483" customFormat="1" ht="18.75" customHeight="1" x14ac:dyDescent="0.2">
      <c r="A49" s="485" t="s">
        <v>1146</v>
      </c>
    </row>
    <row r="50" spans="1:1" s="483" customFormat="1" ht="18.75" customHeight="1" x14ac:dyDescent="0.2">
      <c r="A50" s="483" t="s">
        <v>861</v>
      </c>
    </row>
    <row r="51" spans="1:1" s="483" customFormat="1" ht="18.75" customHeight="1" x14ac:dyDescent="0.2">
      <c r="A51" s="483" t="s">
        <v>310</v>
      </c>
    </row>
    <row r="52" spans="1:1" s="483" customFormat="1" ht="18.75" customHeight="1" x14ac:dyDescent="0.2">
      <c r="A52" s="483" t="s">
        <v>862</v>
      </c>
    </row>
    <row r="53" spans="1:1" s="483" customFormat="1" ht="18.75" customHeight="1" x14ac:dyDescent="0.2"/>
    <row r="54" spans="1:1" s="483" customFormat="1" ht="18.75" customHeight="1" x14ac:dyDescent="0.2">
      <c r="A54" s="483" t="s">
        <v>1273</v>
      </c>
    </row>
    <row r="55" spans="1:1" s="483" customFormat="1" ht="18.75" customHeight="1" x14ac:dyDescent="0.2">
      <c r="A55" s="483" t="s">
        <v>311</v>
      </c>
    </row>
    <row r="56" spans="1:1" s="483" customFormat="1" ht="18.75" customHeight="1" x14ac:dyDescent="0.2">
      <c r="A56" s="483" t="s">
        <v>1274</v>
      </c>
    </row>
    <row r="57" spans="1:1" s="483" customFormat="1" ht="18.75" customHeight="1" x14ac:dyDescent="0.2">
      <c r="A57" s="483" t="s">
        <v>1276</v>
      </c>
    </row>
    <row r="58" spans="1:1" s="483" customFormat="1" ht="18.75" customHeight="1" x14ac:dyDescent="0.2">
      <c r="A58" s="483" t="s">
        <v>1275</v>
      </c>
    </row>
    <row r="59" spans="1:1" s="483" customFormat="1" ht="18.75" customHeight="1" x14ac:dyDescent="0.2">
      <c r="A59" s="483" t="s">
        <v>312</v>
      </c>
    </row>
    <row r="60" spans="1:1" s="483" customFormat="1" ht="18.75" customHeight="1" x14ac:dyDescent="0.2">
      <c r="A60" s="483" t="s">
        <v>313</v>
      </c>
    </row>
    <row r="61" spans="1:1" s="483" customFormat="1" ht="18.75" customHeight="1" x14ac:dyDescent="0.2">
      <c r="A61" s="483" t="s">
        <v>857</v>
      </c>
    </row>
    <row r="62" spans="1:1" s="483" customFormat="1" ht="18.75" customHeight="1" x14ac:dyDescent="0.2">
      <c r="A62" s="483" t="s">
        <v>1168</v>
      </c>
    </row>
    <row r="63" spans="1:1" s="483" customFormat="1" ht="18.75" customHeight="1" x14ac:dyDescent="0.2">
      <c r="A63" s="483" t="s">
        <v>297</v>
      </c>
    </row>
    <row r="64" spans="1:1" s="313" customFormat="1" ht="18.75" customHeight="1" x14ac:dyDescent="0.2">
      <c r="A64" s="483" t="s">
        <v>314</v>
      </c>
    </row>
    <row r="65" spans="1:5" s="215" customFormat="1" ht="18.75" customHeight="1" x14ac:dyDescent="0.25">
      <c r="A65" s="213"/>
      <c r="E65" s="216"/>
    </row>
    <row r="66" spans="1:5" s="215" customFormat="1" ht="18.75" customHeight="1" x14ac:dyDescent="0.25">
      <c r="A66" s="214" t="s">
        <v>854</v>
      </c>
      <c r="E66" s="216"/>
    </row>
    <row r="67" spans="1:5" s="215" customFormat="1" ht="18.75" customHeight="1" x14ac:dyDescent="0.25">
      <c r="A67" s="214"/>
      <c r="E67" s="216"/>
    </row>
    <row r="68" spans="1:5" s="215" customFormat="1" ht="18.75" customHeight="1" x14ac:dyDescent="0.2">
      <c r="A68" s="215" t="s">
        <v>1277</v>
      </c>
      <c r="E68" s="216"/>
    </row>
    <row r="69" spans="1:5" s="215" customFormat="1" ht="18.75" customHeight="1" x14ac:dyDescent="0.2">
      <c r="A69" s="215" t="s">
        <v>273</v>
      </c>
      <c r="E69" s="216"/>
    </row>
    <row r="70" spans="1:5" s="215" customFormat="1" ht="18.75" customHeight="1" x14ac:dyDescent="0.2">
      <c r="A70" s="215" t="s">
        <v>315</v>
      </c>
      <c r="E70" s="216"/>
    </row>
    <row r="71" spans="1:5" s="215" customFormat="1" ht="18.75" customHeight="1" x14ac:dyDescent="0.2">
      <c r="A71" s="215" t="s">
        <v>316</v>
      </c>
      <c r="E71" s="216"/>
    </row>
    <row r="72" spans="1:5" s="215" customFormat="1" ht="18.75" customHeight="1" x14ac:dyDescent="0.2">
      <c r="A72" s="215" t="s">
        <v>317</v>
      </c>
      <c r="E72" s="216"/>
    </row>
    <row r="73" spans="1:5" s="215" customFormat="1" ht="18.75" customHeight="1" x14ac:dyDescent="0.2">
      <c r="A73" s="202" t="s">
        <v>1030</v>
      </c>
      <c r="E73" s="216"/>
    </row>
    <row r="74" spans="1:5" s="215" customFormat="1" ht="18.75" customHeight="1" x14ac:dyDescent="0.2">
      <c r="A74" s="202"/>
      <c r="E74" s="216"/>
    </row>
    <row r="75" spans="1:5" s="215" customFormat="1" ht="18.75" customHeight="1" x14ac:dyDescent="0.2">
      <c r="A75" s="202" t="s">
        <v>1148</v>
      </c>
      <c r="E75" s="216"/>
    </row>
    <row r="76" spans="1:5" s="215" customFormat="1" ht="18.75" customHeight="1" x14ac:dyDescent="0.2">
      <c r="A76" s="215" t="s">
        <v>1169</v>
      </c>
      <c r="E76" s="216"/>
    </row>
    <row r="77" spans="1:5" s="215" customFormat="1" ht="18.75" customHeight="1" x14ac:dyDescent="0.2">
      <c r="A77" s="215" t="s">
        <v>1149</v>
      </c>
      <c r="E77" s="216"/>
    </row>
    <row r="78" spans="1:5" s="215" customFormat="1" ht="18.75" customHeight="1" x14ac:dyDescent="0.2">
      <c r="A78" s="215" t="s">
        <v>1150</v>
      </c>
      <c r="E78" s="216"/>
    </row>
    <row r="79" spans="1:5" s="215" customFormat="1" ht="18.75" customHeight="1" x14ac:dyDescent="0.2">
      <c r="A79" s="202"/>
      <c r="E79" s="216"/>
    </row>
    <row r="80" spans="1:5" s="215" customFormat="1" ht="18.75" customHeight="1" x14ac:dyDescent="0.2">
      <c r="A80" s="202" t="s">
        <v>1278</v>
      </c>
      <c r="E80" s="216"/>
    </row>
    <row r="81" spans="1:5" s="215" customFormat="1" ht="18.75" customHeight="1" x14ac:dyDescent="0.2">
      <c r="A81" s="215" t="s">
        <v>846</v>
      </c>
      <c r="E81" s="216"/>
    </row>
    <row r="82" spans="1:5" s="215" customFormat="1" ht="18.75" customHeight="1" x14ac:dyDescent="0.2">
      <c r="A82" s="215" t="s">
        <v>845</v>
      </c>
    </row>
    <row r="83" spans="1:5" s="215" customFormat="1" ht="18.75" customHeight="1" x14ac:dyDescent="0.2"/>
    <row r="84" spans="1:5" s="215" customFormat="1" ht="18.75" customHeight="1" x14ac:dyDescent="0.2">
      <c r="A84" s="215" t="s">
        <v>847</v>
      </c>
    </row>
    <row r="85" spans="1:5" s="215" customFormat="1" ht="18.75" customHeight="1" x14ac:dyDescent="0.2">
      <c r="A85" s="215" t="s">
        <v>1025</v>
      </c>
    </row>
    <row r="86" spans="1:5" s="215" customFormat="1" ht="18.75" customHeight="1" x14ac:dyDescent="0.2">
      <c r="A86" s="215" t="s">
        <v>1026</v>
      </c>
      <c r="E86" s="216"/>
    </row>
    <row r="87" spans="1:5" s="215" customFormat="1" ht="18.75" customHeight="1" x14ac:dyDescent="0.2"/>
    <row r="88" spans="1:5" s="215" customFormat="1" ht="18.75" customHeight="1" x14ac:dyDescent="0.2">
      <c r="A88" s="215" t="s">
        <v>1027</v>
      </c>
    </row>
    <row r="89" spans="1:5" s="215" customFormat="1" ht="18.75" customHeight="1" x14ac:dyDescent="0.2">
      <c r="A89" s="215" t="s">
        <v>1170</v>
      </c>
    </row>
    <row r="90" spans="1:5" s="215" customFormat="1" ht="18.75" customHeight="1" x14ac:dyDescent="0.2"/>
    <row r="91" spans="1:5" s="215" customFormat="1" ht="18.75" customHeight="1" x14ac:dyDescent="0.2">
      <c r="A91" s="202" t="s">
        <v>1280</v>
      </c>
    </row>
    <row r="92" spans="1:5" s="215" customFormat="1" ht="18.75" customHeight="1" x14ac:dyDescent="0.2">
      <c r="A92" s="215" t="s">
        <v>1281</v>
      </c>
    </row>
    <row r="93" spans="1:5" s="215" customFormat="1" ht="18.75" customHeight="1" x14ac:dyDescent="0.2">
      <c r="A93" s="215" t="s">
        <v>1282</v>
      </c>
    </row>
    <row r="94" spans="1:5" s="215" customFormat="1" ht="18.75" customHeight="1" x14ac:dyDescent="0.2">
      <c r="A94" s="215" t="s">
        <v>1028</v>
      </c>
      <c r="E94" s="216"/>
    </row>
    <row r="95" spans="1:5" ht="18.75" customHeight="1" x14ac:dyDescent="0.2">
      <c r="A95" s="215" t="s">
        <v>853</v>
      </c>
    </row>
    <row r="96" spans="1:5" ht="18.75" customHeight="1" x14ac:dyDescent="0.2">
      <c r="A96" s="215" t="s">
        <v>1283</v>
      </c>
    </row>
    <row r="97" spans="1:1" ht="18.75" customHeight="1" x14ac:dyDescent="0.2">
      <c r="A97" s="215"/>
    </row>
    <row r="98" spans="1:1" s="215" customFormat="1" ht="18.75" customHeight="1" x14ac:dyDescent="0.2">
      <c r="A98" s="202" t="s">
        <v>1279</v>
      </c>
    </row>
    <row r="99" spans="1:1" s="215" customFormat="1" ht="18.75" customHeight="1" x14ac:dyDescent="0.2">
      <c r="A99" s="202" t="s">
        <v>1029</v>
      </c>
    </row>
    <row r="100" spans="1:1" s="215" customFormat="1" ht="18.75" customHeight="1" x14ac:dyDescent="0.2">
      <c r="A100" s="170"/>
    </row>
    <row r="101" spans="1:1" s="215" customFormat="1" ht="18.75" customHeight="1" x14ac:dyDescent="0.2">
      <c r="A101" s="215" t="s">
        <v>855</v>
      </c>
    </row>
    <row r="102" spans="1:1" s="215" customFormat="1" ht="18.75" customHeight="1" x14ac:dyDescent="0.2">
      <c r="A102" s="215" t="s">
        <v>318</v>
      </c>
    </row>
    <row r="103" spans="1:1" s="215" customFormat="1" ht="18.75" customHeight="1" x14ac:dyDescent="0.2">
      <c r="A103" s="215" t="s">
        <v>319</v>
      </c>
    </row>
    <row r="104" spans="1:1" ht="18.75" customHeight="1" x14ac:dyDescent="0.2">
      <c r="A104" s="215" t="s">
        <v>1031</v>
      </c>
    </row>
    <row r="105" spans="1:1" s="202" customFormat="1" ht="18.75" customHeight="1" x14ac:dyDescent="0.2">
      <c r="A105" s="215" t="s">
        <v>278</v>
      </c>
    </row>
    <row r="106" spans="1:1" ht="18.75" customHeight="1" x14ac:dyDescent="0.2">
      <c r="A106" s="215" t="s">
        <v>320</v>
      </c>
    </row>
    <row r="107" spans="1:1" s="215" customFormat="1" ht="18.75" customHeight="1" x14ac:dyDescent="0.2">
      <c r="A107" s="170"/>
    </row>
    <row r="108" spans="1:1" s="483" customFormat="1" ht="18.75" customHeight="1" x14ac:dyDescent="0.25">
      <c r="A108" s="486" t="s">
        <v>321</v>
      </c>
    </row>
    <row r="109" spans="1:1" s="483" customFormat="1" ht="18.75" customHeight="1" x14ac:dyDescent="0.25">
      <c r="A109" s="568"/>
    </row>
    <row r="110" spans="1:1" s="483" customFormat="1" ht="18.75" customHeight="1" x14ac:dyDescent="0.2">
      <c r="A110" s="483" t="s">
        <v>856</v>
      </c>
    </row>
    <row r="111" spans="1:1" s="483" customFormat="1" ht="18.75" customHeight="1" x14ac:dyDescent="0.2">
      <c r="A111" s="483" t="s">
        <v>322</v>
      </c>
    </row>
    <row r="112" spans="1:1" s="483" customFormat="1" ht="18.75" customHeight="1" x14ac:dyDescent="0.2">
      <c r="A112" s="483" t="s">
        <v>232</v>
      </c>
    </row>
    <row r="113" spans="1:5" s="483" customFormat="1" ht="18.75" customHeight="1" x14ac:dyDescent="0.2">
      <c r="A113" s="483" t="s">
        <v>1286</v>
      </c>
      <c r="E113" s="569"/>
    </row>
    <row r="114" spans="1:5" s="483" customFormat="1" ht="18.75" customHeight="1" x14ac:dyDescent="0.2">
      <c r="E114" s="569"/>
    </row>
    <row r="115" spans="1:5" s="483" customFormat="1" ht="18.75" customHeight="1" x14ac:dyDescent="0.2">
      <c r="A115" s="483" t="s">
        <v>323</v>
      </c>
    </row>
    <row r="116" spans="1:5" s="483" customFormat="1" ht="18.75" customHeight="1" x14ac:dyDescent="0.2">
      <c r="A116" s="483" t="s">
        <v>324</v>
      </c>
    </row>
    <row r="117" spans="1:5" s="483" customFormat="1" ht="18.75" customHeight="1" x14ac:dyDescent="0.2"/>
    <row r="118" spans="1:5" s="483" customFormat="1" ht="18.75" customHeight="1" x14ac:dyDescent="0.2">
      <c r="A118" s="483" t="s">
        <v>863</v>
      </c>
    </row>
    <row r="119" spans="1:5" s="483" customFormat="1" ht="18.75" customHeight="1" x14ac:dyDescent="0.2">
      <c r="A119" s="483" t="s">
        <v>1147</v>
      </c>
    </row>
    <row r="120" spans="1:5" s="483" customFormat="1" ht="18.75" customHeight="1" x14ac:dyDescent="0.2">
      <c r="A120" s="483" t="s">
        <v>277</v>
      </c>
    </row>
    <row r="121" spans="1:5" s="483" customFormat="1" ht="18.75" customHeight="1" x14ac:dyDescent="0.2">
      <c r="A121" s="483" t="s">
        <v>1284</v>
      </c>
    </row>
    <row r="122" spans="1:5" s="483" customFormat="1" ht="18.75" customHeight="1" x14ac:dyDescent="0.2">
      <c r="A122" s="483" t="s">
        <v>864</v>
      </c>
    </row>
    <row r="123" spans="1:5" s="483" customFormat="1" ht="18.75" customHeight="1" x14ac:dyDescent="0.2"/>
    <row r="124" spans="1:5" s="483" customFormat="1" ht="18.75" customHeight="1" x14ac:dyDescent="0.2">
      <c r="A124" s="483" t="s">
        <v>858</v>
      </c>
    </row>
    <row r="125" spans="1:5" s="483" customFormat="1" ht="18.75" customHeight="1" x14ac:dyDescent="0.2">
      <c r="A125" s="483" t="s">
        <v>859</v>
      </c>
    </row>
    <row r="126" spans="1:5" s="483" customFormat="1" ht="18.75" customHeight="1" x14ac:dyDescent="0.2">
      <c r="A126" s="483" t="s">
        <v>860</v>
      </c>
    </row>
    <row r="127" spans="1:5" s="483" customFormat="1" ht="18.75" customHeight="1" x14ac:dyDescent="0.2"/>
    <row r="128" spans="1:5" s="483" customFormat="1" ht="18.75" customHeight="1" x14ac:dyDescent="0.2">
      <c r="A128" s="483" t="s">
        <v>1151</v>
      </c>
    </row>
    <row r="129" spans="1:16" s="483" customFormat="1" ht="18.75" customHeight="1" x14ac:dyDescent="0.2">
      <c r="A129" s="483" t="s">
        <v>1152</v>
      </c>
    </row>
    <row r="130" spans="1:16" s="483" customFormat="1" ht="18.75" customHeight="1" x14ac:dyDescent="0.2">
      <c r="A130" s="483" t="s">
        <v>1153</v>
      </c>
    </row>
    <row r="131" spans="1:16" s="483" customFormat="1" ht="18.75" customHeight="1" x14ac:dyDescent="0.2">
      <c r="A131" s="483" t="s">
        <v>1285</v>
      </c>
    </row>
    <row r="132" spans="1:16" s="483" customFormat="1" ht="18.75" customHeight="1" x14ac:dyDescent="0.2"/>
    <row r="133" spans="1:16" s="483" customFormat="1" ht="18.75" customHeight="1" x14ac:dyDescent="0.2">
      <c r="A133" s="483" t="s">
        <v>1173</v>
      </c>
    </row>
    <row r="134" spans="1:16" s="483" customFormat="1" ht="18.75" customHeight="1" x14ac:dyDescent="0.2">
      <c r="B134" s="621">
        <v>2015</v>
      </c>
      <c r="C134" s="621" t="s">
        <v>236</v>
      </c>
      <c r="D134" s="621" t="s">
        <v>237</v>
      </c>
      <c r="E134" s="104"/>
    </row>
    <row r="135" spans="1:16" s="483" customFormat="1" ht="18.75" customHeight="1" x14ac:dyDescent="0.2">
      <c r="A135" s="483" t="s">
        <v>233</v>
      </c>
      <c r="B135" s="569"/>
      <c r="C135" s="569"/>
      <c r="D135" s="569"/>
      <c r="E135" s="569"/>
    </row>
    <row r="136" spans="1:16" s="483" customFormat="1" ht="18.75" customHeight="1" x14ac:dyDescent="0.2">
      <c r="A136" s="483" t="s">
        <v>234</v>
      </c>
      <c r="E136" s="483">
        <v>2005</v>
      </c>
      <c r="F136" s="483">
        <v>2015</v>
      </c>
      <c r="G136" s="483">
        <v>2025</v>
      </c>
      <c r="H136" s="483">
        <v>2035</v>
      </c>
      <c r="I136" s="483">
        <v>2045</v>
      </c>
      <c r="J136" s="483">
        <v>2055</v>
      </c>
      <c r="K136" s="483">
        <v>2065</v>
      </c>
      <c r="L136" s="483">
        <v>2075</v>
      </c>
      <c r="M136" s="483">
        <v>2085</v>
      </c>
      <c r="N136" s="483">
        <v>2095</v>
      </c>
      <c r="O136" s="483">
        <v>2105</v>
      </c>
      <c r="P136" s="483">
        <v>2115</v>
      </c>
    </row>
    <row r="137" spans="1:16" s="483" customFormat="1" ht="18.75" customHeight="1" x14ac:dyDescent="0.2">
      <c r="A137" s="483" t="s">
        <v>235</v>
      </c>
      <c r="B137" s="620">
        <v>4.6980023352227167E-2</v>
      </c>
      <c r="C137" s="620">
        <v>4.3355523359139329E-2</v>
      </c>
      <c r="D137" s="620">
        <v>3.2182676473683627E-2</v>
      </c>
      <c r="E137" s="569"/>
      <c r="F137" s="569">
        <v>4.6980023352227167E-2</v>
      </c>
      <c r="G137" s="569">
        <v>4.7203001526262361E-2</v>
      </c>
      <c r="H137" s="569">
        <v>4.1644591760819138E-2</v>
      </c>
      <c r="I137" s="569">
        <v>3.7594476797248644E-2</v>
      </c>
      <c r="J137" s="569">
        <v>3.448531117473938E-2</v>
      </c>
      <c r="K137" s="569">
        <v>3.2592475878846679E-2</v>
      </c>
      <c r="L137" s="569">
        <v>3.145855239600702E-2</v>
      </c>
      <c r="M137" s="569">
        <v>3.0553561383381549E-2</v>
      </c>
      <c r="N137" s="483">
        <v>2.9746123636432135E-2</v>
      </c>
      <c r="O137" s="483">
        <v>2.8848234049129996E-2</v>
      </c>
      <c r="P137" s="483">
        <v>2.7041372028785874E-2</v>
      </c>
    </row>
    <row r="138" spans="1:16" s="483" customFormat="1" ht="18.75" customHeight="1" x14ac:dyDescent="0.2">
      <c r="A138" s="483" t="s">
        <v>1171</v>
      </c>
      <c r="B138" s="620">
        <v>0.11343412173490008</v>
      </c>
      <c r="C138" s="620">
        <v>6.8386495136767117E-2</v>
      </c>
      <c r="D138" s="620">
        <v>3.7861577168390857E-2</v>
      </c>
      <c r="E138" s="569"/>
      <c r="F138" s="569">
        <v>0.11343412173490008</v>
      </c>
      <c r="G138" s="569">
        <v>6.1657543015204486E-2</v>
      </c>
      <c r="H138" s="569">
        <v>5.2600980245370466E-2</v>
      </c>
      <c r="I138" s="569">
        <v>4.5853335551593433E-2</v>
      </c>
      <c r="J138" s="569">
        <v>4.1762665981320349E-2</v>
      </c>
      <c r="K138" s="569">
        <v>3.9374226521584163E-2</v>
      </c>
      <c r="L138" s="569">
        <v>3.7081844570656393E-2</v>
      </c>
      <c r="M138" s="569">
        <v>3.4525087816927383E-2</v>
      </c>
      <c r="N138" s="483">
        <v>3.2984986845036077E-2</v>
      </c>
      <c r="O138" s="483">
        <v>3.3448892891618218E-2</v>
      </c>
      <c r="P138" s="483">
        <v>3.4101759292725353E-2</v>
      </c>
    </row>
    <row r="139" spans="1:16" s="483" customFormat="1" ht="18.75" customHeight="1" x14ac:dyDescent="0.2">
      <c r="A139" s="483" t="s">
        <v>1172</v>
      </c>
      <c r="B139" s="620">
        <v>9.6298796333036646E-2</v>
      </c>
      <c r="C139" s="620">
        <v>7.5764576071473605E-2</v>
      </c>
      <c r="D139" s="620">
        <v>4.7113243018689036E-2</v>
      </c>
      <c r="E139" s="569"/>
      <c r="F139" s="569">
        <v>9.6298796333036646E-2</v>
      </c>
      <c r="G139" s="569">
        <v>7.8202185626861695E-2</v>
      </c>
      <c r="H139" s="569">
        <v>6.8465563677859248E-2</v>
      </c>
      <c r="I139" s="569">
        <v>6.0091758648136838E-2</v>
      </c>
      <c r="J139" s="569">
        <v>5.2787176276079525E-2</v>
      </c>
      <c r="K139" s="569">
        <v>4.8441284538485486E-2</v>
      </c>
      <c r="L139" s="569">
        <v>4.5601351085423958E-2</v>
      </c>
      <c r="M139" s="569">
        <v>4.3101946373191424E-2</v>
      </c>
      <c r="N139" s="483">
        <v>4.0881298491972903E-2</v>
      </c>
      <c r="O139" s="483">
        <v>3.8887885717533183E-2</v>
      </c>
      <c r="P139" s="483">
        <v>3.678856252162381E-2</v>
      </c>
    </row>
    <row r="140" spans="1:16" s="483" customFormat="1" ht="18.75" customHeight="1" x14ac:dyDescent="0.2">
      <c r="C140" s="569"/>
      <c r="D140" s="569"/>
      <c r="E140" s="569"/>
      <c r="H140" s="570"/>
      <c r="I140" s="570"/>
      <c r="J140" s="570"/>
      <c r="K140" s="570"/>
      <c r="L140" s="570"/>
    </row>
    <row r="141" spans="1:16" s="483" customFormat="1" ht="18.75" customHeight="1" x14ac:dyDescent="0.2">
      <c r="A141" s="483" t="s">
        <v>1174</v>
      </c>
      <c r="C141" s="569"/>
      <c r="D141" s="569"/>
      <c r="E141" s="569"/>
      <c r="H141" s="570"/>
      <c r="I141" s="570"/>
      <c r="J141" s="570"/>
      <c r="K141" s="570"/>
      <c r="L141" s="570"/>
    </row>
    <row r="142" spans="1:16" s="483" customFormat="1" ht="18.75" customHeight="1" x14ac:dyDescent="0.2">
      <c r="A142" s="483" t="s">
        <v>1175</v>
      </c>
      <c r="C142" s="569"/>
      <c r="D142" s="569"/>
      <c r="E142" s="569"/>
      <c r="H142" s="570"/>
      <c r="I142" s="570"/>
      <c r="J142" s="570"/>
      <c r="K142" s="570"/>
      <c r="L142" s="570"/>
    </row>
    <row r="143" spans="1:16" s="483" customFormat="1" ht="18.75" customHeight="1" x14ac:dyDescent="0.2">
      <c r="C143" s="569"/>
      <c r="D143" s="569"/>
      <c r="E143" s="569"/>
      <c r="H143" s="570"/>
      <c r="I143" s="570"/>
      <c r="J143" s="570"/>
      <c r="K143" s="570"/>
      <c r="L143" s="570"/>
    </row>
    <row r="144" spans="1:16" s="483" customFormat="1" ht="18.75" customHeight="1" x14ac:dyDescent="0.2">
      <c r="A144" s="483" t="s">
        <v>1197</v>
      </c>
      <c r="C144" s="104"/>
      <c r="D144" s="104"/>
      <c r="E144" s="104"/>
      <c r="H144" s="570"/>
      <c r="I144" s="570"/>
      <c r="J144" s="570"/>
      <c r="K144" s="570"/>
      <c r="L144" s="570"/>
    </row>
    <row r="145" spans="1:12" s="483" customFormat="1" ht="18.75" customHeight="1" x14ac:dyDescent="0.2">
      <c r="C145" s="104"/>
      <c r="D145" s="104"/>
      <c r="E145" s="104"/>
      <c r="H145" s="570"/>
      <c r="I145" s="570"/>
      <c r="J145" s="570"/>
      <c r="K145" s="570"/>
      <c r="L145" s="570"/>
    </row>
    <row r="146" spans="1:12" s="483" customFormat="1" ht="18.75" customHeight="1" x14ac:dyDescent="0.2">
      <c r="A146" s="483" t="s">
        <v>1287</v>
      </c>
      <c r="C146" s="569"/>
      <c r="D146" s="569"/>
      <c r="E146" s="569"/>
      <c r="H146" s="570"/>
      <c r="I146" s="570"/>
      <c r="J146" s="570"/>
      <c r="K146" s="570"/>
      <c r="L146" s="570"/>
    </row>
    <row r="147" spans="1:12" s="483" customFormat="1" ht="18.75" customHeight="1" x14ac:dyDescent="0.2">
      <c r="A147" s="491" t="s">
        <v>1288</v>
      </c>
      <c r="B147" s="104"/>
      <c r="C147" s="104"/>
      <c r="D147" s="588"/>
    </row>
    <row r="148" spans="1:12" s="483" customFormat="1" ht="18.75" customHeight="1" x14ac:dyDescent="0.2">
      <c r="A148" s="491"/>
      <c r="B148" s="104"/>
      <c r="C148" s="104"/>
      <c r="D148" s="588"/>
    </row>
    <row r="149" spans="1:12" s="483" customFormat="1" ht="18.75" customHeight="1" x14ac:dyDescent="0.2">
      <c r="A149" s="491" t="s">
        <v>1290</v>
      </c>
      <c r="B149" s="104"/>
      <c r="C149" s="104"/>
      <c r="D149" s="588"/>
    </row>
    <row r="150" spans="1:12" s="483" customFormat="1" ht="18.75" customHeight="1" x14ac:dyDescent="0.2">
      <c r="A150" s="491" t="s">
        <v>1181</v>
      </c>
      <c r="B150" s="104"/>
      <c r="C150" s="104"/>
      <c r="D150" s="588"/>
    </row>
    <row r="151" spans="1:12" s="483" customFormat="1" ht="18.75" customHeight="1" x14ac:dyDescent="0.2">
      <c r="A151" s="491" t="s">
        <v>1182</v>
      </c>
      <c r="B151" s="104"/>
      <c r="C151" s="104"/>
      <c r="D151" s="588"/>
    </row>
    <row r="152" spans="1:12" s="483" customFormat="1" ht="18.75" customHeight="1" x14ac:dyDescent="0.2">
      <c r="A152" s="491" t="s">
        <v>1183</v>
      </c>
      <c r="B152" s="104"/>
      <c r="C152" s="104"/>
      <c r="D152" s="588"/>
    </row>
    <row r="153" spans="1:12" s="483" customFormat="1" ht="18.75" customHeight="1" x14ac:dyDescent="0.2">
      <c r="A153" s="491"/>
      <c r="B153" s="104"/>
      <c r="C153" s="104"/>
      <c r="D153" s="588"/>
    </row>
    <row r="154" spans="1:12" s="483" customFormat="1" ht="18.75" customHeight="1" x14ac:dyDescent="0.2">
      <c r="A154" s="491" t="s">
        <v>1291</v>
      </c>
      <c r="D154" s="490"/>
    </row>
    <row r="155" spans="1:12" s="483" customFormat="1" ht="18.75" customHeight="1" x14ac:dyDescent="0.2">
      <c r="A155" s="491" t="s">
        <v>1033</v>
      </c>
      <c r="D155" s="490"/>
    </row>
    <row r="156" spans="1:12" s="483" customFormat="1" ht="18.75" customHeight="1" x14ac:dyDescent="0.2">
      <c r="A156" s="491" t="s">
        <v>1034</v>
      </c>
      <c r="D156" s="490"/>
    </row>
    <row r="157" spans="1:12" s="483" customFormat="1" ht="18.75" customHeight="1" x14ac:dyDescent="0.2">
      <c r="A157" s="491"/>
      <c r="D157" s="490"/>
    </row>
    <row r="158" spans="1:12" s="483" customFormat="1" ht="18.75" customHeight="1" x14ac:dyDescent="0.2">
      <c r="A158" s="491" t="s">
        <v>1289</v>
      </c>
      <c r="D158" s="490"/>
    </row>
    <row r="159" spans="1:12" s="483" customFormat="1" ht="18.75" customHeight="1" x14ac:dyDescent="0.2">
      <c r="A159" s="483" t="s">
        <v>1145</v>
      </c>
    </row>
    <row r="160" spans="1:12" s="483" customFormat="1" ht="18.75" customHeight="1" x14ac:dyDescent="0.2"/>
    <row r="161" spans="1:1" s="483" customFormat="1" ht="18.75" customHeight="1" x14ac:dyDescent="0.2">
      <c r="A161" s="483" t="s">
        <v>1292</v>
      </c>
    </row>
    <row r="162" spans="1:1" s="483" customFormat="1" ht="18.75" customHeight="1" x14ac:dyDescent="0.2">
      <c r="A162" s="483" t="s">
        <v>1259</v>
      </c>
    </row>
    <row r="163" spans="1:1" s="483" customFormat="1" ht="18.75" customHeight="1" x14ac:dyDescent="0.2"/>
    <row r="164" spans="1:1" s="483" customFormat="1" ht="18.75" customHeight="1" x14ac:dyDescent="0.2">
      <c r="A164" s="483" t="s">
        <v>1293</v>
      </c>
    </row>
    <row r="165" spans="1:1" s="483" customFormat="1" ht="18.75" customHeight="1" x14ac:dyDescent="0.2">
      <c r="A165" s="483" t="s">
        <v>1040</v>
      </c>
    </row>
    <row r="166" spans="1:1" s="483" customFormat="1" ht="18.75" customHeight="1" x14ac:dyDescent="0.2"/>
    <row r="167" spans="1:1" s="483" customFormat="1" ht="18.75" customHeight="1" x14ac:dyDescent="0.2">
      <c r="A167" s="483" t="s">
        <v>1294</v>
      </c>
    </row>
    <row r="168" spans="1:1" s="483" customFormat="1" ht="18.75" customHeight="1" x14ac:dyDescent="0.2">
      <c r="A168" s="483" t="s">
        <v>1296</v>
      </c>
    </row>
    <row r="169" spans="1:1" s="483" customFormat="1" ht="18.75" customHeight="1" x14ac:dyDescent="0.2"/>
    <row r="170" spans="1:1" s="483" customFormat="1" ht="18.75" customHeight="1" x14ac:dyDescent="0.2">
      <c r="A170" s="483" t="s">
        <v>1295</v>
      </c>
    </row>
    <row r="171" spans="1:1" s="483" customFormat="1" ht="18.75" customHeight="1" x14ac:dyDescent="0.2">
      <c r="A171" s="483" t="s">
        <v>1167</v>
      </c>
    </row>
    <row r="172" spans="1:1" s="483" customFormat="1" ht="18.75" customHeight="1" x14ac:dyDescent="0.2">
      <c r="A172" s="483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baseColWidth="10" defaultColWidth="9.1640625" defaultRowHeight="14" x14ac:dyDescent="0.2"/>
  <cols>
    <col min="1" max="1" width="32.1640625" style="2" customWidth="1"/>
    <col min="2" max="2" width="14.1640625" style="2" bestFit="1" customWidth="1"/>
    <col min="3" max="11" width="9.1640625" style="2" customWidth="1"/>
    <col min="12" max="12" width="10.5" style="2" customWidth="1"/>
    <col min="13" max="105" width="9.1640625" style="2"/>
    <col min="106" max="106" width="13.83203125" style="2" customWidth="1"/>
    <col min="107" max="107" width="11.33203125" style="2" customWidth="1"/>
    <col min="108" max="108" width="9.1640625" style="2"/>
    <col min="109" max="109" width="16.5" style="2" bestFit="1" customWidth="1"/>
    <col min="110" max="110" width="11.83203125" style="2" customWidth="1"/>
    <col min="111" max="16384" width="9.1640625" style="2"/>
  </cols>
  <sheetData>
    <row r="1" spans="1:103" s="534" customFormat="1" ht="11" x14ac:dyDescent="0.15">
      <c r="A1" s="533"/>
      <c r="B1" s="531">
        <v>2005</v>
      </c>
      <c r="C1" s="531">
        <v>2015</v>
      </c>
      <c r="D1" s="531">
        <v>2025</v>
      </c>
      <c r="E1" s="531">
        <v>2035</v>
      </c>
      <c r="F1" s="531">
        <v>2045</v>
      </c>
      <c r="G1" s="531">
        <v>2055</v>
      </c>
      <c r="H1" s="531">
        <v>2065</v>
      </c>
      <c r="I1" s="531">
        <v>2075</v>
      </c>
      <c r="J1" s="531">
        <v>2085</v>
      </c>
      <c r="K1" s="531">
        <v>2095</v>
      </c>
      <c r="L1" s="531">
        <v>2105</v>
      </c>
      <c r="M1" s="531">
        <v>2115</v>
      </c>
      <c r="N1" s="531">
        <v>2125</v>
      </c>
      <c r="O1" s="531">
        <v>2135</v>
      </c>
      <c r="P1" s="531">
        <v>2145</v>
      </c>
      <c r="Q1" s="531">
        <v>2155</v>
      </c>
      <c r="R1" s="531">
        <v>2165</v>
      </c>
      <c r="S1" s="531">
        <v>2175</v>
      </c>
      <c r="T1" s="531">
        <v>2185</v>
      </c>
      <c r="U1" s="531">
        <v>2195</v>
      </c>
      <c r="V1" s="531">
        <v>2205</v>
      </c>
      <c r="W1" s="531">
        <v>2215</v>
      </c>
      <c r="X1" s="531">
        <v>2225</v>
      </c>
      <c r="Y1" s="531">
        <v>2235</v>
      </c>
      <c r="Z1" s="531">
        <v>2245</v>
      </c>
      <c r="AA1" s="531">
        <v>2255</v>
      </c>
      <c r="AB1" s="531">
        <v>2265</v>
      </c>
      <c r="AC1" s="531">
        <v>2275</v>
      </c>
      <c r="AD1" s="531">
        <v>2285</v>
      </c>
      <c r="AE1" s="531">
        <v>2295</v>
      </c>
      <c r="AF1" s="531">
        <v>2305</v>
      </c>
      <c r="AG1" s="531">
        <v>2315</v>
      </c>
      <c r="AH1" s="531">
        <v>2325</v>
      </c>
      <c r="AI1" s="531">
        <v>2335</v>
      </c>
      <c r="AJ1" s="531">
        <v>2345</v>
      </c>
      <c r="AK1" s="531">
        <v>2355</v>
      </c>
      <c r="AL1" s="531">
        <v>2365</v>
      </c>
      <c r="AM1" s="531">
        <v>2375</v>
      </c>
      <c r="AN1" s="531">
        <v>2385</v>
      </c>
      <c r="AO1" s="531">
        <v>2395</v>
      </c>
      <c r="AP1" s="531">
        <v>2405</v>
      </c>
      <c r="AQ1" s="531">
        <v>2415</v>
      </c>
      <c r="AR1" s="531">
        <v>2425</v>
      </c>
      <c r="AS1" s="531">
        <v>2435</v>
      </c>
      <c r="AT1" s="531">
        <v>2445</v>
      </c>
      <c r="AU1" s="531">
        <v>2455</v>
      </c>
      <c r="AV1" s="531">
        <v>2465</v>
      </c>
      <c r="AW1" s="531">
        <v>2475</v>
      </c>
      <c r="AX1" s="531">
        <v>2485</v>
      </c>
      <c r="AY1" s="531">
        <v>2495</v>
      </c>
      <c r="AZ1" s="531">
        <v>2505</v>
      </c>
      <c r="BA1" s="531">
        <v>2515</v>
      </c>
      <c r="BB1" s="531">
        <v>2525</v>
      </c>
      <c r="BC1" s="531">
        <v>2535</v>
      </c>
      <c r="BD1" s="531">
        <v>2545</v>
      </c>
      <c r="BE1" s="531">
        <v>2555</v>
      </c>
      <c r="BF1" s="531">
        <v>2565</v>
      </c>
      <c r="BG1" s="531">
        <v>2575</v>
      </c>
      <c r="BH1" s="531">
        <v>2585</v>
      </c>
      <c r="BI1" s="531">
        <v>2595</v>
      </c>
      <c r="BJ1" s="531">
        <v>2605</v>
      </c>
      <c r="BK1" s="531">
        <v>2615</v>
      </c>
      <c r="BL1" s="531">
        <v>2625</v>
      </c>
      <c r="BM1" s="531">
        <v>2635</v>
      </c>
      <c r="BN1" s="531">
        <v>2645</v>
      </c>
      <c r="BO1" s="531">
        <v>2655</v>
      </c>
      <c r="BP1" s="531">
        <v>2665</v>
      </c>
      <c r="BQ1" s="531">
        <v>2675</v>
      </c>
      <c r="BR1" s="531">
        <v>2685</v>
      </c>
      <c r="BS1" s="531">
        <v>2695</v>
      </c>
      <c r="BT1" s="531">
        <v>2705</v>
      </c>
      <c r="BU1" s="531">
        <v>2715</v>
      </c>
      <c r="BV1" s="531">
        <v>2725</v>
      </c>
      <c r="BW1" s="531">
        <v>2735</v>
      </c>
      <c r="BX1" s="531">
        <v>2745</v>
      </c>
      <c r="BY1" s="531">
        <v>2755</v>
      </c>
      <c r="BZ1" s="531">
        <v>2765</v>
      </c>
      <c r="CA1" s="531">
        <v>2775</v>
      </c>
      <c r="CB1" s="531">
        <v>2785</v>
      </c>
      <c r="CC1" s="531">
        <v>2795</v>
      </c>
      <c r="CD1" s="531">
        <v>2805</v>
      </c>
      <c r="CE1" s="531">
        <v>2815</v>
      </c>
      <c r="CF1" s="531">
        <v>2825</v>
      </c>
      <c r="CG1" s="531">
        <v>2835</v>
      </c>
      <c r="CH1" s="531">
        <v>2845</v>
      </c>
      <c r="CI1" s="531">
        <v>2855</v>
      </c>
      <c r="CJ1" s="531">
        <v>2865</v>
      </c>
      <c r="CK1" s="531">
        <v>2875</v>
      </c>
      <c r="CL1" s="531">
        <v>2885</v>
      </c>
      <c r="CM1" s="531">
        <v>2895</v>
      </c>
      <c r="CN1" s="531">
        <v>2905</v>
      </c>
      <c r="CO1" s="531">
        <v>2915</v>
      </c>
      <c r="CP1" s="531">
        <v>2925</v>
      </c>
      <c r="CQ1" s="531">
        <v>2935</v>
      </c>
      <c r="CR1" s="531">
        <v>2945</v>
      </c>
      <c r="CS1" s="531">
        <v>2955</v>
      </c>
      <c r="CT1" s="531">
        <v>2965</v>
      </c>
      <c r="CU1" s="531">
        <v>2975</v>
      </c>
      <c r="CV1" s="531">
        <v>2985</v>
      </c>
      <c r="CW1" s="531">
        <v>2995</v>
      </c>
      <c r="CX1" s="531">
        <v>3005</v>
      </c>
      <c r="CY1" s="531">
        <v>3015</v>
      </c>
    </row>
    <row r="2" spans="1:103" s="534" customFormat="1" ht="11" x14ac:dyDescent="0.15">
      <c r="A2" s="535"/>
      <c r="B2" s="536">
        <v>1E-3</v>
      </c>
      <c r="C2" s="535"/>
      <c r="D2" s="535"/>
      <c r="E2" s="535"/>
      <c r="F2" s="535"/>
      <c r="G2" s="535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  <c r="AG2" s="531"/>
      <c r="AH2" s="531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1"/>
      <c r="AV2" s="531"/>
      <c r="AW2" s="531"/>
      <c r="AX2" s="531"/>
      <c r="AY2" s="531"/>
      <c r="AZ2" s="531"/>
      <c r="BA2" s="531"/>
      <c r="BB2" s="531"/>
      <c r="BC2" s="531"/>
      <c r="BD2" s="531"/>
      <c r="BE2" s="531"/>
      <c r="BF2" s="531"/>
      <c r="BG2" s="531"/>
      <c r="BH2" s="531"/>
      <c r="BI2" s="531"/>
    </row>
    <row r="3" spans="1:103" s="534" customFormat="1" ht="11" x14ac:dyDescent="0.15">
      <c r="A3" s="534" t="s">
        <v>1087</v>
      </c>
      <c r="B3" s="534">
        <f>+Controls!B4</f>
        <v>-1286.367566184224</v>
      </c>
    </row>
    <row r="4" spans="1:103" s="534" customFormat="1" ht="11" x14ac:dyDescent="0.15">
      <c r="A4" s="537" t="s">
        <v>1088</v>
      </c>
      <c r="B4" s="537"/>
      <c r="C4" s="540"/>
      <c r="D4" s="537"/>
      <c r="E4" s="537"/>
      <c r="F4" s="537"/>
      <c r="G4" s="537"/>
      <c r="H4" s="537"/>
      <c r="I4" s="537"/>
      <c r="J4" s="537"/>
      <c r="K4" s="537"/>
      <c r="L4" s="537"/>
      <c r="M4" s="537"/>
      <c r="N4" s="537"/>
      <c r="O4" s="537"/>
      <c r="P4" s="537"/>
      <c r="Q4" s="537"/>
      <c r="R4" s="537"/>
      <c r="S4" s="537"/>
      <c r="T4" s="537"/>
      <c r="U4" s="537"/>
      <c r="V4" s="537"/>
      <c r="W4" s="537"/>
      <c r="X4" s="537"/>
      <c r="Y4" s="537"/>
      <c r="Z4" s="537"/>
      <c r="AA4" s="537"/>
      <c r="AB4" s="537"/>
      <c r="AC4" s="537"/>
      <c r="AD4" s="537"/>
      <c r="AE4" s="537"/>
      <c r="AF4" s="537"/>
      <c r="AG4" s="537"/>
      <c r="AH4" s="537"/>
      <c r="AI4" s="537"/>
      <c r="AJ4" s="537"/>
      <c r="AK4" s="537"/>
      <c r="AL4" s="537"/>
      <c r="AM4" s="537"/>
      <c r="AN4" s="537"/>
      <c r="AO4" s="537"/>
      <c r="AP4" s="537"/>
      <c r="AQ4" s="537"/>
      <c r="AR4" s="537"/>
      <c r="AS4" s="537"/>
      <c r="AT4" s="537"/>
      <c r="AU4" s="537"/>
      <c r="AV4" s="537"/>
      <c r="AW4" s="537"/>
      <c r="AX4" s="537"/>
      <c r="AY4" s="537"/>
      <c r="AZ4" s="537"/>
      <c r="BA4" s="537"/>
      <c r="BB4" s="537"/>
      <c r="BC4" s="537"/>
      <c r="BD4" s="537"/>
      <c r="BE4" s="537"/>
      <c r="BF4" s="537"/>
      <c r="BG4" s="537"/>
      <c r="BH4" s="537"/>
      <c r="BI4" s="537"/>
    </row>
    <row r="5" spans="1:103" s="534" customFormat="1" ht="12" x14ac:dyDescent="0.15">
      <c r="A5" s="538" t="s">
        <v>36</v>
      </c>
      <c r="B5" s="539">
        <f>SUM(US:OthAsia!B70)+B4</f>
        <v>8.4310900663108779</v>
      </c>
      <c r="C5" s="539">
        <f>SUM(US:OthAsia!C70)+C4</f>
        <v>6.6397842998354886</v>
      </c>
      <c r="D5" s="539">
        <f>SUM(US:OthAsia!D70)+D4</f>
        <v>5.6166541833748393</v>
      </c>
      <c r="E5" s="539">
        <f>SUM(US:OthAsia!E70)+E4</f>
        <v>4.8287983380619988</v>
      </c>
      <c r="F5" s="539">
        <f>SUM(US:OthAsia!F70)+F4</f>
        <v>4.2274768448397797</v>
      </c>
      <c r="G5" s="539">
        <f>SUM(US:OthAsia!G70)+G4</f>
        <v>3.8082798990896345</v>
      </c>
      <c r="H5" s="539">
        <f>SUM(US:OthAsia!H70)+H4</f>
        <v>3.4530813106478595</v>
      </c>
      <c r="I5" s="539">
        <f>SUM(US:OthAsia!I70)+I4</f>
        <v>3.166329950816221</v>
      </c>
      <c r="J5" s="539">
        <f>SUM(US:OthAsia!J70)+J4</f>
        <v>2.8881458316795663</v>
      </c>
      <c r="K5" s="539">
        <f>SUM(US:OthAsia!K70)+K4</f>
        <v>2.698645388448309</v>
      </c>
      <c r="L5" s="539">
        <f>SUM(US:OthAsia!L70)+L4</f>
        <v>2.5715553641959437</v>
      </c>
      <c r="M5" s="539">
        <f>SUM(US:OthAsia!M70)+M4</f>
        <v>2.4144381352801507</v>
      </c>
      <c r="N5" s="539">
        <f>SUM(US:OthAsia!N70)+N4</f>
        <v>2.290692485111566</v>
      </c>
      <c r="O5" s="539">
        <f>SUM(US:OthAsia!O70)+O4</f>
        <v>2.2095431026309145</v>
      </c>
      <c r="P5" s="539">
        <f>SUM(US:OthAsia!P70)+P4</f>
        <v>2.1685306029050841</v>
      </c>
      <c r="Q5" s="539">
        <f>SUM(US:OthAsia!Q70)+Q4</f>
        <v>2.1287460088635966</v>
      </c>
      <c r="R5" s="539">
        <f>SUM(US:OthAsia!R70)+R4</f>
        <v>2.1113519854660878</v>
      </c>
      <c r="S5" s="539">
        <f>SUM(US:OthAsia!S70)+S4</f>
        <v>2.1041812298972702</v>
      </c>
      <c r="T5" s="539">
        <f>SUM(US:OthAsia!T70)+T4</f>
        <v>2.0563291610866319</v>
      </c>
      <c r="U5" s="539">
        <f>SUM(US:OthAsia!U70)+U4</f>
        <v>1.9465644903875654</v>
      </c>
      <c r="V5" s="539">
        <f>SUM(US:OthAsia!V70)+V4</f>
        <v>1.9519722864117253</v>
      </c>
      <c r="W5" s="539">
        <f>SUM(US:OthAsia!W70)+W4</f>
        <v>1.9429617320501931</v>
      </c>
      <c r="X5" s="539">
        <f>SUM(US:OthAsia!X70)+X4</f>
        <v>1.9254047120829867</v>
      </c>
      <c r="Y5" s="539">
        <f>SUM(US:OthAsia!Y70)+Y4</f>
        <v>1.910492044876652</v>
      </c>
      <c r="Z5" s="539">
        <f>SUM(US:OthAsia!Z70)+Z4</f>
        <v>1.9002876251094407</v>
      </c>
      <c r="AA5" s="539">
        <f>SUM(US:OthAsia!AA70)+AA4</f>
        <v>1.8904591719977082</v>
      </c>
      <c r="AB5" s="539">
        <f>SUM(US:OthAsia!AB70)+AB4</f>
        <v>4.835703278458523E-3</v>
      </c>
      <c r="AC5" s="539">
        <f>SUM(US:OthAsia!AC70)+AC4</f>
        <v>3.8685626227668189E-3</v>
      </c>
      <c r="AD5" s="539">
        <f>SUM(US:OthAsia!AD70)+AD4</f>
        <v>3.0948500982134553E-3</v>
      </c>
      <c r="AE5" s="539">
        <f>SUM(US:OthAsia!AE70)+AE4</f>
        <v>2.4758800785707642E-3</v>
      </c>
      <c r="AF5" s="539">
        <f>SUM(US:OthAsia!AF70)+AF4</f>
        <v>1.9807040628566112E-3</v>
      </c>
      <c r="AG5" s="539">
        <f>SUM(US:OthAsia!AG70)+AG4</f>
        <v>1.5845632502852892E-3</v>
      </c>
      <c r="AH5" s="539">
        <f>SUM(US:OthAsia!AH70)+AH4</f>
        <v>1.2676506002282316E-3</v>
      </c>
      <c r="AI5" s="539">
        <f>SUM(US:OthAsia!AI70)+AI4</f>
        <v>1.0141204801825854E-3</v>
      </c>
      <c r="AJ5" s="539">
        <f>SUM(US:OthAsia!AJ70)+AJ4</f>
        <v>8.1129638414606823E-4</v>
      </c>
      <c r="AK5" s="539">
        <f>SUM(US:OthAsia!AK70)+AK4</f>
        <v>6.4903710731685472E-4</v>
      </c>
      <c r="AL5" s="539">
        <f>SUM(US:OthAsia!AL70)+AL4</f>
        <v>5.1922968585348377E-4</v>
      </c>
      <c r="AM5" s="539">
        <f>SUM(US:OthAsia!AM70)+AM4</f>
        <v>4.1538374868278706E-4</v>
      </c>
      <c r="AN5" s="539">
        <f>SUM(US:OthAsia!AN70)+AN4</f>
        <v>3.3230699894622965E-4</v>
      </c>
      <c r="AO5" s="539">
        <f>SUM(US:OthAsia!AO70)+AO4</f>
        <v>2.658455991569837E-4</v>
      </c>
      <c r="AP5" s="539">
        <f>SUM(US:OthAsia!AP70)+AP4</f>
        <v>2.12676479325587E-4</v>
      </c>
      <c r="AQ5" s="539">
        <f>SUM(US:OthAsia!AQ70)+AQ4</f>
        <v>1.7014118346046962E-4</v>
      </c>
      <c r="AR5" s="539">
        <f>SUM(US:OthAsia!AR70)+AR4</f>
        <v>1.3611294676837569E-4</v>
      </c>
      <c r="AS5" s="539">
        <f>SUM(US:OthAsia!AS70)+AS4</f>
        <v>1.0889035741470056E-4</v>
      </c>
      <c r="AT5" s="539">
        <f>SUM(US:OthAsia!AT70)+AT4</f>
        <v>8.7112285931760449E-5</v>
      </c>
      <c r="AU5" s="539">
        <f>SUM(US:OthAsia!AU70)+AU4</f>
        <v>6.9689828745408375E-5</v>
      </c>
      <c r="AV5" s="539">
        <f>SUM(US:OthAsia!AV70)+AV4</f>
        <v>5.5751862996326699E-5</v>
      </c>
      <c r="AW5" s="539">
        <f>SUM(US:OthAsia!AW70)+AW4</f>
        <v>4.460149039706136E-5</v>
      </c>
      <c r="AX5" s="539">
        <f>SUM(US:OthAsia!AX70)+AX4</f>
        <v>3.568119231764909E-5</v>
      </c>
      <c r="AY5" s="539">
        <f>SUM(US:OthAsia!AY70)+AY4</f>
        <v>2.8544953854119276E-5</v>
      </c>
      <c r="AZ5" s="539">
        <f>SUM(US:OthAsia!AZ70)+AZ4</f>
        <v>2.2835963083295419E-5</v>
      </c>
      <c r="BA5" s="539">
        <f>SUM(US:OthAsia!BA70)+BA4</f>
        <v>1.8268770466636334E-5</v>
      </c>
      <c r="BB5" s="539">
        <f>SUM(US:OthAsia!BB70)+BB4</f>
        <v>1.4615016373309069E-5</v>
      </c>
      <c r="BC5" s="539">
        <f>SUM(US:OthAsia!BC70)+BC4</f>
        <v>1.1692013098647256E-5</v>
      </c>
      <c r="BD5" s="539">
        <f>SUM(US:OthAsia!BD70)+BD4</f>
        <v>9.3536104789178057E-6</v>
      </c>
      <c r="BE5" s="539">
        <f>SUM(US:OthAsia!BE70)+BE4</f>
        <v>7.4828883831342453E-6</v>
      </c>
      <c r="BF5" s="539">
        <f>SUM(US:OthAsia!BF70)+BF4</f>
        <v>5.9863107065073967E-6</v>
      </c>
      <c r="BG5" s="539">
        <f>SUM(US:OthAsia!BG70)+BG4</f>
        <v>4.7890485652059181E-6</v>
      </c>
      <c r="BH5" s="539">
        <f>SUM(US:OthAsia!BH70)+BH4</f>
        <v>3.8312388521647341E-6</v>
      </c>
      <c r="BI5" s="539">
        <f>SUM(US:OthAsia!BI70)+BI4</f>
        <v>3.0649910817317878E-6</v>
      </c>
    </row>
    <row r="6" spans="1:103" s="534" customFormat="1" ht="11" x14ac:dyDescent="0.15">
      <c r="A6" s="537" t="s">
        <v>1092</v>
      </c>
      <c r="B6" s="537">
        <v>1753.487782268006</v>
      </c>
      <c r="C6" s="537"/>
      <c r="D6" s="537"/>
      <c r="E6" s="537"/>
      <c r="F6" s="537"/>
      <c r="G6" s="537"/>
      <c r="H6" s="537"/>
      <c r="I6" s="537"/>
      <c r="J6" s="537"/>
      <c r="K6" s="537"/>
      <c r="L6" s="537"/>
      <c r="M6" s="537"/>
      <c r="N6" s="537"/>
      <c r="O6" s="537"/>
      <c r="P6" s="537"/>
      <c r="Q6" s="537"/>
      <c r="R6" s="537"/>
      <c r="S6" s="537"/>
      <c r="T6" s="537"/>
      <c r="U6" s="537"/>
      <c r="V6" s="537"/>
      <c r="W6" s="537"/>
      <c r="X6" s="537"/>
      <c r="Y6" s="537"/>
      <c r="Z6" s="537"/>
      <c r="AA6" s="537"/>
      <c r="AB6" s="537"/>
      <c r="AC6" s="537"/>
      <c r="AD6" s="537"/>
      <c r="AE6" s="537"/>
      <c r="AF6" s="537"/>
      <c r="AG6" s="537"/>
      <c r="AH6" s="537"/>
      <c r="AI6" s="537"/>
      <c r="AJ6" s="537"/>
      <c r="AK6" s="537"/>
      <c r="AL6" s="537"/>
      <c r="AM6" s="537"/>
      <c r="AN6" s="537"/>
      <c r="AO6" s="537"/>
      <c r="AP6" s="537"/>
      <c r="AQ6" s="537"/>
      <c r="AR6" s="537"/>
      <c r="AS6" s="537"/>
      <c r="AT6" s="537"/>
      <c r="AU6" s="537"/>
      <c r="AV6" s="537"/>
      <c r="AW6" s="537"/>
      <c r="AX6" s="537"/>
      <c r="AY6" s="537"/>
      <c r="AZ6" s="537"/>
      <c r="BA6" s="537"/>
      <c r="BB6" s="537"/>
      <c r="BC6" s="537"/>
      <c r="BD6" s="537"/>
      <c r="BE6" s="537"/>
      <c r="BF6" s="537"/>
      <c r="BG6" s="537"/>
      <c r="BH6" s="537"/>
      <c r="BI6" s="537"/>
    </row>
    <row r="7" spans="1:103" s="534" customFormat="1" ht="11" x14ac:dyDescent="0.15">
      <c r="A7" s="537" t="s">
        <v>1093</v>
      </c>
      <c r="B7" s="537">
        <v>1753.4876047314694</v>
      </c>
      <c r="C7" s="537">
        <v>1753.4876185504254</v>
      </c>
      <c r="D7" s="537">
        <v>1753.4876596550989</v>
      </c>
      <c r="E7" s="537">
        <v>1753.487690065341</v>
      </c>
      <c r="F7" s="537">
        <v>1753.4877125598302</v>
      </c>
      <c r="G7" s="537">
        <v>1753.4877291731812</v>
      </c>
      <c r="H7" s="537"/>
      <c r="I7" s="537"/>
      <c r="J7" s="537"/>
      <c r="K7" s="537"/>
      <c r="L7" s="537">
        <v>1753.4877671991335</v>
      </c>
      <c r="M7" s="537"/>
      <c r="N7" s="537"/>
      <c r="O7" s="537"/>
      <c r="P7" s="537"/>
      <c r="Q7" s="537"/>
      <c r="R7" s="537"/>
      <c r="S7" s="537"/>
      <c r="T7" s="537"/>
      <c r="U7" s="537"/>
      <c r="V7" s="537"/>
      <c r="W7" s="537"/>
      <c r="X7" s="537"/>
      <c r="Y7" s="537"/>
      <c r="Z7" s="537"/>
      <c r="AA7" s="537"/>
      <c r="AB7" s="537"/>
      <c r="AC7" s="537"/>
      <c r="AD7" s="537"/>
      <c r="AE7" s="537"/>
      <c r="AF7" s="537"/>
      <c r="AG7" s="537"/>
      <c r="AH7" s="537"/>
      <c r="AI7" s="537"/>
      <c r="AJ7" s="537"/>
      <c r="AK7" s="537"/>
      <c r="AL7" s="537"/>
      <c r="AM7" s="537"/>
      <c r="AN7" s="537"/>
      <c r="AO7" s="537"/>
      <c r="AP7" s="537"/>
      <c r="AQ7" s="537"/>
      <c r="AR7" s="537"/>
      <c r="AS7" s="537"/>
      <c r="AT7" s="537"/>
      <c r="AU7" s="537"/>
      <c r="AV7" s="537"/>
      <c r="AW7" s="537"/>
      <c r="AX7" s="537"/>
      <c r="AY7" s="537"/>
      <c r="AZ7" s="537"/>
      <c r="BA7" s="537"/>
      <c r="BB7" s="537"/>
      <c r="BC7" s="537"/>
      <c r="BD7" s="537"/>
      <c r="BE7" s="537"/>
      <c r="BF7" s="537"/>
      <c r="BG7" s="537"/>
      <c r="BH7" s="537"/>
      <c r="BI7" s="537"/>
    </row>
    <row r="8" spans="1:103" s="534" customFormat="1" ht="11" x14ac:dyDescent="0.15">
      <c r="A8" s="537" t="s">
        <v>1097</v>
      </c>
      <c r="B8" s="537">
        <v>0.98484913147760467</v>
      </c>
      <c r="C8" s="537">
        <v>1.0284160315721043</v>
      </c>
      <c r="D8" s="537">
        <v>1.1148741972430294</v>
      </c>
      <c r="E8" s="537">
        <v>0.68942854728909808</v>
      </c>
      <c r="F8" s="537">
        <v>0.75831030744688421</v>
      </c>
      <c r="G8" s="537">
        <v>0.83100581476332847</v>
      </c>
      <c r="H8" s="537"/>
      <c r="I8" s="537"/>
      <c r="J8" s="537"/>
      <c r="K8" s="537"/>
      <c r="L8" s="537">
        <v>0.86599999999999999</v>
      </c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7"/>
      <c r="AE8" s="537"/>
      <c r="AF8" s="537"/>
      <c r="AG8" s="537"/>
      <c r="AH8" s="537"/>
      <c r="AI8" s="537"/>
      <c r="AJ8" s="537"/>
      <c r="AK8" s="537"/>
      <c r="AL8" s="537"/>
      <c r="AM8" s="537"/>
      <c r="AN8" s="537"/>
      <c r="AO8" s="537"/>
      <c r="AP8" s="537"/>
      <c r="AQ8" s="537"/>
      <c r="AR8" s="537"/>
      <c r="AS8" s="537"/>
      <c r="AT8" s="537"/>
      <c r="AU8" s="537"/>
      <c r="AV8" s="537"/>
      <c r="AW8" s="537"/>
      <c r="AX8" s="537"/>
      <c r="AY8" s="537"/>
      <c r="AZ8" s="537"/>
      <c r="BA8" s="537"/>
      <c r="BB8" s="537"/>
      <c r="BC8" s="537"/>
      <c r="BD8" s="537"/>
      <c r="BE8" s="537"/>
      <c r="BF8" s="537"/>
      <c r="BG8" s="537"/>
      <c r="BH8" s="537"/>
      <c r="BI8" s="537"/>
    </row>
    <row r="9" spans="1:103" s="534" customFormat="1" ht="11" x14ac:dyDescent="0.15">
      <c r="A9" s="537" t="s">
        <v>1096</v>
      </c>
      <c r="B9" s="540">
        <f>+Global!B366</f>
        <v>1</v>
      </c>
      <c r="C9" s="540">
        <f>+Global!C366</f>
        <v>0.96161511845297976</v>
      </c>
      <c r="D9" s="540">
        <f>+Global!D366</f>
        <v>0.86569364022385009</v>
      </c>
      <c r="E9" s="540">
        <f>+Global!F366</f>
        <v>0.6532713404149556</v>
      </c>
      <c r="F9" s="540">
        <f>+Global!G366</f>
        <v>0.53541491738997871</v>
      </c>
      <c r="G9" s="540">
        <f>+Global!H366</f>
        <v>0.43457718295515679</v>
      </c>
      <c r="H9" s="540">
        <f>+Global!I366</f>
        <v>0.35263871552600945</v>
      </c>
      <c r="I9" s="540">
        <f>+Global!J366</f>
        <v>0.29257294645456994</v>
      </c>
      <c r="J9" s="540">
        <f>+Global!K366</f>
        <v>0.23876754158612412</v>
      </c>
      <c r="K9" s="540">
        <f>+Global!L366</f>
        <v>0.19215372592398747</v>
      </c>
      <c r="L9" s="540">
        <f>+Global!M366</f>
        <v>0.16248247359553655</v>
      </c>
      <c r="M9" s="540">
        <f>+Global!N366</f>
        <v>0.13465523502213658</v>
      </c>
      <c r="N9" s="540">
        <f>+Global!O366</f>
        <v>0.10999402674770049</v>
      </c>
      <c r="O9" s="540">
        <f>+Global!P366</f>
        <v>8.8094715515323982E-2</v>
      </c>
      <c r="P9" s="540">
        <f>+Global!Q366</f>
        <v>7.1262345213119346E-2</v>
      </c>
      <c r="Q9" s="540">
        <f>+Global!R366</f>
        <v>5.72093094217749E-2</v>
      </c>
      <c r="R9" s="540">
        <f>+Global!S366</f>
        <v>4.6029611663538292E-2</v>
      </c>
      <c r="S9" s="540">
        <f>+Global!T366</f>
        <v>3.8272075749228272E-2</v>
      </c>
      <c r="T9" s="540">
        <f>+Global!U366</f>
        <v>3.365499976771924E-2</v>
      </c>
      <c r="U9" s="540">
        <f>+Global!V366</f>
        <v>2.722283334130873E-2</v>
      </c>
      <c r="V9" s="540">
        <f>+Global!W366</f>
        <v>2.2439308019969743E-2</v>
      </c>
      <c r="W9" s="540">
        <f>+Global!X366</f>
        <v>1.8694250454195295E-2</v>
      </c>
      <c r="X9" s="540">
        <f>+Global!Y366</f>
        <v>1.557116656783198E-2</v>
      </c>
      <c r="Y9" s="540">
        <f>+Global!Z366</f>
        <v>1.2939082233277053E-2</v>
      </c>
      <c r="Z9" s="540">
        <f>+Global!AA366</f>
        <v>1.0759901140780565E-2</v>
      </c>
      <c r="AA9" s="540">
        <f>+Global!AB366</f>
        <v>9.0043647289158521E-3</v>
      </c>
      <c r="AB9" s="540">
        <f>+Global!AC366</f>
        <v>7.4327349911025463E-3</v>
      </c>
      <c r="AC9" s="540">
        <f>+Global!AD366</f>
        <v>6.1479642226849821E-3</v>
      </c>
      <c r="AD9" s="540">
        <f>+Global!AE366</f>
        <v>5.1502224899291999E-3</v>
      </c>
      <c r="AE9" s="540">
        <f>+Global!AF366</f>
        <v>4.6905831995393268E-3</v>
      </c>
      <c r="AF9" s="540">
        <f>+Global!AG366</f>
        <v>0</v>
      </c>
      <c r="AG9" s="540">
        <f>+Global!AH366</f>
        <v>0</v>
      </c>
      <c r="AH9" s="540">
        <f>+Global!AI366</f>
        <v>0</v>
      </c>
      <c r="AI9" s="540">
        <f>+Global!AJ366</f>
        <v>0</v>
      </c>
      <c r="AJ9" s="540">
        <f>+Global!AK366</f>
        <v>0</v>
      </c>
      <c r="AK9" s="540">
        <f>+Global!AL366</f>
        <v>0</v>
      </c>
      <c r="AL9" s="540">
        <f>+Global!AM366</f>
        <v>0</v>
      </c>
      <c r="AM9" s="540">
        <f>+Global!AN366</f>
        <v>0</v>
      </c>
      <c r="AN9" s="540">
        <f>+Global!AO366</f>
        <v>0</v>
      </c>
      <c r="AO9" s="540">
        <f>+Global!AP366</f>
        <v>0</v>
      </c>
      <c r="AP9" s="540">
        <f>+Global!AQ366</f>
        <v>0</v>
      </c>
      <c r="AQ9" s="540">
        <f>+Global!AR366</f>
        <v>0</v>
      </c>
      <c r="AR9" s="540">
        <f>+Global!AS366</f>
        <v>0</v>
      </c>
      <c r="AS9" s="540">
        <f>+Global!AT366</f>
        <v>0</v>
      </c>
      <c r="AT9" s="540">
        <f>+Global!AU366</f>
        <v>0</v>
      </c>
      <c r="AU9" s="540">
        <f>+Global!AV366</f>
        <v>0</v>
      </c>
      <c r="AV9" s="540">
        <f>+Global!AW366</f>
        <v>0</v>
      </c>
      <c r="AW9" s="540">
        <f>+Global!AX366</f>
        <v>0</v>
      </c>
      <c r="AX9" s="540">
        <f>+Global!AY366</f>
        <v>0</v>
      </c>
      <c r="AY9" s="540">
        <f>+Global!AZ366</f>
        <v>0</v>
      </c>
      <c r="AZ9" s="540">
        <f>+Global!BA366</f>
        <v>0</v>
      </c>
      <c r="BA9" s="540">
        <f>+Global!BB366</f>
        <v>0</v>
      </c>
      <c r="BB9" s="540">
        <f>+Global!BC366</f>
        <v>0</v>
      </c>
      <c r="BC9" s="540">
        <f>+Global!BD366</f>
        <v>0</v>
      </c>
      <c r="BD9" s="540">
        <f>+Global!BE366</f>
        <v>0</v>
      </c>
      <c r="BE9" s="540">
        <f>+Global!BF366</f>
        <v>0</v>
      </c>
      <c r="BF9" s="540">
        <f>+Global!BG366</f>
        <v>0</v>
      </c>
      <c r="BG9" s="540">
        <f>+Global!BH366</f>
        <v>0</v>
      </c>
      <c r="BH9" s="540">
        <f>+Global!BI366</f>
        <v>0</v>
      </c>
      <c r="BI9" s="540" t="e">
        <f>+Global!#REF!</f>
        <v>#REF!</v>
      </c>
    </row>
    <row r="10" spans="1:103" s="534" customFormat="1" ht="11" x14ac:dyDescent="0.15">
      <c r="A10" s="537" t="s">
        <v>1089</v>
      </c>
      <c r="B10" s="541">
        <f>100000*($B6-B7)/B9</f>
        <v>17.753653651197965</v>
      </c>
      <c r="C10" s="537">
        <f>100000*($B6-C7)/C9</f>
        <v>17.025271069577769</v>
      </c>
      <c r="D10" s="537">
        <f>100000*($B6-D7)/D9</f>
        <v>14.163544854381845</v>
      </c>
      <c r="E10" s="537">
        <f t="shared" ref="E10:G10" si="0">100000*($B6-E7)/E9</f>
        <v>14.113992038080534</v>
      </c>
      <c r="F10" s="537">
        <f t="shared" si="0"/>
        <v>13.019468350842411</v>
      </c>
      <c r="G10" s="537">
        <f t="shared" si="0"/>
        <v>12.217582259134623</v>
      </c>
      <c r="H10" s="537"/>
      <c r="I10" s="537"/>
      <c r="J10" s="537"/>
      <c r="K10" s="537"/>
      <c r="L10" s="537">
        <f>100000*($B6-L7)/L9</f>
        <v>9.2741525520546251</v>
      </c>
      <c r="M10" s="537"/>
      <c r="N10" s="537"/>
      <c r="O10" s="537"/>
      <c r="P10" s="537"/>
      <c r="Q10" s="537"/>
      <c r="R10" s="537"/>
      <c r="S10" s="537"/>
      <c r="T10" s="537"/>
      <c r="U10" s="537"/>
      <c r="V10" s="537"/>
      <c r="W10" s="537"/>
      <c r="X10" s="537"/>
      <c r="Y10" s="537"/>
      <c r="Z10" s="537"/>
      <c r="AA10" s="537"/>
      <c r="AB10" s="537"/>
      <c r="AC10" s="537"/>
      <c r="AD10" s="537"/>
      <c r="AE10" s="537"/>
      <c r="AF10" s="537"/>
      <c r="AG10" s="537"/>
      <c r="AH10" s="537"/>
      <c r="AI10" s="537"/>
      <c r="AJ10" s="537"/>
      <c r="AK10" s="537"/>
      <c r="AL10" s="537"/>
      <c r="AM10" s="537"/>
      <c r="AN10" s="537"/>
      <c r="AO10" s="537"/>
      <c r="AP10" s="537"/>
      <c r="AQ10" s="537"/>
      <c r="AR10" s="537"/>
      <c r="AS10" s="537"/>
      <c r="AT10" s="537"/>
      <c r="AU10" s="537"/>
      <c r="AV10" s="537"/>
      <c r="AW10" s="537"/>
      <c r="AX10" s="537"/>
      <c r="AY10" s="537"/>
      <c r="AZ10" s="537"/>
      <c r="BA10" s="537"/>
      <c r="BB10" s="537"/>
      <c r="BC10" s="537"/>
      <c r="BD10" s="537"/>
      <c r="BE10" s="537"/>
      <c r="BF10" s="537"/>
      <c r="BG10" s="537"/>
      <c r="BH10" s="537"/>
      <c r="BI10" s="537"/>
    </row>
    <row r="11" spans="1:103" s="549" customFormat="1" ht="11" x14ac:dyDescent="0.15">
      <c r="A11" s="548" t="s">
        <v>1095</v>
      </c>
      <c r="B11" s="548">
        <f t="shared" ref="B11:G11" si="1">+B10*B8</f>
        <v>17.484670378936521</v>
      </c>
      <c r="C11" s="548">
        <f t="shared" si="1"/>
        <v>17.509061709814524</v>
      </c>
      <c r="D11" s="548">
        <f t="shared" si="1"/>
        <v>15.790570699644599</v>
      </c>
      <c r="E11" s="548">
        <f t="shared" si="1"/>
        <v>9.7305890272637594</v>
      </c>
      <c r="F11" s="548">
        <f t="shared" si="1"/>
        <v>9.8727970479222869</v>
      </c>
      <c r="G11" s="548">
        <f t="shared" si="1"/>
        <v>10.152881899690154</v>
      </c>
      <c r="H11" s="548"/>
      <c r="I11" s="548"/>
      <c r="J11" s="548"/>
      <c r="K11" s="548"/>
      <c r="L11" s="548">
        <f t="shared" ref="L11" si="2">+L10*L8</f>
        <v>8.0314161100793058</v>
      </c>
      <c r="M11" s="548"/>
      <c r="N11" s="548"/>
      <c r="O11" s="548"/>
      <c r="P11" s="548"/>
      <c r="Q11" s="548"/>
      <c r="R11" s="548"/>
      <c r="S11" s="548"/>
      <c r="T11" s="548"/>
      <c r="U11" s="548"/>
      <c r="V11" s="548"/>
      <c r="W11" s="548"/>
      <c r="X11" s="548"/>
      <c r="Y11" s="548"/>
      <c r="Z11" s="548"/>
      <c r="AA11" s="548"/>
      <c r="AB11" s="548"/>
      <c r="AC11" s="548"/>
      <c r="AD11" s="548"/>
      <c r="AE11" s="548"/>
      <c r="AF11" s="548"/>
      <c r="AG11" s="548"/>
      <c r="AH11" s="548"/>
      <c r="AI11" s="548"/>
      <c r="AJ11" s="548"/>
      <c r="AK11" s="548"/>
      <c r="AL11" s="548"/>
      <c r="AM11" s="548"/>
      <c r="AN11" s="548"/>
      <c r="AO11" s="548"/>
      <c r="AP11" s="548"/>
      <c r="AQ11" s="548"/>
      <c r="AR11" s="548"/>
      <c r="AS11" s="548"/>
      <c r="AT11" s="548"/>
      <c r="AU11" s="548"/>
      <c r="AV11" s="548"/>
      <c r="AW11" s="548"/>
      <c r="AX11" s="548"/>
      <c r="AY11" s="548"/>
      <c r="AZ11" s="548"/>
      <c r="BA11" s="548"/>
      <c r="BB11" s="548"/>
      <c r="BC11" s="548"/>
      <c r="BD11" s="548"/>
      <c r="BE11" s="548"/>
      <c r="BF11" s="548"/>
      <c r="BG11" s="548"/>
      <c r="BH11" s="548"/>
      <c r="BI11" s="548"/>
    </row>
    <row r="12" spans="1:103" s="549" customFormat="1" ht="11" x14ac:dyDescent="0.15">
      <c r="A12" s="548" t="s">
        <v>1102</v>
      </c>
      <c r="B12" s="550">
        <v>17.484670378936521</v>
      </c>
      <c r="C12" s="551">
        <v>32.863819712672367</v>
      </c>
      <c r="D12" s="551">
        <v>48.723172321190816</v>
      </c>
      <c r="E12" s="551">
        <v>68.744444586686754</v>
      </c>
      <c r="F12" s="551">
        <v>93.800860706928887</v>
      </c>
      <c r="G12" s="551">
        <v>124.48185330155847</v>
      </c>
      <c r="H12" s="551">
        <v>161.24871760713521</v>
      </c>
      <c r="I12" s="551">
        <v>204.68797625051684</v>
      </c>
      <c r="J12" s="551">
        <v>254.94893518324932</v>
      </c>
      <c r="K12" s="551">
        <v>311.87486066439834</v>
      </c>
      <c r="L12" s="551">
        <v>374.22827926152047</v>
      </c>
      <c r="M12" s="551">
        <v>831.12187754205854</v>
      </c>
      <c r="N12" s="548"/>
      <c r="O12" s="548"/>
      <c r="P12" s="548"/>
      <c r="Q12" s="548"/>
      <c r="R12" s="548"/>
      <c r="S12" s="548"/>
      <c r="T12" s="548"/>
      <c r="U12" s="548"/>
      <c r="V12" s="548"/>
      <c r="W12" s="548"/>
      <c r="X12" s="548"/>
      <c r="Y12" s="548"/>
      <c r="Z12" s="548"/>
      <c r="AA12" s="548"/>
      <c r="AB12" s="548"/>
      <c r="AC12" s="548"/>
      <c r="AD12" s="548"/>
      <c r="AE12" s="548"/>
      <c r="AF12" s="548"/>
      <c r="AG12" s="548"/>
      <c r="AH12" s="548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8"/>
      <c r="BH12" s="548"/>
      <c r="BI12" s="548"/>
    </row>
    <row r="13" spans="1:103" s="534" customFormat="1" ht="11" x14ac:dyDescent="0.15">
      <c r="A13" s="537" t="s">
        <v>1094</v>
      </c>
      <c r="B13" s="537">
        <f>+Global!B378</f>
        <v>23.606779170541159</v>
      </c>
      <c r="C13" s="537">
        <f>+Global!C378</f>
        <v>24.549093205313891</v>
      </c>
      <c r="D13" s="537">
        <f>+Global!D378</f>
        <v>25.992870171829182</v>
      </c>
      <c r="E13" s="537">
        <f>+Global!E378</f>
        <v>26.767200923041809</v>
      </c>
      <c r="F13" s="537">
        <f>+Global!F378</f>
        <v>26.689768561362527</v>
      </c>
      <c r="G13" s="537">
        <f>+Global!G378</f>
        <v>26.76439212562736</v>
      </c>
      <c r="H13" s="537"/>
      <c r="I13" s="537"/>
      <c r="J13" s="537"/>
      <c r="K13" s="537"/>
      <c r="L13" s="537"/>
      <c r="M13" s="537"/>
      <c r="N13" s="537"/>
      <c r="O13" s="537"/>
      <c r="P13" s="537"/>
      <c r="Q13" s="537"/>
      <c r="R13" s="537"/>
      <c r="S13" s="537"/>
      <c r="T13" s="537"/>
      <c r="U13" s="537"/>
      <c r="V13" s="537"/>
      <c r="W13" s="537"/>
      <c r="X13" s="537"/>
      <c r="Y13" s="537"/>
      <c r="Z13" s="537"/>
      <c r="AA13" s="537"/>
      <c r="AB13" s="537"/>
      <c r="AC13" s="537"/>
      <c r="AD13" s="537"/>
      <c r="AE13" s="537"/>
      <c r="AF13" s="537"/>
      <c r="AG13" s="537"/>
      <c r="AH13" s="537"/>
      <c r="AI13" s="537"/>
      <c r="AJ13" s="537"/>
      <c r="AK13" s="537"/>
      <c r="AL13" s="537"/>
      <c r="AM13" s="537"/>
      <c r="AN13" s="537"/>
      <c r="AO13" s="537"/>
      <c r="AP13" s="537"/>
      <c r="AQ13" s="537"/>
      <c r="AR13" s="537"/>
      <c r="AS13" s="537"/>
      <c r="AT13" s="537"/>
      <c r="AU13" s="537"/>
      <c r="AV13" s="537"/>
      <c r="AW13" s="537"/>
      <c r="AX13" s="537"/>
      <c r="AY13" s="537"/>
      <c r="AZ13" s="537"/>
      <c r="BA13" s="537"/>
      <c r="BB13" s="537"/>
      <c r="BC13" s="537"/>
      <c r="BD13" s="537"/>
      <c r="BE13" s="537"/>
      <c r="BF13" s="537"/>
      <c r="BG13" s="537"/>
      <c r="BH13" s="537"/>
      <c r="BI13" s="537"/>
    </row>
    <row r="14" spans="1:103" x14ac:dyDescent="0.2">
      <c r="A14" s="2" t="s">
        <v>1125</v>
      </c>
      <c r="B14" s="2">
        <f>+C14+1</f>
        <v>1004</v>
      </c>
      <c r="C14" s="2">
        <v>1003</v>
      </c>
    </row>
    <row r="15" spans="1:103" s="534" customFormat="1" ht="11" x14ac:dyDescent="0.15">
      <c r="A15" s="534" t="s">
        <v>66</v>
      </c>
      <c r="B15" s="542"/>
      <c r="C15" s="542"/>
      <c r="D15" s="537"/>
      <c r="E15" s="537"/>
      <c r="F15" s="537" t="str">
        <f>+IF(D10&gt;70,1,"")</f>
        <v/>
      </c>
      <c r="G15" s="537"/>
      <c r="H15" s="537"/>
      <c r="I15" s="537"/>
      <c r="J15" s="537"/>
      <c r="K15" s="537"/>
      <c r="L15" s="537"/>
      <c r="M15" s="537"/>
      <c r="N15" s="537"/>
      <c r="O15" s="537"/>
      <c r="P15" s="537"/>
      <c r="Q15" s="537"/>
      <c r="R15" s="537"/>
      <c r="S15" s="537"/>
      <c r="T15" s="537"/>
      <c r="U15" s="537"/>
      <c r="V15" s="537"/>
      <c r="W15" s="537"/>
      <c r="X15" s="537"/>
      <c r="Y15" s="537"/>
      <c r="Z15" s="537"/>
      <c r="AA15" s="537"/>
      <c r="AB15" s="537"/>
      <c r="AC15" s="537"/>
      <c r="AD15" s="537"/>
      <c r="AE15" s="537"/>
      <c r="AF15" s="537"/>
      <c r="AG15" s="537"/>
      <c r="AH15" s="537"/>
      <c r="AI15" s="537"/>
      <c r="AJ15" s="537"/>
      <c r="AK15" s="537"/>
      <c r="AL15" s="537"/>
      <c r="AM15" s="537"/>
      <c r="AN15" s="537"/>
      <c r="AO15" s="537"/>
      <c r="AP15" s="537"/>
      <c r="AQ15" s="537"/>
      <c r="AR15" s="537"/>
      <c r="AS15" s="537"/>
      <c r="AT15" s="537"/>
      <c r="AU15" s="537"/>
      <c r="AV15" s="537"/>
      <c r="AW15" s="537"/>
      <c r="AX15" s="537"/>
      <c r="AY15" s="537"/>
      <c r="AZ15" s="537"/>
      <c r="BA15" s="537"/>
      <c r="BB15" s="537"/>
      <c r="BC15" s="537"/>
      <c r="BD15" s="537"/>
      <c r="BE15" s="537"/>
      <c r="BF15" s="537"/>
      <c r="BG15" s="537"/>
      <c r="BH15" s="537"/>
      <c r="BI15" s="537"/>
    </row>
    <row r="16" spans="1:103" s="534" customFormat="1" ht="11" x14ac:dyDescent="0.15">
      <c r="A16" s="534" t="s">
        <v>75</v>
      </c>
      <c r="B16" s="542"/>
      <c r="C16" s="542"/>
      <c r="D16" s="537"/>
      <c r="E16" s="537"/>
      <c r="F16" s="537" t="s">
        <v>1098</v>
      </c>
      <c r="G16" s="537"/>
      <c r="H16" s="537"/>
      <c r="I16" s="537">
        <f>+SUMPRODUCT(F17:K17*F17:K17)</f>
        <v>3.0561994620519237</v>
      </c>
      <c r="J16" s="537"/>
      <c r="K16" s="537"/>
      <c r="L16" s="537"/>
      <c r="M16" s="537"/>
      <c r="N16" s="537"/>
      <c r="O16" s="537"/>
      <c r="P16" s="537"/>
      <c r="Q16" s="537"/>
      <c r="R16" s="537"/>
      <c r="S16" s="537"/>
      <c r="T16" s="537"/>
      <c r="U16" s="537"/>
      <c r="V16" s="537"/>
      <c r="W16" s="537"/>
      <c r="X16" s="537"/>
      <c r="Y16" s="537"/>
      <c r="Z16" s="537"/>
      <c r="AA16" s="537"/>
      <c r="AB16" s="537"/>
      <c r="AC16" s="537"/>
      <c r="AD16" s="537"/>
      <c r="AE16" s="537"/>
      <c r="AF16" s="537"/>
      <c r="AG16" s="537"/>
      <c r="AH16" s="537"/>
      <c r="AI16" s="537"/>
      <c r="AJ16" s="537"/>
      <c r="AK16" s="537"/>
      <c r="AL16" s="537"/>
      <c r="AM16" s="537"/>
      <c r="AN16" s="537"/>
      <c r="AO16" s="537"/>
      <c r="AP16" s="537"/>
      <c r="AQ16" s="537"/>
      <c r="AR16" s="537"/>
      <c r="AS16" s="537"/>
      <c r="AT16" s="537"/>
      <c r="AU16" s="537"/>
      <c r="AV16" s="537"/>
      <c r="AW16" s="537"/>
      <c r="AX16" s="537"/>
      <c r="AY16" s="537"/>
      <c r="AZ16" s="537"/>
      <c r="BA16" s="537"/>
      <c r="BB16" s="537"/>
      <c r="BC16" s="537"/>
      <c r="BD16" s="537"/>
      <c r="BE16" s="537"/>
      <c r="BF16" s="537"/>
      <c r="BG16" s="537"/>
      <c r="BH16" s="537"/>
      <c r="BI16" s="537"/>
    </row>
    <row r="17" spans="1:61" s="534" customFormat="1" ht="11" x14ac:dyDescent="0.15">
      <c r="A17" s="534" t="s">
        <v>181</v>
      </c>
      <c r="B17" s="543">
        <f t="shared" ref="B17:B36" ca="1" si="3">NORMINV(RAND(), 0,1)</f>
        <v>1.1092845647174456</v>
      </c>
      <c r="C17" s="543">
        <v>1.3244486635374413</v>
      </c>
      <c r="E17" s="537"/>
      <c r="F17" s="537">
        <f t="shared" ref="F17:K17" si="4">+B11/B12-1</f>
        <v>0</v>
      </c>
      <c r="G17" s="537">
        <f t="shared" si="4"/>
        <v>-0.46722377791456216</v>
      </c>
      <c r="H17" s="537">
        <f t="shared" si="4"/>
        <v>-0.67591250841487338</v>
      </c>
      <c r="I17" s="537">
        <f t="shared" si="4"/>
        <v>-0.85845272173239418</v>
      </c>
      <c r="J17" s="537">
        <f t="shared" si="4"/>
        <v>-0.8947472659257486</v>
      </c>
      <c r="K17" s="537">
        <f t="shared" si="4"/>
        <v>-0.91843885971801287</v>
      </c>
      <c r="L17" s="537"/>
      <c r="M17" s="537"/>
      <c r="N17" s="537"/>
      <c r="O17" s="537"/>
      <c r="P17" s="537"/>
      <c r="Q17" s="537"/>
      <c r="R17" s="537"/>
      <c r="S17" s="537"/>
      <c r="T17" s="537"/>
      <c r="U17" s="537"/>
      <c r="V17" s="537"/>
      <c r="W17" s="537"/>
      <c r="X17" s="537"/>
      <c r="Y17" s="537"/>
      <c r="Z17" s="537"/>
      <c r="AA17" s="537"/>
      <c r="AB17" s="537"/>
      <c r="AC17" s="537"/>
      <c r="AD17" s="537"/>
      <c r="AE17" s="537"/>
      <c r="AF17" s="537"/>
      <c r="AG17" s="537"/>
      <c r="AH17" s="537"/>
      <c r="AI17" s="537"/>
      <c r="AJ17" s="537"/>
      <c r="AK17" s="537"/>
      <c r="AL17" s="537"/>
      <c r="AM17" s="537"/>
      <c r="AN17" s="537"/>
      <c r="AO17" s="537"/>
      <c r="AP17" s="537"/>
      <c r="AQ17" s="537"/>
      <c r="AR17" s="537"/>
      <c r="AS17" s="537"/>
      <c r="AT17" s="537"/>
      <c r="AU17" s="537"/>
      <c r="AV17" s="537"/>
      <c r="AW17" s="537"/>
      <c r="AX17" s="537"/>
      <c r="AY17" s="537"/>
      <c r="AZ17" s="537"/>
      <c r="BA17" s="537"/>
      <c r="BB17" s="537"/>
      <c r="BC17" s="537"/>
      <c r="BD17" s="537"/>
      <c r="BE17" s="537"/>
      <c r="BF17" s="537"/>
      <c r="BG17" s="537"/>
      <c r="BH17" s="537"/>
      <c r="BI17" s="537"/>
    </row>
    <row r="18" spans="1:61" s="534" customFormat="1" ht="11" x14ac:dyDescent="0.15">
      <c r="A18" s="534" t="s">
        <v>182</v>
      </c>
      <c r="B18" s="543">
        <f t="shared" ca="1" si="3"/>
        <v>-0.57195999459617419</v>
      </c>
      <c r="C18" s="543">
        <v>0.37069644385137257</v>
      </c>
      <c r="E18" s="537"/>
      <c r="F18" s="537" t="s">
        <v>1099</v>
      </c>
      <c r="G18" s="537"/>
      <c r="H18" s="537"/>
      <c r="I18" s="537"/>
      <c r="J18" s="537"/>
      <c r="K18" s="537"/>
      <c r="L18" s="537"/>
      <c r="M18" s="537"/>
      <c r="N18" s="537"/>
      <c r="O18" s="537"/>
      <c r="P18" s="537"/>
      <c r="Q18" s="537"/>
      <c r="R18" s="537"/>
      <c r="S18" s="537"/>
      <c r="T18" s="537"/>
      <c r="U18" s="537"/>
      <c r="V18" s="537"/>
      <c r="W18" s="537"/>
      <c r="X18" s="537"/>
      <c r="Y18" s="537"/>
      <c r="Z18" s="537"/>
      <c r="AA18" s="537"/>
      <c r="AB18" s="537"/>
      <c r="AC18" s="537"/>
      <c r="AD18" s="537"/>
      <c r="AE18" s="537"/>
      <c r="AF18" s="537"/>
      <c r="AG18" s="537"/>
      <c r="AH18" s="537"/>
      <c r="AI18" s="537"/>
      <c r="AJ18" s="537"/>
      <c r="AK18" s="537"/>
      <c r="AL18" s="537"/>
      <c r="AM18" s="537"/>
      <c r="AN18" s="537"/>
      <c r="AO18" s="537"/>
      <c r="AP18" s="537"/>
      <c r="AQ18" s="537"/>
      <c r="AR18" s="537"/>
      <c r="AS18" s="537"/>
      <c r="AT18" s="537"/>
      <c r="AU18" s="537"/>
      <c r="AV18" s="537"/>
      <c r="AW18" s="537"/>
      <c r="AX18" s="537"/>
      <c r="AY18" s="537"/>
      <c r="AZ18" s="537"/>
      <c r="BA18" s="537"/>
      <c r="BB18" s="537"/>
      <c r="BC18" s="537"/>
      <c r="BD18" s="537"/>
      <c r="BE18" s="537"/>
      <c r="BF18" s="537"/>
      <c r="BG18" s="537"/>
      <c r="BH18" s="537"/>
      <c r="BI18" s="537"/>
    </row>
    <row r="19" spans="1:61" s="534" customFormat="1" ht="11" x14ac:dyDescent="0.15">
      <c r="A19" s="534" t="s">
        <v>47</v>
      </c>
      <c r="B19" s="543">
        <f t="shared" ca="1" si="3"/>
        <v>1.3858521265487238</v>
      </c>
      <c r="C19" s="543">
        <v>0.2589788123803094</v>
      </c>
      <c r="E19" s="537"/>
      <c r="F19" s="537">
        <f>+B12/B10</f>
        <v>0.98484913147760467</v>
      </c>
      <c r="G19" s="537">
        <f t="shared" ref="G19:K19" si="5">+C12/C10</f>
        <v>1.9302964151564252</v>
      </c>
      <c r="H19" s="537">
        <f t="shared" si="5"/>
        <v>3.4400408105543643</v>
      </c>
      <c r="I19" s="537">
        <f t="shared" si="5"/>
        <v>4.8706591587418675</v>
      </c>
      <c r="J19" s="537">
        <f t="shared" si="5"/>
        <v>7.2046613716649652</v>
      </c>
      <c r="K19" s="537">
        <f t="shared" si="5"/>
        <v>10.188746894541111</v>
      </c>
      <c r="L19" s="537"/>
      <c r="M19" s="537"/>
      <c r="N19" s="537"/>
      <c r="O19" s="537"/>
      <c r="P19" s="537">
        <f t="shared" ref="P19" si="6">+L12/L10</f>
        <v>40.351749355105525</v>
      </c>
      <c r="Q19" s="537"/>
      <c r="R19" s="537"/>
      <c r="S19" s="537"/>
      <c r="T19" s="537"/>
      <c r="U19" s="537"/>
      <c r="V19" s="537"/>
      <c r="W19" s="537"/>
      <c r="X19" s="537"/>
      <c r="Y19" s="537"/>
      <c r="Z19" s="537"/>
      <c r="AA19" s="537"/>
      <c r="AB19" s="537"/>
      <c r="AC19" s="537"/>
      <c r="AD19" s="537"/>
      <c r="AE19" s="537"/>
      <c r="AF19" s="537"/>
      <c r="AG19" s="537"/>
      <c r="AH19" s="537"/>
      <c r="AI19" s="537"/>
      <c r="AJ19" s="537"/>
      <c r="AK19" s="537"/>
      <c r="AL19" s="537"/>
      <c r="AM19" s="537"/>
      <c r="AN19" s="537"/>
      <c r="AO19" s="537"/>
      <c r="AP19" s="537"/>
      <c r="AQ19" s="537"/>
      <c r="AR19" s="537"/>
      <c r="AS19" s="537"/>
      <c r="AT19" s="537"/>
      <c r="AU19" s="537"/>
      <c r="AV19" s="537"/>
      <c r="AW19" s="537"/>
      <c r="AX19" s="537"/>
      <c r="AY19" s="537"/>
      <c r="AZ19" s="537"/>
      <c r="BA19" s="537"/>
      <c r="BB19" s="537"/>
      <c r="BC19" s="537"/>
      <c r="BD19" s="537"/>
      <c r="BE19" s="537"/>
      <c r="BF19" s="537"/>
      <c r="BG19" s="537"/>
      <c r="BH19" s="537"/>
      <c r="BI19" s="537"/>
    </row>
    <row r="20" spans="1:61" s="534" customFormat="1" ht="11" x14ac:dyDescent="0.15">
      <c r="A20" s="534" t="s">
        <v>307</v>
      </c>
      <c r="B20" s="543">
        <f t="shared" ca="1" si="3"/>
        <v>-2.2737194275362832E-2</v>
      </c>
      <c r="C20" s="543">
        <v>-1.1981160510041984</v>
      </c>
      <c r="E20" s="537" t="s">
        <v>1100</v>
      </c>
      <c r="F20" s="537">
        <f>+Z62</f>
        <v>1.01</v>
      </c>
      <c r="G20" s="537"/>
      <c r="H20" s="537"/>
      <c r="I20" s="537"/>
      <c r="J20" s="537"/>
      <c r="K20" s="537"/>
      <c r="L20" s="537"/>
      <c r="M20" s="537"/>
      <c r="N20" s="537"/>
      <c r="O20" s="537"/>
      <c r="P20" s="537"/>
      <c r="Q20" s="537"/>
      <c r="R20" s="537"/>
      <c r="S20" s="537"/>
      <c r="T20" s="537"/>
      <c r="U20" s="537"/>
      <c r="V20" s="537"/>
      <c r="W20" s="537"/>
      <c r="X20" s="537"/>
      <c r="Y20" s="537"/>
      <c r="Z20" s="537"/>
      <c r="AA20" s="537"/>
      <c r="AB20" s="537"/>
      <c r="AC20" s="537"/>
      <c r="AD20" s="537"/>
      <c r="AE20" s="537"/>
      <c r="AF20" s="537"/>
      <c r="AG20" s="537"/>
      <c r="AH20" s="537"/>
      <c r="AI20" s="537"/>
      <c r="AJ20" s="537"/>
      <c r="AK20" s="537"/>
      <c r="AL20" s="537"/>
      <c r="AM20" s="537"/>
      <c r="AN20" s="537"/>
      <c r="AO20" s="537"/>
      <c r="AP20" s="537"/>
      <c r="AQ20" s="537"/>
      <c r="AR20" s="537"/>
      <c r="AS20" s="537"/>
      <c r="AT20" s="537"/>
      <c r="AU20" s="537"/>
      <c r="AV20" s="537"/>
      <c r="AW20" s="537"/>
      <c r="AX20" s="537"/>
      <c r="AY20" s="537"/>
      <c r="AZ20" s="537"/>
      <c r="BA20" s="537"/>
      <c r="BB20" s="537"/>
      <c r="BC20" s="537"/>
      <c r="BD20" s="537"/>
      <c r="BE20" s="537"/>
      <c r="BF20" s="537"/>
      <c r="BG20" s="537"/>
      <c r="BH20" s="537"/>
      <c r="BI20" s="537"/>
    </row>
    <row r="21" spans="1:61" s="534" customFormat="1" ht="11" x14ac:dyDescent="0.15">
      <c r="A21" s="534" t="s">
        <v>81</v>
      </c>
      <c r="B21" s="543">
        <f t="shared" ca="1" si="3"/>
        <v>0.72435500726127844</v>
      </c>
      <c r="C21" s="543">
        <v>0.433301787938278</v>
      </c>
      <c r="E21" s="537" t="s">
        <v>1101</v>
      </c>
      <c r="F21" s="537">
        <f>+BB77</f>
        <v>0.91150971955836191</v>
      </c>
      <c r="G21" s="537"/>
      <c r="H21" s="537"/>
      <c r="I21" s="537"/>
      <c r="J21" s="537"/>
      <c r="K21" s="537"/>
      <c r="L21" s="537"/>
      <c r="M21" s="537"/>
      <c r="N21" s="537"/>
      <c r="O21" s="537"/>
      <c r="P21" s="537"/>
      <c r="Q21" s="537"/>
      <c r="R21" s="537"/>
      <c r="S21" s="537"/>
      <c r="T21" s="537"/>
      <c r="U21" s="537"/>
      <c r="V21" s="537"/>
      <c r="W21" s="537"/>
      <c r="X21" s="537"/>
      <c r="Y21" s="537"/>
      <c r="Z21" s="537"/>
      <c r="AA21" s="537"/>
      <c r="AB21" s="537"/>
      <c r="AC21" s="537"/>
      <c r="AD21" s="537"/>
      <c r="AE21" s="537"/>
      <c r="AF21" s="537"/>
      <c r="AG21" s="537"/>
      <c r="AH21" s="537"/>
      <c r="AI21" s="537"/>
      <c r="AJ21" s="537"/>
      <c r="AK21" s="537"/>
      <c r="AL21" s="537"/>
      <c r="AM21" s="537"/>
      <c r="AN21" s="537"/>
      <c r="AO21" s="537"/>
      <c r="AP21" s="537"/>
      <c r="AQ21" s="537"/>
      <c r="AR21" s="537"/>
      <c r="AS21" s="537"/>
      <c r="AT21" s="537"/>
      <c r="AU21" s="537"/>
      <c r="AV21" s="537"/>
      <c r="AW21" s="537"/>
      <c r="AX21" s="537"/>
      <c r="AY21" s="537"/>
      <c r="AZ21" s="537"/>
      <c r="BA21" s="537"/>
      <c r="BB21" s="537"/>
      <c r="BC21" s="537"/>
      <c r="BD21" s="537"/>
      <c r="BE21" s="537"/>
      <c r="BF21" s="537"/>
      <c r="BG21" s="537"/>
      <c r="BH21" s="537"/>
      <c r="BI21" s="537"/>
    </row>
    <row r="22" spans="1:61" s="534" customFormat="1" ht="11" x14ac:dyDescent="0.15">
      <c r="A22" s="534" t="s">
        <v>1046</v>
      </c>
      <c r="B22" s="543">
        <f t="shared" ca="1" si="3"/>
        <v>0.11424246571277354</v>
      </c>
      <c r="C22" s="543">
        <v>1.6502440901794531</v>
      </c>
      <c r="E22" s="537"/>
      <c r="F22" s="537"/>
      <c r="G22" s="537"/>
      <c r="H22" s="537"/>
      <c r="I22" s="537"/>
      <c r="J22" s="537"/>
      <c r="K22" s="537"/>
      <c r="L22" s="537"/>
      <c r="M22" s="537"/>
      <c r="N22" s="537"/>
      <c r="O22" s="537"/>
      <c r="P22" s="537"/>
      <c r="Q22" s="537"/>
      <c r="R22" s="537"/>
      <c r="S22" s="537"/>
      <c r="T22" s="537"/>
      <c r="U22" s="537"/>
      <c r="V22" s="537"/>
      <c r="W22" s="537"/>
      <c r="X22" s="537"/>
      <c r="Y22" s="537"/>
      <c r="Z22" s="537"/>
      <c r="AA22" s="537"/>
      <c r="AB22" s="537"/>
      <c r="AC22" s="537"/>
      <c r="AD22" s="537"/>
      <c r="AE22" s="537"/>
      <c r="AF22" s="537"/>
      <c r="AG22" s="537"/>
      <c r="AH22" s="537"/>
      <c r="AI22" s="537"/>
      <c r="AJ22" s="537"/>
      <c r="AK22" s="537"/>
      <c r="AL22" s="537"/>
      <c r="AM22" s="537"/>
      <c r="AN22" s="537"/>
      <c r="AO22" s="537"/>
      <c r="AP22" s="537"/>
      <c r="AQ22" s="537"/>
      <c r="AR22" s="537"/>
      <c r="AS22" s="537"/>
      <c r="AT22" s="537"/>
      <c r="AU22" s="537"/>
      <c r="AV22" s="537"/>
      <c r="AW22" s="537"/>
      <c r="AX22" s="537"/>
      <c r="AY22" s="537"/>
      <c r="AZ22" s="537"/>
      <c r="BA22" s="537"/>
      <c r="BB22" s="537"/>
      <c r="BC22" s="537"/>
      <c r="BD22" s="537"/>
      <c r="BE22" s="537"/>
      <c r="BF22" s="537"/>
      <c r="BG22" s="537"/>
      <c r="BH22" s="537"/>
      <c r="BI22" s="537"/>
    </row>
    <row r="23" spans="1:61" s="534" customFormat="1" ht="11" x14ac:dyDescent="0.15">
      <c r="A23" s="534" t="s">
        <v>64</v>
      </c>
      <c r="B23" s="543">
        <f t="shared" ca="1" si="3"/>
        <v>0.27513681114172966</v>
      </c>
      <c r="C23" s="543">
        <v>0.55269203801581779</v>
      </c>
      <c r="E23" s="537"/>
      <c r="F23" s="537"/>
      <c r="G23" s="537"/>
      <c r="H23" s="537"/>
      <c r="I23" s="537"/>
      <c r="J23" s="537"/>
      <c r="K23" s="537"/>
      <c r="L23" s="537"/>
      <c r="M23" s="537"/>
      <c r="N23" s="537"/>
      <c r="O23" s="537"/>
      <c r="P23" s="537"/>
      <c r="Q23" s="537"/>
      <c r="R23" s="537"/>
      <c r="S23" s="537"/>
      <c r="T23" s="537"/>
      <c r="U23" s="537"/>
      <c r="V23" s="537"/>
      <c r="W23" s="537"/>
      <c r="X23" s="537"/>
      <c r="Y23" s="537"/>
      <c r="Z23" s="537"/>
      <c r="AA23" s="537"/>
      <c r="AB23" s="537"/>
      <c r="AC23" s="537"/>
      <c r="AD23" s="537"/>
      <c r="AE23" s="537"/>
      <c r="AF23" s="537"/>
      <c r="AG23" s="537"/>
      <c r="AH23" s="537"/>
      <c r="AI23" s="537"/>
      <c r="AJ23" s="537"/>
      <c r="AK23" s="537"/>
      <c r="AL23" s="537"/>
      <c r="AM23" s="537"/>
      <c r="AN23" s="537"/>
      <c r="AO23" s="537"/>
      <c r="AP23" s="537"/>
      <c r="AQ23" s="537"/>
      <c r="AR23" s="537"/>
      <c r="AS23" s="537"/>
      <c r="AT23" s="537"/>
      <c r="AU23" s="537"/>
      <c r="AV23" s="537"/>
      <c r="AW23" s="537"/>
      <c r="AX23" s="537"/>
      <c r="AY23" s="537"/>
      <c r="AZ23" s="537"/>
      <c r="BA23" s="537"/>
      <c r="BB23" s="537"/>
      <c r="BC23" s="537"/>
      <c r="BD23" s="537"/>
      <c r="BE23" s="537"/>
      <c r="BF23" s="537"/>
      <c r="BG23" s="537"/>
      <c r="BH23" s="537"/>
      <c r="BI23" s="537"/>
    </row>
    <row r="24" spans="1:61" s="534" customFormat="1" ht="11" x14ac:dyDescent="0.15">
      <c r="A24" s="534" t="s">
        <v>167</v>
      </c>
      <c r="B24" s="543">
        <f t="shared" ca="1" si="3"/>
        <v>1.206822357027316</v>
      </c>
      <c r="C24" s="543">
        <v>-9.1249154950167527E-2</v>
      </c>
      <c r="E24" s="537"/>
      <c r="F24" s="537"/>
      <c r="G24" s="537"/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  <c r="U24" s="537"/>
      <c r="V24" s="537"/>
      <c r="W24" s="537"/>
      <c r="X24" s="537"/>
      <c r="Y24" s="537"/>
      <c r="Z24" s="537"/>
      <c r="AA24" s="537"/>
      <c r="AB24" s="537"/>
      <c r="AC24" s="537"/>
      <c r="AD24" s="537"/>
      <c r="AE24" s="537"/>
      <c r="AF24" s="537"/>
      <c r="AG24" s="537"/>
      <c r="AH24" s="537"/>
      <c r="AI24" s="537"/>
      <c r="AJ24" s="537"/>
      <c r="AK24" s="537"/>
      <c r="AL24" s="537"/>
      <c r="AM24" s="537"/>
      <c r="AN24" s="537"/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7"/>
      <c r="AZ24" s="537"/>
      <c r="BA24" s="537"/>
      <c r="BB24" s="537"/>
      <c r="BC24" s="537"/>
      <c r="BD24" s="537"/>
      <c r="BE24" s="537"/>
      <c r="BF24" s="537"/>
      <c r="BG24" s="537"/>
      <c r="BH24" s="537"/>
      <c r="BI24" s="537"/>
    </row>
    <row r="25" spans="1:61" s="534" customFormat="1" ht="11" x14ac:dyDescent="0.15">
      <c r="A25" s="534" t="s">
        <v>302</v>
      </c>
      <c r="B25" s="543">
        <f t="shared" ca="1" si="3"/>
        <v>-1.0993932782384712</v>
      </c>
      <c r="C25" s="543">
        <v>-1.7407395084857229</v>
      </c>
      <c r="E25" s="537"/>
      <c r="F25" s="537"/>
      <c r="G25" s="537"/>
      <c r="H25" s="537"/>
      <c r="I25" s="537"/>
      <c r="J25" s="537"/>
      <c r="K25" s="537"/>
      <c r="L25" s="537"/>
      <c r="M25" s="537"/>
      <c r="N25" s="537"/>
      <c r="O25" s="537"/>
      <c r="P25" s="537"/>
      <c r="Q25" s="537"/>
      <c r="R25" s="537"/>
      <c r="S25" s="537"/>
      <c r="T25" s="537"/>
      <c r="U25" s="537"/>
      <c r="V25" s="537"/>
      <c r="W25" s="537"/>
      <c r="X25" s="537"/>
      <c r="Y25" s="537"/>
      <c r="Z25" s="537"/>
      <c r="AA25" s="537"/>
      <c r="AB25" s="537"/>
      <c r="AC25" s="537"/>
      <c r="AD25" s="537"/>
      <c r="AE25" s="537"/>
      <c r="AF25" s="537"/>
      <c r="AG25" s="537"/>
      <c r="AH25" s="537"/>
      <c r="AI25" s="537"/>
      <c r="AJ25" s="537"/>
      <c r="AK25" s="537"/>
      <c r="AL25" s="537"/>
      <c r="AM25" s="537"/>
      <c r="AN25" s="537"/>
      <c r="AO25" s="537"/>
      <c r="AP25" s="537"/>
      <c r="AQ25" s="537"/>
      <c r="AR25" s="537"/>
      <c r="AS25" s="537"/>
      <c r="AT25" s="537"/>
      <c r="AU25" s="537"/>
      <c r="AV25" s="537"/>
      <c r="AW25" s="537"/>
      <c r="AX25" s="537"/>
      <c r="AY25" s="537"/>
      <c r="AZ25" s="537"/>
      <c r="BA25" s="537"/>
      <c r="BB25" s="537"/>
      <c r="BC25" s="537"/>
      <c r="BD25" s="537"/>
      <c r="BE25" s="537"/>
      <c r="BF25" s="537"/>
      <c r="BG25" s="537"/>
      <c r="BH25" s="537"/>
      <c r="BI25" s="537"/>
    </row>
    <row r="26" spans="1:61" s="534" customFormat="1" ht="11" x14ac:dyDescent="0.15">
      <c r="A26" s="534" t="s">
        <v>304</v>
      </c>
      <c r="B26" s="543">
        <f t="shared" ca="1" si="3"/>
        <v>6.6358784287429209E-2</v>
      </c>
      <c r="C26" s="543">
        <v>-0.42879276575996816</v>
      </c>
      <c r="E26" s="537"/>
      <c r="F26" s="537"/>
      <c r="G26" s="537"/>
      <c r="H26" s="537"/>
      <c r="I26" s="537"/>
      <c r="J26" s="537"/>
      <c r="K26" s="537"/>
      <c r="L26" s="537"/>
      <c r="M26" s="537"/>
      <c r="N26" s="537"/>
      <c r="O26" s="537"/>
      <c r="P26" s="537"/>
      <c r="Q26" s="537"/>
      <c r="R26" s="537"/>
      <c r="S26" s="537"/>
      <c r="T26" s="537"/>
      <c r="U26" s="537"/>
      <c r="V26" s="537"/>
      <c r="W26" s="537"/>
      <c r="X26" s="537"/>
      <c r="Y26" s="537"/>
      <c r="Z26" s="537"/>
      <c r="AA26" s="537"/>
      <c r="AB26" s="537"/>
      <c r="AC26" s="537"/>
      <c r="AD26" s="537"/>
      <c r="AE26" s="537"/>
      <c r="AF26" s="537"/>
      <c r="AG26" s="537"/>
      <c r="AH26" s="537"/>
      <c r="AI26" s="537"/>
      <c r="AJ26" s="537"/>
      <c r="AK26" s="537"/>
      <c r="AL26" s="537"/>
      <c r="AM26" s="537"/>
      <c r="AN26" s="537"/>
      <c r="AO26" s="537"/>
      <c r="AP26" s="537"/>
      <c r="AQ26" s="537"/>
      <c r="AR26" s="537"/>
      <c r="AS26" s="537"/>
      <c r="AT26" s="537"/>
      <c r="AU26" s="537"/>
      <c r="AV26" s="537"/>
      <c r="AW26" s="537"/>
      <c r="AX26" s="537"/>
      <c r="AY26" s="537"/>
      <c r="AZ26" s="537"/>
      <c r="BA26" s="537"/>
      <c r="BB26" s="537"/>
      <c r="BC26" s="537"/>
      <c r="BD26" s="537"/>
      <c r="BE26" s="537"/>
      <c r="BF26" s="537"/>
      <c r="BG26" s="537"/>
      <c r="BH26" s="537"/>
      <c r="BI26" s="537"/>
    </row>
    <row r="27" spans="1:61" s="534" customFormat="1" ht="11" x14ac:dyDescent="0.15">
      <c r="A27" s="534" t="s">
        <v>303</v>
      </c>
      <c r="B27" s="543">
        <f t="shared" ca="1" si="3"/>
        <v>-2.9311799450453533</v>
      </c>
      <c r="C27" s="543">
        <v>1.9653860804413954</v>
      </c>
      <c r="E27" s="537"/>
      <c r="F27" s="537"/>
      <c r="G27" s="537"/>
      <c r="H27" s="537"/>
      <c r="I27" s="537"/>
      <c r="J27" s="537"/>
      <c r="K27" s="537"/>
      <c r="L27" s="537"/>
      <c r="M27" s="537"/>
      <c r="N27" s="537"/>
      <c r="O27" s="537"/>
      <c r="P27" s="537"/>
      <c r="Q27" s="537"/>
      <c r="R27" s="537"/>
      <c r="S27" s="537"/>
      <c r="T27" s="537"/>
      <c r="U27" s="537"/>
      <c r="V27" s="537"/>
      <c r="W27" s="537"/>
      <c r="X27" s="537"/>
      <c r="Y27" s="537"/>
      <c r="Z27" s="537"/>
      <c r="AA27" s="537"/>
      <c r="AB27" s="537"/>
      <c r="AC27" s="537"/>
      <c r="AD27" s="537"/>
      <c r="AE27" s="537"/>
      <c r="AF27" s="537"/>
      <c r="AG27" s="537"/>
      <c r="AH27" s="537"/>
      <c r="AI27" s="537"/>
      <c r="AJ27" s="537"/>
      <c r="AK27" s="537"/>
      <c r="AL27" s="537"/>
      <c r="AM27" s="537"/>
      <c r="AN27" s="537"/>
      <c r="AO27" s="537"/>
      <c r="AP27" s="537"/>
      <c r="AQ27" s="537"/>
      <c r="AR27" s="537"/>
      <c r="AS27" s="537"/>
      <c r="AT27" s="537"/>
      <c r="AU27" s="537"/>
      <c r="AV27" s="537"/>
      <c r="AW27" s="537"/>
      <c r="AX27" s="537"/>
      <c r="AY27" s="537"/>
      <c r="AZ27" s="537"/>
      <c r="BA27" s="537"/>
      <c r="BB27" s="537"/>
      <c r="BC27" s="537"/>
      <c r="BD27" s="537"/>
      <c r="BE27" s="537"/>
      <c r="BF27" s="537"/>
      <c r="BG27" s="537"/>
      <c r="BH27" s="537"/>
      <c r="BI27" s="537"/>
    </row>
    <row r="28" spans="1:61" s="534" customFormat="1" ht="11" x14ac:dyDescent="0.15">
      <c r="A28" s="534" t="s">
        <v>305</v>
      </c>
      <c r="B28" s="543">
        <f t="shared" ca="1" si="3"/>
        <v>-2.2041751326888468</v>
      </c>
      <c r="C28" s="543">
        <v>-1.0779840557471667</v>
      </c>
      <c r="E28" s="537"/>
      <c r="F28" s="537"/>
      <c r="G28" s="537"/>
      <c r="H28" s="537"/>
      <c r="I28" s="537"/>
      <c r="J28" s="537"/>
      <c r="K28" s="537"/>
      <c r="L28" s="537"/>
      <c r="M28" s="537"/>
      <c r="N28" s="537"/>
      <c r="O28" s="537"/>
      <c r="P28" s="537"/>
      <c r="Q28" s="537"/>
      <c r="R28" s="537"/>
      <c r="S28" s="537"/>
      <c r="T28" s="537"/>
      <c r="U28" s="537"/>
      <c r="V28" s="537"/>
      <c r="W28" s="537"/>
      <c r="X28" s="537"/>
      <c r="Y28" s="537"/>
      <c r="Z28" s="537"/>
      <c r="AA28" s="537"/>
      <c r="AB28" s="537"/>
      <c r="AC28" s="537"/>
      <c r="AD28" s="537"/>
      <c r="AE28" s="537"/>
      <c r="AF28" s="537"/>
      <c r="AG28" s="537"/>
      <c r="AH28" s="537"/>
      <c r="AI28" s="537"/>
      <c r="AJ28" s="537"/>
      <c r="AK28" s="537"/>
      <c r="AL28" s="537"/>
      <c r="AM28" s="537"/>
      <c r="AN28" s="537"/>
      <c r="AO28" s="537"/>
      <c r="AP28" s="537"/>
      <c r="AQ28" s="537"/>
      <c r="AR28" s="537"/>
      <c r="AS28" s="537"/>
      <c r="AT28" s="537"/>
      <c r="AU28" s="537"/>
      <c r="AV28" s="537"/>
      <c r="AW28" s="537"/>
      <c r="AX28" s="537"/>
      <c r="AY28" s="537"/>
      <c r="AZ28" s="537"/>
      <c r="BA28" s="537"/>
      <c r="BB28" s="537"/>
      <c r="BC28" s="537"/>
      <c r="BD28" s="537"/>
      <c r="BE28" s="537"/>
      <c r="BF28" s="537"/>
      <c r="BG28" s="537"/>
      <c r="BH28" s="537"/>
      <c r="BI28" s="537"/>
    </row>
    <row r="29" spans="1:61" s="534" customFormat="1" ht="11" x14ac:dyDescent="0.15">
      <c r="A29" s="534" t="s">
        <v>306</v>
      </c>
      <c r="B29" s="543">
        <f t="shared" ca="1" si="3"/>
        <v>-1.3186532700431151</v>
      </c>
      <c r="C29" s="543">
        <v>0.46847075707263719</v>
      </c>
      <c r="E29" s="537"/>
      <c r="F29" s="537"/>
      <c r="G29" s="537"/>
      <c r="H29" s="537"/>
      <c r="I29" s="537"/>
      <c r="J29" s="537"/>
      <c r="K29" s="537"/>
      <c r="L29" s="537"/>
      <c r="M29" s="537"/>
      <c r="N29" s="537"/>
      <c r="O29" s="537"/>
      <c r="P29" s="537"/>
      <c r="Q29" s="537"/>
      <c r="R29" s="537"/>
      <c r="S29" s="537"/>
      <c r="T29" s="537"/>
      <c r="U29" s="537"/>
      <c r="V29" s="537"/>
      <c r="W29" s="537"/>
      <c r="X29" s="537"/>
      <c r="Y29" s="537"/>
      <c r="Z29" s="537"/>
      <c r="AA29" s="537"/>
      <c r="AB29" s="537"/>
      <c r="AC29" s="537"/>
      <c r="AD29" s="537"/>
      <c r="AE29" s="537"/>
      <c r="AF29" s="537"/>
      <c r="AG29" s="537"/>
      <c r="AH29" s="537"/>
      <c r="AI29" s="537"/>
      <c r="AJ29" s="537"/>
      <c r="AK29" s="537"/>
      <c r="AL29" s="537"/>
      <c r="AM29" s="537"/>
      <c r="AN29" s="537"/>
      <c r="AO29" s="537"/>
      <c r="AP29" s="537"/>
      <c r="AQ29" s="537"/>
      <c r="AR29" s="537"/>
      <c r="AS29" s="537"/>
      <c r="AT29" s="537"/>
      <c r="AU29" s="537"/>
      <c r="AV29" s="537"/>
      <c r="AW29" s="537"/>
      <c r="AX29" s="537"/>
      <c r="AY29" s="537"/>
      <c r="AZ29" s="537"/>
      <c r="BA29" s="537"/>
      <c r="BB29" s="537"/>
      <c r="BC29" s="537"/>
      <c r="BD29" s="537"/>
      <c r="BE29" s="537"/>
      <c r="BF29" s="537"/>
      <c r="BG29" s="537"/>
      <c r="BH29" s="537"/>
      <c r="BI29" s="537"/>
    </row>
    <row r="30" spans="1:61" s="534" customFormat="1" ht="11" x14ac:dyDescent="0.15">
      <c r="A30" s="534" t="s">
        <v>1104</v>
      </c>
      <c r="B30" s="543">
        <f t="shared" ca="1" si="3"/>
        <v>0.67022635694549826</v>
      </c>
      <c r="C30" s="543">
        <v>-1.045429679127301</v>
      </c>
      <c r="E30" s="537"/>
      <c r="F30" s="537"/>
      <c r="G30" s="537"/>
      <c r="H30" s="537"/>
      <c r="I30" s="537"/>
      <c r="J30" s="537"/>
      <c r="K30" s="537"/>
      <c r="L30" s="537"/>
      <c r="M30" s="537"/>
      <c r="N30" s="537"/>
      <c r="O30" s="537"/>
      <c r="P30" s="537"/>
      <c r="Q30" s="537"/>
      <c r="R30" s="537"/>
      <c r="S30" s="537"/>
      <c r="T30" s="537"/>
      <c r="U30" s="537"/>
      <c r="V30" s="537"/>
      <c r="W30" s="537"/>
      <c r="X30" s="537"/>
      <c r="Y30" s="537"/>
      <c r="Z30" s="537"/>
      <c r="AA30" s="537"/>
      <c r="AB30" s="537"/>
      <c r="AC30" s="537"/>
      <c r="AD30" s="537"/>
      <c r="AE30" s="537"/>
      <c r="AF30" s="537"/>
      <c r="AG30" s="537"/>
      <c r="AH30" s="537"/>
      <c r="AI30" s="537"/>
      <c r="AJ30" s="537"/>
      <c r="AK30" s="537"/>
      <c r="AL30" s="537"/>
      <c r="AM30" s="537"/>
      <c r="AN30" s="537"/>
      <c r="AO30" s="537"/>
      <c r="AP30" s="537"/>
      <c r="AQ30" s="537"/>
      <c r="AR30" s="537"/>
      <c r="AS30" s="537"/>
      <c r="AT30" s="537"/>
      <c r="AU30" s="537"/>
      <c r="AV30" s="537"/>
      <c r="AW30" s="537"/>
      <c r="AX30" s="537"/>
      <c r="AY30" s="537"/>
      <c r="AZ30" s="537"/>
      <c r="BA30" s="537"/>
      <c r="BB30" s="537"/>
      <c r="BC30" s="537"/>
      <c r="BD30" s="537"/>
      <c r="BE30" s="537"/>
      <c r="BF30" s="537"/>
      <c r="BG30" s="537"/>
      <c r="BH30" s="537"/>
      <c r="BI30" s="537"/>
    </row>
    <row r="31" spans="1:61" s="534" customFormat="1" ht="11" x14ac:dyDescent="0.15">
      <c r="A31" s="534" t="s">
        <v>1054</v>
      </c>
      <c r="B31" s="543">
        <f t="shared" ca="1" si="3"/>
        <v>-2.3283108612043959</v>
      </c>
      <c r="C31" s="543">
        <v>0.3534662187570683</v>
      </c>
      <c r="E31" s="537"/>
      <c r="F31" s="537"/>
      <c r="G31" s="537"/>
      <c r="H31" s="537"/>
      <c r="I31" s="537"/>
      <c r="J31" s="537"/>
      <c r="K31" s="537"/>
      <c r="L31" s="537"/>
      <c r="M31" s="537"/>
      <c r="N31" s="537"/>
      <c r="O31" s="537"/>
      <c r="P31" s="537"/>
      <c r="Q31" s="537"/>
      <c r="R31" s="537"/>
      <c r="S31" s="537"/>
      <c r="T31" s="537"/>
      <c r="U31" s="537"/>
      <c r="V31" s="537"/>
      <c r="W31" s="537"/>
      <c r="X31" s="537"/>
      <c r="Y31" s="537"/>
      <c r="Z31" s="537"/>
      <c r="AA31" s="537"/>
      <c r="AB31" s="537"/>
      <c r="AC31" s="537"/>
      <c r="AD31" s="537"/>
      <c r="AE31" s="537"/>
      <c r="AF31" s="537"/>
      <c r="AG31" s="537"/>
      <c r="AH31" s="537"/>
      <c r="AI31" s="537"/>
      <c r="AJ31" s="537"/>
      <c r="AK31" s="537"/>
      <c r="AL31" s="537"/>
      <c r="AM31" s="537"/>
      <c r="AN31" s="537"/>
      <c r="AO31" s="537"/>
      <c r="AP31" s="537"/>
      <c r="AQ31" s="537"/>
      <c r="AR31" s="537"/>
      <c r="AS31" s="537"/>
      <c r="AT31" s="537"/>
      <c r="AU31" s="537"/>
      <c r="AV31" s="537"/>
      <c r="AW31" s="537"/>
      <c r="AX31" s="537"/>
      <c r="AY31" s="537"/>
      <c r="AZ31" s="537"/>
      <c r="BA31" s="537"/>
      <c r="BB31" s="537"/>
      <c r="BC31" s="537"/>
      <c r="BD31" s="537"/>
      <c r="BE31" s="537"/>
      <c r="BF31" s="537"/>
      <c r="BG31" s="537"/>
      <c r="BH31" s="537"/>
      <c r="BI31" s="537"/>
    </row>
    <row r="32" spans="1:61" s="534" customFormat="1" ht="11" x14ac:dyDescent="0.15">
      <c r="A32" s="534" t="s">
        <v>1105</v>
      </c>
      <c r="B32" s="543">
        <f t="shared" ca="1" si="3"/>
        <v>-0.34716933807606848</v>
      </c>
      <c r="C32" s="543">
        <v>-0.75943163218754606</v>
      </c>
      <c r="Q32" s="537"/>
      <c r="R32" s="537"/>
      <c r="S32" s="537"/>
      <c r="T32" s="537"/>
      <c r="U32" s="537"/>
      <c r="V32" s="537"/>
      <c r="W32" s="537"/>
      <c r="X32" s="537"/>
      <c r="Y32" s="537"/>
      <c r="Z32" s="537"/>
      <c r="AA32" s="537"/>
      <c r="AB32" s="537"/>
      <c r="AC32" s="537"/>
      <c r="AD32" s="537"/>
      <c r="AE32" s="537"/>
      <c r="AF32" s="537"/>
      <c r="AG32" s="537"/>
      <c r="AH32" s="537"/>
      <c r="AI32" s="537"/>
      <c r="AJ32" s="537"/>
      <c r="AK32" s="537"/>
      <c r="AL32" s="537"/>
      <c r="AM32" s="537"/>
      <c r="AN32" s="537"/>
      <c r="AO32" s="537"/>
      <c r="AP32" s="537"/>
      <c r="AQ32" s="537"/>
      <c r="AR32" s="537"/>
      <c r="AS32" s="537"/>
      <c r="AT32" s="537"/>
    </row>
    <row r="33" spans="1:105" s="534" customFormat="1" ht="11" x14ac:dyDescent="0.15">
      <c r="A33" s="534" t="s">
        <v>1078</v>
      </c>
      <c r="B33" s="543">
        <f t="shared" ca="1" si="3"/>
        <v>0.14322202331384756</v>
      </c>
      <c r="C33" s="543">
        <v>1.0994497822682754</v>
      </c>
      <c r="Q33" s="537"/>
      <c r="R33" s="537"/>
      <c r="S33" s="537"/>
      <c r="T33" s="537"/>
      <c r="U33" s="537"/>
      <c r="V33" s="537"/>
      <c r="W33" s="537"/>
      <c r="X33" s="537"/>
      <c r="Y33" s="537"/>
      <c r="Z33" s="537"/>
      <c r="AA33" s="537"/>
      <c r="AB33" s="537"/>
      <c r="AC33" s="537"/>
      <c r="AD33" s="537"/>
      <c r="AE33" s="537"/>
      <c r="AF33" s="537"/>
      <c r="AG33" s="537"/>
      <c r="AH33" s="537"/>
      <c r="AI33" s="537"/>
      <c r="AJ33" s="537"/>
      <c r="AK33" s="537"/>
      <c r="AL33" s="537"/>
      <c r="AM33" s="537"/>
      <c r="AN33" s="537"/>
      <c r="AO33" s="537"/>
      <c r="AP33" s="537"/>
      <c r="AQ33" s="537"/>
      <c r="AR33" s="537"/>
      <c r="AS33" s="537"/>
      <c r="AT33" s="537"/>
    </row>
    <row r="34" spans="1:105" s="534" customFormat="1" ht="11" x14ac:dyDescent="0.15">
      <c r="A34" s="534" t="s">
        <v>1084</v>
      </c>
      <c r="B34" s="543">
        <f t="shared" ca="1" si="3"/>
        <v>0.50074735628362343</v>
      </c>
      <c r="C34" s="543">
        <v>-0.59926721663600402</v>
      </c>
      <c r="Q34" s="537"/>
      <c r="R34" s="537"/>
      <c r="S34" s="537"/>
      <c r="T34" s="537"/>
      <c r="U34" s="537"/>
      <c r="V34" s="537"/>
      <c r="W34" s="537"/>
      <c r="X34" s="537"/>
      <c r="Y34" s="537"/>
      <c r="Z34" s="537"/>
      <c r="AA34" s="537"/>
      <c r="AB34" s="537"/>
      <c r="AC34" s="537"/>
      <c r="AD34" s="537"/>
      <c r="AE34" s="537"/>
      <c r="AF34" s="537"/>
      <c r="AG34" s="537"/>
      <c r="AH34" s="537"/>
      <c r="AI34" s="537"/>
      <c r="AJ34" s="537"/>
      <c r="AK34" s="537"/>
      <c r="AL34" s="537"/>
      <c r="AM34" s="537"/>
      <c r="AN34" s="537"/>
      <c r="AO34" s="537"/>
      <c r="AP34" s="537"/>
      <c r="AQ34" s="537"/>
      <c r="AR34" s="537"/>
      <c r="AS34" s="537"/>
      <c r="AT34" s="537"/>
    </row>
    <row r="35" spans="1:105" s="534" customFormat="1" ht="11" x14ac:dyDescent="0.15">
      <c r="A35" s="534" t="s">
        <v>175</v>
      </c>
      <c r="B35" s="543">
        <f t="shared" ca="1" si="3"/>
        <v>-0.7222323324775809</v>
      </c>
      <c r="C35" s="543">
        <v>-0.92866040227587465</v>
      </c>
      <c r="Q35" s="537"/>
      <c r="R35" s="537"/>
      <c r="S35" s="537"/>
      <c r="T35" s="537"/>
      <c r="U35" s="537"/>
      <c r="V35" s="537"/>
      <c r="W35" s="537"/>
      <c r="X35" s="537"/>
      <c r="Y35" s="537"/>
      <c r="Z35" s="537"/>
      <c r="AA35" s="537"/>
      <c r="AB35" s="537"/>
      <c r="AC35" s="537"/>
      <c r="AD35" s="537"/>
      <c r="AE35" s="537"/>
      <c r="AF35" s="537"/>
      <c r="AG35" s="537"/>
      <c r="AH35" s="537"/>
      <c r="AI35" s="537"/>
      <c r="AJ35" s="537"/>
      <c r="AK35" s="537"/>
      <c r="AL35" s="537"/>
      <c r="AM35" s="537"/>
      <c r="AN35" s="537"/>
      <c r="AO35" s="537"/>
      <c r="AP35" s="537"/>
      <c r="AQ35" s="537"/>
      <c r="AR35" s="537"/>
      <c r="AS35" s="537"/>
      <c r="AT35" s="537"/>
    </row>
    <row r="36" spans="1:105" s="534" customFormat="1" ht="11" x14ac:dyDescent="0.15">
      <c r="A36" s="534" t="s">
        <v>1103</v>
      </c>
      <c r="B36" s="543">
        <f t="shared" ca="1" si="3"/>
        <v>-2.5762062305086725E-2</v>
      </c>
      <c r="C36" s="543">
        <v>1.0148935709114197</v>
      </c>
      <c r="Q36" s="537"/>
      <c r="R36" s="537"/>
      <c r="S36" s="537"/>
      <c r="T36" s="537"/>
      <c r="U36" s="537"/>
      <c r="V36" s="537"/>
      <c r="W36" s="537"/>
      <c r="X36" s="537"/>
      <c r="Y36" s="537"/>
      <c r="Z36" s="537"/>
      <c r="AA36" s="537"/>
      <c r="AB36" s="537"/>
      <c r="AC36" s="537"/>
      <c r="AD36" s="537"/>
      <c r="AE36" s="537"/>
      <c r="AF36" s="537"/>
      <c r="AG36" s="537"/>
      <c r="AH36" s="537"/>
      <c r="AI36" s="537"/>
      <c r="AJ36" s="537"/>
      <c r="AK36" s="537"/>
      <c r="AL36" s="537"/>
      <c r="AM36" s="537"/>
      <c r="AN36" s="537"/>
      <c r="AO36" s="537"/>
      <c r="AP36" s="537"/>
      <c r="AQ36" s="537"/>
      <c r="AR36" s="537"/>
      <c r="AS36" s="537"/>
      <c r="AT36" s="537"/>
    </row>
    <row r="37" spans="1:105" s="534" customFormat="1" ht="11" x14ac:dyDescent="0.15">
      <c r="A37" s="534" t="s">
        <v>1090</v>
      </c>
      <c r="C37" s="543"/>
      <c r="Q37" s="537"/>
      <c r="R37" s="537"/>
      <c r="S37" s="537"/>
      <c r="T37" s="537"/>
      <c r="U37" s="537"/>
      <c r="V37" s="537"/>
      <c r="W37" s="537"/>
      <c r="X37" s="537"/>
      <c r="Y37" s="537"/>
      <c r="Z37" s="537"/>
      <c r="AA37" s="537"/>
      <c r="AB37" s="537"/>
      <c r="AC37" s="537"/>
      <c r="AD37" s="537"/>
      <c r="AE37" s="537"/>
      <c r="AF37" s="537"/>
      <c r="AG37" s="537"/>
      <c r="AH37" s="537"/>
      <c r="AI37" s="537"/>
      <c r="AJ37" s="537"/>
      <c r="AK37" s="537"/>
      <c r="AL37" s="537"/>
      <c r="AM37" s="537"/>
      <c r="AN37" s="537"/>
      <c r="AO37" s="537"/>
      <c r="AP37" s="537"/>
      <c r="AQ37" s="537"/>
      <c r="AR37" s="537"/>
      <c r="AS37" s="537"/>
      <c r="AT37" s="537"/>
    </row>
    <row r="38" spans="1:105" s="534" customFormat="1" ht="11" x14ac:dyDescent="0.15">
      <c r="A38" s="534" t="s">
        <v>1090</v>
      </c>
      <c r="C38" s="543"/>
      <c r="Q38" s="537"/>
      <c r="R38" s="537"/>
      <c r="S38" s="537"/>
      <c r="T38" s="537"/>
      <c r="U38" s="537"/>
      <c r="V38" s="537"/>
      <c r="W38" s="537"/>
      <c r="X38" s="537"/>
      <c r="Y38" s="537"/>
      <c r="Z38" s="537"/>
      <c r="AA38" s="537"/>
      <c r="AB38" s="537"/>
      <c r="AC38" s="537"/>
      <c r="AD38" s="537"/>
      <c r="AE38" s="537"/>
      <c r="AF38" s="537"/>
      <c r="AG38" s="537"/>
      <c r="AH38" s="537"/>
      <c r="AI38" s="537"/>
      <c r="AJ38" s="537"/>
      <c r="AK38" s="537"/>
      <c r="AL38" s="537"/>
      <c r="AM38" s="537"/>
      <c r="AN38" s="537"/>
      <c r="AO38" s="537"/>
      <c r="AP38" s="537"/>
      <c r="AQ38" s="537"/>
      <c r="AR38" s="537"/>
      <c r="AS38" s="537"/>
      <c r="AT38" s="537"/>
    </row>
    <row r="39" spans="1:105" s="534" customFormat="1" ht="11" x14ac:dyDescent="0.15">
      <c r="Q39" s="537"/>
      <c r="R39" s="537"/>
      <c r="S39" s="537"/>
      <c r="T39" s="537"/>
      <c r="U39" s="537"/>
      <c r="V39" s="537"/>
      <c r="W39" s="537"/>
      <c r="X39" s="537"/>
      <c r="Y39" s="537"/>
      <c r="Z39" s="537"/>
      <c r="AA39" s="537"/>
      <c r="AB39" s="537"/>
      <c r="AC39" s="537"/>
      <c r="AD39" s="537"/>
      <c r="AE39" s="537"/>
      <c r="AF39" s="537"/>
      <c r="AG39" s="537"/>
      <c r="AH39" s="537"/>
      <c r="AI39" s="537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37"/>
    </row>
    <row r="40" spans="1:105" s="534" customFormat="1" ht="11" x14ac:dyDescent="0.15">
      <c r="S40" s="544">
        <f>+Parameters!B22</f>
        <v>0.1</v>
      </c>
    </row>
    <row r="42" spans="1:105" s="531" customFormat="1" ht="67.5" customHeight="1" x14ac:dyDescent="0.15">
      <c r="B42" s="532" t="str">
        <f>+Parameters!A9</f>
        <v>Rate of social time preference (% py)</v>
      </c>
      <c r="C42" s="532" t="str">
        <f>+Parameters!A10</f>
        <v>Elasticity of MU of consumption (set)</v>
      </c>
      <c r="D42" s="532" t="str">
        <f>+Parameters!A11</f>
        <v>Damage coefficient on temperature</v>
      </c>
      <c r="E42" s="532" t="str">
        <f>+Parameters!A12</f>
        <v>Damage coefficient on temperature squared</v>
      </c>
      <c r="F42" s="532" t="str">
        <f>+Parameters!A13</f>
        <v>Exponent on damages</v>
      </c>
      <c r="G42" s="532" t="str">
        <f>+Parameters!A14</f>
        <v>Price backstop technology (2005 US 000 $ per tC)</v>
      </c>
      <c r="H42" s="532" t="str">
        <f>+Parameters!A15</f>
        <v>Exponent of control cost function</v>
      </c>
      <c r="I42" s="532" t="str">
        <f>+Parameters!A16</f>
        <v xml:space="preserve">Backstop inflection year </v>
      </c>
      <c r="J42" s="532" t="str">
        <f>+Parameters!A17</f>
        <v>Maximum carbon resources (GtC)</v>
      </c>
      <c r="K42" s="532" t="str">
        <f>+Parameters!A18</f>
        <v>Equilibrium temperature increase for CO2 doubling</v>
      </c>
      <c r="L42" s="532" t="str">
        <f>+Parameters!A19</f>
        <v>Decline rate TFP (per decade)</v>
      </c>
      <c r="M42" s="532" t="str">
        <f>+Parameters!A20</f>
        <v>TFP convergence rate (per decade)</v>
      </c>
      <c r="N42" s="532" t="str">
        <f>+Parameters!A21</f>
        <v>Long run growth rate (per year)</v>
      </c>
      <c r="O42" s="532" t="str">
        <f>+Parameters!A22</f>
        <v>Decline rate sigma growth (per decade)</v>
      </c>
      <c r="P42" s="532" t="str">
        <f>+Parameters!A23</f>
        <v>Trend sigma growth (per year)</v>
      </c>
      <c r="Q42" s="532" t="str">
        <f>+Parameters!A24</f>
        <v>Uncertainty for frontier (US) TFP</v>
      </c>
      <c r="R42" s="532" t="str">
        <f>+Parameters!A25</f>
        <v>Adjustment rates for SLR (multiplicative)</v>
      </c>
      <c r="S42" s="532" t="str">
        <f>+Parameters!A26</f>
        <v>Random threshold temperature for melt SLR (m)</v>
      </c>
      <c r="T42" s="532" t="str">
        <f>+Parameters!A27</f>
        <v>Population uncertainty (factor for 2200)</v>
      </c>
      <c r="U42" s="532" t="str">
        <f>+Parameters!A28</f>
        <v>Carbon cycle adjustment coefficient</v>
      </c>
      <c r="V42" s="532" t="str">
        <f>+Parameters!A29</f>
        <v>Damage rate at threshold for catastrophic damages</v>
      </c>
      <c r="W42" s="532" t="str">
        <f>+Parameters!A30</f>
        <v>Convergence uncertainty</v>
      </c>
    </row>
    <row r="43" spans="1:105" s="531" customFormat="1" ht="11" x14ac:dyDescent="0.15">
      <c r="A43" s="545"/>
      <c r="B43" s="535">
        <v>2005</v>
      </c>
      <c r="C43" s="535">
        <f t="shared" ref="C43:V43" si="7">+B43+10</f>
        <v>2015</v>
      </c>
      <c r="D43" s="535">
        <f t="shared" si="7"/>
        <v>2025</v>
      </c>
      <c r="E43" s="535">
        <f t="shared" si="7"/>
        <v>2035</v>
      </c>
      <c r="F43" s="535">
        <f t="shared" si="7"/>
        <v>2045</v>
      </c>
      <c r="G43" s="535">
        <f t="shared" si="7"/>
        <v>2055</v>
      </c>
      <c r="H43" s="535">
        <f t="shared" si="7"/>
        <v>2065</v>
      </c>
      <c r="I43" s="535">
        <f t="shared" si="7"/>
        <v>2075</v>
      </c>
      <c r="J43" s="535">
        <f t="shared" si="7"/>
        <v>2085</v>
      </c>
      <c r="K43" s="535">
        <f t="shared" si="7"/>
        <v>2095</v>
      </c>
      <c r="L43" s="535">
        <f t="shared" si="7"/>
        <v>2105</v>
      </c>
      <c r="M43" s="535">
        <f t="shared" si="7"/>
        <v>2115</v>
      </c>
      <c r="N43" s="535">
        <f t="shared" si="7"/>
        <v>2125</v>
      </c>
      <c r="O43" s="535">
        <f t="shared" si="7"/>
        <v>2135</v>
      </c>
      <c r="P43" s="535">
        <f t="shared" si="7"/>
        <v>2145</v>
      </c>
      <c r="Q43" s="535">
        <f t="shared" si="7"/>
        <v>2155</v>
      </c>
      <c r="R43" s="535">
        <f t="shared" si="7"/>
        <v>2165</v>
      </c>
      <c r="S43" s="535">
        <f t="shared" si="7"/>
        <v>2175</v>
      </c>
      <c r="T43" s="535">
        <f t="shared" si="7"/>
        <v>2185</v>
      </c>
      <c r="U43" s="535">
        <f t="shared" si="7"/>
        <v>2195</v>
      </c>
      <c r="V43" s="535">
        <f t="shared" si="7"/>
        <v>2205</v>
      </c>
      <c r="W43" s="535">
        <f t="shared" ref="W43:AH43" si="8">+V43+10</f>
        <v>2215</v>
      </c>
      <c r="X43" s="535">
        <f t="shared" si="8"/>
        <v>2225</v>
      </c>
      <c r="Y43" s="535">
        <f t="shared" si="8"/>
        <v>2235</v>
      </c>
      <c r="Z43" s="535">
        <f t="shared" si="8"/>
        <v>2245</v>
      </c>
      <c r="AA43" s="535">
        <f t="shared" si="8"/>
        <v>2255</v>
      </c>
      <c r="AB43" s="535">
        <f t="shared" si="8"/>
        <v>2265</v>
      </c>
      <c r="AC43" s="535">
        <f t="shared" si="8"/>
        <v>2275</v>
      </c>
      <c r="AD43" s="535">
        <f t="shared" si="8"/>
        <v>2285</v>
      </c>
      <c r="AE43" s="535">
        <f t="shared" si="8"/>
        <v>2295</v>
      </c>
      <c r="AF43" s="535">
        <f t="shared" si="8"/>
        <v>2305</v>
      </c>
      <c r="AG43" s="535">
        <f t="shared" si="8"/>
        <v>2315</v>
      </c>
      <c r="AH43" s="535">
        <f t="shared" si="8"/>
        <v>2325</v>
      </c>
      <c r="AI43" s="535">
        <f t="shared" ref="AI43:BN43" si="9">+AH43+10</f>
        <v>2335</v>
      </c>
      <c r="AJ43" s="535">
        <f t="shared" si="9"/>
        <v>2345</v>
      </c>
      <c r="AK43" s="535">
        <f t="shared" si="9"/>
        <v>2355</v>
      </c>
      <c r="AL43" s="535">
        <f t="shared" si="9"/>
        <v>2365</v>
      </c>
      <c r="AM43" s="535">
        <f t="shared" si="9"/>
        <v>2375</v>
      </c>
      <c r="AN43" s="535">
        <f t="shared" si="9"/>
        <v>2385</v>
      </c>
      <c r="AO43" s="535">
        <f t="shared" si="9"/>
        <v>2395</v>
      </c>
      <c r="AP43" s="535">
        <f t="shared" si="9"/>
        <v>2405</v>
      </c>
      <c r="AQ43" s="535">
        <f t="shared" si="9"/>
        <v>2415</v>
      </c>
      <c r="AR43" s="535">
        <f t="shared" si="9"/>
        <v>2425</v>
      </c>
      <c r="AS43" s="535">
        <f t="shared" si="9"/>
        <v>2435</v>
      </c>
      <c r="AT43" s="535">
        <f t="shared" si="9"/>
        <v>2445</v>
      </c>
      <c r="AU43" s="535">
        <f t="shared" si="9"/>
        <v>2455</v>
      </c>
      <c r="AV43" s="535">
        <f t="shared" si="9"/>
        <v>2465</v>
      </c>
      <c r="AW43" s="535">
        <f t="shared" si="9"/>
        <v>2475</v>
      </c>
      <c r="AX43" s="535">
        <f t="shared" si="9"/>
        <v>2485</v>
      </c>
      <c r="AY43" s="535">
        <f t="shared" si="9"/>
        <v>2495</v>
      </c>
      <c r="AZ43" s="535">
        <f t="shared" si="9"/>
        <v>2505</v>
      </c>
      <c r="BA43" s="535">
        <f t="shared" si="9"/>
        <v>2515</v>
      </c>
      <c r="BB43" s="535">
        <f t="shared" si="9"/>
        <v>2525</v>
      </c>
      <c r="BC43" s="535">
        <f t="shared" si="9"/>
        <v>2535</v>
      </c>
      <c r="BD43" s="535">
        <f t="shared" si="9"/>
        <v>2545</v>
      </c>
      <c r="BE43" s="535">
        <f t="shared" si="9"/>
        <v>2555</v>
      </c>
      <c r="BF43" s="535">
        <f t="shared" si="9"/>
        <v>2565</v>
      </c>
      <c r="BG43" s="535">
        <f t="shared" si="9"/>
        <v>2575</v>
      </c>
      <c r="BH43" s="535">
        <f t="shared" si="9"/>
        <v>2585</v>
      </c>
      <c r="BI43" s="535">
        <f t="shared" si="9"/>
        <v>2595</v>
      </c>
      <c r="BJ43" s="535">
        <f t="shared" si="9"/>
        <v>2605</v>
      </c>
      <c r="BK43" s="535">
        <f t="shared" si="9"/>
        <v>2615</v>
      </c>
      <c r="BL43" s="535">
        <f t="shared" si="9"/>
        <v>2625</v>
      </c>
      <c r="BM43" s="535">
        <f t="shared" si="9"/>
        <v>2635</v>
      </c>
      <c r="BN43" s="535">
        <f t="shared" si="9"/>
        <v>2645</v>
      </c>
      <c r="BO43" s="535">
        <f t="shared" ref="BO43:CY43" si="10">+BN43+10</f>
        <v>2655</v>
      </c>
      <c r="BP43" s="535">
        <f t="shared" si="10"/>
        <v>2665</v>
      </c>
      <c r="BQ43" s="535">
        <f t="shared" si="10"/>
        <v>2675</v>
      </c>
      <c r="BR43" s="535">
        <f t="shared" si="10"/>
        <v>2685</v>
      </c>
      <c r="BS43" s="535">
        <f t="shared" si="10"/>
        <v>2695</v>
      </c>
      <c r="BT43" s="535">
        <f t="shared" si="10"/>
        <v>2705</v>
      </c>
      <c r="BU43" s="535">
        <f t="shared" si="10"/>
        <v>2715</v>
      </c>
      <c r="BV43" s="535">
        <f t="shared" si="10"/>
        <v>2725</v>
      </c>
      <c r="BW43" s="535">
        <f t="shared" si="10"/>
        <v>2735</v>
      </c>
      <c r="BX43" s="535">
        <f t="shared" si="10"/>
        <v>2745</v>
      </c>
      <c r="BY43" s="535">
        <f t="shared" si="10"/>
        <v>2755</v>
      </c>
      <c r="BZ43" s="535">
        <f t="shared" si="10"/>
        <v>2765</v>
      </c>
      <c r="CA43" s="535">
        <f t="shared" si="10"/>
        <v>2775</v>
      </c>
      <c r="CB43" s="535">
        <f t="shared" si="10"/>
        <v>2785</v>
      </c>
      <c r="CC43" s="535">
        <f t="shared" si="10"/>
        <v>2795</v>
      </c>
      <c r="CD43" s="535">
        <f t="shared" si="10"/>
        <v>2805</v>
      </c>
      <c r="CE43" s="535">
        <f t="shared" si="10"/>
        <v>2815</v>
      </c>
      <c r="CF43" s="535">
        <f t="shared" si="10"/>
        <v>2825</v>
      </c>
      <c r="CG43" s="535">
        <f t="shared" si="10"/>
        <v>2835</v>
      </c>
      <c r="CH43" s="535">
        <f t="shared" si="10"/>
        <v>2845</v>
      </c>
      <c r="CI43" s="535">
        <f t="shared" si="10"/>
        <v>2855</v>
      </c>
      <c r="CJ43" s="535">
        <f t="shared" si="10"/>
        <v>2865</v>
      </c>
      <c r="CK43" s="535">
        <f t="shared" si="10"/>
        <v>2875</v>
      </c>
      <c r="CL43" s="535">
        <f t="shared" si="10"/>
        <v>2885</v>
      </c>
      <c r="CM43" s="535">
        <f t="shared" si="10"/>
        <v>2895</v>
      </c>
      <c r="CN43" s="535">
        <f t="shared" si="10"/>
        <v>2905</v>
      </c>
      <c r="CO43" s="535">
        <f t="shared" si="10"/>
        <v>2915</v>
      </c>
      <c r="CP43" s="535">
        <f t="shared" si="10"/>
        <v>2925</v>
      </c>
      <c r="CQ43" s="535">
        <f t="shared" si="10"/>
        <v>2935</v>
      </c>
      <c r="CR43" s="535">
        <f t="shared" si="10"/>
        <v>2945</v>
      </c>
      <c r="CS43" s="535">
        <f t="shared" si="10"/>
        <v>2955</v>
      </c>
      <c r="CT43" s="535">
        <f t="shared" si="10"/>
        <v>2965</v>
      </c>
      <c r="CU43" s="535">
        <f t="shared" si="10"/>
        <v>2975</v>
      </c>
      <c r="CV43" s="535">
        <f t="shared" si="10"/>
        <v>2985</v>
      </c>
      <c r="CW43" s="535">
        <f t="shared" si="10"/>
        <v>2995</v>
      </c>
      <c r="CX43" s="535">
        <f t="shared" si="10"/>
        <v>3005</v>
      </c>
      <c r="CY43" s="535">
        <f t="shared" si="10"/>
        <v>3015</v>
      </c>
      <c r="CZ43" s="535"/>
      <c r="DA43" s="535"/>
    </row>
    <row r="44" spans="1:105" s="544" customFormat="1" ht="11" x14ac:dyDescent="0.15">
      <c r="A44" s="544" t="s">
        <v>1055</v>
      </c>
      <c r="B44" s="544">
        <f>+Parameters!B9</f>
        <v>1.4999999999999999E-2</v>
      </c>
      <c r="C44" s="544">
        <f>+Parameters!B10</f>
        <v>1.5</v>
      </c>
      <c r="D44" s="544">
        <f>+Parameters!B11</f>
        <v>1.7543801951616089E-3</v>
      </c>
      <c r="E44" s="544">
        <f>+Parameters!B12</f>
        <v>2.2592107531775219E-3</v>
      </c>
      <c r="F44" s="544">
        <f>+Parameters!B13</f>
        <v>2</v>
      </c>
      <c r="G44" s="544">
        <f>+Parameters!B14</f>
        <v>1.2</v>
      </c>
      <c r="H44" s="544">
        <f>+Parameters!B15</f>
        <v>2.8</v>
      </c>
      <c r="I44" s="544">
        <f>+Parameters!B16</f>
        <v>2250</v>
      </c>
      <c r="J44" s="544">
        <f>+Parameters!B17</f>
        <v>6000</v>
      </c>
      <c r="K44" s="544">
        <f>+Parameters!B18</f>
        <v>3.2</v>
      </c>
      <c r="L44" s="544">
        <f>+Parameters!B19</f>
        <v>0.1</v>
      </c>
      <c r="M44" s="544">
        <f>+Parameters!B20</f>
        <v>0.1</v>
      </c>
      <c r="N44" s="544">
        <f>+Parameters!B21</f>
        <v>3.3E-3</v>
      </c>
      <c r="O44" s="544">
        <f>+Parameters!B22</f>
        <v>0.1</v>
      </c>
      <c r="P44" s="544">
        <f>+Parameters!B23</f>
        <v>-2.5000000000000001E-3</v>
      </c>
      <c r="Q44" s="544">
        <f>+Parameters!B24</f>
        <v>0</v>
      </c>
      <c r="R44" s="544">
        <f>+Parameters!B25</f>
        <v>1</v>
      </c>
      <c r="S44" s="544">
        <f>+Parameters!B26</f>
        <v>0</v>
      </c>
      <c r="T44" s="544">
        <f>+Parameters!B27</f>
        <v>1</v>
      </c>
      <c r="U44" s="544">
        <f>+Parameters!B28</f>
        <v>12</v>
      </c>
      <c r="V44" s="544">
        <f>+Parameters!B29</f>
        <v>0</v>
      </c>
      <c r="W44" s="544">
        <f>+Parameters!B30</f>
        <v>0</v>
      </c>
    </row>
    <row r="45" spans="1:105" s="546" customFormat="1" ht="11" x14ac:dyDescent="0.15">
      <c r="A45" s="546" t="str">
        <f>+Global!A34</f>
        <v>Population (millions)</v>
      </c>
      <c r="B45" s="546">
        <f>+Global!B34</f>
        <v>6410.8916214811798</v>
      </c>
      <c r="C45" s="546">
        <f>+Global!C34</f>
        <v>7182.9956289201327</v>
      </c>
      <c r="D45" s="546">
        <f>+Global!D34</f>
        <v>7868.2302650287293</v>
      </c>
      <c r="E45" s="546">
        <f>+Global!E34</f>
        <v>8397.5753251317292</v>
      </c>
      <c r="F45" s="546">
        <f>+Global!F34</f>
        <v>8788.5836504763902</v>
      </c>
      <c r="G45" s="546">
        <f>+Global!G34</f>
        <v>8922.3413886935887</v>
      </c>
      <c r="H45" s="546">
        <f>+Global!H34</f>
        <v>8924.7180531038521</v>
      </c>
      <c r="I45" s="546">
        <f>+Global!I34</f>
        <v>8932.8387752622839</v>
      </c>
      <c r="J45" s="546">
        <f>+Global!J34</f>
        <v>8946.7260348496911</v>
      </c>
      <c r="K45" s="546">
        <f>+Global!K34</f>
        <v>8966.4087942738133</v>
      </c>
      <c r="L45" s="546">
        <f>+Global!L34</f>
        <v>8939.5343861113051</v>
      </c>
      <c r="M45" s="546">
        <f>+Global!M34</f>
        <v>8862.7748533697068</v>
      </c>
      <c r="N45" s="546">
        <f>+Global!N34</f>
        <v>8787.3831912107071</v>
      </c>
      <c r="O45" s="546">
        <f>+Global!O34</f>
        <v>8713.3367090625325</v>
      </c>
      <c r="P45" s="546">
        <f>+Global!P34</f>
        <v>8640.6131554708427</v>
      </c>
      <c r="Q45" s="546">
        <f>+Global!Q34</f>
        <v>8569.190709346145</v>
      </c>
      <c r="R45" s="546">
        <f>+Global!R34</f>
        <v>8499.0479713925215</v>
      </c>
      <c r="S45" s="546">
        <f>+Global!S34</f>
        <v>8430.1639557138042</v>
      </c>
      <c r="T45" s="546">
        <f>+Global!T34</f>
        <v>8362.5180815935764</v>
      </c>
      <c r="U45" s="546">
        <f>+Global!U34</f>
        <v>8296.0901654452373</v>
      </c>
      <c r="V45" s="546">
        <f>+Global!V34</f>
        <v>8278.1344289194294</v>
      </c>
      <c r="W45" s="546">
        <f>+Global!W34</f>
        <v>8307.9335523918471</v>
      </c>
      <c r="X45" s="546">
        <f>+Global!X34</f>
        <v>8353.0483441793804</v>
      </c>
      <c r="Y45" s="546">
        <f>+Global!Y34</f>
        <v>8398.4126022836317</v>
      </c>
      <c r="Z45" s="546">
        <f>+Global!Z34</f>
        <v>8444.0277330360495</v>
      </c>
      <c r="AA45" s="546">
        <f>+Global!AA34</f>
        <v>8489.8951508556893</v>
      </c>
      <c r="AB45" s="546">
        <f>+Global!AB34</f>
        <v>8536.016278296669</v>
      </c>
      <c r="AC45" s="546">
        <f>+Global!AC34</f>
        <v>8582.392546095889</v>
      </c>
      <c r="AD45" s="546">
        <f>+Global!AD34</f>
        <v>8629.0253932210544</v>
      </c>
      <c r="AE45" s="546">
        <f>+Global!AE34</f>
        <v>8675.9162669189718</v>
      </c>
      <c r="AF45" s="546">
        <f>+Global!AF34</f>
        <v>8699.4589182731143</v>
      </c>
      <c r="AG45" s="546">
        <f>+Global!AG34</f>
        <v>8699.4589182731143</v>
      </c>
      <c r="AH45" s="546">
        <f>+Global!AH34</f>
        <v>8699.4589182731143</v>
      </c>
      <c r="AI45" s="546">
        <f>+Global!AI34</f>
        <v>8221.7031964723737</v>
      </c>
      <c r="AJ45" s="546">
        <f>+Global!AJ34</f>
        <v>8221.7031964723737</v>
      </c>
      <c r="AK45" s="546">
        <f>+Global!AK34</f>
        <v>8221.7031964723737</v>
      </c>
      <c r="AL45" s="546">
        <f>+Global!AL34</f>
        <v>8221.7031964723737</v>
      </c>
      <c r="AM45" s="546">
        <f>+Global!AM34</f>
        <v>8221.7031964723737</v>
      </c>
      <c r="AN45" s="546">
        <f>+Global!AN34</f>
        <v>8221.7031964723737</v>
      </c>
      <c r="AO45" s="546">
        <f>+Global!AO34</f>
        <v>8221.7031964723737</v>
      </c>
      <c r="AP45" s="546">
        <f>+Global!AP34</f>
        <v>8221.7031964723737</v>
      </c>
      <c r="AQ45" s="546">
        <f>+Global!AQ34</f>
        <v>8221.7031964723737</v>
      </c>
      <c r="AR45" s="546">
        <f>+Global!AR34</f>
        <v>8221.7031964723737</v>
      </c>
      <c r="AS45" s="546">
        <f>+Global!AS34</f>
        <v>8221.7031964723737</v>
      </c>
      <c r="AT45" s="546">
        <f>+Global!AT34</f>
        <v>8221.7031964723737</v>
      </c>
      <c r="AU45" s="546">
        <f>+Global!AU34</f>
        <v>8221.7031964723737</v>
      </c>
      <c r="AV45" s="546">
        <f>+Global!AV34</f>
        <v>8221.7031964723737</v>
      </c>
      <c r="AW45" s="546">
        <f>+Global!AW34</f>
        <v>8221.7031964723737</v>
      </c>
      <c r="AX45" s="546">
        <f>+Global!AX34</f>
        <v>8221.7031964723737</v>
      </c>
      <c r="AY45" s="546">
        <f>+Global!AY34</f>
        <v>8221.7031964723737</v>
      </c>
      <c r="AZ45" s="546">
        <f>+Global!AZ34</f>
        <v>8221.7031964723737</v>
      </c>
      <c r="BA45" s="546">
        <f>+Global!BA34</f>
        <v>8221.7031964723737</v>
      </c>
      <c r="BB45" s="546">
        <f>+Global!BB34</f>
        <v>8221.7031964723737</v>
      </c>
      <c r="BC45" s="546">
        <f>+Global!BC34</f>
        <v>8221.7031964723737</v>
      </c>
      <c r="BD45" s="546">
        <f>+Global!BD34</f>
        <v>8221.7031964723737</v>
      </c>
      <c r="BE45" s="546">
        <f>+Global!BE34</f>
        <v>8221.7031964723737</v>
      </c>
      <c r="BF45" s="546">
        <f>+Global!BF34</f>
        <v>8221.7031964723737</v>
      </c>
      <c r="BG45" s="546">
        <f>+Global!BG34</f>
        <v>8221.7031964723737</v>
      </c>
      <c r="BH45" s="546">
        <f>+Global!BH34</f>
        <v>8221.7031964723737</v>
      </c>
      <c r="BI45" s="546">
        <f>+Global!BI34</f>
        <v>8221.7031964723737</v>
      </c>
    </row>
    <row r="46" spans="1:105" s="546" customFormat="1" ht="11" x14ac:dyDescent="0.15">
      <c r="A46" s="546" t="s">
        <v>1124</v>
      </c>
      <c r="B46" s="546">
        <f>+B14</f>
        <v>1004</v>
      </c>
    </row>
    <row r="47" spans="1:105" s="546" customFormat="1" ht="11" x14ac:dyDescent="0.15">
      <c r="A47" s="546" t="str">
        <f>+Global!A42</f>
        <v xml:space="preserve">     Climate damages ($ trillions per year)</v>
      </c>
      <c r="B47" s="546">
        <f>+Global!B42</f>
        <v>5.8577418211122279E-2</v>
      </c>
      <c r="C47" s="546">
        <f>+Global!C42</f>
        <v>8.0944317882376993E-2</v>
      </c>
      <c r="D47" s="546">
        <f>+Global!D42</f>
        <v>6.7115723062755706E-2</v>
      </c>
      <c r="E47" s="546">
        <f>+Global!E42</f>
        <v>7.64546521775884E-2</v>
      </c>
      <c r="F47" s="546">
        <f>+Global!F42</f>
        <v>9.6138836771800129E-2</v>
      </c>
      <c r="G47" s="546">
        <f>+Global!G42</f>
        <v>0.12762875096129989</v>
      </c>
      <c r="H47" s="546">
        <f>+Global!H42</f>
        <v>0.12620697706741879</v>
      </c>
      <c r="I47" s="546">
        <f>+Global!I42</f>
        <v>0.16191863019108865</v>
      </c>
      <c r="J47" s="546">
        <f>+Global!J42</f>
        <v>0.20449078629272321</v>
      </c>
      <c r="K47" s="546">
        <f>+Global!K42</f>
        <v>0.18434296628828406</v>
      </c>
      <c r="L47" s="546">
        <f>+Global!L42</f>
        <v>0.20771624417845658</v>
      </c>
      <c r="M47" s="546">
        <f>+Global!M42</f>
        <v>0.25546058327438459</v>
      </c>
      <c r="N47" s="546">
        <f>+Global!N42</f>
        <v>0.3001601599750785</v>
      </c>
      <c r="O47" s="546">
        <f>+Global!O42</f>
        <v>0.32537123487919928</v>
      </c>
      <c r="P47" s="546">
        <f>+Global!P42</f>
        <v>0.336853367843716</v>
      </c>
      <c r="Q47" s="546">
        <f>+Global!Q42</f>
        <v>0.41012802849547825</v>
      </c>
      <c r="R47" s="546">
        <f>+Global!R42</f>
        <v>0.44806873812288472</v>
      </c>
      <c r="S47" s="546">
        <f>+Global!S42</f>
        <v>0.50882735477043184</v>
      </c>
      <c r="T47" s="546">
        <f>+Global!T42</f>
        <v>0.5193197734538586</v>
      </c>
      <c r="U47" s="546">
        <f>+Global!U42</f>
        <v>0.58836576503330207</v>
      </c>
      <c r="V47" s="546">
        <f>+Global!V42</f>
        <v>0.67550211804018545</v>
      </c>
      <c r="W47" s="546">
        <f>+Global!W42</f>
        <v>0.70429496893454768</v>
      </c>
      <c r="X47" s="546">
        <f>+Global!X42</f>
        <v>0.78087235336117544</v>
      </c>
      <c r="Y47" s="546">
        <f>+Global!Y42</f>
        <v>0.86035688702631319</v>
      </c>
      <c r="Z47" s="546">
        <f>+Global!Z42</f>
        <v>0.96166824899900405</v>
      </c>
      <c r="AA47" s="546">
        <f>+Global!AA42</f>
        <v>1.1205416737910383</v>
      </c>
      <c r="AB47" s="546">
        <f>+Global!AB42</f>
        <v>1.2751424145651526</v>
      </c>
      <c r="AC47" s="546">
        <f>+Global!AC42</f>
        <v>1.3374260196445107</v>
      </c>
      <c r="AD47" s="546">
        <f>+Global!AD42</f>
        <v>1.4135157917650076</v>
      </c>
      <c r="AE47" s="546">
        <f>+Global!AE42</f>
        <v>1.596167204583935</v>
      </c>
      <c r="AF47" s="546">
        <f>+Global!AF42</f>
        <v>1.6512889377574851</v>
      </c>
      <c r="AG47" s="546">
        <f>+Global!AG42</f>
        <v>1.7168448839710493</v>
      </c>
      <c r="AH47" s="546">
        <f>+Global!AH42</f>
        <v>1.8614846338285815</v>
      </c>
      <c r="AI47" s="546">
        <f>+Global!AI42</f>
        <v>15.338881445609672</v>
      </c>
      <c r="AJ47" s="546">
        <f>+Global!AJ42</f>
        <v>28.891183738176323</v>
      </c>
      <c r="AK47" s="546">
        <f>+Global!AK42</f>
        <v>41.35280611198732</v>
      </c>
      <c r="AL47" s="546">
        <f>+Global!AL42</f>
        <v>49.449379798790233</v>
      </c>
      <c r="AM47" s="546">
        <f>+Global!AM42</f>
        <v>55.224677482319294</v>
      </c>
      <c r="AN47" s="546">
        <f>+Global!AN42</f>
        <v>59.809415294624159</v>
      </c>
      <c r="AO47" s="546">
        <f>+Global!AO42</f>
        <v>63.80159785188107</v>
      </c>
      <c r="AP47" s="546">
        <f>+Global!AP42</f>
        <v>67.526478955212497</v>
      </c>
      <c r="AQ47" s="546">
        <f>+Global!AQ42</f>
        <v>71.165266572500059</v>
      </c>
      <c r="AR47" s="546">
        <f>+Global!AR42</f>
        <v>74.821351362395035</v>
      </c>
      <c r="AS47" s="546">
        <f>+Global!AS42</f>
        <v>78.555608327210848</v>
      </c>
      <c r="AT47" s="546">
        <f>+Global!AT42</f>
        <v>82.405600037909608</v>
      </c>
      <c r="AU47" s="546">
        <f>+Global!AU42</f>
        <v>86.396138993967725</v>
      </c>
      <c r="AV47" s="546">
        <f>+Global!AV42</f>
        <v>90.545133100337353</v>
      </c>
      <c r="AW47" s="546">
        <f>+Global!AW42</f>
        <v>94.86683340711761</v>
      </c>
      <c r="AX47" s="546">
        <f>+Global!AX42</f>
        <v>99.373644866758696</v>
      </c>
      <c r="AY47" s="546">
        <f>+Global!AY42</f>
        <v>104.07714064476659</v>
      </c>
      <c r="AZ47" s="546">
        <f>+Global!AZ42</f>
        <v>108.98863478023395</v>
      </c>
      <c r="BA47" s="546">
        <f>+Global!BA42</f>
        <v>114.11951007673088</v>
      </c>
      <c r="BB47" s="546">
        <f>+Global!BB42</f>
        <v>119.48141056316854</v>
      </c>
      <c r="BC47" s="546">
        <f>+Global!BC42</f>
        <v>125.08635926696934</v>
      </c>
      <c r="BD47" s="546">
        <f>+Global!BD42</f>
        <v>130.94683504893055</v>
      </c>
      <c r="BE47" s="546">
        <f>+Global!BE42</f>
        <v>137.07582725485099</v>
      </c>
      <c r="BF47" s="546">
        <f>+Global!BF42</f>
        <v>143.49347486045008</v>
      </c>
      <c r="BG47" s="546">
        <f>+Global!BG42</f>
        <v>150.20954238712329</v>
      </c>
      <c r="BH47" s="546">
        <f>+Global!BH42</f>
        <v>157.2353153948925</v>
      </c>
      <c r="BI47" s="546">
        <f>+Global!BI42</f>
        <v>164.58549151236002</v>
      </c>
    </row>
    <row r="48" spans="1:105" s="546" customFormat="1" ht="11" x14ac:dyDescent="0.15">
      <c r="A48" s="546" t="str">
        <f>+Global!A45</f>
        <v>Abatement cost ($ trillion)</v>
      </c>
      <c r="B48" s="546">
        <f>+Global!B45</f>
        <v>1.0309270788916136E-9</v>
      </c>
      <c r="C48" s="546">
        <f>+Global!C45</f>
        <v>8.2085070264127882E-10</v>
      </c>
      <c r="D48" s="546">
        <f>+Global!D45</f>
        <v>7.1494456890163619E-10</v>
      </c>
      <c r="E48" s="546">
        <f>+Global!E45</f>
        <v>6.3676228050255059E-10</v>
      </c>
      <c r="F48" s="546">
        <f>+Global!F45</f>
        <v>5.7775886724536946E-10</v>
      </c>
      <c r="G48" s="546">
        <f>+Global!G45</f>
        <v>5.44249967393876E-10</v>
      </c>
      <c r="H48" s="546">
        <f>+Global!H45</f>
        <v>5.1406717956461919E-10</v>
      </c>
      <c r="I48" s="546">
        <f>+Global!I45</f>
        <v>4.9111418019352188E-10</v>
      </c>
      <c r="J48" s="546">
        <f>+Global!J45</f>
        <v>4.65263075953992E-10</v>
      </c>
      <c r="K48" s="546">
        <f>+Global!K45</f>
        <v>4.5222251769203237E-10</v>
      </c>
      <c r="L48" s="546">
        <f>+Global!L45</f>
        <v>4.4797961609456755E-10</v>
      </c>
      <c r="M48" s="546">
        <f>+Global!M45</f>
        <v>4.3596401303043836E-10</v>
      </c>
      <c r="N48" s="546">
        <f>+Global!N45</f>
        <v>4.2823953585199299E-10</v>
      </c>
      <c r="O48" s="546">
        <f>+Global!O45</f>
        <v>4.2747061051908815E-10</v>
      </c>
      <c r="P48" s="546">
        <f>+Global!P45</f>
        <v>4.3347724798635948E-10</v>
      </c>
      <c r="Q48" s="546">
        <f>+Global!Q45</f>
        <v>4.3904821991163186E-10</v>
      </c>
      <c r="R48" s="546">
        <f>+Global!R45</f>
        <v>4.490021482305744E-10</v>
      </c>
      <c r="S48" s="546">
        <f>+Global!S45</f>
        <v>4.6110694381925273E-10</v>
      </c>
      <c r="T48" s="546">
        <f>+Global!T45</f>
        <v>4.6343496802949627E-10</v>
      </c>
      <c r="U48" s="546">
        <f>+Global!U45</f>
        <v>4.4996453576834559E-10</v>
      </c>
      <c r="V48" s="546">
        <f>+Global!V45</f>
        <v>4.6278329375319012E-10</v>
      </c>
      <c r="W48" s="546">
        <f>+Global!W45</f>
        <v>4.7246774505186072E-10</v>
      </c>
      <c r="X48" s="546">
        <f>+Global!X45</f>
        <v>4.7987333443983183E-10</v>
      </c>
      <c r="Y48" s="546">
        <f>+Global!Y45</f>
        <v>4.874441490658606E-10</v>
      </c>
      <c r="Z48" s="546">
        <f>+Global!Z45</f>
        <v>4.9582996798974277E-10</v>
      </c>
      <c r="AA48" s="546">
        <f>+Global!AA45</f>
        <v>5.038638837203064E-10</v>
      </c>
      <c r="AB48" s="546">
        <f>+Global!AB45</f>
        <v>0.29116328914597406</v>
      </c>
      <c r="AC48" s="546">
        <f>+Global!AC45</f>
        <v>0.2813208261251155</v>
      </c>
      <c r="AD48" s="546">
        <f>+Global!AD45</f>
        <v>0.27181318810761912</v>
      </c>
      <c r="AE48" s="546">
        <f>+Global!AE45</f>
        <v>0.26087790906992436</v>
      </c>
      <c r="AF48" s="546">
        <f>+Global!AF45</f>
        <v>0.23607246647841998</v>
      </c>
      <c r="AG48" s="546">
        <f>+Global!AG45</f>
        <v>0.23478819652108929</v>
      </c>
      <c r="AH48" s="546">
        <f>+Global!AH45</f>
        <v>0.22773109982685003</v>
      </c>
      <c r="AI48" s="546">
        <f>+Global!AI45</f>
        <v>1.5475885951750383</v>
      </c>
      <c r="AJ48" s="546">
        <f>+Global!AJ45</f>
        <v>2.642419523934318</v>
      </c>
      <c r="AK48" s="546">
        <f>+Global!AK45</f>
        <v>3.1899406791603506</v>
      </c>
      <c r="AL48" s="546">
        <f>+Global!AL45</f>
        <v>3.4309220706148253</v>
      </c>
      <c r="AM48" s="546">
        <f>+Global!AM45</f>
        <v>3.5213089430472033</v>
      </c>
      <c r="AN48" s="546">
        <f>+Global!AN45</f>
        <v>3.5371723003673514</v>
      </c>
      <c r="AO48" s="546">
        <f>+Global!AO45</f>
        <v>3.5161265293647954</v>
      </c>
      <c r="AP48" s="546">
        <f>+Global!AP45</f>
        <v>3.4771994009092264</v>
      </c>
      <c r="AQ48" s="546">
        <f>+Global!AQ45</f>
        <v>3.4301548028139659</v>
      </c>
      <c r="AR48" s="546">
        <f>+Global!AR45</f>
        <v>3.3800396968653965</v>
      </c>
      <c r="AS48" s="546">
        <f>+Global!AS45</f>
        <v>3.3294677946523015</v>
      </c>
      <c r="AT48" s="546">
        <f>+Global!AT45</f>
        <v>3.2797872969693525</v>
      </c>
      <c r="AU48" s="546">
        <f>+Global!AU45</f>
        <v>3.2316844004499066</v>
      </c>
      <c r="AV48" s="546">
        <f>+Global!AV45</f>
        <v>3.1854972668925789</v>
      </c>
      <c r="AW48" s="546">
        <f>+Global!AW45</f>
        <v>3.1413801279115749</v>
      </c>
      <c r="AX48" s="546">
        <f>+Global!AX45</f>
        <v>3.0993894123464405</v>
      </c>
      <c r="AY48" s="546">
        <f>+Global!AY45</f>
        <v>3.0595291574771766</v>
      </c>
      <c r="AZ48" s="546">
        <f>+Global!AZ45</f>
        <v>3.0217750992378951</v>
      </c>
      <c r="BA48" s="546">
        <f>+Global!BA45</f>
        <v>2.9860875649399765</v>
      </c>
      <c r="BB48" s="546">
        <f>+Global!BB45</f>
        <v>2.9524184635751909</v>
      </c>
      <c r="BC48" s="546">
        <f>+Global!BC45</f>
        <v>2.9207151485770364</v>
      </c>
      <c r="BD48" s="546">
        <f>+Global!BD45</f>
        <v>2.8909226103555157</v>
      </c>
      <c r="BE48" s="546">
        <f>+Global!BE45</f>
        <v>1.4577786121417149</v>
      </c>
      <c r="BF48" s="546">
        <f>+Global!BF45</f>
        <v>0.73509864312436357</v>
      </c>
      <c r="BG48" s="546">
        <f>+Global!BG45</f>
        <v>0.37066028867826711</v>
      </c>
      <c r="BH48" s="546">
        <f>+Global!BH45</f>
        <v>0.18688680131136193</v>
      </c>
      <c r="BI48" s="546">
        <f>+Global!BI45</f>
        <v>9.4222635678587102E-2</v>
      </c>
    </row>
    <row r="49" spans="1:61" s="546" customFormat="1" ht="11" x14ac:dyDescent="0.15">
      <c r="A49" s="546" t="str">
        <f>+Global!A46</f>
        <v>Gross output (net of damages and abatement, $trill p.a.)</v>
      </c>
      <c r="B49" s="546">
        <f>+Global!B46</f>
        <v>49.681228736705314</v>
      </c>
      <c r="C49" s="546">
        <f>+Global!C46</f>
        <v>50.462115693760857</v>
      </c>
      <c r="D49" s="546">
        <f>+Global!D46</f>
        <v>51.392946249509393</v>
      </c>
      <c r="E49" s="546">
        <f>+Global!E46</f>
        <v>52.248483138362928</v>
      </c>
      <c r="F49" s="546">
        <f>+Global!F46</f>
        <v>53.700593861661218</v>
      </c>
      <c r="G49" s="546">
        <f>+Global!G46</f>
        <v>55.764946253183197</v>
      </c>
      <c r="H49" s="546">
        <f>+Global!H46</f>
        <v>57.862992527985092</v>
      </c>
      <c r="I49" s="546">
        <f>+Global!I46</f>
        <v>60.098475351258301</v>
      </c>
      <c r="J49" s="546">
        <f>+Global!J46</f>
        <v>61.560375666557817</v>
      </c>
      <c r="K49" s="546">
        <f>+Global!K46</f>
        <v>63.874379348203085</v>
      </c>
      <c r="L49" s="546">
        <f>+Global!L46</f>
        <v>66.954892229710325</v>
      </c>
      <c r="M49" s="546">
        <f>+Global!M46</f>
        <v>68.487270305142857</v>
      </c>
      <c r="N49" s="546">
        <f>+Global!N46</f>
        <v>70.300983565336125</v>
      </c>
      <c r="O49" s="546">
        <f>+Global!O46</f>
        <v>72.878290773608057</v>
      </c>
      <c r="P49" s="546">
        <f>+Global!P46</f>
        <v>76.556847197248587</v>
      </c>
      <c r="Q49" s="546">
        <f>+Global!Q46</f>
        <v>79.964953769574805</v>
      </c>
      <c r="R49" s="546">
        <f>+Global!R46</f>
        <v>84.03073848556582</v>
      </c>
      <c r="S49" s="546">
        <f>+Global!S46</f>
        <v>88.279891196664167</v>
      </c>
      <c r="T49" s="546">
        <f>+Global!T46</f>
        <v>90.692949288309464</v>
      </c>
      <c r="U49" s="546">
        <f>+Global!U46</f>
        <v>89.950553539695818</v>
      </c>
      <c r="V49" s="546">
        <f>+Global!V46</f>
        <v>94.412486101616196</v>
      </c>
      <c r="W49" s="546">
        <f>+Global!W46</f>
        <v>98.052274113703078</v>
      </c>
      <c r="X49" s="546">
        <f>+Global!X46</f>
        <v>101.12107797398362</v>
      </c>
      <c r="Y49" s="546">
        <f>+Global!Y46</f>
        <v>104.34266290328738</v>
      </c>
      <c r="Z49" s="546">
        <f>+Global!Z46</f>
        <v>107.80056776929695</v>
      </c>
      <c r="AA49" s="546">
        <f>+Global!AA46</f>
        <v>111.29260177046174</v>
      </c>
      <c r="AB49" s="546">
        <f>+Global!AB46</f>
        <v>114.50532782897696</v>
      </c>
      <c r="AC49" s="546">
        <f>+Global!AC46</f>
        <v>118.84271154551949</v>
      </c>
      <c r="AD49" s="546">
        <f>+Global!AD46</f>
        <v>123.15430641978267</v>
      </c>
      <c r="AE49" s="546">
        <f>+Global!AE46</f>
        <v>126.50342835489047</v>
      </c>
      <c r="AF49" s="546">
        <f>+Global!AF46</f>
        <v>122.59562046021506</v>
      </c>
      <c r="AG49" s="546">
        <f>+Global!AG46</f>
        <v>130.41776308942426</v>
      </c>
      <c r="AH49" s="546">
        <f>+Global!AH46</f>
        <v>134.59295543902959</v>
      </c>
      <c r="AI49" s="546">
        <f>+Global!AI46</f>
        <v>919.51140254226766</v>
      </c>
      <c r="AJ49" s="546">
        <f>+Global!AJ46</f>
        <v>1655.778597328688</v>
      </c>
      <c r="AK49" s="546">
        <f>+Global!AK46</f>
        <v>2114.2805463516747</v>
      </c>
      <c r="AL49" s="546">
        <f>+Global!AL46</f>
        <v>2409.0188033039362</v>
      </c>
      <c r="AM49" s="546">
        <f>+Global!AM46</f>
        <v>2618.9970649608886</v>
      </c>
      <c r="AN49" s="546">
        <f>+Global!AN46</f>
        <v>2784.9743465402144</v>
      </c>
      <c r="AO49" s="546">
        <f>+Global!AO46</f>
        <v>2928.313922502864</v>
      </c>
      <c r="AP49" s="546">
        <f>+Global!AP46</f>
        <v>3060.5236338996624</v>
      </c>
      <c r="AQ49" s="546">
        <f>+Global!AQ46</f>
        <v>3187.9302354479996</v>
      </c>
      <c r="AR49" s="546">
        <f>+Global!AR46</f>
        <v>3314.0726933521341</v>
      </c>
      <c r="AS49" s="546">
        <f>+Global!AS46</f>
        <v>3440.9701977179875</v>
      </c>
      <c r="AT49" s="546">
        <f>+Global!AT46</f>
        <v>3569.8079503607905</v>
      </c>
      <c r="AU49" s="546">
        <f>+Global!AU46</f>
        <v>3701.3123380399384</v>
      </c>
      <c r="AV49" s="546">
        <f>+Global!AV46</f>
        <v>3835.9574487514055</v>
      </c>
      <c r="AW49" s="546">
        <f>+Global!AW46</f>
        <v>3974.0791297127453</v>
      </c>
      <c r="AX49" s="546">
        <f>+Global!AX46</f>
        <v>4115.9381062973616</v>
      </c>
      <c r="AY49" s="546">
        <f>+Global!AY46</f>
        <v>4261.7549680794518</v>
      </c>
      <c r="AZ49" s="546">
        <f>+Global!AZ46</f>
        <v>4411.7296013776577</v>
      </c>
      <c r="BA49" s="546">
        <f>+Global!BA46</f>
        <v>4566.0520208481266</v>
      </c>
      <c r="BB49" s="546">
        <f>+Global!BB46</f>
        <v>4724.9084460857694</v>
      </c>
      <c r="BC49" s="546">
        <f>+Global!BC46</f>
        <v>4888.4847512158221</v>
      </c>
      <c r="BD49" s="546">
        <f>+Global!BD46</f>
        <v>5056.9684647557206</v>
      </c>
      <c r="BE49" s="546">
        <f>+Global!BE46</f>
        <v>5231.9551769953077</v>
      </c>
      <c r="BF49" s="546">
        <f>+Global!BF46</f>
        <v>5411.814203506885</v>
      </c>
      <c r="BG49" s="546">
        <f>+Global!BG46</f>
        <v>5596.8192902260635</v>
      </c>
      <c r="BH49" s="546">
        <f>+Global!BH46</f>
        <v>5787.2720746415598</v>
      </c>
      <c r="BI49" s="546">
        <f>+Global!BI46</f>
        <v>5983.4625507390156</v>
      </c>
    </row>
    <row r="50" spans="1:61" s="546" customFormat="1" ht="11" x14ac:dyDescent="0.15">
      <c r="A50" s="546" t="str">
        <f>+Global!A48</f>
        <v>Consumption ($trill per year)</v>
      </c>
      <c r="B50" s="546">
        <f>+Global!B48</f>
        <v>39.617337027543854</v>
      </c>
      <c r="C50" s="546">
        <f>+Global!C48</f>
        <v>39.543160845985646</v>
      </c>
      <c r="D50" s="546">
        <f>+Global!D48</f>
        <v>40.565367311158703</v>
      </c>
      <c r="E50" s="546">
        <f>+Global!E48</f>
        <v>41.47511428438284</v>
      </c>
      <c r="F50" s="546">
        <f>+Global!F48</f>
        <v>42.779878033459219</v>
      </c>
      <c r="G50" s="546">
        <f>+Global!G48</f>
        <v>44.445620210177985</v>
      </c>
      <c r="H50" s="546">
        <f>+Global!H48</f>
        <v>46.04940951128053</v>
      </c>
      <c r="I50" s="546">
        <f>+Global!I48</f>
        <v>47.752121385888373</v>
      </c>
      <c r="J50" s="546">
        <f>+Global!J48</f>
        <v>48.821311537827185</v>
      </c>
      <c r="K50" s="546">
        <f>+Global!K48</f>
        <v>50.429873631473313</v>
      </c>
      <c r="L50" s="546">
        <f>+Global!L48</f>
        <v>52.666167503910259</v>
      </c>
      <c r="M50" s="546">
        <f>+Global!M48</f>
        <v>53.338194804715329</v>
      </c>
      <c r="N50" s="546">
        <f>+Global!N48</f>
        <v>54.752663758036604</v>
      </c>
      <c r="O50" s="546">
        <f>+Global!O48</f>
        <v>56.760777949942856</v>
      </c>
      <c r="P50" s="546">
        <f>+Global!P48</f>
        <v>59.626328632682011</v>
      </c>
      <c r="Q50" s="546">
        <f>+Global!Q48</f>
        <v>62.282364346590178</v>
      </c>
      <c r="R50" s="546">
        <f>+Global!R48</f>
        <v>65.450929536200576</v>
      </c>
      <c r="S50" s="546">
        <f>+Global!S48</f>
        <v>68.763580986000179</v>
      </c>
      <c r="T50" s="546">
        <f>+Global!T48</f>
        <v>70.645760985777613</v>
      </c>
      <c r="U50" s="546">
        <f>+Global!U48</f>
        <v>70.072858226962694</v>
      </c>
      <c r="V50" s="546">
        <f>+Global!V48</f>
        <v>73.551217858736479</v>
      </c>
      <c r="W50" s="546">
        <f>+Global!W48</f>
        <v>76.390851721954476</v>
      </c>
      <c r="X50" s="546">
        <f>+Global!X48</f>
        <v>78.78430900607961</v>
      </c>
      <c r="Y50" s="546">
        <f>+Global!Y48</f>
        <v>81.297073233549852</v>
      </c>
      <c r="Z50" s="546">
        <f>+Global!Z48</f>
        <v>83.995044783952338</v>
      </c>
      <c r="AA50" s="546">
        <f>+Global!AA48</f>
        <v>86.719553014686895</v>
      </c>
      <c r="AB50" s="546">
        <f>+Global!AB48</f>
        <v>89.226409702276783</v>
      </c>
      <c r="AC50" s="546">
        <f>+Global!AC48</f>
        <v>92.608558074607558</v>
      </c>
      <c r="AD50" s="546">
        <f>+Global!AD48</f>
        <v>95.970869978396422</v>
      </c>
      <c r="AE50" s="546">
        <f>+Global!AE48</f>
        <v>98.584503114961507</v>
      </c>
      <c r="AF50" s="546">
        <f>+Global!AF48</f>
        <v>95.550747737012358</v>
      </c>
      <c r="AG50" s="546">
        <f>+Global!AG48</f>
        <v>101.64931747398577</v>
      </c>
      <c r="AH50" s="546">
        <f>+Global!AH48</f>
        <v>104.90084982727471</v>
      </c>
      <c r="AI50" s="546">
        <f>+Global!AI48</f>
        <v>715.71473754836256</v>
      </c>
      <c r="AJ50" s="546">
        <f>+Global!AJ48</f>
        <v>1288.2464622718662</v>
      </c>
      <c r="AK50" s="546">
        <f>+Global!AK48</f>
        <v>1644.7422898661694</v>
      </c>
      <c r="AL50" s="546">
        <f>+Global!AL48</f>
        <v>1873.9100052354415</v>
      </c>
      <c r="AM50" s="546">
        <f>+Global!AM48</f>
        <v>2037.1800473813137</v>
      </c>
      <c r="AN50" s="546">
        <f>+Global!AN48</f>
        <v>2166.2423385814059</v>
      </c>
      <c r="AO50" s="546">
        <f>+Global!AO48</f>
        <v>2277.706217378407</v>
      </c>
      <c r="AP50" s="546">
        <f>+Global!AP48</f>
        <v>2380.5184902734945</v>
      </c>
      <c r="AQ50" s="546">
        <f>+Global!AQ48</f>
        <v>2479.597794410704</v>
      </c>
      <c r="AR50" s="546">
        <f>+Global!AR48</f>
        <v>2577.6953778854204</v>
      </c>
      <c r="AS50" s="546">
        <f>+Global!AS48</f>
        <v>2676.3809549989774</v>
      </c>
      <c r="AT50" s="546">
        <f>+Global!AT48</f>
        <v>2776.5758810155007</v>
      </c>
      <c r="AU50" s="546">
        <f>+Global!AU48</f>
        <v>2878.8448283174284</v>
      </c>
      <c r="AV50" s="546">
        <f>+Global!AV48</f>
        <v>2983.5563370707473</v>
      </c>
      <c r="AW50" s="546">
        <f>+Global!AW48</f>
        <v>3090.9714842448357</v>
      </c>
      <c r="AX50" s="546">
        <f>+Global!AX48</f>
        <v>3201.2929511373882</v>
      </c>
      <c r="AY50" s="546">
        <f>+Global!AY48</f>
        <v>3314.6922201573652</v>
      </c>
      <c r="AZ50" s="546">
        <f>+Global!AZ48</f>
        <v>3431.324680508978</v>
      </c>
      <c r="BA50" s="546">
        <f>+Global!BA48</f>
        <v>3551.3380477796509</v>
      </c>
      <c r="BB50" s="546">
        <f>+Global!BB48</f>
        <v>3674.8770872489963</v>
      </c>
      <c r="BC50" s="546">
        <f>+Global!BC48</f>
        <v>3802.0862951499066</v>
      </c>
      <c r="BD50" s="546">
        <f>+Global!BD48</f>
        <v>3933.1114530402515</v>
      </c>
      <c r="BE50" s="546">
        <f>+Global!BE48</f>
        <v>4069.193253905908</v>
      </c>
      <c r="BF50" s="546">
        <f>+Global!BF48</f>
        <v>4209.0636241422008</v>
      </c>
      <c r="BG50" s="546">
        <f>+Global!BG48</f>
        <v>4352.9353749916991</v>
      </c>
      <c r="BH50" s="546">
        <f>+Global!BH48</f>
        <v>4501.0430194130031</v>
      </c>
      <c r="BI50" s="546">
        <f>+Global!BI48</f>
        <v>4501.0430194130031</v>
      </c>
    </row>
    <row r="51" spans="1:61" s="546" customFormat="1" ht="11" x14ac:dyDescent="0.15">
      <c r="A51" s="546" t="str">
        <f>+Global!A49</f>
        <v>Net capital accumulation ($trill per year)</v>
      </c>
      <c r="B51" s="546">
        <f>+Global!B49</f>
        <v>3.7751847250311847</v>
      </c>
      <c r="C51" s="546">
        <f>+Global!C49</f>
        <v>3.7232159704617516</v>
      </c>
      <c r="D51" s="546">
        <f>+Global!D49</f>
        <v>2.1532682753497667</v>
      </c>
      <c r="E51" s="546">
        <f>+Global!E49</f>
        <v>0.65942231394125883</v>
      </c>
      <c r="F51" s="546">
        <f>+Global!F49</f>
        <v>0.17571625942156682</v>
      </c>
      <c r="G51" s="546">
        <f>+Global!G49</f>
        <v>0.20861544545723779</v>
      </c>
      <c r="H51" s="546">
        <f>+Global!H49</f>
        <v>0.47134992290601074</v>
      </c>
      <c r="I51" s="546">
        <f>+Global!I49</f>
        <v>0.65860652955944454</v>
      </c>
      <c r="J51" s="546">
        <f>+Global!J49</f>
        <v>0.76241284603184944</v>
      </c>
      <c r="K51" s="546">
        <f>+Global!K49</f>
        <v>0.6585470852272729</v>
      </c>
      <c r="L51" s="546">
        <f>+Global!L49</f>
        <v>0.93506275840860653</v>
      </c>
      <c r="M51" s="546">
        <f>+Global!M49</f>
        <v>1.1702552330678164</v>
      </c>
      <c r="N51" s="546">
        <f>+Global!N49</f>
        <v>1.2683935438124141</v>
      </c>
      <c r="O51" s="546">
        <f>+Global!O49</f>
        <v>0.84150578916139551</v>
      </c>
      <c r="P51" s="546">
        <f>+Global!P49</f>
        <v>0.86260794226560822</v>
      </c>
      <c r="Q51" s="546">
        <f>+Global!Q49</f>
        <v>1.113778532628416</v>
      </c>
      <c r="R51" s="546">
        <f>+Global!R49</f>
        <v>1.140421419791803</v>
      </c>
      <c r="S51" s="546">
        <f>+Global!S49</f>
        <v>1.2948598880902318</v>
      </c>
      <c r="T51" s="546">
        <f>+Global!T49</f>
        <v>1.3879909872261149</v>
      </c>
      <c r="U51" s="546">
        <f>+Global!U49</f>
        <v>1.0148406241667203</v>
      </c>
      <c r="V51" s="546">
        <f>+Global!V49</f>
        <v>0.18436005598582134</v>
      </c>
      <c r="W51" s="546">
        <f>+Global!W49</f>
        <v>1.0478553068844974</v>
      </c>
      <c r="X51" s="546">
        <f>+Global!X49</f>
        <v>1.1655187027238838</v>
      </c>
      <c r="Y51" s="546">
        <f>+Global!Y49</f>
        <v>1.0817378193285183</v>
      </c>
      <c r="Z51" s="546">
        <f>+Global!Z49</f>
        <v>1.0859993572742042</v>
      </c>
      <c r="AA51" s="546">
        <f>+Global!AA49</f>
        <v>1.138597877451023</v>
      </c>
      <c r="AB51" s="546">
        <f>+Global!AB49</f>
        <v>1.1645303022410172</v>
      </c>
      <c r="AC51" s="546">
        <f>+Global!AC49</f>
        <v>1.1119159801599112</v>
      </c>
      <c r="AD51" s="546">
        <f>+Global!AD49</f>
        <v>1.3429364736962168</v>
      </c>
      <c r="AE51" s="546">
        <f>+Global!AE49</f>
        <v>1.4175359652760597</v>
      </c>
      <c r="AF51" s="546">
        <f>+Global!AF49</f>
        <v>1.2297530277008621</v>
      </c>
      <c r="AG51" s="546">
        <f>+Global!AG49</f>
        <v>-0.44526414931927416</v>
      </c>
      <c r="AH51" s="546">
        <f>+Global!AH49</f>
        <v>1.5683188832187036</v>
      </c>
      <c r="AI51" s="546">
        <f>+Global!AI49</f>
        <v>1.2976909159373744</v>
      </c>
      <c r="AJ51" s="546">
        <f>+Global!AJ49</f>
        <v>179.28413214418444</v>
      </c>
      <c r="AK51" s="546">
        <f>+Global!AK49</f>
        <v>226.2479815936332</v>
      </c>
      <c r="AL51" s="546">
        <f>+Global!AL49</f>
        <v>180.89391472652562</v>
      </c>
      <c r="AM51" s="546">
        <f>+Global!AM49</f>
        <v>128.64434959341634</v>
      </c>
      <c r="AN51" s="546">
        <f>+Global!AN49</f>
        <v>91.563730654991332</v>
      </c>
      <c r="AO51" s="546">
        <f>+Global!AO49</f>
        <v>68.841289153752996</v>
      </c>
      <c r="AP51" s="546">
        <f>+Global!AP49</f>
        <v>55.879170482252022</v>
      </c>
      <c r="AQ51" s="546">
        <f>+Global!AQ49</f>
        <v>48.881300499544047</v>
      </c>
      <c r="AR51" s="546">
        <f>+Global!AR49</f>
        <v>45.371153019368535</v>
      </c>
      <c r="AS51" s="546">
        <f>+Global!AS49</f>
        <v>43.864817289750206</v>
      </c>
      <c r="AT51" s="546">
        <f>+Global!AT49</f>
        <v>43.506643320157764</v>
      </c>
      <c r="AU51" s="546">
        <f>+Global!AU49</f>
        <v>43.812655153138842</v>
      </c>
      <c r="AV51" s="546">
        <f>+Global!AV49</f>
        <v>44.511968632657094</v>
      </c>
      <c r="AW51" s="546">
        <f>+Global!AW49</f>
        <v>45.453965746762044</v>
      </c>
      <c r="AX51" s="546">
        <f>+Global!AX49</f>
        <v>46.555351660192208</v>
      </c>
      <c r="AY51" s="546">
        <f>+Global!AY49</f>
        <v>47.770357087246495</v>
      </c>
      <c r="AZ51" s="546">
        <f>+Global!AZ49</f>
        <v>49.074086354313025</v>
      </c>
      <c r="BA51" s="546">
        <f>+Global!BA49</f>
        <v>50.453248825948563</v>
      </c>
      <c r="BB51" s="546">
        <f>+Global!BB49</f>
        <v>51.901012298404993</v>
      </c>
      <c r="BC51" s="546">
        <f>+Global!BC49</f>
        <v>53.414149776116261</v>
      </c>
      <c r="BD51" s="546">
        <f>+Global!BD49</f>
        <v>54.99145965234608</v>
      </c>
      <c r="BE51" s="546">
        <f>+Global!BE49</f>
        <v>56.6328920199552</v>
      </c>
      <c r="BF51" s="546">
        <f>+Global!BF49</f>
        <v>58.651579821802756</v>
      </c>
      <c r="BG51" s="546">
        <f>+Global!BG49</f>
        <v>60.439197636948492</v>
      </c>
      <c r="BH51" s="546">
        <f>+Global!BH49</f>
        <v>62.207181022626244</v>
      </c>
      <c r="BI51" s="546">
        <f>+Global!BI49</f>
        <v>64.035442836181772</v>
      </c>
    </row>
    <row r="52" spans="1:61" s="546" customFormat="1" ht="11" x14ac:dyDescent="0.15">
      <c r="A52" s="546" t="str">
        <f>+Global!A51</f>
        <v>NET NATIONAL INCOME (Consumption basis)</v>
      </c>
      <c r="B52" s="546">
        <f>+Global!B51</f>
        <v>43.39252175257505</v>
      </c>
      <c r="C52" s="546">
        <f>+Global!C51</f>
        <v>43.266376816447405</v>
      </c>
      <c r="D52" s="546">
        <f>+Global!D51</f>
        <v>42.718635586508469</v>
      </c>
      <c r="E52" s="546">
        <f>+Global!E51</f>
        <v>42.134536598324118</v>
      </c>
      <c r="F52" s="546">
        <f>+Global!F51</f>
        <v>42.955594292880782</v>
      </c>
      <c r="G52" s="546">
        <f>+Global!G51</f>
        <v>44.654235655635205</v>
      </c>
      <c r="H52" s="546">
        <f>+Global!H51</f>
        <v>46.520759434186537</v>
      </c>
      <c r="I52" s="546">
        <f>+Global!I51</f>
        <v>48.410727915447829</v>
      </c>
      <c r="J52" s="546">
        <f>+Global!J51</f>
        <v>49.583724383859035</v>
      </c>
      <c r="K52" s="546">
        <f>+Global!K51</f>
        <v>51.08842071670059</v>
      </c>
      <c r="L52" s="546">
        <f>+Global!L51</f>
        <v>53.601230262318865</v>
      </c>
      <c r="M52" s="546">
        <f>+Global!M51</f>
        <v>54.508450037783142</v>
      </c>
      <c r="N52" s="546">
        <f>+Global!N51</f>
        <v>56.021057301849012</v>
      </c>
      <c r="O52" s="546">
        <f>+Global!O51</f>
        <v>57.602283739104251</v>
      </c>
      <c r="P52" s="546">
        <f>+Global!P51</f>
        <v>60.488936574947616</v>
      </c>
      <c r="Q52" s="546">
        <f>+Global!Q51</f>
        <v>63.396142879218587</v>
      </c>
      <c r="R52" s="546">
        <f>+Global!R51</f>
        <v>66.591350955992382</v>
      </c>
      <c r="S52" s="546">
        <f>+Global!S51</f>
        <v>70.058440874090394</v>
      </c>
      <c r="T52" s="546">
        <f>+Global!T51</f>
        <v>72.033751973003731</v>
      </c>
      <c r="U52" s="546">
        <f>+Global!U51</f>
        <v>71.087698851129417</v>
      </c>
      <c r="V52" s="546">
        <f>+Global!V51</f>
        <v>73.735577914722299</v>
      </c>
      <c r="W52" s="546">
        <f>+Global!W51</f>
        <v>77.438707028838976</v>
      </c>
      <c r="X52" s="546">
        <f>+Global!X51</f>
        <v>79.949827708803497</v>
      </c>
      <c r="Y52" s="546">
        <f>+Global!Y51</f>
        <v>82.378811052878348</v>
      </c>
      <c r="Z52" s="546">
        <f>+Global!Z51</f>
        <v>85.081044141226556</v>
      </c>
      <c r="AA52" s="546">
        <f>+Global!AA51</f>
        <v>87.858150892137928</v>
      </c>
      <c r="AB52" s="546">
        <f>+Global!AB51</f>
        <v>90.390940004517788</v>
      </c>
      <c r="AC52" s="546">
        <f>+Global!AC51</f>
        <v>93.720474054767465</v>
      </c>
      <c r="AD52" s="546">
        <f>+Global!AD51</f>
        <v>97.313806452092663</v>
      </c>
      <c r="AE52" s="546">
        <f>+Global!AE51</f>
        <v>100.00203908023758</v>
      </c>
      <c r="AF52" s="546">
        <f>+Global!AF51</f>
        <v>96.780500764713224</v>
      </c>
      <c r="AG52" s="546">
        <f>+Global!AG51</f>
        <v>101.2040533246665</v>
      </c>
      <c r="AH52" s="546">
        <f>+Global!AH51</f>
        <v>106.46916871049343</v>
      </c>
      <c r="AI52" s="546">
        <f>+Global!AI51</f>
        <v>717.01242846430011</v>
      </c>
      <c r="AJ52" s="546">
        <f>+Global!AJ51</f>
        <v>1467.5305944160507</v>
      </c>
      <c r="AK52" s="546">
        <f>+Global!AK51</f>
        <v>1870.9902714598024</v>
      </c>
      <c r="AL52" s="546">
        <f>+Global!AL51</f>
        <v>2054.8039199619675</v>
      </c>
      <c r="AM52" s="546">
        <f>+Global!AM51</f>
        <v>2165.82439697473</v>
      </c>
      <c r="AN52" s="546">
        <f>+Global!AN51</f>
        <v>2257.806069236397</v>
      </c>
      <c r="AO52" s="546">
        <f>+Global!AO51</f>
        <v>2346.5475065321598</v>
      </c>
      <c r="AP52" s="546">
        <f>+Global!AP51</f>
        <v>2436.3976607557461</v>
      </c>
      <c r="AQ52" s="546">
        <f>+Global!AQ51</f>
        <v>2528.479094910248</v>
      </c>
      <c r="AR52" s="546">
        <f>+Global!AR51</f>
        <v>2623.066530904789</v>
      </c>
      <c r="AS52" s="546">
        <f>+Global!AS51</f>
        <v>2720.2457722887275</v>
      </c>
      <c r="AT52" s="546">
        <f>+Global!AT51</f>
        <v>2820.0825243356585</v>
      </c>
      <c r="AU52" s="546">
        <f>+Global!AU51</f>
        <v>2922.6574834705671</v>
      </c>
      <c r="AV52" s="546">
        <f>+Global!AV51</f>
        <v>3028.0683057034048</v>
      </c>
      <c r="AW52" s="546">
        <f>+Global!AW51</f>
        <v>3136.4254499915974</v>
      </c>
      <c r="AX52" s="546">
        <f>+Global!AX51</f>
        <v>3247.8483027975803</v>
      </c>
      <c r="AY52" s="546">
        <f>+Global!AY51</f>
        <v>3362.462577244612</v>
      </c>
      <c r="AZ52" s="546">
        <f>+Global!AZ51</f>
        <v>3480.3987668632913</v>
      </c>
      <c r="BA52" s="546">
        <f>+Global!BA51</f>
        <v>3601.7912966055992</v>
      </c>
      <c r="BB52" s="546">
        <f>+Global!BB51</f>
        <v>3726.7780995474013</v>
      </c>
      <c r="BC52" s="546">
        <f>+Global!BC51</f>
        <v>3855.5004449260232</v>
      </c>
      <c r="BD52" s="546">
        <f>+Global!BD51</f>
        <v>3988.1029126925978</v>
      </c>
      <c r="BE52" s="546">
        <f>+Global!BE51</f>
        <v>4125.826145925862</v>
      </c>
      <c r="BF52" s="546">
        <f>+Global!BF51</f>
        <v>4267.7152039640041</v>
      </c>
      <c r="BG52" s="546">
        <f>+Global!BG51</f>
        <v>4413.3745726286479</v>
      </c>
      <c r="BH52" s="546">
        <f>+Global!BH51</f>
        <v>4563.2502004356293</v>
      </c>
      <c r="BI52" s="546">
        <f>+Global!BI51</f>
        <v>4565.0784622491847</v>
      </c>
    </row>
    <row r="53" spans="1:61" s="546" customFormat="1" ht="11" x14ac:dyDescent="0.15">
      <c r="A53" s="546" t="str">
        <f>+Global!A52</f>
        <v>World per capita consumption</v>
      </c>
      <c r="B53" s="546">
        <f>+Global!B52</f>
        <v>6.1796922123588516</v>
      </c>
      <c r="C53" s="546">
        <f>+Global!C52</f>
        <v>5.5051071849156106</v>
      </c>
      <c r="D53" s="546">
        <f>+Global!D52</f>
        <v>5.1555897507799475</v>
      </c>
      <c r="E53" s="546">
        <f>+Global!E52</f>
        <v>4.9389392388370439</v>
      </c>
      <c r="F53" s="546">
        <f>+Global!F52</f>
        <v>4.8676646584731902</v>
      </c>
      <c r="G53" s="546">
        <f>+Global!G52</f>
        <v>4.9813852971933557</v>
      </c>
      <c r="H53" s="546">
        <f>+Global!H52</f>
        <v>5.1597607047390586</v>
      </c>
      <c r="I53" s="546">
        <f>+Global!I52</f>
        <v>5.3456826645218705</v>
      </c>
      <c r="J53" s="546">
        <f>+Global!J52</f>
        <v>5.4568913083575161</v>
      </c>
      <c r="K53" s="546">
        <f>+Global!K52</f>
        <v>5.6243112252119456</v>
      </c>
      <c r="L53" s="546">
        <f>+Global!L52</f>
        <v>5.8913770258251699</v>
      </c>
      <c r="M53" s="546">
        <f>+Global!M52</f>
        <v>6.0182274386035726</v>
      </c>
      <c r="N53" s="546">
        <f>+Global!N52</f>
        <v>6.2308269215801539</v>
      </c>
      <c r="O53" s="546">
        <f>+Global!O52</f>
        <v>6.5142413113574893</v>
      </c>
      <c r="P53" s="546">
        <f>+Global!P52</f>
        <v>6.9007057207426694</v>
      </c>
      <c r="Q53" s="546">
        <f>+Global!Q52</f>
        <v>7.2681734435739394</v>
      </c>
      <c r="R53" s="546">
        <f>+Global!R52</f>
        <v>7.7009718919702497</v>
      </c>
      <c r="S53" s="546">
        <f>+Global!S52</f>
        <v>8.1568497774463253</v>
      </c>
      <c r="T53" s="546">
        <f>+Global!T52</f>
        <v>8.4479053194842511</v>
      </c>
      <c r="U53" s="546">
        <f>+Global!U52</f>
        <v>8.4464918810585274</v>
      </c>
      <c r="V53" s="546">
        <f>+Global!V52</f>
        <v>8.884999209699636</v>
      </c>
      <c r="W53" s="546">
        <f>+Global!W52</f>
        <v>9.1949281057937231</v>
      </c>
      <c r="X53" s="546">
        <f>+Global!X52</f>
        <v>9.4318033081873089</v>
      </c>
      <c r="Y53" s="546">
        <f>+Global!Y52</f>
        <v>9.6800523007698107</v>
      </c>
      <c r="Z53" s="546">
        <f>+Global!Z52</f>
        <v>9.9472724912228507</v>
      </c>
      <c r="AA53" s="546">
        <f>+Global!AA52</f>
        <v>10.214443343973041</v>
      </c>
      <c r="AB53" s="546">
        <f>+Global!AB52</f>
        <v>10.45293340514594</v>
      </c>
      <c r="AC53" s="546">
        <f>+Global!AC52</f>
        <v>10.790529281573701</v>
      </c>
      <c r="AD53" s="546">
        <f>+Global!AD52</f>
        <v>11.121866677294861</v>
      </c>
      <c r="AE53" s="546">
        <f>+Global!AE52</f>
        <v>11.363007673421363</v>
      </c>
      <c r="AF53" s="546">
        <f>+Global!AF52</f>
        <v>10.983527669325399</v>
      </c>
      <c r="AG53" s="546">
        <f>+Global!AG52</f>
        <v>11.684556295848761</v>
      </c>
      <c r="AH53" s="546">
        <f>+Global!AH52</f>
        <v>12.058318892331529</v>
      </c>
      <c r="AI53" s="546">
        <f>+Global!AI52</f>
        <v>87.051882127714009</v>
      </c>
      <c r="AJ53" s="546">
        <f>+Global!AJ52</f>
        <v>156.68851471366722</v>
      </c>
      <c r="AK53" s="546">
        <f>+Global!AK52</f>
        <v>200.04885247765537</v>
      </c>
      <c r="AL53" s="546">
        <f>+Global!AL52</f>
        <v>227.92236115254883</v>
      </c>
      <c r="AM53" s="546">
        <f>+Global!AM52</f>
        <v>247.78078199847835</v>
      </c>
      <c r="AN53" s="546">
        <f>+Global!AN52</f>
        <v>263.47853806141524</v>
      </c>
      <c r="AO53" s="546">
        <f>+Global!AO52</f>
        <v>277.03581155248781</v>
      </c>
      <c r="AP53" s="546">
        <f>+Global!AP52</f>
        <v>289.54079627866963</v>
      </c>
      <c r="AQ53" s="546">
        <f>+Global!AQ52</f>
        <v>301.59174262999505</v>
      </c>
      <c r="AR53" s="546">
        <f>+Global!AR52</f>
        <v>313.52328298489459</v>
      </c>
      <c r="AS53" s="546">
        <f>+Global!AS52</f>
        <v>325.52634059416215</v>
      </c>
      <c r="AT53" s="546">
        <f>+Global!AT52</f>
        <v>337.71297925310972</v>
      </c>
      <c r="AU53" s="546">
        <f>+Global!AU52</f>
        <v>350.15187966802711</v>
      </c>
      <c r="AV53" s="546">
        <f>+Global!AV52</f>
        <v>362.88786712111914</v>
      </c>
      <c r="AW53" s="546">
        <f>+Global!AW52</f>
        <v>375.95269622127154</v>
      </c>
      <c r="AX53" s="546">
        <f>+Global!AX52</f>
        <v>389.37101895273275</v>
      </c>
      <c r="AY53" s="546">
        <f>+Global!AY52</f>
        <v>403.16369260077113</v>
      </c>
      <c r="AZ53" s="546">
        <f>+Global!AZ52</f>
        <v>417.34961704543548</v>
      </c>
      <c r="BA53" s="546">
        <f>+Global!BA52</f>
        <v>431.94675883014088</v>
      </c>
      <c r="BB53" s="546">
        <f>+Global!BB52</f>
        <v>446.97272565442995</v>
      </c>
      <c r="BC53" s="546">
        <f>+Global!BC52</f>
        <v>462.4450924938813</v>
      </c>
      <c r="BD53" s="546">
        <f>+Global!BD52</f>
        <v>478.38159065725006</v>
      </c>
      <c r="BE53" s="546">
        <f>+Global!BE52</f>
        <v>494.93312476322996</v>
      </c>
      <c r="BF53" s="546">
        <f>+Global!BF52</f>
        <v>511.94545990764453</v>
      </c>
      <c r="BG53" s="546">
        <f>+Global!BG52</f>
        <v>529.44448017284071</v>
      </c>
      <c r="BH53" s="546">
        <f>+Global!BH52</f>
        <v>547.45870920568291</v>
      </c>
      <c r="BI53" s="546">
        <f>+Global!BI52</f>
        <v>547.45870920568291</v>
      </c>
    </row>
    <row r="54" spans="1:61" s="546" customFormat="1" ht="11" x14ac:dyDescent="0.15">
      <c r="A54" s="546" t="str">
        <f>+Global!A53</f>
        <v>World gross savings rate</v>
      </c>
      <c r="B54" s="546">
        <f>+Global!B53</f>
        <v>0.20256929961408321</v>
      </c>
      <c r="C54" s="546">
        <f>+Global!C53</f>
        <v>0.21637925199250474</v>
      </c>
      <c r="D54" s="546">
        <f>+Global!D53</f>
        <v>0.21068219918320119</v>
      </c>
      <c r="E54" s="546">
        <f>+Global!E53</f>
        <v>0.20619486359920469</v>
      </c>
      <c r="F54" s="546">
        <f>+Global!F53</f>
        <v>0.20336303647469889</v>
      </c>
      <c r="G54" s="546">
        <f>+Global!G53</f>
        <v>0.20298281991725364</v>
      </c>
      <c r="H54" s="546">
        <f>+Global!H53</f>
        <v>0.20416474331138323</v>
      </c>
      <c r="I54" s="546">
        <f>+Global!I53</f>
        <v>0.20543539404633882</v>
      </c>
      <c r="J54" s="546">
        <f>+Global!J53</f>
        <v>0.20693610119814498</v>
      </c>
      <c r="K54" s="546">
        <f>+Global!K53</f>
        <v>0.21048354369815092</v>
      </c>
      <c r="L54" s="546">
        <f>+Global!L53</f>
        <v>0.2134082252985785</v>
      </c>
      <c r="M54" s="546">
        <f>+Global!M53</f>
        <v>0.22119549272341132</v>
      </c>
      <c r="N54" s="546">
        <f>+Global!N53</f>
        <v>0.22116788441301494</v>
      </c>
      <c r="O54" s="546">
        <f>+Global!O53</f>
        <v>0.22115657011953349</v>
      </c>
      <c r="P54" s="546">
        <f>+Global!P53</f>
        <v>0.22114963173633739</v>
      </c>
      <c r="Q54" s="546">
        <f>+Global!Q53</f>
        <v>0.22112923961587438</v>
      </c>
      <c r="R54" s="546">
        <f>+Global!R53</f>
        <v>0.22110729102489979</v>
      </c>
      <c r="S54" s="546">
        <f>+Global!S53</f>
        <v>0.22107311128405027</v>
      </c>
      <c r="T54" s="546">
        <f>+Global!T53</f>
        <v>0.2210446176891061</v>
      </c>
      <c r="U54" s="546">
        <f>+Global!U53</f>
        <v>0.2209846913722544</v>
      </c>
      <c r="V54" s="546">
        <f>+Global!V53</f>
        <v>0.22095878526518964</v>
      </c>
      <c r="W54" s="546">
        <f>+Global!W53</f>
        <v>0.22091708313291791</v>
      </c>
      <c r="X54" s="546">
        <f>+Global!X53</f>
        <v>0.22089132568039671</v>
      </c>
      <c r="Y54" s="546">
        <f>+Global!Y53</f>
        <v>0.22086449615626458</v>
      </c>
      <c r="Z54" s="546">
        <f>+Global!Z53</f>
        <v>0.22082929132887874</v>
      </c>
      <c r="AA54" s="546">
        <f>+Global!AA53</f>
        <v>0.22079678581381501</v>
      </c>
      <c r="AB54" s="546">
        <f>+Global!AB53</f>
        <v>0.2207663049919939</v>
      </c>
      <c r="AC54" s="546">
        <f>+Global!AC53</f>
        <v>0.22074684370411435</v>
      </c>
      <c r="AD54" s="546">
        <f>+Global!AD53</f>
        <v>0.22072664149257626</v>
      </c>
      <c r="AE54" s="546">
        <f>+Global!AE53</f>
        <v>0.22069698507779334</v>
      </c>
      <c r="AF54" s="546">
        <f>+Global!AF53</f>
        <v>0.22060227454845627</v>
      </c>
      <c r="AG54" s="546">
        <f>+Global!AG53</f>
        <v>0.2205868658835427</v>
      </c>
      <c r="AH54" s="546">
        <f>+Global!AH53</f>
        <v>0.22060668416784535</v>
      </c>
      <c r="AI54" s="546">
        <f>+Global!AI53</f>
        <v>0.22163582140520233</v>
      </c>
      <c r="AJ54" s="546">
        <f>+Global!AJ53</f>
        <v>0.22196937178060594</v>
      </c>
      <c r="AK54" s="546">
        <f>+Global!AK53</f>
        <v>0.22207944792176393</v>
      </c>
      <c r="AL54" s="546">
        <f>+Global!AL53</f>
        <v>0.22212728158642858</v>
      </c>
      <c r="AM54" s="546">
        <f>+Global!AM53</f>
        <v>0.22215260389696678</v>
      </c>
      <c r="AN54" s="546">
        <f>+Global!AN53</f>
        <v>0.22216793800182111</v>
      </c>
      <c r="AO54" s="546">
        <f>+Global!AO53</f>
        <v>0.22217826446980626</v>
      </c>
      <c r="AP54" s="546">
        <f>+Global!AP53</f>
        <v>0.22218588221118163</v>
      </c>
      <c r="AQ54" s="546">
        <f>+Global!AQ53</f>
        <v>0.22219195174381023</v>
      </c>
      <c r="AR54" s="546">
        <f>+Global!AR53</f>
        <v>0.22219709209874916</v>
      </c>
      <c r="AS54" s="546">
        <f>+Global!AS53</f>
        <v>0.2222016462758315</v>
      </c>
      <c r="AT54" s="546">
        <f>+Global!AT53</f>
        <v>0.22220581061373901</v>
      </c>
      <c r="AU54" s="546">
        <f>+Global!AU53</f>
        <v>0.22220970148065233</v>
      </c>
      <c r="AV54" s="546">
        <f>+Global!AV53</f>
        <v>0.22221339080758384</v>
      </c>
      <c r="AW54" s="546">
        <f>+Global!AW53</f>
        <v>0.22221692539165483</v>
      </c>
      <c r="AX54" s="546">
        <f>+Global!AX53</f>
        <v>0.22222033751201742</v>
      </c>
      <c r="AY54" s="546">
        <f>+Global!AY53</f>
        <v>0.22222365082356621</v>
      </c>
      <c r="AZ54" s="546">
        <f>+Global!AZ53</f>
        <v>0.22222688366089505</v>
      </c>
      <c r="BA54" s="546">
        <f>+Global!BA53</f>
        <v>0.22223005091387382</v>
      </c>
      <c r="BB54" s="546">
        <f>+Global!BB53</f>
        <v>0.22223316511172719</v>
      </c>
      <c r="BC54" s="546">
        <f>+Global!BC53</f>
        <v>0.2222362370662434</v>
      </c>
      <c r="BD54" s="546">
        <f>+Global!BD53</f>
        <v>0.22223927626761608</v>
      </c>
      <c r="BE54" s="546">
        <f>+Global!BE53</f>
        <v>0.22224233269467142</v>
      </c>
      <c r="BF54" s="546">
        <f>+Global!BF53</f>
        <v>0.22224535694246406</v>
      </c>
      <c r="BG54" s="546">
        <f>+Global!BG53</f>
        <v>0.22224836120876834</v>
      </c>
      <c r="BH54" s="546">
        <f>+Global!BH53</f>
        <v>0.2222513541163037</v>
      </c>
      <c r="BI54" s="546">
        <f>+Global!BI53</f>
        <v>0.24775278841561721</v>
      </c>
    </row>
    <row r="55" spans="1:61" s="546" customFormat="1" ht="11" x14ac:dyDescent="0.15">
      <c r="A55" s="546" t="str">
        <f>+Results!A5</f>
        <v>Total carbon emissions (GTC per year)</v>
      </c>
      <c r="B55" s="546">
        <f>+Results!B5</f>
        <v>8.4310900663108779</v>
      </c>
      <c r="C55" s="546">
        <f>+Results!C5</f>
        <v>6.6397842998354886</v>
      </c>
      <c r="D55" s="546">
        <f>+Results!D5</f>
        <v>5.6166541833748393</v>
      </c>
      <c r="E55" s="546">
        <f>+Results!E5</f>
        <v>4.8287983380619988</v>
      </c>
      <c r="F55" s="546">
        <f>+Results!F5</f>
        <v>4.2274768448397797</v>
      </c>
      <c r="G55" s="546">
        <f>+Results!G5</f>
        <v>3.8082798990896345</v>
      </c>
      <c r="H55" s="546">
        <f>+Results!H5</f>
        <v>3.4530813106478595</v>
      </c>
      <c r="I55" s="546">
        <f>+Results!I5</f>
        <v>3.166329950816221</v>
      </c>
      <c r="J55" s="546">
        <f>+Results!J5</f>
        <v>2.8881458316795663</v>
      </c>
      <c r="K55" s="546">
        <f>+Results!K5</f>
        <v>2.698645388448309</v>
      </c>
      <c r="L55" s="546">
        <f>+Results!L5</f>
        <v>2.5715553641959437</v>
      </c>
      <c r="M55" s="546">
        <f>+Results!M5</f>
        <v>2.4144381352801507</v>
      </c>
      <c r="N55" s="546">
        <f>+Results!N5</f>
        <v>2.290692485111566</v>
      </c>
      <c r="O55" s="546">
        <f>+Results!O5</f>
        <v>2.2095431026309145</v>
      </c>
      <c r="P55" s="546">
        <f>+Results!P5</f>
        <v>2.1685306029050841</v>
      </c>
      <c r="Q55" s="546">
        <f>+Results!Q5</f>
        <v>2.1287460088635966</v>
      </c>
      <c r="R55" s="546">
        <f>+Results!R5</f>
        <v>2.1113519854660878</v>
      </c>
      <c r="S55" s="546">
        <f>+Results!S5</f>
        <v>2.1041812298972702</v>
      </c>
      <c r="T55" s="546">
        <f>+Results!T5</f>
        <v>2.0563291610866319</v>
      </c>
      <c r="U55" s="546">
        <f>+Results!U5</f>
        <v>1.9465644903875654</v>
      </c>
      <c r="V55" s="546">
        <f>+Results!V5</f>
        <v>1.9519722864117253</v>
      </c>
      <c r="W55" s="546">
        <f>+Results!W5</f>
        <v>1.9429617320501931</v>
      </c>
      <c r="X55" s="546">
        <f>+Results!X5</f>
        <v>1.9254047120829867</v>
      </c>
      <c r="Y55" s="546">
        <f>+Results!Y5</f>
        <v>1.910492044876652</v>
      </c>
      <c r="Z55" s="546">
        <f>+Results!Z5</f>
        <v>1.9002876251094407</v>
      </c>
      <c r="AA55" s="546">
        <f>+Results!AA5</f>
        <v>1.8904591719977082</v>
      </c>
      <c r="AB55" s="546">
        <f>+Results!AB5</f>
        <v>4.835703278458523E-3</v>
      </c>
      <c r="AC55" s="546">
        <f>+Results!AC5</f>
        <v>3.8685626227668189E-3</v>
      </c>
      <c r="AD55" s="546">
        <f>+Results!AD5</f>
        <v>3.0948500982134553E-3</v>
      </c>
      <c r="AE55" s="546">
        <f>+Results!AE5</f>
        <v>2.4758800785707642E-3</v>
      </c>
      <c r="AF55" s="546">
        <f>+Results!AF5</f>
        <v>1.9807040628566112E-3</v>
      </c>
      <c r="AG55" s="546">
        <f>+Results!AG5</f>
        <v>1.5845632502852892E-3</v>
      </c>
      <c r="AH55" s="546">
        <f>+Results!AH5</f>
        <v>1.2676506002282316E-3</v>
      </c>
      <c r="AI55" s="546">
        <f>+Results!AI5</f>
        <v>1.0141204801825854E-3</v>
      </c>
      <c r="AJ55" s="546">
        <f>+Results!AJ5</f>
        <v>8.1129638414606823E-4</v>
      </c>
      <c r="AK55" s="546">
        <f>+Results!AK5</f>
        <v>6.4903710731685472E-4</v>
      </c>
      <c r="AL55" s="546">
        <f>+Results!AL5</f>
        <v>5.1922968585348377E-4</v>
      </c>
      <c r="AM55" s="546">
        <f>+Results!AM5</f>
        <v>4.1538374868278706E-4</v>
      </c>
      <c r="AN55" s="546">
        <f>+Results!AN5</f>
        <v>3.3230699894622965E-4</v>
      </c>
      <c r="AO55" s="546">
        <f>+Results!AO5</f>
        <v>2.658455991569837E-4</v>
      </c>
      <c r="AP55" s="546">
        <f>+Results!AP5</f>
        <v>2.12676479325587E-4</v>
      </c>
      <c r="AQ55" s="546">
        <f>+Results!AQ5</f>
        <v>1.7014118346046962E-4</v>
      </c>
      <c r="AR55" s="546">
        <f>+Results!AR5</f>
        <v>1.3611294676837569E-4</v>
      </c>
      <c r="AS55" s="546">
        <f>+Results!AS5</f>
        <v>1.0889035741470056E-4</v>
      </c>
      <c r="AT55" s="546">
        <f>+Results!AT5</f>
        <v>8.7112285931760449E-5</v>
      </c>
      <c r="AU55" s="546">
        <f>+Results!AU5</f>
        <v>6.9689828745408375E-5</v>
      </c>
      <c r="AV55" s="546">
        <f>+Results!AV5</f>
        <v>5.5751862996326699E-5</v>
      </c>
      <c r="AW55" s="546">
        <f>+Results!AW5</f>
        <v>4.460149039706136E-5</v>
      </c>
      <c r="AX55" s="546">
        <f>+Results!AX5</f>
        <v>3.568119231764909E-5</v>
      </c>
      <c r="AY55" s="546">
        <f>+Results!AY5</f>
        <v>2.8544953854119276E-5</v>
      </c>
      <c r="AZ55" s="546">
        <f>+Results!AZ5</f>
        <v>2.2835963083295419E-5</v>
      </c>
      <c r="BA55" s="546">
        <f>+Results!BA5</f>
        <v>1.8268770466636334E-5</v>
      </c>
      <c r="BB55" s="546">
        <f>+Results!BB5</f>
        <v>1.4615016373309069E-5</v>
      </c>
      <c r="BC55" s="546">
        <f>+Results!BC5</f>
        <v>1.1692013098647256E-5</v>
      </c>
      <c r="BD55" s="546">
        <f>+Results!BD5</f>
        <v>9.3536104789178057E-6</v>
      </c>
      <c r="BE55" s="546">
        <f>+Results!BE5</f>
        <v>7.4828883831342453E-6</v>
      </c>
      <c r="BF55" s="546">
        <f>+Results!BF5</f>
        <v>5.9863107065073967E-6</v>
      </c>
      <c r="BG55" s="546">
        <f>+Results!BG5</f>
        <v>4.7890485652059181E-6</v>
      </c>
      <c r="BH55" s="546">
        <f>+Results!BH5</f>
        <v>3.8312388521647341E-6</v>
      </c>
      <c r="BI55" s="546">
        <f>+Results!BI5</f>
        <v>3.0649910817317878E-6</v>
      </c>
    </row>
    <row r="56" spans="1:61" s="546" customFormat="1" ht="11" x14ac:dyDescent="0.15">
      <c r="A56" s="546" t="str">
        <f>+Global!A56</f>
        <v>Industrial emissions (GTC per year)</v>
      </c>
      <c r="B56" s="546">
        <f>+Global!B56</f>
        <v>6.8310900663108773</v>
      </c>
      <c r="C56" s="546">
        <f>+Global!C56</f>
        <v>5.3597842998354883</v>
      </c>
      <c r="D56" s="546">
        <f>+Global!D56</f>
        <v>4.5926541833748402</v>
      </c>
      <c r="E56" s="546">
        <f>+Global!E56</f>
        <v>4.0095983380619993</v>
      </c>
      <c r="F56" s="546">
        <f>+Global!F56</f>
        <v>3.5721168448397802</v>
      </c>
      <c r="G56" s="546">
        <f>+Global!G56</f>
        <v>3.2839918990896342</v>
      </c>
      <c r="H56" s="546">
        <f>+Global!H56</f>
        <v>3.0336509106478595</v>
      </c>
      <c r="I56" s="546">
        <f>+Global!I56</f>
        <v>2.8307856308162207</v>
      </c>
      <c r="J56" s="546">
        <f>+Global!J56</f>
        <v>2.6197103756795661</v>
      </c>
      <c r="K56" s="546">
        <f>+Global!K56</f>
        <v>2.4838970236483089</v>
      </c>
      <c r="L56" s="546">
        <f>+Global!L56</f>
        <v>2.3997566723559434</v>
      </c>
      <c r="M56" s="546">
        <f>+Global!M56</f>
        <v>2.2769991818081512</v>
      </c>
      <c r="N56" s="546">
        <f>+Global!N56</f>
        <v>2.180741322333966</v>
      </c>
      <c r="O56" s="546">
        <f>+Global!O56</f>
        <v>2.1215821724088344</v>
      </c>
      <c r="P56" s="546">
        <f>+Global!P56</f>
        <v>2.09816185872742</v>
      </c>
      <c r="Q56" s="546">
        <f>+Global!Q56</f>
        <v>2.0724510135214649</v>
      </c>
      <c r="R56" s="546">
        <f>+Global!R56</f>
        <v>2.066315989192383</v>
      </c>
      <c r="S56" s="546">
        <f>+Global!S56</f>
        <v>2.0681524328783061</v>
      </c>
      <c r="T56" s="546">
        <f>+Global!T56</f>
        <v>2.0275061234714609</v>
      </c>
      <c r="U56" s="546">
        <f>+Global!U56</f>
        <v>1.9235060602954286</v>
      </c>
      <c r="V56" s="546">
        <f>+Global!V56</f>
        <v>1.9335255423380155</v>
      </c>
      <c r="W56" s="546">
        <f>+Global!W56</f>
        <v>1.9282043367912254</v>
      </c>
      <c r="X56" s="546">
        <f>+Global!X56</f>
        <v>1.9135987958758127</v>
      </c>
      <c r="Y56" s="546">
        <f>+Global!Y56</f>
        <v>1.9010473119109128</v>
      </c>
      <c r="Z56" s="546">
        <f>+Global!Z56</f>
        <v>1.8927318387368495</v>
      </c>
      <c r="AA56" s="546">
        <f>+Global!AA56</f>
        <v>1.8844145428996348</v>
      </c>
      <c r="AB56" s="546">
        <f>+Global!AB56</f>
        <v>0</v>
      </c>
      <c r="AC56" s="546">
        <f>+Global!AC56</f>
        <v>0</v>
      </c>
      <c r="AD56" s="546">
        <f>+Global!AD56</f>
        <v>0</v>
      </c>
      <c r="AE56" s="546">
        <f>+Global!AE56</f>
        <v>0</v>
      </c>
      <c r="AF56" s="546">
        <f>+Global!AF56</f>
        <v>0</v>
      </c>
      <c r="AG56" s="546">
        <f>+Global!AG56</f>
        <v>0</v>
      </c>
      <c r="AH56" s="546">
        <f>+Global!AH56</f>
        <v>0</v>
      </c>
      <c r="AI56" s="546">
        <f>+Global!AI56</f>
        <v>0</v>
      </c>
      <c r="AJ56" s="546">
        <f>+Global!AJ56</f>
        <v>0</v>
      </c>
      <c r="AK56" s="546">
        <f>+Global!AK56</f>
        <v>0</v>
      </c>
      <c r="AL56" s="546">
        <f>+Global!AL56</f>
        <v>0</v>
      </c>
      <c r="AM56" s="546">
        <f>+Global!AM56</f>
        <v>0</v>
      </c>
      <c r="AN56" s="546">
        <f>+Global!AN56</f>
        <v>0</v>
      </c>
      <c r="AO56" s="546">
        <f>+Global!AO56</f>
        <v>0</v>
      </c>
      <c r="AP56" s="546">
        <f>+Global!AP56</f>
        <v>0</v>
      </c>
      <c r="AQ56" s="546">
        <f>+Global!AQ56</f>
        <v>0</v>
      </c>
      <c r="AR56" s="546">
        <f>+Global!AR56</f>
        <v>0</v>
      </c>
      <c r="AS56" s="546">
        <f>+Global!AS56</f>
        <v>0</v>
      </c>
      <c r="AT56" s="546">
        <f>+Global!AT56</f>
        <v>0</v>
      </c>
      <c r="AU56" s="546">
        <f>+Global!AU56</f>
        <v>0</v>
      </c>
      <c r="AV56" s="546">
        <f>+Global!AV56</f>
        <v>0</v>
      </c>
      <c r="AW56" s="546">
        <f>+Global!AW56</f>
        <v>0</v>
      </c>
      <c r="AX56" s="546">
        <f>+Global!AX56</f>
        <v>0</v>
      </c>
      <c r="AY56" s="546">
        <f>+Global!AY56</f>
        <v>0</v>
      </c>
      <c r="AZ56" s="546">
        <f>+Global!AZ56</f>
        <v>0</v>
      </c>
      <c r="BA56" s="546">
        <f>+Global!BA56</f>
        <v>0</v>
      </c>
      <c r="BB56" s="546">
        <f>+Global!BB56</f>
        <v>0</v>
      </c>
      <c r="BC56" s="546">
        <f>+Global!BC56</f>
        <v>0</v>
      </c>
      <c r="BD56" s="546">
        <f>+Global!BD56</f>
        <v>0</v>
      </c>
      <c r="BE56" s="546">
        <f>+Global!BE56</f>
        <v>0</v>
      </c>
      <c r="BF56" s="546">
        <f>+Global!BF56</f>
        <v>0</v>
      </c>
      <c r="BG56" s="546">
        <f>+Global!BG56</f>
        <v>0</v>
      </c>
      <c r="BH56" s="546">
        <f>+Global!BH56</f>
        <v>0</v>
      </c>
      <c r="BI56" s="546">
        <f>+Global!BI56</f>
        <v>0</v>
      </c>
    </row>
    <row r="57" spans="1:61" s="546" customFormat="1" ht="11" x14ac:dyDescent="0.15">
      <c r="A57" s="546" t="str">
        <f>+Global!A57</f>
        <v>World emissions intensity (sigma)</v>
      </c>
      <c r="B57" s="546">
        <f>+Global!B57</f>
        <v>0.13733648347751126</v>
      </c>
      <c r="C57" s="546">
        <f>+Global!C57</f>
        <v>0.10604392172760706</v>
      </c>
      <c r="D57" s="546">
        <f>+Global!D57</f>
        <v>8.9246961765395594E-2</v>
      </c>
      <c r="E57" s="546">
        <f>+Global!E57</f>
        <v>7.662882188343613E-2</v>
      </c>
      <c r="F57" s="546">
        <f>+Global!F57</f>
        <v>6.6400256402661881E-2</v>
      </c>
      <c r="G57" s="546">
        <f>+Global!G57</f>
        <v>5.8755423217022026E-2</v>
      </c>
      <c r="H57" s="546">
        <f>+Global!H57</f>
        <v>5.2314067731813574E-2</v>
      </c>
      <c r="I57" s="546">
        <f>+Global!I57</f>
        <v>4.6975889863325175E-2</v>
      </c>
      <c r="J57" s="546">
        <f>+Global!J57</f>
        <v>4.2414248198199243E-2</v>
      </c>
      <c r="K57" s="546">
        <f>+Global!K57</f>
        <v>3.8775313242063632E-2</v>
      </c>
      <c r="L57" s="546">
        <f>+Global!L57</f>
        <v>3.5730546011668154E-2</v>
      </c>
      <c r="M57" s="546">
        <f>+Global!M57</f>
        <v>3.312349032932254E-2</v>
      </c>
      <c r="N57" s="546">
        <f>+Global!N57</f>
        <v>3.0888186894044913E-2</v>
      </c>
      <c r="O57" s="546">
        <f>+Global!O57</f>
        <v>2.8981913120008508E-2</v>
      </c>
      <c r="P57" s="546">
        <f>+Global!P57</f>
        <v>2.728652468662825E-2</v>
      </c>
      <c r="Q57" s="546">
        <f>+Global!Q57</f>
        <v>2.5784745310951592E-2</v>
      </c>
      <c r="R57" s="546">
        <f>+Global!R57</f>
        <v>2.4459578172192582E-2</v>
      </c>
      <c r="S57" s="546">
        <f>+Global!S57</f>
        <v>2.3292964090584331E-2</v>
      </c>
      <c r="T57" s="546">
        <f>+Global!T57</f>
        <v>2.2228436418879761E-2</v>
      </c>
      <c r="U57" s="546">
        <f>+Global!U57</f>
        <v>2.1245074218435023E-2</v>
      </c>
      <c r="V57" s="546">
        <f>+Global!V57</f>
        <v>2.0334067199550984E-2</v>
      </c>
      <c r="W57" s="546">
        <f>+Global!W57</f>
        <v>1.9524821029054944E-2</v>
      </c>
      <c r="X57" s="546">
        <f>+Global!X57</f>
        <v>1.8778824053118232E-2</v>
      </c>
      <c r="Y57" s="546">
        <f>+Global!Y57</f>
        <v>1.8070273226863574E-2</v>
      </c>
      <c r="Z57" s="546">
        <f>+Global!Z57</f>
        <v>1.7402472659810209E-2</v>
      </c>
      <c r="AA57" s="546">
        <f>+Global!AA57</f>
        <v>1.6763293731979798E-2</v>
      </c>
      <c r="AB57" s="546">
        <f>+Global!AB57</f>
        <v>0</v>
      </c>
      <c r="AC57" s="546">
        <f>+Global!AC57</f>
        <v>0</v>
      </c>
      <c r="AD57" s="546">
        <f>+Global!AD57</f>
        <v>0</v>
      </c>
      <c r="AE57" s="546">
        <f>+Global!AE57</f>
        <v>0</v>
      </c>
      <c r="AF57" s="546">
        <f>+Global!AF57</f>
        <v>0</v>
      </c>
      <c r="AG57" s="546">
        <f>+Global!AG57</f>
        <v>0</v>
      </c>
      <c r="AH57" s="546">
        <f>+Global!AH57</f>
        <v>0</v>
      </c>
      <c r="AI57" s="546">
        <f>+Global!AI57</f>
        <v>0</v>
      </c>
      <c r="AJ57" s="546">
        <f>+Global!AJ57</f>
        <v>0</v>
      </c>
      <c r="AK57" s="546">
        <f>+Global!AK57</f>
        <v>0</v>
      </c>
      <c r="AL57" s="546">
        <f>+Global!AL57</f>
        <v>0</v>
      </c>
      <c r="AM57" s="546">
        <f>+Global!AM57</f>
        <v>0</v>
      </c>
      <c r="AN57" s="546">
        <f>+Global!AN57</f>
        <v>0</v>
      </c>
      <c r="AO57" s="546">
        <f>+Global!AO57</f>
        <v>0</v>
      </c>
      <c r="AP57" s="546">
        <f>+Global!AP57</f>
        <v>0</v>
      </c>
      <c r="AQ57" s="546">
        <f>+Global!AQ57</f>
        <v>0</v>
      </c>
      <c r="AR57" s="546">
        <f>+Global!AR57</f>
        <v>0</v>
      </c>
      <c r="AS57" s="546">
        <f>+Global!AS57</f>
        <v>0</v>
      </c>
      <c r="AT57" s="546">
        <f>+Global!AT57</f>
        <v>0</v>
      </c>
      <c r="AU57" s="546">
        <f>+Global!AU57</f>
        <v>0</v>
      </c>
      <c r="AV57" s="546">
        <f>+Global!AV57</f>
        <v>0</v>
      </c>
      <c r="AW57" s="546">
        <f>+Global!AW57</f>
        <v>0</v>
      </c>
      <c r="AX57" s="546">
        <f>+Global!AX57</f>
        <v>0</v>
      </c>
      <c r="AY57" s="546">
        <f>+Global!AY57</f>
        <v>0</v>
      </c>
      <c r="AZ57" s="546">
        <f>+Global!AZ57</f>
        <v>0</v>
      </c>
      <c r="BA57" s="546">
        <f>+Global!BA57</f>
        <v>0</v>
      </c>
      <c r="BB57" s="546">
        <f>+Global!BB57</f>
        <v>0</v>
      </c>
      <c r="BC57" s="546">
        <f>+Global!BC57</f>
        <v>0</v>
      </c>
      <c r="BD57" s="546">
        <f>+Global!BD57</f>
        <v>0</v>
      </c>
      <c r="BE57" s="546">
        <f>+Global!BE57</f>
        <v>0</v>
      </c>
      <c r="BF57" s="546">
        <f>+Global!BF57</f>
        <v>0</v>
      </c>
      <c r="BG57" s="546">
        <f>+Global!BG57</f>
        <v>0</v>
      </c>
      <c r="BH57" s="546">
        <f>+Global!BH57</f>
        <v>0</v>
      </c>
      <c r="BI57" s="546">
        <f>+Global!BI57</f>
        <v>0</v>
      </c>
    </row>
    <row r="58" spans="1:61" s="546" customFormat="1" ht="11" x14ac:dyDescent="0.15">
      <c r="A58" s="546" t="str">
        <f>+Global!A60</f>
        <v>Atmospheric concentration of carbon (ppm)</v>
      </c>
      <c r="B58" s="546">
        <f>+Global!B60</f>
        <v>369.48356807511738</v>
      </c>
      <c r="C58" s="546">
        <f>+Global!C60</f>
        <v>389.20187793427232</v>
      </c>
      <c r="D58" s="546">
        <f>+Global!D60</f>
        <v>409.41817598044832</v>
      </c>
      <c r="E58" s="546">
        <f>+Global!E60</f>
        <v>422.90754791377805</v>
      </c>
      <c r="F58" s="546">
        <f>+Global!F60</f>
        <v>431.6697776839863</v>
      </c>
      <c r="G58" s="546">
        <f>+Global!G60</f>
        <v>437.19330056482465</v>
      </c>
      <c r="H58" s="546">
        <f>+Global!H60</f>
        <v>440.73819054101551</v>
      </c>
      <c r="I58" s="546">
        <f>+Global!I60</f>
        <v>442.83959754746508</v>
      </c>
      <c r="J58" s="546">
        <f>+Global!J60</f>
        <v>443.97831668815508</v>
      </c>
      <c r="K58" s="546">
        <f>+Global!K60</f>
        <v>444.28889186050503</v>
      </c>
      <c r="L58" s="546">
        <f>+Global!L60</f>
        <v>444.26152665122845</v>
      </c>
      <c r="M58" s="546">
        <f>+Global!M60</f>
        <v>444.20090770033119</v>
      </c>
      <c r="N58" s="546">
        <f>+Global!N60</f>
        <v>443.94077692497387</v>
      </c>
      <c r="O58" s="546">
        <f>+Global!O60</f>
        <v>443.63381196111158</v>
      </c>
      <c r="P58" s="546">
        <f>+Global!P60</f>
        <v>443.45800717738803</v>
      </c>
      <c r="Q58" s="546">
        <f>+Global!Q60</f>
        <v>443.55962543377206</v>
      </c>
      <c r="R58" s="546">
        <f>+Global!R60</f>
        <v>443.88682454796736</v>
      </c>
      <c r="S58" s="546">
        <f>+Global!S60</f>
        <v>444.49617170507599</v>
      </c>
      <c r="T58" s="546">
        <f>+Global!T60</f>
        <v>445.38271544737017</v>
      </c>
      <c r="U58" s="546">
        <f>+Global!U60</f>
        <v>446.30569745714712</v>
      </c>
      <c r="V58" s="546">
        <f>+Global!V60</f>
        <v>446.95599793012144</v>
      </c>
      <c r="W58" s="546">
        <f>+Global!W60</f>
        <v>447.89391637526421</v>
      </c>
      <c r="X58" s="546">
        <f>+Global!X60</f>
        <v>449.00325453446573</v>
      </c>
      <c r="Y58" s="546">
        <f>+Global!Y60</f>
        <v>450.21167842358949</v>
      </c>
      <c r="Z58" s="546">
        <f>+Global!Z60</f>
        <v>451.50964772199404</v>
      </c>
      <c r="AA58" s="546">
        <f>+Global!AA60</f>
        <v>452.89954083186547</v>
      </c>
      <c r="AB58" s="546">
        <f>+Global!AB60</f>
        <v>454.36408532315147</v>
      </c>
      <c r="AC58" s="546">
        <f>+Global!AC60</f>
        <v>447.08070361728841</v>
      </c>
      <c r="AD58" s="546">
        <f>+Global!AD60</f>
        <v>440.94101894723832</v>
      </c>
      <c r="AE58" s="546">
        <f>+Global!AE60</f>
        <v>435.75336361101097</v>
      </c>
      <c r="AF58" s="546">
        <f>+Global!AF60</f>
        <v>431.35822482470815</v>
      </c>
      <c r="AG58" s="546">
        <f>+Global!AG60</f>
        <v>427.62285445568682</v>
      </c>
      <c r="AH58" s="546">
        <f>+Global!AH60</f>
        <v>424.43678146486911</v>
      </c>
      <c r="AI58" s="546">
        <f>+Global!AI60</f>
        <v>421.70807605928439</v>
      </c>
      <c r="AJ58" s="546">
        <f>+Global!AJ60</f>
        <v>419.36023977816961</v>
      </c>
      <c r="AK58" s="546">
        <f>+Global!AK60</f>
        <v>417.3296167523805</v>
      </c>
      <c r="AL58" s="546">
        <f>+Global!AL60</f>
        <v>415.5632388873604</v>
      </c>
      <c r="AM58" s="546">
        <f>+Global!AM60</f>
        <v>414.01703230815457</v>
      </c>
      <c r="AN58" s="546">
        <f>+Global!AN60</f>
        <v>412.65432455771031</v>
      </c>
      <c r="AO58" s="546">
        <f>+Global!AO60</f>
        <v>411.44460216282192</v>
      </c>
      <c r="AP58" s="546">
        <f>+Global!AP60</f>
        <v>410.36247661394651</v>
      </c>
      <c r="AQ58" s="546">
        <f>+Global!AQ60</f>
        <v>409.38682382781337</v>
      </c>
      <c r="AR58" s="546">
        <f>+Global!AR60</f>
        <v>408.50006801040087</v>
      </c>
      <c r="AS58" s="546">
        <f>+Global!AS60</f>
        <v>407.68758570844415</v>
      </c>
      <c r="AT58" s="546">
        <f>+Global!AT60</f>
        <v>406.93720989347304</v>
      </c>
      <c r="AU58" s="546">
        <f>+Global!AU60</f>
        <v>406.23881729957009</v>
      </c>
      <c r="AV58" s="546">
        <f>+Global!AV60</f>
        <v>405.58398504798197</v>
      </c>
      <c r="AW58" s="546">
        <f>+Global!AW60</f>
        <v>404.96570493289579</v>
      </c>
      <c r="AX58" s="546">
        <f>+Global!AX60</f>
        <v>404.3781456918249</v>
      </c>
      <c r="AY58" s="546">
        <f>+Global!AY60</f>
        <v>403.81645520670537</v>
      </c>
      <c r="AZ58" s="546">
        <f>+Global!AZ60</f>
        <v>403.27659593260682</v>
      </c>
      <c r="BA58" s="546">
        <f>+Global!BA60</f>
        <v>402.75520797540742</v>
      </c>
      <c r="BB58" s="546">
        <f>+Global!BB60</f>
        <v>402.24949517575885</v>
      </c>
      <c r="BC58" s="546">
        <f>+Global!BC60</f>
        <v>401.75713033573692</v>
      </c>
      <c r="BD58" s="546">
        <f>+Global!BD60</f>
        <v>401.27617637301023</v>
      </c>
      <c r="BE58" s="546">
        <f>+Global!BE60</f>
        <v>400.80502072704871</v>
      </c>
      <c r="BF58" s="546">
        <f>+Global!BF60</f>
        <v>400.34232079105766</v>
      </c>
      <c r="BG58" s="546">
        <f>+Global!BG60</f>
        <v>399.88695851713362</v>
      </c>
      <c r="BH58" s="546">
        <f>+Global!BH60</f>
        <v>399.43800265322199</v>
      </c>
      <c r="BI58" s="546">
        <f>+Global!BI60</f>
        <v>398.99467732933812</v>
      </c>
    </row>
    <row r="59" spans="1:61" s="546" customFormat="1" ht="11" x14ac:dyDescent="0.15">
      <c r="A59" s="546" t="str">
        <f>+Global!A61</f>
        <v>Concentration in biosphere and upper oceans (GTC)</v>
      </c>
      <c r="B59" s="546">
        <f>+Global!B61</f>
        <v>1600</v>
      </c>
      <c r="C59" s="546">
        <f>+Global!C61</f>
        <v>1618.6835000000001</v>
      </c>
      <c r="D59" s="546">
        <f>+Global!D61</f>
        <v>1641.4350800350003</v>
      </c>
      <c r="E59" s="546">
        <f>+Global!E61</f>
        <v>1668.1703927866752</v>
      </c>
      <c r="F59" s="546">
        <f>+Global!F61</f>
        <v>1696.9628074790603</v>
      </c>
      <c r="G59" s="546">
        <f>+Global!G61</f>
        <v>1726.4971148545771</v>
      </c>
      <c r="H59" s="546">
        <f>+Global!H61</f>
        <v>1755.9070008406168</v>
      </c>
      <c r="I59" s="546">
        <f>+Global!I61</f>
        <v>1784.6933119608739</v>
      </c>
      <c r="J59" s="546">
        <f>+Global!J61</f>
        <v>1812.5196544600783</v>
      </c>
      <c r="K59" s="546">
        <f>+Global!K61</f>
        <v>1839.1900293219139</v>
      </c>
      <c r="L59" s="546">
        <f>+Global!L61</f>
        <v>1864.5530230587458</v>
      </c>
      <c r="M59" s="546">
        <f>+Global!M61</f>
        <v>1888.5903933650545</v>
      </c>
      <c r="N59" s="546">
        <f>+Global!N61</f>
        <v>1911.3627201930494</v>
      </c>
      <c r="O59" s="546">
        <f>+Global!O61</f>
        <v>1932.884930306541</v>
      </c>
      <c r="P59" s="546">
        <f>+Global!P61</f>
        <v>1953.2101932735463</v>
      </c>
      <c r="Q59" s="546">
        <f>+Global!Q61</f>
        <v>1972.4344023272156</v>
      </c>
      <c r="R59" s="546">
        <f>+Global!R61</f>
        <v>1990.6858406556305</v>
      </c>
      <c r="S59" s="546">
        <f>+Global!S61</f>
        <v>2008.072860542758</v>
      </c>
      <c r="T59" s="546">
        <f>+Global!T61</f>
        <v>2024.7126304912088</v>
      </c>
      <c r="U59" s="546">
        <f>+Global!U61</f>
        <v>2040.7149526702074</v>
      </c>
      <c r="V59" s="546">
        <f>+Global!V61</f>
        <v>2056.1223744680233</v>
      </c>
      <c r="W59" s="546">
        <f>+Global!W61</f>
        <v>2070.8962156486969</v>
      </c>
      <c r="X59" s="546">
        <f>+Global!X61</f>
        <v>2085.143019175453</v>
      </c>
      <c r="Y59" s="546">
        <f>+Global!Y61</f>
        <v>2098.9340808228048</v>
      </c>
      <c r="Z59" s="546">
        <f>+Global!Z61</f>
        <v>2112.318495550031</v>
      </c>
      <c r="AA59" s="546">
        <f>+Global!AA61</f>
        <v>2125.3403631608608</v>
      </c>
      <c r="AB59" s="546">
        <f>+Global!AB61</f>
        <v>2138.0420948623437</v>
      </c>
      <c r="AC59" s="546">
        <f>+Global!AC61</f>
        <v>2150.4594785532431</v>
      </c>
      <c r="AD59" s="546">
        <f>+Global!AD61</f>
        <v>2160.3713876651314</v>
      </c>
      <c r="AE59" s="546">
        <f>+Global!AE61</f>
        <v>2168.2005808538179</v>
      </c>
      <c r="AF59" s="546">
        <f>+Global!AF61</f>
        <v>2174.2988167209091</v>
      </c>
      <c r="AG59" s="546">
        <f>+Global!AG61</f>
        <v>2178.9587690461094</v>
      </c>
      <c r="AH59" s="546">
        <f>+Global!AH61</f>
        <v>2182.4239439311855</v>
      </c>
      <c r="AI59" s="546">
        <f>+Global!AI61</f>
        <v>2184.8969336134523</v>
      </c>
      <c r="AJ59" s="546">
        <f>+Global!AJ61</f>
        <v>2186.5462856829904</v>
      </c>
      <c r="AK59" s="546">
        <f>+Global!AK61</f>
        <v>2187.5122197776868</v>
      </c>
      <c r="AL59" s="546">
        <f>+Global!AL61</f>
        <v>2187.9113849711393</v>
      </c>
      <c r="AM59" s="546">
        <f>+Global!AM61</f>
        <v>2187.8408187081482</v>
      </c>
      <c r="AN59" s="546">
        <f>+Global!AN61</f>
        <v>2187.3812411957679</v>
      </c>
      <c r="AO59" s="546">
        <f>+Global!AO61</f>
        <v>2186.599796720262</v>
      </c>
      <c r="AP59" s="546">
        <f>+Global!AP61</f>
        <v>2185.5523346783134</v>
      </c>
      <c r="AQ59" s="546">
        <f>+Global!AQ61</f>
        <v>2184.2853075566727</v>
      </c>
      <c r="AR59" s="546">
        <f>+Global!AR61</f>
        <v>2182.8373501450474</v>
      </c>
      <c r="AS59" s="546">
        <f>+Global!AS61</f>
        <v>2181.2405934867284</v>
      </c>
      <c r="AT59" s="546">
        <f>+Global!AT61</f>
        <v>2179.5217580973463</v>
      </c>
      <c r="AU59" s="546">
        <f>+Global!AU61</f>
        <v>2177.7030635119049</v>
      </c>
      <c r="AV59" s="546">
        <f>+Global!AV61</f>
        <v>2175.8029850021389</v>
      </c>
      <c r="AW59" s="546">
        <f>+Global!AW61</f>
        <v>2173.8368831305929</v>
      </c>
      <c r="AX59" s="546">
        <f>+Global!AX61</f>
        <v>2171.8175275000526</v>
      </c>
      <c r="AY59" s="546">
        <f>+Global!AY61</f>
        <v>2169.7555324716295</v>
      </c>
      <c r="AZ59" s="546">
        <f>+Global!AZ61</f>
        <v>2167.6597196409193</v>
      </c>
      <c r="BA59" s="546">
        <f>+Global!BA61</f>
        <v>2165.5374193783605</v>
      </c>
      <c r="BB59" s="546">
        <f>+Global!BB61</f>
        <v>2163.3947216733327</v>
      </c>
      <c r="BC59" s="546">
        <f>+Global!BC61</f>
        <v>2161.2366848017764</v>
      </c>
      <c r="BD59" s="546">
        <f>+Global!BD61</f>
        <v>2159.0675089060046</v>
      </c>
      <c r="BE59" s="546">
        <f>+Global!BE61</f>
        <v>2156.8906803845434</v>
      </c>
      <c r="BF59" s="546">
        <f>+Global!BF61</f>
        <v>2154.7090919989191</v>
      </c>
      <c r="BG59" s="546">
        <f>+Global!BG61</f>
        <v>2152.5251427798021</v>
      </c>
      <c r="BH59" s="546">
        <f>+Global!BH61</f>
        <v>2150.340821128877</v>
      </c>
      <c r="BI59" s="546">
        <f>+Global!BI61</f>
        <v>2148.1577739419986</v>
      </c>
    </row>
    <row r="60" spans="1:61" s="546" customFormat="1" ht="11" x14ac:dyDescent="0.15">
      <c r="A60" s="546" t="str">
        <f>+Global!A62</f>
        <v>Concentration in deep oceans (GTC)</v>
      </c>
      <c r="B60" s="546">
        <f>+Global!B62</f>
        <v>10010</v>
      </c>
      <c r="C60" s="546">
        <f>+Global!C62</f>
        <v>10010.4925</v>
      </c>
      <c r="D60" s="546">
        <f>+Global!D62</f>
        <v>10011.078048125</v>
      </c>
      <c r="E60" s="546">
        <f>+Global!E62</f>
        <v>10011.776914989081</v>
      </c>
      <c r="F60" s="546">
        <f>+Global!F62</f>
        <v>10012.608934266773</v>
      </c>
      <c r="G60" s="546">
        <f>+Global!G62</f>
        <v>10013.584291603469</v>
      </c>
      <c r="H60" s="546">
        <f>+Global!H62</f>
        <v>10014.706588959039</v>
      </c>
      <c r="I60" s="546">
        <f>+Global!I62</f>
        <v>10015.975094021524</v>
      </c>
      <c r="J60" s="546">
        <f>+Global!J62</f>
        <v>10017.386579260812</v>
      </c>
      <c r="K60" s="546">
        <f>+Global!K62</f>
        <v>10018.936137598666</v>
      </c>
      <c r="L60" s="546">
        <f>+Global!L62</f>
        <v>10020.617885642077</v>
      </c>
      <c r="M60" s="546">
        <f>+Global!M62</f>
        <v>10022.425187343139</v>
      </c>
      <c r="N60" s="546">
        <f>+Global!N62</f>
        <v>10024.351320419455</v>
      </c>
      <c r="O60" s="546">
        <f>+Global!O62</f>
        <v>10026.389870530107</v>
      </c>
      <c r="P60" s="546">
        <f>+Global!P62</f>
        <v>10028.534502778743</v>
      </c>
      <c r="Q60" s="546">
        <f>+Global!Q62</f>
        <v>10030.779152868026</v>
      </c>
      <c r="R60" s="546">
        <f>+Global!R62</f>
        <v>10033.11824051501</v>
      </c>
      <c r="S60" s="546">
        <f>+Global!S62</f>
        <v>10035.546831037902</v>
      </c>
      <c r="T60" s="546">
        <f>+Global!T62</f>
        <v>10038.060535217337</v>
      </c>
      <c r="U60" s="546">
        <f>+Global!U62</f>
        <v>10040.655552968379</v>
      </c>
      <c r="V60" s="546">
        <f>+Global!V62</f>
        <v>10043.328636067003</v>
      </c>
      <c r="W60" s="546">
        <f>+Global!W62</f>
        <v>10046.076751462293</v>
      </c>
      <c r="X60" s="546">
        <f>+Global!X62</f>
        <v>10048.896674976941</v>
      </c>
      <c r="Y60" s="546">
        <f>+Global!Y62</f>
        <v>10051.785717566585</v>
      </c>
      <c r="Z60" s="546">
        <f>+Global!Z62</f>
        <v>10054.741548682523</v>
      </c>
      <c r="AA60" s="546">
        <f>+Global!AA62</f>
        <v>10057.762084998762</v>
      </c>
      <c r="AB60" s="546">
        <f>+Global!AB62</f>
        <v>10060.845465250817</v>
      </c>
      <c r="AC60" s="546">
        <f>+Global!AC62</f>
        <v>10063.99004162619</v>
      </c>
      <c r="AD60" s="546">
        <f>+Global!AD62</f>
        <v>10067.194346487737</v>
      </c>
      <c r="AE60" s="546">
        <f>+Global!AE62</f>
        <v>10070.445807666196</v>
      </c>
      <c r="AF60" s="546">
        <f>+Global!AF62</f>
        <v>10073.733976214715</v>
      </c>
      <c r="AG60" s="546">
        <f>+Global!AG62</f>
        <v>10077.050169816159</v>
      </c>
      <c r="AH60" s="546">
        <f>+Global!AH62</f>
        <v>10080.387176034028</v>
      </c>
      <c r="AI60" s="546">
        <f>+Global!AI62</f>
        <v>10083.739005371659</v>
      </c>
      <c r="AJ60" s="546">
        <f>+Global!AJ62</f>
        <v>10087.100685785697</v>
      </c>
      <c r="AK60" s="546">
        <f>+Global!AK62</f>
        <v>10090.468091699773</v>
      </c>
      <c r="AL60" s="546">
        <f>+Global!AL62</f>
        <v>10093.837801729886</v>
      </c>
      <c r="AM60" s="546">
        <f>+Global!AM62</f>
        <v>10097.206980303443</v>
      </c>
      <c r="AN60" s="546">
        <f>+Global!AN62</f>
        <v>10100.573279161756</v>
      </c>
      <c r="AO60" s="546">
        <f>+Global!AO62</f>
        <v>10103.934755408363</v>
      </c>
      <c r="AP60" s="546">
        <f>+Global!AP62</f>
        <v>10107.289803325408</v>
      </c>
      <c r="AQ60" s="546">
        <f>+Global!AQ62</f>
        <v>10110.637097646304</v>
      </c>
      <c r="AR60" s="546">
        <f>+Global!AR62</f>
        <v>10113.975546360853</v>
      </c>
      <c r="AS60" s="546">
        <f>+Global!AS62</f>
        <v>10117.304251451807</v>
      </c>
      <c r="AT60" s="546">
        <f>+Global!AT62</f>
        <v>10120.622476230652</v>
      </c>
      <c r="AU60" s="546">
        <f>+Global!AU62</f>
        <v>10123.929618163966</v>
      </c>
      <c r="AV60" s="546">
        <f>+Global!AV62</f>
        <v>10127.225186267902</v>
      </c>
      <c r="AW60" s="546">
        <f>+Global!AW62</f>
        <v>10130.508782303212</v>
      </c>
      <c r="AX60" s="546">
        <f>+Global!AX62</f>
        <v>10133.780085132137</v>
      </c>
      <c r="AY60" s="546">
        <f>+Global!AY62</f>
        <v>10137.038837705788</v>
      </c>
      <c r="AZ60" s="546">
        <f>+Global!AZ62</f>
        <v>10140.284836239867</v>
      </c>
      <c r="BA60" s="546">
        <f>+Global!BA62</f>
        <v>10143.517921210891</v>
      </c>
      <c r="BB60" s="546">
        <f>+Global!BB62</f>
        <v>10146.737969866874</v>
      </c>
      <c r="BC60" s="546">
        <f>+Global!BC62</f>
        <v>10149.944889997842</v>
      </c>
      <c r="BD60" s="546">
        <f>+Global!BD62</f>
        <v>10153.138614754353</v>
      </c>
      <c r="BE60" s="546">
        <f>+Global!BE62</f>
        <v>10156.319098337817</v>
      </c>
      <c r="BF60" s="546">
        <f>+Global!BF62</f>
        <v>10159.486312415986</v>
      </c>
      <c r="BG60" s="546">
        <f>+Global!BG62</f>
        <v>10162.640243141668</v>
      </c>
      <c r="BH60" s="546">
        <f>+Global!BH62</f>
        <v>10165.780888673209</v>
      </c>
      <c r="BI60" s="546">
        <f>+Global!BI62</f>
        <v>10168.908257112347</v>
      </c>
    </row>
    <row r="61" spans="1:61" s="546" customFormat="1" ht="11" x14ac:dyDescent="0.15">
      <c r="A61" s="546" t="str">
        <f>+Global!A64</f>
        <v>Cumulative Emissions to date</v>
      </c>
      <c r="B61" s="546">
        <f>+Global!B64</f>
        <v>68.310900663108768</v>
      </c>
      <c r="C61" s="546">
        <f>+Global!C64</f>
        <v>121.90874366146366</v>
      </c>
      <c r="D61" s="546">
        <f>+Global!D64</f>
        <v>167.83528549521208</v>
      </c>
      <c r="E61" s="546">
        <f>+Global!E64</f>
        <v>207.93126887583207</v>
      </c>
      <c r="F61" s="546">
        <f>+Global!F64</f>
        <v>243.65243732422988</v>
      </c>
      <c r="G61" s="546">
        <f>+Global!G64</f>
        <v>276.49235631512624</v>
      </c>
      <c r="H61" s="546">
        <f>+Global!H64</f>
        <v>306.82886542160486</v>
      </c>
      <c r="I61" s="546">
        <f>+Global!I64</f>
        <v>335.13672172976709</v>
      </c>
      <c r="J61" s="546">
        <f>+Global!J64</f>
        <v>361.33382548656277</v>
      </c>
      <c r="K61" s="546">
        <f>+Global!K64</f>
        <v>386.17279572304585</v>
      </c>
      <c r="L61" s="546">
        <f>+Global!L64</f>
        <v>410.17036244660528</v>
      </c>
      <c r="M61" s="546">
        <f>+Global!M64</f>
        <v>432.94035426468679</v>
      </c>
      <c r="N61" s="546">
        <f>+Global!N64</f>
        <v>454.74776748802645</v>
      </c>
      <c r="O61" s="546">
        <f>+Global!O64</f>
        <v>475.96358921211481</v>
      </c>
      <c r="P61" s="546">
        <f>+Global!P64</f>
        <v>496.94520779938898</v>
      </c>
      <c r="Q61" s="546">
        <f>+Global!Q64</f>
        <v>517.66971793460368</v>
      </c>
      <c r="R61" s="546">
        <f>+Global!R64</f>
        <v>538.33287782652747</v>
      </c>
      <c r="S61" s="546">
        <f>+Global!S64</f>
        <v>559.01440215531056</v>
      </c>
      <c r="T61" s="546">
        <f>+Global!T64</f>
        <v>579.28946339002516</v>
      </c>
      <c r="U61" s="546">
        <f>+Global!U64</f>
        <v>598.52452399297943</v>
      </c>
      <c r="V61" s="546">
        <f>+Global!V64</f>
        <v>617.85977941635963</v>
      </c>
      <c r="W61" s="546">
        <f>+Global!W64</f>
        <v>637.14182278427188</v>
      </c>
      <c r="X61" s="546">
        <f>+Global!X64</f>
        <v>656.27781074303005</v>
      </c>
      <c r="Y61" s="546">
        <f>+Global!Y64</f>
        <v>675.28828386213922</v>
      </c>
      <c r="Z61" s="546">
        <f>+Global!Z64</f>
        <v>694.2156022495077</v>
      </c>
      <c r="AA61" s="546">
        <f>+Global!AA64</f>
        <v>713.0597476785041</v>
      </c>
      <c r="AB61" s="546">
        <f>+Global!AB64</f>
        <v>713.0597476785041</v>
      </c>
      <c r="AC61" s="546">
        <f>+Global!AC64</f>
        <v>713.0597476785041</v>
      </c>
      <c r="AD61" s="546">
        <f>+Global!AD64</f>
        <v>713.0597476785041</v>
      </c>
      <c r="AE61" s="546">
        <f>+Global!AE64</f>
        <v>713.0597476785041</v>
      </c>
      <c r="AF61" s="546">
        <f>+Global!AF64</f>
        <v>713.0597476785041</v>
      </c>
      <c r="AG61" s="546">
        <f>+Global!AG64</f>
        <v>713.0597476785041</v>
      </c>
      <c r="AH61" s="546">
        <f>+Global!AH64</f>
        <v>713.0597476785041</v>
      </c>
      <c r="AI61" s="546">
        <f>+Global!AI64</f>
        <v>713.0597476785041</v>
      </c>
      <c r="AJ61" s="546">
        <f>+Global!AJ64</f>
        <v>713.0597476785041</v>
      </c>
      <c r="AK61" s="546">
        <f>+Global!AK64</f>
        <v>713.0597476785041</v>
      </c>
      <c r="AL61" s="546">
        <f>+Global!AL64</f>
        <v>713.0597476785041</v>
      </c>
      <c r="AM61" s="546">
        <f>+Global!AM64</f>
        <v>713.0597476785041</v>
      </c>
      <c r="AN61" s="546">
        <f>+Global!AN64</f>
        <v>713.0597476785041</v>
      </c>
      <c r="AO61" s="546">
        <f>+Global!AO64</f>
        <v>713.0597476785041</v>
      </c>
      <c r="AP61" s="546">
        <f>+Global!AP64</f>
        <v>713.0597476785041</v>
      </c>
      <c r="AQ61" s="546">
        <f>+Global!AQ64</f>
        <v>713.0597476785041</v>
      </c>
      <c r="AR61" s="546">
        <f>+Global!AR64</f>
        <v>713.0597476785041</v>
      </c>
      <c r="AS61" s="546">
        <f>+Global!AS64</f>
        <v>713.0597476785041</v>
      </c>
      <c r="AT61" s="546">
        <f>+Global!AT64</f>
        <v>713.0597476785041</v>
      </c>
      <c r="AU61" s="546">
        <f>+Global!AU64</f>
        <v>713.0597476785041</v>
      </c>
      <c r="AV61" s="546">
        <f>+Global!AV64</f>
        <v>713.0597476785041</v>
      </c>
      <c r="AW61" s="546">
        <f>+Global!AW64</f>
        <v>713.0597476785041</v>
      </c>
      <c r="AX61" s="546">
        <f>+Global!AX64</f>
        <v>713.0597476785041</v>
      </c>
      <c r="AY61" s="546">
        <f>+Global!AY64</f>
        <v>713.0597476785041</v>
      </c>
      <c r="AZ61" s="546">
        <f>+Global!AZ64</f>
        <v>713.0597476785041</v>
      </c>
      <c r="BA61" s="546">
        <f>+Global!BA64</f>
        <v>713.0597476785041</v>
      </c>
      <c r="BB61" s="546">
        <f>+Global!BB64</f>
        <v>713.0597476785041</v>
      </c>
      <c r="BC61" s="546">
        <f>+Global!BC64</f>
        <v>713.0597476785041</v>
      </c>
      <c r="BD61" s="546">
        <f>+Global!BD64</f>
        <v>713.0597476785041</v>
      </c>
      <c r="BE61" s="546">
        <f>+Global!BE64</f>
        <v>713.0597476785041</v>
      </c>
      <c r="BF61" s="546">
        <f>+Global!BF64</f>
        <v>713.0597476785041</v>
      </c>
      <c r="BG61" s="546">
        <f>+Global!BG64</f>
        <v>713.0597476785041</v>
      </c>
      <c r="BH61" s="546">
        <f>+Global!BH64</f>
        <v>713.0597476785041</v>
      </c>
      <c r="BI61" s="546">
        <f>+Global!BI64</f>
        <v>713.0597476785041</v>
      </c>
    </row>
    <row r="62" spans="1:61" s="546" customFormat="1" ht="11" x14ac:dyDescent="0.15">
      <c r="A62" s="546" t="str">
        <f>+Global!A70</f>
        <v>Atmospheric temperature (degrees Celsius above preindustrial)</v>
      </c>
      <c r="B62" s="546">
        <f>+Global!B70</f>
        <v>0.72</v>
      </c>
      <c r="C62" s="546">
        <f>+Global!C70</f>
        <v>0.67</v>
      </c>
      <c r="D62" s="546">
        <f>+Global!D70</f>
        <v>0.49</v>
      </c>
      <c r="E62" s="546">
        <f>+Global!E70</f>
        <v>0.5</v>
      </c>
      <c r="F62" s="546">
        <f>+Global!F70</f>
        <v>0.57999999999999996</v>
      </c>
      <c r="G62" s="546">
        <f>+Global!G70</f>
        <v>0.71</v>
      </c>
      <c r="H62" s="546">
        <f>+Global!H70</f>
        <v>0.6</v>
      </c>
      <c r="I62" s="546">
        <f>+Global!I70</f>
        <v>0.73</v>
      </c>
      <c r="J62" s="546">
        <f>+Global!J70</f>
        <v>0.87</v>
      </c>
      <c r="K62" s="546">
        <f>+Global!K70</f>
        <v>0.65</v>
      </c>
      <c r="L62" s="546">
        <f>+Global!L70</f>
        <v>0.66</v>
      </c>
      <c r="M62" s="546">
        <f>+Global!M70</f>
        <v>0.8</v>
      </c>
      <c r="N62" s="546">
        <f>+Global!N70</f>
        <v>0.9</v>
      </c>
      <c r="O62" s="546">
        <f>+Global!O70</f>
        <v>0.89</v>
      </c>
      <c r="P62" s="546">
        <f>+Global!P70</f>
        <v>0.8</v>
      </c>
      <c r="Q62" s="546">
        <f>+Global!Q70</f>
        <v>0.94</v>
      </c>
      <c r="R62" s="546">
        <f>+Global!R70</f>
        <v>0.91</v>
      </c>
      <c r="S62" s="546">
        <f>+Global!S70</f>
        <v>0.93</v>
      </c>
      <c r="T62" s="546">
        <f>+Global!T70</f>
        <v>0.81</v>
      </c>
      <c r="U62" s="546">
        <f>+Global!U70</f>
        <v>0.92</v>
      </c>
      <c r="V62" s="546">
        <f>+Global!V70</f>
        <v>0.99</v>
      </c>
      <c r="W62" s="546">
        <f>+Global!W70</f>
        <v>0.88</v>
      </c>
      <c r="X62" s="546">
        <f>+Global!X70</f>
        <v>0.92</v>
      </c>
      <c r="Y62" s="546">
        <f>+Global!Y70</f>
        <v>0.95</v>
      </c>
      <c r="Z62" s="546">
        <f>+Global!Z70</f>
        <v>1.01</v>
      </c>
      <c r="AA62" s="546">
        <f>+Global!AA70</f>
        <v>1.17</v>
      </c>
      <c r="AB62" s="546">
        <f>+Global!AB70</f>
        <v>1.28</v>
      </c>
      <c r="AC62" s="546">
        <f>+Global!AC70</f>
        <v>1.19</v>
      </c>
      <c r="AD62" s="546">
        <f>+Global!AD70</f>
        <v>1.1200000000000001</v>
      </c>
      <c r="AE62" s="546">
        <f>+Global!AE70</f>
        <v>1.25</v>
      </c>
      <c r="AF62" s="546">
        <f>+Global!AF70</f>
        <v>1.28</v>
      </c>
      <c r="AG62" s="546">
        <f>+Global!AG70</f>
        <v>1.1200000000000001</v>
      </c>
      <c r="AH62" s="546">
        <f>+Global!AH70</f>
        <v>1.1599999999999999</v>
      </c>
      <c r="AI62" s="546">
        <f>+Global!AI70</f>
        <v>1.44</v>
      </c>
      <c r="AJ62" s="546">
        <f>+Global!AJ70</f>
        <v>0</v>
      </c>
      <c r="AK62" s="546">
        <f>+Global!AK70</f>
        <v>0</v>
      </c>
      <c r="AL62" s="546">
        <f>+Global!AL70</f>
        <v>0</v>
      </c>
      <c r="AM62" s="546">
        <f>+Global!AM70</f>
        <v>0</v>
      </c>
      <c r="AN62" s="546">
        <f>+Global!AN70</f>
        <v>0</v>
      </c>
      <c r="AO62" s="546">
        <f>+Global!AO70</f>
        <v>0</v>
      </c>
      <c r="AP62" s="546">
        <f>+Global!AP70</f>
        <v>0</v>
      </c>
      <c r="AQ62" s="546">
        <f>+Global!AQ70</f>
        <v>0</v>
      </c>
      <c r="AR62" s="546">
        <f>+Global!AR70</f>
        <v>0</v>
      </c>
      <c r="AS62" s="546">
        <f>+Global!AS70</f>
        <v>0</v>
      </c>
      <c r="AT62" s="546">
        <f>+Global!AT70</f>
        <v>0</v>
      </c>
      <c r="AU62" s="546">
        <f>+Global!AU70</f>
        <v>0</v>
      </c>
      <c r="AV62" s="546">
        <f>+Global!AV70</f>
        <v>0</v>
      </c>
      <c r="AW62" s="546">
        <f>+Global!AW70</f>
        <v>0</v>
      </c>
      <c r="AX62" s="546">
        <f>+Global!AX70</f>
        <v>0</v>
      </c>
      <c r="AY62" s="546">
        <f>+Global!AY70</f>
        <v>0</v>
      </c>
      <c r="AZ62" s="546">
        <f>+Global!AZ70</f>
        <v>0</v>
      </c>
      <c r="BA62" s="546">
        <f>+Global!BA70</f>
        <v>0</v>
      </c>
      <c r="BB62" s="546">
        <f>+Global!BB70</f>
        <v>0</v>
      </c>
      <c r="BC62" s="546">
        <f>+Global!BC70</f>
        <v>0</v>
      </c>
      <c r="BD62" s="546">
        <f>+Global!BD70</f>
        <v>0</v>
      </c>
      <c r="BE62" s="546">
        <f>+Global!BE70</f>
        <v>0</v>
      </c>
      <c r="BF62" s="546">
        <f>+Global!BF70</f>
        <v>0</v>
      </c>
      <c r="BG62" s="546">
        <f>+Global!BG70</f>
        <v>0</v>
      </c>
      <c r="BH62" s="546">
        <f>+Global!BH70</f>
        <v>0</v>
      </c>
      <c r="BI62" s="546">
        <f>+Global!BI70</f>
        <v>0</v>
      </c>
    </row>
    <row r="63" spans="1:61" s="546" customFormat="1" ht="11" x14ac:dyDescent="0.15">
      <c r="A63" s="546" t="str">
        <f>+Global!A71</f>
        <v>Total increase in radiative forcing since preindustrial (Watts per square meter)</v>
      </c>
      <c r="B63" s="546">
        <f>+Global!B71</f>
        <v>1.6046851411366683</v>
      </c>
      <c r="C63" s="546">
        <f>+Global!C71</f>
        <v>1.9219134013719219</v>
      </c>
      <c r="D63" s="546">
        <f>+Global!D71</f>
        <v>2.1845413210708569</v>
      </c>
      <c r="E63" s="546">
        <f>+Global!E71</f>
        <v>2.3651800097024402</v>
      </c>
      <c r="F63" s="546">
        <f>+Global!F71</f>
        <v>2.4920676721351831</v>
      </c>
      <c r="G63" s="546">
        <f>+Global!G71</f>
        <v>2.5849898467673817</v>
      </c>
      <c r="H63" s="546">
        <f>+Global!H71</f>
        <v>2.6561352394596009</v>
      </c>
      <c r="I63" s="546">
        <f>+Global!I71</f>
        <v>2.7122021349034258</v>
      </c>
      <c r="J63" s="546">
        <f>+Global!J71</f>
        <v>2.7571542494632473</v>
      </c>
      <c r="K63" s="546">
        <f>+Global!K71</f>
        <v>2.7949018968335069</v>
      </c>
      <c r="L63" s="546">
        <f>+Global!L71</f>
        <v>2.8303590190675596</v>
      </c>
      <c r="M63" s="546">
        <f>+Global!M71</f>
        <v>2.8283794814223264</v>
      </c>
      <c r="N63" s="546">
        <f>+Global!N71</f>
        <v>2.8248778457732371</v>
      </c>
      <c r="O63" s="546">
        <f>+Global!O71</f>
        <v>2.8218951328201936</v>
      </c>
      <c r="P63" s="546">
        <f>+Global!P71</f>
        <v>2.8214366397630042</v>
      </c>
      <c r="Q63" s="546">
        <f>+Global!Q71</f>
        <v>2.824086318957379</v>
      </c>
      <c r="R63" s="546">
        <f>+Global!R71</f>
        <v>2.8298688258236004</v>
      </c>
      <c r="S63" s="546">
        <f>+Global!S71</f>
        <v>2.8390922553475941</v>
      </c>
      <c r="T63" s="546">
        <f>+Global!T71</f>
        <v>2.8502288090442209</v>
      </c>
      <c r="U63" s="546">
        <f>+Global!U71</f>
        <v>2.8598930749084954</v>
      </c>
      <c r="V63" s="546">
        <f>+Global!V71</f>
        <v>2.8696318421644218</v>
      </c>
      <c r="W63" s="546">
        <f>+Global!W71</f>
        <v>2.8821599041627768</v>
      </c>
      <c r="X63" s="546">
        <f>+Global!X71</f>
        <v>2.8963088400806454</v>
      </c>
      <c r="Y63" s="546">
        <f>+Global!Y71</f>
        <v>2.9115683037865501</v>
      </c>
      <c r="Z63" s="546">
        <f>+Global!Z71</f>
        <v>2.9278855307617637</v>
      </c>
      <c r="AA63" s="546">
        <f>+Global!AA71</f>
        <v>2.9451609770767422</v>
      </c>
      <c r="AB63" s="546">
        <f>+Global!AB71</f>
        <v>2.9098867685750642</v>
      </c>
      <c r="AC63" s="546">
        <f>+Global!AC71</f>
        <v>2.8276389403839</v>
      </c>
      <c r="AD63" s="546">
        <f>+Global!AD71</f>
        <v>2.7572592774059963</v>
      </c>
      <c r="AE63" s="546">
        <f>+Global!AE71</f>
        <v>2.6970051918252884</v>
      </c>
      <c r="AF63" s="546">
        <f>+Global!AF71</f>
        <v>2.6453582062934418</v>
      </c>
      <c r="AG63" s="546">
        <f>+Global!AG71</f>
        <v>2.6010048157111672</v>
      </c>
      <c r="AH63" s="546">
        <f>+Global!AH71</f>
        <v>2.5628158075428433</v>
      </c>
      <c r="AI63" s="546">
        <f>+Global!AI71</f>
        <v>2.5298254182363484</v>
      </c>
      <c r="AJ63" s="546">
        <f>+Global!AJ71</f>
        <v>2.5012112536072388</v>
      </c>
      <c r="AK63" s="546">
        <f>+Global!AK71</f>
        <v>2.4762755492985482</v>
      </c>
      <c r="AL63" s="546">
        <f>+Global!AL71</f>
        <v>2.4544280854312079</v>
      </c>
      <c r="AM63" s="546">
        <f>+Global!AM71</f>
        <v>2.4351708832468182</v>
      </c>
      <c r="AN63" s="546">
        <f>+Global!AN71</f>
        <v>2.4180846854254012</v>
      </c>
      <c r="AO63" s="546">
        <f>+Global!AO71</f>
        <v>2.4028171413695358</v>
      </c>
      <c r="AP63" s="546">
        <f>+Global!AP71</f>
        <v>2.3890725717454386</v>
      </c>
      <c r="AQ63" s="546">
        <f>+Global!AQ71</f>
        <v>2.3766031630542037</v>
      </c>
      <c r="AR63" s="546">
        <f>+Global!AR71</f>
        <v>2.3652014353628616</v>
      </c>
      <c r="AS63" s="546">
        <f>+Global!AS71</f>
        <v>2.3546938289176484</v>
      </c>
      <c r="AT63" s="546">
        <f>+Global!AT71</f>
        <v>2.3449352641442256</v>
      </c>
      <c r="AU63" s="546">
        <f>+Global!AU71</f>
        <v>2.3358045416945812</v>
      </c>
      <c r="AV63" s="546">
        <f>+Global!AV71</f>
        <v>2.3272004628291372</v>
      </c>
      <c r="AW63" s="546">
        <f>+Global!AW71</f>
        <v>2.3190385642934954</v>
      </c>
      <c r="AX63" s="546">
        <f>+Global!AX71</f>
        <v>2.3112483752026094</v>
      </c>
      <c r="AY63" s="546">
        <f>+Global!AY71</f>
        <v>2.3037711158473471</v>
      </c>
      <c r="AZ63" s="546">
        <f>+Global!AZ71</f>
        <v>2.2965577695749362</v>
      </c>
      <c r="BA63" s="546">
        <f>+Global!BA71</f>
        <v>2.2895674688938885</v>
      </c>
      <c r="BB63" s="546">
        <f>+Global!BB71</f>
        <v>2.2827661457330093</v>
      </c>
      <c r="BC63" s="546">
        <f>+Global!BC71</f>
        <v>2.2761254034129634</v>
      </c>
      <c r="BD63" s="546">
        <f>+Global!BD71</f>
        <v>2.2696215744650869</v>
      </c>
      <c r="BE63" s="546">
        <f>+Global!BE71</f>
        <v>2.2632349340651046</v>
      </c>
      <c r="BF63" s="546">
        <f>+Global!BF71</f>
        <v>2.2569490436500272</v>
      </c>
      <c r="BG63" s="546">
        <f>+Global!BG71</f>
        <v>2.2507502033609983</v>
      </c>
      <c r="BH63" s="546">
        <f>+Global!BH71</f>
        <v>2.2446269954016769</v>
      </c>
      <c r="BI63" s="546">
        <f>+Global!BI71</f>
        <v>2.2385699033096809</v>
      </c>
    </row>
    <row r="64" spans="1:61" s="546" customFormat="1" ht="11" x14ac:dyDescent="0.15">
      <c r="A64" s="546" t="str">
        <f>+Global!A72</f>
        <v>Lower ocean temperature (degrees Celsius above preindustrial)</v>
      </c>
      <c r="B64" s="546">
        <f>+Global!B72</f>
        <v>6.7999999999999996E-3</v>
      </c>
      <c r="C64" s="546">
        <f>+Global!C72</f>
        <v>4.2459999999999998E-2</v>
      </c>
      <c r="D64" s="546">
        <f>+Global!D72</f>
        <v>7.3837E-2</v>
      </c>
      <c r="E64" s="546">
        <f>+Global!E72</f>
        <v>9.4645149999999997E-2</v>
      </c>
      <c r="F64" s="546">
        <f>+Global!F72</f>
        <v>0.1149128925</v>
      </c>
      <c r="G64" s="546">
        <f>+Global!G72</f>
        <v>0.13816724787500001</v>
      </c>
      <c r="H64" s="546">
        <f>+Global!H72</f>
        <v>0.16675888548125001</v>
      </c>
      <c r="I64" s="546">
        <f>+Global!I72</f>
        <v>0.1884209412071875</v>
      </c>
      <c r="J64" s="546">
        <f>+Global!J72</f>
        <v>0.21549989414682813</v>
      </c>
      <c r="K64" s="546">
        <f>+Global!K72</f>
        <v>0.24822489943948672</v>
      </c>
      <c r="L64" s="546">
        <f>+Global!L72</f>
        <v>0.26831365446751237</v>
      </c>
      <c r="M64" s="546">
        <f>+Global!M72</f>
        <v>0.28789797174413678</v>
      </c>
      <c r="N64" s="546">
        <f>+Global!N72</f>
        <v>0.31350307315692993</v>
      </c>
      <c r="O64" s="546">
        <f>+Global!O72</f>
        <v>0.34282791949908342</v>
      </c>
      <c r="P64" s="546">
        <f>+Global!P72</f>
        <v>0.37018652352412923</v>
      </c>
      <c r="Q64" s="546">
        <f>+Global!Q72</f>
        <v>0.39167719734792278</v>
      </c>
      <c r="R64" s="546">
        <f>+Global!R72</f>
        <v>0.41909333748052663</v>
      </c>
      <c r="S64" s="546">
        <f>+Global!S72</f>
        <v>0.44363867060650031</v>
      </c>
      <c r="T64" s="546">
        <f>+Global!T72</f>
        <v>0.4679567370761753</v>
      </c>
      <c r="U64" s="546">
        <f>+Global!U72</f>
        <v>0.48505890022236653</v>
      </c>
      <c r="V64" s="546">
        <f>+Global!V72</f>
        <v>0.50680595521124816</v>
      </c>
      <c r="W64" s="546">
        <f>+Global!W72</f>
        <v>0.5309656574506858</v>
      </c>
      <c r="X64" s="546">
        <f>+Global!X72</f>
        <v>0.54841737457815154</v>
      </c>
      <c r="Y64" s="546">
        <f>+Global!Y72</f>
        <v>0.56699650584924399</v>
      </c>
      <c r="Z64" s="546">
        <f>+Global!Z72</f>
        <v>0.58614668055678176</v>
      </c>
      <c r="AA64" s="546">
        <f>+Global!AA72</f>
        <v>0.60733934652894273</v>
      </c>
      <c r="AB64" s="546">
        <f>+Global!AB72</f>
        <v>0.63547237920249555</v>
      </c>
      <c r="AC64" s="546">
        <f>+Global!AC72</f>
        <v>0.66769876024237074</v>
      </c>
      <c r="AD64" s="546">
        <f>+Global!AD72</f>
        <v>0.69381382223025223</v>
      </c>
      <c r="AE64" s="546">
        <f>+Global!AE72</f>
        <v>0.7151231311187396</v>
      </c>
      <c r="AF64" s="546">
        <f>+Global!AF72</f>
        <v>0.74186697456280259</v>
      </c>
      <c r="AG64" s="546">
        <f>+Global!AG72</f>
        <v>0.76877362583466247</v>
      </c>
      <c r="AH64" s="546">
        <f>+Global!AH72</f>
        <v>0.78633494454292929</v>
      </c>
      <c r="AI64" s="546">
        <f>+Global!AI72</f>
        <v>0.80501819731578284</v>
      </c>
      <c r="AJ64" s="546">
        <f>+Global!AJ72</f>
        <v>0.83676728744999374</v>
      </c>
      <c r="AK64" s="546">
        <f>+Global!AK72</f>
        <v>0.79492892307749408</v>
      </c>
      <c r="AL64" s="546">
        <f>+Global!AL72</f>
        <v>0.75518247692361939</v>
      </c>
      <c r="AM64" s="546">
        <f>+Global!AM72</f>
        <v>0.71742335307743843</v>
      </c>
      <c r="AN64" s="546">
        <f>+Global!AN72</f>
        <v>0.68155218542356655</v>
      </c>
      <c r="AO64" s="546">
        <f>+Global!AO72</f>
        <v>0.64747457615238824</v>
      </c>
      <c r="AP64" s="546">
        <f>+Global!AP72</f>
        <v>0.61510084734476878</v>
      </c>
      <c r="AQ64" s="546">
        <f>+Global!AQ72</f>
        <v>0.5843458049775303</v>
      </c>
      <c r="AR64" s="546">
        <f>+Global!AR72</f>
        <v>0.55512851472865377</v>
      </c>
      <c r="AS64" s="546">
        <f>+Global!AS72</f>
        <v>0.5273720889922211</v>
      </c>
      <c r="AT64" s="546">
        <f>+Global!AT72</f>
        <v>0.50100348454261001</v>
      </c>
      <c r="AU64" s="546">
        <f>+Global!AU72</f>
        <v>0.47595331031547949</v>
      </c>
      <c r="AV64" s="546">
        <f>+Global!AV72</f>
        <v>0.45215564479970549</v>
      </c>
      <c r="AW64" s="546">
        <f>+Global!AW72</f>
        <v>0.42954786255972022</v>
      </c>
      <c r="AX64" s="546">
        <f>+Global!AX72</f>
        <v>0.4080704694317342</v>
      </c>
      <c r="AY64" s="546">
        <f>+Global!AY72</f>
        <v>0.3876669459601475</v>
      </c>
      <c r="AZ64" s="546">
        <f>+Global!AZ72</f>
        <v>0.36828359866214011</v>
      </c>
      <c r="BA64" s="546">
        <f>+Global!BA72</f>
        <v>0.3498694187290331</v>
      </c>
      <c r="BB64" s="546">
        <f>+Global!BB72</f>
        <v>0.33237594779258145</v>
      </c>
      <c r="BC64" s="546">
        <f>+Global!BC72</f>
        <v>0.31575715040295238</v>
      </c>
      <c r="BD64" s="546">
        <f>+Global!BD72</f>
        <v>0.29996929288280477</v>
      </c>
      <c r="BE64" s="546">
        <f>+Global!BE72</f>
        <v>0.28497082823866454</v>
      </c>
      <c r="BF64" s="546">
        <f>+Global!BF72</f>
        <v>0.27072228682673133</v>
      </c>
      <c r="BG64" s="546">
        <f>+Global!BG72</f>
        <v>0.25718617248539477</v>
      </c>
      <c r="BH64" s="546">
        <f>+Global!BH72</f>
        <v>0.24432686386112504</v>
      </c>
      <c r="BI64" s="546">
        <f>+Global!BI72</f>
        <v>0.23211052066806878</v>
      </c>
    </row>
    <row r="65" spans="1:105" s="546" customFormat="1" ht="11" x14ac:dyDescent="0.15">
      <c r="A65" s="546" t="str">
        <f>+Global!A77</f>
        <v>Sum of utilities (international weights)</v>
      </c>
      <c r="B65" s="546">
        <f>+Global!B77</f>
        <v>-1286.367566184224</v>
      </c>
    </row>
    <row r="66" spans="1:105" s="546" customFormat="1" ht="11" x14ac:dyDescent="0.15">
      <c r="A66" s="546" t="str">
        <f>+Global!A81</f>
        <v>Backstop price (US)</v>
      </c>
      <c r="B66" s="546">
        <f>+Global!B81</f>
        <v>1134.0000000000002</v>
      </c>
      <c r="C66" s="546">
        <f>+Global!C81</f>
        <v>1082.9700000000003</v>
      </c>
      <c r="D66" s="546">
        <f>+Global!D81</f>
        <v>1034.4915000000001</v>
      </c>
      <c r="E66" s="546">
        <f>+Global!E81</f>
        <v>988.43692499999997</v>
      </c>
      <c r="F66" s="546">
        <f>+Global!F81</f>
        <v>944.68507875</v>
      </c>
      <c r="G66" s="546">
        <f>+Global!G81</f>
        <v>903.1208248124999</v>
      </c>
      <c r="H66" s="546">
        <f>+Global!H81</f>
        <v>863.63478357187489</v>
      </c>
      <c r="I66" s="546">
        <f>+Global!I81</f>
        <v>826.12304439328113</v>
      </c>
      <c r="J66" s="546">
        <f>+Global!J81</f>
        <v>790.48689217361698</v>
      </c>
      <c r="K66" s="546">
        <f>+Global!K81</f>
        <v>756.63254756493609</v>
      </c>
      <c r="L66" s="546">
        <f>+Global!L81</f>
        <v>724.47092018668934</v>
      </c>
      <c r="M66" s="546">
        <f>+Global!M81</f>
        <v>693.91737417735487</v>
      </c>
      <c r="N66" s="546">
        <f>+Global!N81</f>
        <v>664.89150546848703</v>
      </c>
      <c r="O66" s="546">
        <f>+Global!O81</f>
        <v>637.3169301950627</v>
      </c>
      <c r="P66" s="546">
        <f>+Global!P81</f>
        <v>611.1210836853096</v>
      </c>
      <c r="Q66" s="546">
        <f>+Global!Q81</f>
        <v>586.2350295010441</v>
      </c>
      <c r="R66" s="546">
        <f>+Global!R81</f>
        <v>562.59327802599194</v>
      </c>
      <c r="S66" s="546">
        <f>+Global!S81</f>
        <v>540.13361412469226</v>
      </c>
      <c r="T66" s="546">
        <f>+Global!T81</f>
        <v>518.79693341845768</v>
      </c>
      <c r="U66" s="546">
        <f>+Global!U81</f>
        <v>498.52708674753478</v>
      </c>
      <c r="V66" s="546">
        <f>+Global!V81</f>
        <v>479.27073241015802</v>
      </c>
      <c r="W66" s="546">
        <f>+Global!W81</f>
        <v>460.97719578965007</v>
      </c>
      <c r="X66" s="546">
        <f>+Global!X81</f>
        <v>443.59833600016759</v>
      </c>
      <c r="Y66" s="546">
        <f>+Global!Y81</f>
        <v>427.08841920015914</v>
      </c>
      <c r="Z66" s="546">
        <f>+Global!Z81</f>
        <v>411.40399824015117</v>
      </c>
      <c r="AA66" s="546">
        <f>+Global!AA81</f>
        <v>396.5037983281436</v>
      </c>
      <c r="AB66" s="546">
        <f>+Global!AB81</f>
        <v>382.34860841173639</v>
      </c>
      <c r="AC66" s="546">
        <f>+Global!AC81</f>
        <v>368.90117799114955</v>
      </c>
      <c r="AD66" s="546">
        <f>+Global!AD81</f>
        <v>356.1261190915921</v>
      </c>
      <c r="AE66" s="546">
        <f>+Global!AE81</f>
        <v>343.9898131370125</v>
      </c>
      <c r="AF66" s="546">
        <f>+Global!AF81</f>
        <v>332.46032248016189</v>
      </c>
      <c r="AG66" s="546">
        <f>+Global!AG81</f>
        <v>321.50730635615383</v>
      </c>
      <c r="AH66" s="546">
        <f>+Global!AH81</f>
        <v>311.10194103834613</v>
      </c>
      <c r="AI66" s="546">
        <f>+Global!AI81</f>
        <v>0</v>
      </c>
      <c r="AJ66" s="546">
        <f>+Global!AJ81</f>
        <v>0</v>
      </c>
      <c r="AK66" s="546">
        <f>+Global!AK81</f>
        <v>0</v>
      </c>
      <c r="AL66" s="546">
        <f>+Global!AL81</f>
        <v>0</v>
      </c>
      <c r="AM66" s="546">
        <f>+Global!AM81</f>
        <v>0</v>
      </c>
      <c r="AN66" s="546">
        <f>+Global!AN81</f>
        <v>0</v>
      </c>
      <c r="AO66" s="546">
        <f>+Global!AO81</f>
        <v>0</v>
      </c>
      <c r="AP66" s="546">
        <f>+Global!AP81</f>
        <v>0</v>
      </c>
      <c r="AQ66" s="546">
        <f>+Global!AQ81</f>
        <v>0</v>
      </c>
      <c r="AR66" s="546">
        <f>+Global!AR81</f>
        <v>0</v>
      </c>
      <c r="AS66" s="546">
        <f>+Global!AS81</f>
        <v>0</v>
      </c>
      <c r="AT66" s="546">
        <f>+Global!AT81</f>
        <v>0</v>
      </c>
      <c r="AU66" s="546">
        <f>+Global!AU81</f>
        <v>0</v>
      </c>
      <c r="AV66" s="546">
        <f>+Global!AV81</f>
        <v>0</v>
      </c>
      <c r="AW66" s="546">
        <f>+Global!AW81</f>
        <v>0</v>
      </c>
      <c r="AX66" s="546">
        <f>+Global!AX81</f>
        <v>0</v>
      </c>
      <c r="AY66" s="546">
        <f>+Global!AY81</f>
        <v>0</v>
      </c>
      <c r="AZ66" s="546">
        <f>+Global!AZ81</f>
        <v>0</v>
      </c>
      <c r="BA66" s="546">
        <f>+Global!BA81</f>
        <v>0</v>
      </c>
      <c r="BB66" s="546">
        <f>+Global!BB81</f>
        <v>0</v>
      </c>
      <c r="BC66" s="546">
        <f>+Global!BC81</f>
        <v>0</v>
      </c>
      <c r="BD66" s="546">
        <f>+Global!BD81</f>
        <v>0</v>
      </c>
      <c r="BE66" s="546">
        <f>+Global!BE81</f>
        <v>0</v>
      </c>
      <c r="BF66" s="546">
        <f>+Global!BF81</f>
        <v>0</v>
      </c>
      <c r="BG66" s="546">
        <f>+Global!BG81</f>
        <v>0</v>
      </c>
      <c r="BH66" s="546">
        <f>+Global!BH81</f>
        <v>0</v>
      </c>
      <c r="BI66" s="546">
        <f>+Global!BI81</f>
        <v>0</v>
      </c>
    </row>
    <row r="67" spans="1:105" s="546" customFormat="1" ht="11" x14ac:dyDescent="0.15">
      <c r="A67" s="546" t="str">
        <f>+Global!A82</f>
        <v>Backstop price (wt average)</v>
      </c>
      <c r="B67" s="546">
        <f>+Global!B82</f>
        <v>1259.2274620271828</v>
      </c>
      <c r="C67" s="546">
        <f>+Global!C82</f>
        <v>1202.5622262359598</v>
      </c>
      <c r="D67" s="546">
        <f>+Global!D82</f>
        <v>1148.7302522342975</v>
      </c>
      <c r="E67" s="546">
        <f>+Global!E82</f>
        <v>1097.5898769327184</v>
      </c>
      <c r="F67" s="546">
        <f>+Global!F82</f>
        <v>1049.0065203962185</v>
      </c>
      <c r="G67" s="546">
        <f>+Global!G82</f>
        <v>1002.8523316865435</v>
      </c>
      <c r="H67" s="546">
        <f>+Global!H82</f>
        <v>959.00585241235228</v>
      </c>
      <c r="I67" s="546">
        <f>+Global!I82</f>
        <v>917.35169710187051</v>
      </c>
      <c r="J67" s="546">
        <f>+Global!J82</f>
        <v>877.78024955691285</v>
      </c>
      <c r="K67" s="546">
        <f>+Global!K82</f>
        <v>840.18737438920311</v>
      </c>
      <c r="L67" s="546">
        <f>+Global!L82</f>
        <v>804.47414297987893</v>
      </c>
      <c r="M67" s="546">
        <f>+Global!M82</f>
        <v>770.54657314102099</v>
      </c>
      <c r="N67" s="546">
        <f>+Global!N82</f>
        <v>738.31538179410575</v>
      </c>
      <c r="O67" s="546">
        <f>+Global!O82</f>
        <v>707.69575001453643</v>
      </c>
      <c r="P67" s="546">
        <f>+Global!P82</f>
        <v>678.60709982394553</v>
      </c>
      <c r="Q67" s="546">
        <f>+Global!Q82</f>
        <v>650.97288214288415</v>
      </c>
      <c r="R67" s="546">
        <f>+Global!R82</f>
        <v>624.72037534587594</v>
      </c>
      <c r="S67" s="546">
        <f>+Global!S82</f>
        <v>599.78049388871796</v>
      </c>
      <c r="T67" s="546">
        <f>+Global!T82</f>
        <v>576.08760650441798</v>
      </c>
      <c r="U67" s="546">
        <f>+Global!U82</f>
        <v>553.57936348933299</v>
      </c>
      <c r="V67" s="546">
        <f>+Global!V82</f>
        <v>532.19653262500219</v>
      </c>
      <c r="W67" s="546">
        <f>+Global!W82</f>
        <v>511.88284330388797</v>
      </c>
      <c r="X67" s="546">
        <f>+Global!X82</f>
        <v>492.58483844882954</v>
      </c>
      <c r="Y67" s="546">
        <f>+Global!Y82</f>
        <v>474.2517338365239</v>
      </c>
      <c r="Z67" s="546">
        <f>+Global!Z82</f>
        <v>456.83528445483358</v>
      </c>
      <c r="AA67" s="546">
        <f>+Global!AA82</f>
        <v>440.28965754222781</v>
      </c>
      <c r="AB67" s="546">
        <f>+Global!AB82</f>
        <v>440.28965754222781</v>
      </c>
      <c r="AC67" s="546">
        <f>+Global!AC82</f>
        <v>440.28965754222781</v>
      </c>
      <c r="AD67" s="546">
        <f>+Global!AD82</f>
        <v>440.28965754222781</v>
      </c>
      <c r="AE67" s="546">
        <f>+Global!AE82</f>
        <v>440.28965754222781</v>
      </c>
      <c r="AF67" s="546">
        <f>+Global!AF82</f>
        <v>440.28965754222781</v>
      </c>
      <c r="AG67" s="546">
        <f>+Global!AG82</f>
        <v>440.28965754222781</v>
      </c>
      <c r="AH67" s="546">
        <f>+Global!AH82</f>
        <v>440.28965754222781</v>
      </c>
      <c r="AI67" s="546">
        <f>+Global!AI82</f>
        <v>440.28965754222781</v>
      </c>
      <c r="AJ67" s="546">
        <f>+Global!AJ82</f>
        <v>440.28965754222781</v>
      </c>
      <c r="AK67" s="546">
        <f>+Global!AK82</f>
        <v>440.28965754222781</v>
      </c>
      <c r="AL67" s="546">
        <f>+Global!AL82</f>
        <v>440.28965754222781</v>
      </c>
      <c r="AM67" s="546">
        <f>+Global!AM82</f>
        <v>440.28965754222781</v>
      </c>
      <c r="AN67" s="546">
        <f>+Global!AN82</f>
        <v>440.28965754222781</v>
      </c>
      <c r="AO67" s="546">
        <f>+Global!AO82</f>
        <v>440.28965754222781</v>
      </c>
      <c r="AP67" s="546">
        <f>+Global!AP82</f>
        <v>440.28965754222781</v>
      </c>
      <c r="AQ67" s="546">
        <f>+Global!AQ82</f>
        <v>440.28965754222781</v>
      </c>
      <c r="AR67" s="546">
        <f>+Global!AR82</f>
        <v>440.28965754222781</v>
      </c>
      <c r="AS67" s="546">
        <f>+Global!AS82</f>
        <v>440.28965754222781</v>
      </c>
      <c r="AT67" s="546">
        <f>+Global!AT82</f>
        <v>440.28965754222781</v>
      </c>
      <c r="AU67" s="546">
        <f>+Global!AU82</f>
        <v>440.28965754222781</v>
      </c>
      <c r="AV67" s="546">
        <f>+Global!AV82</f>
        <v>440.28965754222781</v>
      </c>
      <c r="AW67" s="546">
        <f>+Global!AW82</f>
        <v>440.28965754222781</v>
      </c>
      <c r="AX67" s="546">
        <f>+Global!AX82</f>
        <v>440.28965754222781</v>
      </c>
      <c r="AY67" s="546">
        <f>+Global!AY82</f>
        <v>440.28965754222781</v>
      </c>
      <c r="AZ67" s="546">
        <f>+Global!AZ82</f>
        <v>440.28965754222781</v>
      </c>
      <c r="BA67" s="546">
        <f>+Global!BA82</f>
        <v>440.28965754222781</v>
      </c>
      <c r="BB67" s="546">
        <f>+Global!BB82</f>
        <v>440.28965754222781</v>
      </c>
      <c r="BC67" s="546">
        <f>+Global!BC82</f>
        <v>440.28965754222781</v>
      </c>
      <c r="BD67" s="546">
        <f>+Global!BD82</f>
        <v>440.28965754222781</v>
      </c>
      <c r="BE67" s="546">
        <f>+Global!BE82</f>
        <v>440.28965754222781</v>
      </c>
      <c r="BF67" s="546">
        <f>+Global!BF82</f>
        <v>440.28965754222781</v>
      </c>
      <c r="BG67" s="546">
        <f>+Global!BG82</f>
        <v>440.28965754222781</v>
      </c>
      <c r="BH67" s="546">
        <f>+Global!BH82</f>
        <v>440.28965754222781</v>
      </c>
      <c r="BI67" s="546">
        <f>+Global!BI82</f>
        <v>440.28965754222781</v>
      </c>
    </row>
    <row r="68" spans="1:105" s="546" customFormat="1" ht="11" x14ac:dyDescent="0.15">
      <c r="A68" s="546">
        <f>+Global!A41</f>
        <v>0</v>
      </c>
      <c r="B68" s="546">
        <f>+Global!B41</f>
        <v>0</v>
      </c>
      <c r="C68" s="546">
        <f>+Global!C41</f>
        <v>0</v>
      </c>
      <c r="D68" s="546">
        <f>+Global!D41</f>
        <v>0</v>
      </c>
      <c r="E68" s="546">
        <f>+Global!E41</f>
        <v>0</v>
      </c>
      <c r="F68" s="546">
        <f>+Global!F41</f>
        <v>0</v>
      </c>
      <c r="G68" s="546">
        <f>+Global!G41</f>
        <v>0</v>
      </c>
      <c r="H68" s="546">
        <f>+Global!H41</f>
        <v>0</v>
      </c>
      <c r="I68" s="546">
        <f>+Global!I41</f>
        <v>0</v>
      </c>
      <c r="J68" s="546">
        <f>+Global!J41</f>
        <v>0</v>
      </c>
      <c r="K68" s="546">
        <f>+Global!K41</f>
        <v>0</v>
      </c>
      <c r="L68" s="546">
        <f>+Global!L41</f>
        <v>0</v>
      </c>
      <c r="M68" s="546">
        <f>+Global!M41</f>
        <v>0</v>
      </c>
      <c r="N68" s="546">
        <f>+Global!N41</f>
        <v>0</v>
      </c>
      <c r="O68" s="546">
        <f>+Global!O41</f>
        <v>0</v>
      </c>
      <c r="P68" s="546">
        <f>+Global!P41</f>
        <v>0</v>
      </c>
      <c r="Q68" s="546">
        <f>+Global!Q41</f>
        <v>0</v>
      </c>
      <c r="R68" s="546">
        <f>+Global!R41</f>
        <v>0</v>
      </c>
      <c r="S68" s="546">
        <f>+Global!S41</f>
        <v>0</v>
      </c>
      <c r="T68" s="546">
        <f>+Global!T41</f>
        <v>0</v>
      </c>
      <c r="U68" s="546">
        <f>+Global!U41</f>
        <v>0</v>
      </c>
      <c r="V68" s="546">
        <f>+Global!V41</f>
        <v>0</v>
      </c>
      <c r="W68" s="546">
        <f>+Global!W41</f>
        <v>0</v>
      </c>
      <c r="X68" s="546">
        <f>+Global!X41</f>
        <v>0</v>
      </c>
      <c r="Y68" s="546">
        <f>+Global!Y41</f>
        <v>0</v>
      </c>
      <c r="Z68" s="546">
        <f>+Global!Z41</f>
        <v>0</v>
      </c>
      <c r="AA68" s="546">
        <f>+Global!AA41</f>
        <v>0</v>
      </c>
      <c r="AB68" s="546">
        <f>+Global!AB41</f>
        <v>0</v>
      </c>
      <c r="AC68" s="546">
        <f>+Global!AC41</f>
        <v>0</v>
      </c>
      <c r="AD68" s="546">
        <f>+Global!AD41</f>
        <v>0</v>
      </c>
      <c r="AE68" s="546">
        <f>+Global!AE41</f>
        <v>0</v>
      </c>
      <c r="AF68" s="546">
        <f>+Global!AF41</f>
        <v>0</v>
      </c>
      <c r="AG68" s="546">
        <f>+Global!AG41</f>
        <v>0</v>
      </c>
      <c r="AH68" s="546">
        <f>+Global!AH41</f>
        <v>0</v>
      </c>
      <c r="AI68" s="546">
        <f>+Global!AI41</f>
        <v>0</v>
      </c>
      <c r="AJ68" s="546">
        <f>+Global!AJ41</f>
        <v>0</v>
      </c>
      <c r="AK68" s="546">
        <f>+Global!AK41</f>
        <v>0</v>
      </c>
      <c r="AL68" s="546">
        <f>+Global!AL41</f>
        <v>0</v>
      </c>
      <c r="AM68" s="546">
        <f>+Global!AM41</f>
        <v>0</v>
      </c>
      <c r="AN68" s="546">
        <f>+Global!AN41</f>
        <v>0</v>
      </c>
      <c r="AO68" s="546">
        <f>+Global!AO41</f>
        <v>0</v>
      </c>
      <c r="AP68" s="546">
        <f>+Global!AP41</f>
        <v>0</v>
      </c>
      <c r="AQ68" s="546">
        <f>+Global!AQ41</f>
        <v>0</v>
      </c>
      <c r="AR68" s="546">
        <f>+Global!AR41</f>
        <v>0</v>
      </c>
      <c r="AS68" s="546">
        <f>+Global!AS41</f>
        <v>0</v>
      </c>
      <c r="AT68" s="546">
        <f>+Global!AT41</f>
        <v>0</v>
      </c>
      <c r="AU68" s="546">
        <f>+Global!AU41</f>
        <v>0</v>
      </c>
      <c r="AV68" s="546">
        <f>+Global!AV41</f>
        <v>0</v>
      </c>
      <c r="AW68" s="546">
        <f>+Global!AW41</f>
        <v>0</v>
      </c>
      <c r="AX68" s="546">
        <f>+Global!AX41</f>
        <v>0</v>
      </c>
      <c r="AY68" s="546">
        <f>+Global!AY41</f>
        <v>0</v>
      </c>
      <c r="AZ68" s="546">
        <f>+Global!AZ41</f>
        <v>0</v>
      </c>
      <c r="BA68" s="546">
        <f>+Global!BA41</f>
        <v>0</v>
      </c>
      <c r="BB68" s="546">
        <f>+Global!BB41</f>
        <v>0</v>
      </c>
      <c r="BC68" s="546">
        <f>+Global!BC41</f>
        <v>0</v>
      </c>
      <c r="BD68" s="546">
        <f>+Global!BD41</f>
        <v>0</v>
      </c>
      <c r="BE68" s="546">
        <f>+Global!BE41</f>
        <v>0</v>
      </c>
      <c r="BF68" s="546">
        <f>+Global!BF41</f>
        <v>0</v>
      </c>
      <c r="BG68" s="546">
        <f>+Global!BG41</f>
        <v>0</v>
      </c>
      <c r="BH68" s="546">
        <f>+Global!BH41</f>
        <v>0</v>
      </c>
      <c r="BI68" s="546">
        <f>+Global!BI41</f>
        <v>0</v>
      </c>
    </row>
    <row r="69" spans="1:105" s="547" customFormat="1" ht="11" x14ac:dyDescent="0.15">
      <c r="A69" s="547" t="str">
        <f>+US!A134</f>
        <v>Discount rate t to t+1, US</v>
      </c>
      <c r="B69" s="547">
        <f>+US!B134</f>
        <v>0</v>
      </c>
      <c r="C69" s="547">
        <f>+US!C134</f>
        <v>-4.048232563286458E-3</v>
      </c>
      <c r="D69" s="547">
        <f>+US!D134</f>
        <v>9.3777183212486737E-3</v>
      </c>
      <c r="E69" s="547">
        <f>+US!E134</f>
        <v>1.0786234190064192E-2</v>
      </c>
      <c r="F69" s="547">
        <f>+US!F134</f>
        <v>1.468210567941175E-2</v>
      </c>
      <c r="G69" s="547">
        <f>+US!G134</f>
        <v>1.5198530694701562E-2</v>
      </c>
      <c r="H69" s="547">
        <f>+US!H134</f>
        <v>1.8189514262689332E-2</v>
      </c>
      <c r="I69" s="547">
        <f>+US!I134</f>
        <v>1.9076608916446913E-2</v>
      </c>
      <c r="J69" s="547">
        <f>+US!J134</f>
        <v>1.9058035989462319E-2</v>
      </c>
      <c r="K69" s="547">
        <f>+US!K134</f>
        <v>1.9777252293756931E-2</v>
      </c>
      <c r="L69" s="547">
        <f>+US!L134</f>
        <v>1.9541703278084022E-2</v>
      </c>
      <c r="M69" s="547">
        <f>+US!M134</f>
        <v>1.2699685783221337E-2</v>
      </c>
      <c r="N69" s="547">
        <f>+US!N134</f>
        <v>1.6420533649521563E-2</v>
      </c>
      <c r="O69" s="547">
        <f>+US!O134</f>
        <v>1.8102906986391165E-2</v>
      </c>
      <c r="P69" s="547">
        <f>+US!P134</f>
        <v>1.9694364173726386E-2</v>
      </c>
      <c r="Q69" s="547">
        <f>+US!Q134</f>
        <v>1.9063963937782535E-2</v>
      </c>
      <c r="R69" s="547">
        <f>+US!R134</f>
        <v>1.8090731245141933E-2</v>
      </c>
      <c r="S69" s="547">
        <f>+US!S134</f>
        <v>1.6919627449503816E-2</v>
      </c>
      <c r="T69" s="547">
        <f>+US!T134</f>
        <v>1.4126342865884434E-2</v>
      </c>
      <c r="U69" s="547">
        <f>+US!U134</f>
        <v>9.8566735535834393E-3</v>
      </c>
      <c r="V69" s="547">
        <f>+US!V134</f>
        <v>1.8128360168732538E-2</v>
      </c>
      <c r="W69" s="547">
        <f>+US!W134</f>
        <v>1.6657537971284997E-2</v>
      </c>
      <c r="X69" s="547">
        <f>+US!X134</f>
        <v>1.7691843929975137E-2</v>
      </c>
      <c r="Y69" s="547">
        <f>+US!Y134</f>
        <v>1.7038945301355302E-2</v>
      </c>
      <c r="Z69" s="547">
        <f>+US!Z134</f>
        <v>1.7692254784767769E-2</v>
      </c>
      <c r="AA69" s="547">
        <f>+US!AA134</f>
        <v>1.8265584346760955E-2</v>
      </c>
      <c r="AB69" s="547">
        <f>+US!AB134</f>
        <v>1.6405042634031419E-2</v>
      </c>
      <c r="AC69" s="547">
        <f>+US!AC134</f>
        <v>1.7718621326300088E-2</v>
      </c>
      <c r="AD69" s="547">
        <f>+US!AD134</f>
        <v>1.8750858183406161E-2</v>
      </c>
      <c r="AE69" s="547">
        <f>+US!AE134</f>
        <v>1.7678419908124354E-2</v>
      </c>
      <c r="AF69" s="547">
        <f>+US!AF134</f>
        <v>1.0370237461767129E-2</v>
      </c>
      <c r="AG69" s="547">
        <f>+US!AG134</f>
        <v>2.3927488375666828E-2</v>
      </c>
      <c r="AH69" s="547">
        <f>+US!AH134</f>
        <v>1.7913453560332249E-2</v>
      </c>
      <c r="AI69" s="547">
        <f>+US!AI134</f>
        <v>0</v>
      </c>
      <c r="AJ69" s="547">
        <f>+US!AJ134</f>
        <v>0</v>
      </c>
      <c r="AK69" s="547">
        <f>+US!AK134</f>
        <v>0</v>
      </c>
      <c r="AL69" s="547">
        <f>+US!AL134</f>
        <v>0</v>
      </c>
      <c r="AM69" s="547">
        <f>+US!AM134</f>
        <v>0</v>
      </c>
      <c r="AN69" s="547">
        <f>+US!AN134</f>
        <v>0</v>
      </c>
      <c r="AO69" s="547">
        <f>+US!AO134</f>
        <v>0</v>
      </c>
    </row>
    <row r="70" spans="1:105" s="547" customFormat="1" ht="11" x14ac:dyDescent="0.15">
      <c r="A70" s="547" t="str">
        <f>+US!A131</f>
        <v>Ramsey (average), US</v>
      </c>
      <c r="B70" s="547">
        <f>+US!B131</f>
        <v>0</v>
      </c>
      <c r="C70" s="547">
        <f>+US!C131</f>
        <v>1.1236984719613053E-2</v>
      </c>
      <c r="D70" s="547">
        <f>+US!D131</f>
        <v>1.6845306488896344E-2</v>
      </c>
      <c r="E70" s="547">
        <f>+US!E131</f>
        <v>1.7802029736078643E-2</v>
      </c>
      <c r="F70" s="547">
        <f>+US!F131</f>
        <v>1.8331426736881661E-2</v>
      </c>
      <c r="G70" s="547">
        <f>+US!G131</f>
        <v>1.8570697333199271E-2</v>
      </c>
      <c r="H70" s="547">
        <f>+US!H131</f>
        <v>1.9918520991412364E-2</v>
      </c>
      <c r="I70" s="547">
        <f>+US!I131</f>
        <v>2.034484217132173E-2</v>
      </c>
      <c r="J70" s="547">
        <f>+US!J131</f>
        <v>2.0688487892194719E-2</v>
      </c>
      <c r="K70" s="547">
        <f>+US!K131</f>
        <v>2.0770423635831852E-2</v>
      </c>
      <c r="L70" s="547">
        <f>+US!L131</f>
        <v>1.6977534661694101E-2</v>
      </c>
      <c r="M70" s="547">
        <f>+US!M131</f>
        <v>1.5289195128988645E-2</v>
      </c>
      <c r="N70" s="547">
        <f>+US!N131</f>
        <v>1.7949834805246978E-2</v>
      </c>
      <c r="O70" s="547">
        <f>+US!O131</f>
        <v>1.9557717223359458E-2</v>
      </c>
      <c r="P70" s="547">
        <f>+US!P131</f>
        <v>2.0029478784184609E-2</v>
      </c>
      <c r="Q70" s="547">
        <f>+US!Q131</f>
        <v>1.9242529628835985E-2</v>
      </c>
      <c r="R70" s="547">
        <f>+US!R131</f>
        <v>1.8189310295324231E-2</v>
      </c>
      <c r="S70" s="547">
        <f>+US!S131</f>
        <v>1.6238537684167408E-2</v>
      </c>
      <c r="T70" s="547">
        <f>+US!T131</f>
        <v>1.2753701946040953E-2</v>
      </c>
      <c r="U70" s="547">
        <f>+US!U131</f>
        <v>1.4661289668338982E-2</v>
      </c>
      <c r="V70" s="547">
        <f>+US!V131</f>
        <v>1.7893915016421257E-2</v>
      </c>
      <c r="W70" s="547">
        <f>+US!W131</f>
        <v>1.7617832449894712E-2</v>
      </c>
      <c r="X70" s="547">
        <f>+US!X131</f>
        <v>1.7805376332513938E-2</v>
      </c>
      <c r="Y70" s="547">
        <f>+US!Y131</f>
        <v>1.7805578188661325E-2</v>
      </c>
      <c r="Z70" s="547">
        <f>+US!Z131</f>
        <v>1.8408259102525672E-2</v>
      </c>
      <c r="AA70" s="547">
        <f>+US!AA131</f>
        <v>1.7775441624131326E-2</v>
      </c>
      <c r="AB70" s="547">
        <f>+US!AB131</f>
        <v>1.7506793649311583E-2</v>
      </c>
      <c r="AC70" s="547">
        <f>+US!AC131</f>
        <v>1.8659440769521154E-2</v>
      </c>
      <c r="AD70" s="547">
        <f>+US!AD131</f>
        <v>1.8639689626443627E-2</v>
      </c>
      <c r="AE70" s="547">
        <f>+US!AE131</f>
        <v>1.4390068102116656E-2</v>
      </c>
      <c r="AF70" s="547">
        <f>+US!AF131</f>
        <v>1.7212086464901563E-2</v>
      </c>
      <c r="AG70" s="547">
        <f>+US!AG131</f>
        <v>2.0811692677323503E-2</v>
      </c>
      <c r="AH70" s="547" t="e">
        <f>+US!AH131</f>
        <v>#NUM!</v>
      </c>
      <c r="AI70" s="547">
        <f>+US!AI131</f>
        <v>0</v>
      </c>
      <c r="AJ70" s="547">
        <f>+US!AJ131</f>
        <v>0</v>
      </c>
      <c r="AK70" s="547">
        <f>+US!AK131</f>
        <v>0</v>
      </c>
      <c r="AL70" s="547">
        <f>+US!AL131</f>
        <v>0</v>
      </c>
      <c r="AM70" s="547">
        <f>+US!AM131</f>
        <v>0</v>
      </c>
      <c r="AN70" s="547">
        <f>+US!AN131</f>
        <v>0</v>
      </c>
      <c r="AO70" s="547">
        <f>+US!AO131</f>
        <v>0</v>
      </c>
    </row>
    <row r="71" spans="1:105" s="547" customFormat="1" ht="11" x14ac:dyDescent="0.15">
      <c r="A71" s="547" t="str">
        <f>+China!A134</f>
        <v>Discount rate t to t+1, China</v>
      </c>
      <c r="B71" s="547">
        <f>+China!B134</f>
        <v>0</v>
      </c>
      <c r="C71" s="547">
        <f>+China!C134</f>
        <v>4.7259757400742064E-2</v>
      </c>
      <c r="D71" s="547">
        <f>+China!D134</f>
        <v>3.152177784007737E-2</v>
      </c>
      <c r="E71" s="547">
        <f>+China!E134</f>
        <v>3.5399065478488367E-2</v>
      </c>
      <c r="F71" s="547">
        <f>+China!F134</f>
        <v>3.6887900119469075E-2</v>
      </c>
      <c r="G71" s="547">
        <f>+China!G134</f>
        <v>3.5784407749253289E-2</v>
      </c>
      <c r="H71" s="547">
        <f>+China!H134</f>
        <v>3.4624732814574344E-2</v>
      </c>
      <c r="I71" s="547">
        <f>+China!I134</f>
        <v>3.3520595491763894E-2</v>
      </c>
      <c r="J71" s="547">
        <f>+China!J134</f>
        <v>3.1527303615480617E-2</v>
      </c>
      <c r="K71" s="547">
        <f>+China!K134</f>
        <v>3.0189561548864541E-2</v>
      </c>
      <c r="L71" s="547">
        <f>+China!L134</f>
        <v>2.7955293442208262E-2</v>
      </c>
      <c r="M71" s="547">
        <f>+China!M134</f>
        <v>2.7847912162266786E-2</v>
      </c>
      <c r="N71" s="547">
        <f>+China!N134</f>
        <v>2.7962132600773737E-2</v>
      </c>
      <c r="O71" s="547">
        <f>+China!O134</f>
        <v>2.9268328065779503E-2</v>
      </c>
      <c r="P71" s="547">
        <f>+China!P134</f>
        <v>2.9402930352097068E-2</v>
      </c>
      <c r="Q71" s="547">
        <f>+China!Q134</f>
        <v>3.1087896877806553E-2</v>
      </c>
      <c r="R71" s="547">
        <f>+China!R134</f>
        <v>3.2972578640250161E-2</v>
      </c>
      <c r="S71" s="547">
        <f>+China!S134</f>
        <v>3.5000275774374145E-2</v>
      </c>
      <c r="T71" s="547">
        <f>+China!T134</f>
        <v>2.8712371444547857E-2</v>
      </c>
      <c r="U71" s="547">
        <f>+China!U134</f>
        <v>2.8286337332469325E-2</v>
      </c>
      <c r="V71" s="547">
        <f>+China!V134</f>
        <v>2.9620927653493778E-2</v>
      </c>
      <c r="W71" s="547">
        <f>+China!W134</f>
        <v>2.7765514783596457E-2</v>
      </c>
      <c r="X71" s="547">
        <f>+China!X134</f>
        <v>2.5317525621118886E-2</v>
      </c>
      <c r="Y71" s="547">
        <f>+China!Y134</f>
        <v>2.5186957557790546E-2</v>
      </c>
      <c r="Z71" s="547">
        <f>+China!Z134</f>
        <v>2.4677006264437251E-2</v>
      </c>
      <c r="AA71" s="547">
        <f>+China!AA134</f>
        <v>2.4058559786010125E-2</v>
      </c>
      <c r="AB71" s="547">
        <f>+China!AB134</f>
        <v>2.3450627733315743E-2</v>
      </c>
      <c r="AC71" s="547">
        <f>+China!AC134</f>
        <v>2.4054579546052723E-2</v>
      </c>
      <c r="AD71" s="547">
        <f>+China!AD134</f>
        <v>2.3760270742171574E-2</v>
      </c>
      <c r="AE71" s="547">
        <f>+China!AE134</f>
        <v>2.2492777413310128E-2</v>
      </c>
      <c r="AF71" s="547">
        <f>+China!AF134</f>
        <v>1.7602718233099779E-2</v>
      </c>
      <c r="AG71" s="547">
        <f>+China!AG134</f>
        <v>2.7328126087175164E-2</v>
      </c>
      <c r="AH71" s="547">
        <f>+China!AH134</f>
        <v>1.9208979679706362E-2</v>
      </c>
      <c r="AI71" s="547">
        <f>+China!AI134</f>
        <v>0.34999117625365295</v>
      </c>
      <c r="AJ71" s="547">
        <f>+China!AJ134</f>
        <v>9.0103603939677201E-2</v>
      </c>
      <c r="AK71" s="547">
        <f>+China!AK134</f>
        <v>4.6261157816881893E-2</v>
      </c>
      <c r="AL71" s="547">
        <f>+China!AL134</f>
        <v>3.2141497247589079E-2</v>
      </c>
      <c r="AM71" s="547">
        <f>+China!AM134</f>
        <v>2.6277982639741237E-2</v>
      </c>
      <c r="AN71" s="547">
        <f>+China!AN134</f>
        <v>2.3501307863910803E-2</v>
      </c>
      <c r="AO71" s="547">
        <f>+China!AO134</f>
        <v>2.208702639468263E-2</v>
      </c>
    </row>
    <row r="72" spans="1:105" s="547" customFormat="1" ht="11" x14ac:dyDescent="0.15">
      <c r="A72" s="547" t="str">
        <f>+China!A131</f>
        <v>Ramsey (average), China</v>
      </c>
      <c r="B72" s="547">
        <f>+China!B131</f>
        <v>0</v>
      </c>
      <c r="C72" s="547">
        <f>+China!C131</f>
        <v>4.3816530787371029E-2</v>
      </c>
      <c r="D72" s="547">
        <f>+China!D131</f>
        <v>3.5344224156280073E-2</v>
      </c>
      <c r="E72" s="547">
        <f>+China!E131</f>
        <v>3.5172613357396264E-2</v>
      </c>
      <c r="F72" s="547">
        <f>+China!F131</f>
        <v>3.3398007418075276E-2</v>
      </c>
      <c r="G72" s="547">
        <f>+China!G131</f>
        <v>3.1403133883444054E-2</v>
      </c>
      <c r="H72" s="547">
        <f>+China!H131</f>
        <v>3.0291422931629487E-2</v>
      </c>
      <c r="I72" s="547">
        <f>+China!I131</f>
        <v>2.8792292439362009E-2</v>
      </c>
      <c r="J72" s="547">
        <f>+China!J131</f>
        <v>2.7178191338807677E-2</v>
      </c>
      <c r="K72" s="547">
        <f>+China!K131</f>
        <v>2.6315347670693729E-2</v>
      </c>
      <c r="L72" s="547">
        <f>+China!L131</f>
        <v>2.692069864854172E-2</v>
      </c>
      <c r="M72" s="547">
        <f>+China!M131</f>
        <v>2.7795604441652265E-2</v>
      </c>
      <c r="N72" s="547">
        <f>+China!N131</f>
        <v>2.8486093438567041E-2</v>
      </c>
      <c r="O72" s="547">
        <f>+China!O131</f>
        <v>2.9186405703418867E-2</v>
      </c>
      <c r="P72" s="547">
        <f>+China!P131</f>
        <v>3.006953904853691E-2</v>
      </c>
      <c r="Q72" s="547">
        <f>+China!Q131</f>
        <v>3.180038381335628E-2</v>
      </c>
      <c r="R72" s="547">
        <f>+China!R131</f>
        <v>3.3694002694040631E-2</v>
      </c>
      <c r="S72" s="547">
        <f>+China!S131</f>
        <v>3.1627628169124344E-2</v>
      </c>
      <c r="T72" s="547">
        <f>+China!T131</f>
        <v>2.8373614840915856E-2</v>
      </c>
      <c r="U72" s="547">
        <f>+China!U131</f>
        <v>2.8944701561007622E-2</v>
      </c>
      <c r="V72" s="547">
        <f>+China!V131</f>
        <v>2.8950755299494202E-2</v>
      </c>
      <c r="W72" s="547">
        <f>+China!W131</f>
        <v>2.6986259464817995E-2</v>
      </c>
      <c r="X72" s="547">
        <f>+China!X131</f>
        <v>2.5730234974957293E-2</v>
      </c>
      <c r="Y72" s="547">
        <f>+China!Y131</f>
        <v>2.5417785664696942E-2</v>
      </c>
      <c r="Z72" s="547">
        <f>+China!Z131</f>
        <v>2.4867145013649745E-2</v>
      </c>
      <c r="AA72" s="547">
        <f>+China!AA131</f>
        <v>2.426836461669974E-2</v>
      </c>
      <c r="AB72" s="547">
        <f>+China!AB131</f>
        <v>2.4266421247517184E-2</v>
      </c>
      <c r="AC72" s="547">
        <f>+China!AC131</f>
        <v>2.4417672401683924E-2</v>
      </c>
      <c r="AD72" s="547">
        <f>+China!AD131</f>
        <v>2.3654532261964976E-2</v>
      </c>
      <c r="AE72" s="547">
        <f>+China!AE131</f>
        <v>2.0468085912679623E-2</v>
      </c>
      <c r="AF72" s="547">
        <f>+China!AF131</f>
        <v>2.2486914130081644E-2</v>
      </c>
      <c r="AG72" s="547">
        <f>+China!AG131</f>
        <v>2.3105485421267745E-2</v>
      </c>
      <c r="AH72" s="547">
        <f>+China!AH131</f>
        <v>0.15967382382389297</v>
      </c>
      <c r="AI72" s="547">
        <f>+China!AI131</f>
        <v>0.19329678627157504</v>
      </c>
      <c r="AJ72" s="547">
        <f>+China!AJ131</f>
        <v>6.5859261783656864E-2</v>
      </c>
      <c r="AK72" s="547">
        <f>+China!AK131</f>
        <v>3.8540774876980599E-2</v>
      </c>
      <c r="AL72" s="547">
        <f>+China!AL131</f>
        <v>2.8898595353013291E-2</v>
      </c>
      <c r="AM72" s="547">
        <f>+China!AM131</f>
        <v>2.4695413631242162E-2</v>
      </c>
      <c r="AN72" s="547">
        <f>+China!AN131</f>
        <v>2.2649410074973682E-2</v>
      </c>
      <c r="AO72" s="547">
        <f>+China!AO131</f>
        <v>2.1587103281829528E-2</v>
      </c>
      <c r="AP72" s="547">
        <f>+China!AP131</f>
        <v>2.1007606652808396E-2</v>
      </c>
      <c r="AQ72" s="547">
        <f>+China!AQ131</f>
        <v>2.0675225262895218E-2</v>
      </c>
    </row>
    <row r="73" spans="1:105" s="546" customFormat="1" ht="11" x14ac:dyDescent="0.15">
      <c r="A73" s="546" t="s">
        <v>1076</v>
      </c>
      <c r="B73" s="546">
        <f>+Global!B378</f>
        <v>23.606779170541159</v>
      </c>
      <c r="C73" s="546">
        <f>+Global!C378</f>
        <v>24.549093205313891</v>
      </c>
      <c r="D73" s="546">
        <f>+Global!D378</f>
        <v>25.992870171829182</v>
      </c>
      <c r="E73" s="546">
        <f>+Global!E378</f>
        <v>26.767200923041809</v>
      </c>
      <c r="F73" s="546">
        <f>+Global!F378</f>
        <v>26.689768561362527</v>
      </c>
      <c r="G73" s="546">
        <f>+Global!G378</f>
        <v>26.76439212562736</v>
      </c>
      <c r="L73" s="546">
        <f>+Global!L378</f>
        <v>23.650172634868383</v>
      </c>
    </row>
    <row r="74" spans="1:105" s="547" customFormat="1" ht="11" x14ac:dyDescent="0.15">
      <c r="A74" s="547" t="s">
        <v>1091</v>
      </c>
      <c r="B74" s="547">
        <f t="shared" ref="B74:G74" si="11">+B11</f>
        <v>17.484670378936521</v>
      </c>
      <c r="C74" s="547">
        <f t="shared" si="11"/>
        <v>17.509061709814524</v>
      </c>
      <c r="D74" s="547">
        <f t="shared" si="11"/>
        <v>15.790570699644599</v>
      </c>
      <c r="E74" s="547">
        <f t="shared" si="11"/>
        <v>9.7305890272637594</v>
      </c>
      <c r="F74" s="547">
        <f t="shared" si="11"/>
        <v>9.8727970479222869</v>
      </c>
      <c r="G74" s="547">
        <f t="shared" si="11"/>
        <v>10.152881899690154</v>
      </c>
    </row>
    <row r="75" spans="1:105" s="544" customFormat="1" ht="11" x14ac:dyDescent="0.15">
      <c r="A75" s="546" t="str">
        <f>+Global!A132</f>
        <v>Thermal expansion</v>
      </c>
      <c r="B75" s="546">
        <f>+Global!B132</f>
        <v>9.8517493766526229E-2</v>
      </c>
      <c r="C75" s="546">
        <f>+Global!C132</f>
        <v>0.10421107996627985</v>
      </c>
      <c r="D75" s="546">
        <f>+Global!D132</f>
        <v>0.10760073387746941</v>
      </c>
      <c r="E75" s="546">
        <f>+Global!E132</f>
        <v>0.11102915870839468</v>
      </c>
      <c r="F75" s="546">
        <f>+Global!F132</f>
        <v>0.11533808594519483</v>
      </c>
      <c r="G75" s="546">
        <f>+Global!G132</f>
        <v>0.12110822001643053</v>
      </c>
      <c r="H75" s="546">
        <f>+Global!H132</f>
        <v>0.12541524376201885</v>
      </c>
      <c r="I75" s="546">
        <f>+Global!I132</f>
        <v>0.13118352017076582</v>
      </c>
      <c r="J75" s="546">
        <f>+Global!J132</f>
        <v>0.13849824862304994</v>
      </c>
      <c r="K75" s="546">
        <f>+Global!K132</f>
        <v>0.14298849111405826</v>
      </c>
      <c r="L75" s="546">
        <f>+Global!L132</f>
        <v>0.14749100659880571</v>
      </c>
      <c r="M75" s="546">
        <f>+Global!M132</f>
        <v>0.15357044876575959</v>
      </c>
      <c r="N75" s="546">
        <f>+Global!N132</f>
        <v>0.16070732848252034</v>
      </c>
      <c r="O75" s="546">
        <f>+Global!O132</f>
        <v>0.16755199897009102</v>
      </c>
      <c r="P75" s="546">
        <f>+Global!P132</f>
        <v>0.17314844985309027</v>
      </c>
      <c r="Q75" s="546">
        <f>+Global!Q132</f>
        <v>0.1802954896752379</v>
      </c>
      <c r="R75" s="546">
        <f>+Global!R132</f>
        <v>0.18690931424055685</v>
      </c>
      <c r="S75" s="546">
        <f>+Global!S132</f>
        <v>0.19360466484360228</v>
      </c>
      <c r="T75" s="546">
        <f>+Global!T132</f>
        <v>0.19869424877143191</v>
      </c>
      <c r="U75" s="546">
        <f>+Global!U132</f>
        <v>0.20498548292150637</v>
      </c>
      <c r="V75" s="546">
        <f>+Global!V132</f>
        <v>0.21196791337044665</v>
      </c>
      <c r="W75" s="546">
        <f>+Global!W132</f>
        <v>0.21745804607503344</v>
      </c>
      <c r="X75" s="546">
        <f>+Global!X132</f>
        <v>0.22329752039270284</v>
      </c>
      <c r="Y75" s="546">
        <f>+Global!Y132</f>
        <v>0.22935754481971485</v>
      </c>
      <c r="Z75" s="546">
        <f>+Global!Z132</f>
        <v>0.23599395147776694</v>
      </c>
      <c r="AA75" s="546">
        <f>+Global!AA132</f>
        <v>0.24439667036444396</v>
      </c>
      <c r="AB75" s="546">
        <f>+Global!AB132</f>
        <v>0.25392127196844522</v>
      </c>
      <c r="AC75" s="546">
        <f>+Global!AC132</f>
        <v>0.26213313156804163</v>
      </c>
      <c r="AD75" s="546">
        <f>+Global!AD132</f>
        <v>0.26930461633653302</v>
      </c>
      <c r="AE75" s="546">
        <f>+Global!AE132</f>
        <v>0.27786838860027485</v>
      </c>
      <c r="AF75" s="546">
        <f>+Global!AF132</f>
        <v>0.28658712039147305</v>
      </c>
      <c r="AG75" s="546">
        <f>+Global!AG132</f>
        <v>0.29316984747335328</v>
      </c>
      <c r="AH75" s="546">
        <f>+Global!AH132</f>
        <v>0.30007561071186795</v>
      </c>
      <c r="AI75" s="546">
        <f>+Global!AI132</f>
        <v>0.31018576958099975</v>
      </c>
      <c r="AJ75" s="546">
        <f>+Global!AJ132</f>
        <v>0.30271769320962227</v>
      </c>
      <c r="AK75" s="546">
        <f>+Global!AK132</f>
        <v>0.29542941929908645</v>
      </c>
      <c r="AL75" s="546">
        <f>+Global!AL132</f>
        <v>0.28831661889996579</v>
      </c>
      <c r="AM75" s="546">
        <f>+Global!AM132</f>
        <v>0.28137506728723127</v>
      </c>
      <c r="AN75" s="546">
        <f>+Global!AN132</f>
        <v>0.27460064145092999</v>
      </c>
      <c r="AO75" s="546">
        <f>+Global!AO132</f>
        <v>0.26798931764727862</v>
      </c>
      <c r="AP75" s="546">
        <f>+Global!AP132</f>
        <v>0.2615371690087171</v>
      </c>
      <c r="AQ75" s="546">
        <f>+Global!AQ132</f>
        <v>0.25524036321150301</v>
      </c>
      <c r="AR75" s="546">
        <f>+Global!AR132</f>
        <v>0.24909516019946132</v>
      </c>
      <c r="AS75" s="546">
        <f>+Global!AS132</f>
        <v>0.24309790996253738</v>
      </c>
      <c r="AT75" s="546">
        <f>+Global!AT132</f>
        <v>0.23724505036883384</v>
      </c>
      <c r="AU75" s="546">
        <f>+Global!AU132</f>
        <v>0.23153310504884364</v>
      </c>
      <c r="AV75" s="546">
        <f>+Global!AV132</f>
        <v>0.22595868133062275</v>
      </c>
      <c r="AW75" s="546">
        <f>+Global!AW132</f>
        <v>0.22051846822467566</v>
      </c>
      <c r="AX75" s="546">
        <f>+Global!AX132</f>
        <v>0.21520923445735737</v>
      </c>
      <c r="AY75" s="546">
        <f>+Global!AY132</f>
        <v>0.21002782655162322</v>
      </c>
      <c r="AZ75" s="546">
        <f>+Global!AZ132</f>
        <v>0.20497116695398698</v>
      </c>
      <c r="BA75" s="546">
        <f>+Global!BA132</f>
        <v>0.20003625220657459</v>
      </c>
      <c r="BB75" s="546">
        <f>+Global!BB132</f>
        <v>0.19522015116318767</v>
      </c>
      <c r="BC75" s="546">
        <f>+Global!BC132</f>
        <v>0.19052000324831747</v>
      </c>
      <c r="BD75" s="546">
        <f>+Global!BD132</f>
        <v>0.18593301675807497</v>
      </c>
      <c r="BE75" s="546">
        <f>+Global!BE132</f>
        <v>0.18145646720202799</v>
      </c>
      <c r="BF75" s="546">
        <f>+Global!BF132</f>
        <v>0.17708769568496061</v>
      </c>
      <c r="BG75" s="546">
        <f>+Global!BG132</f>
        <v>0.1728241073275934</v>
      </c>
      <c r="BH75" s="546">
        <f>+Global!BH132</f>
        <v>0.16866316972532674</v>
      </c>
      <c r="BI75" s="546">
        <f>+Global!BI132</f>
        <v>0.1646024114440916</v>
      </c>
      <c r="BJ75" s="546">
        <f>+Global!BJ77</f>
        <v>0.16063942055241442</v>
      </c>
      <c r="BK75" s="546">
        <f>+Global!BK77</f>
        <v>0.15677184318882431</v>
      </c>
      <c r="BL75" s="546">
        <f>+Global!BL77</f>
        <v>0.15299738216375133</v>
      </c>
      <c r="BM75" s="546">
        <f>+Global!BM77</f>
        <v>0.1493137955950859</v>
      </c>
      <c r="BN75" s="546">
        <f>+Global!BN77</f>
        <v>0.14571889557658857</v>
      </c>
      <c r="BO75" s="546">
        <f>+Global!BO77</f>
        <v>0.1422105468783593</v>
      </c>
      <c r="BP75" s="546">
        <f>+Global!BP77</f>
        <v>0.13878666567859455</v>
      </c>
      <c r="BQ75" s="546">
        <f>+Global!BQ77</f>
        <v>0.13544521832587864</v>
      </c>
      <c r="BR75" s="546">
        <f>+Global!BR77</f>
        <v>0.13218422013127443</v>
      </c>
      <c r="BS75" s="546">
        <f>+Global!BS77</f>
        <v>0.12900173418949576</v>
      </c>
      <c r="BT75" s="546">
        <f>+Global!BT77</f>
        <v>0.12589587022846155</v>
      </c>
      <c r="BU75" s="546">
        <f>+Global!BU77</f>
        <v>0.12286478348654813</v>
      </c>
      <c r="BV75" s="546">
        <f>+Global!BV77</f>
        <v>0.1199066736168731</v>
      </c>
      <c r="BW75" s="546">
        <f>+Global!BW77</f>
        <v>0.11701978361795971</v>
      </c>
      <c r="BX75" s="546">
        <f>+Global!BX77</f>
        <v>0.11420239879014676</v>
      </c>
      <c r="BY75" s="546">
        <f>+Global!BY77</f>
        <v>0.11145284571712415</v>
      </c>
      <c r="BZ75" s="546">
        <f>+Global!BZ77</f>
        <v>0.10876949127198902</v>
      </c>
      <c r="CA75" s="546">
        <f>+Global!CA77</f>
        <v>0.10615074164723239</v>
      </c>
      <c r="CB75" s="546">
        <f>+Global!CB77</f>
        <v>0.10359504140807979</v>
      </c>
      <c r="CC75" s="546">
        <f>+Global!CC77</f>
        <v>0.10110087256862398</v>
      </c>
      <c r="CD75" s="546">
        <f>+Global!CD77</f>
        <v>9.8666753690200629E-2</v>
      </c>
      <c r="CE75" s="546">
        <f>+Global!CE77</f>
        <v>9.6291239001471837E-2</v>
      </c>
      <c r="CF75" s="546">
        <f>+Global!CF77</f>
        <v>9.39729175396945E-2</v>
      </c>
      <c r="CG75" s="546">
        <f>+Global!CG77</f>
        <v>9.171041231266365E-2</v>
      </c>
      <c r="CH75" s="546">
        <f>+Global!CH77</f>
        <v>8.9502379480833047E-2</v>
      </c>
      <c r="CI75" s="546">
        <f>+Global!CI77</f>
        <v>8.7347507559127027E-2</v>
      </c>
      <c r="CJ75" s="546">
        <f>+Global!CJ77</f>
        <v>8.5244516637969725E-2</v>
      </c>
      <c r="CK75" s="546">
        <f>+Global!CK77</f>
        <v>8.3192157623068891E-2</v>
      </c>
      <c r="CL75" s="546">
        <f>+Global!CL77</f>
        <v>8.1189211493502778E-2</v>
      </c>
      <c r="CM75" s="546">
        <f>+Global!CM77</f>
        <v>7.923448857766939E-2</v>
      </c>
      <c r="CN75" s="546">
        <f>+Global!CN77</f>
        <v>7.7326827846668153E-2</v>
      </c>
      <c r="CO75" s="546">
        <f>+Global!CO77</f>
        <v>7.5465096224694189E-2</v>
      </c>
      <c r="CP75" s="546">
        <f>+Global!CP77</f>
        <v>7.364818791603564E-2</v>
      </c>
      <c r="CQ75" s="546">
        <f>+Global!CQ77</f>
        <v>7.1875023748274272E-2</v>
      </c>
      <c r="CR75" s="546">
        <f>+Global!CR77</f>
        <v>7.0144550531299324E-2</v>
      </c>
      <c r="CS75" s="546">
        <f>+Global!CS77</f>
        <v>6.8455740431753814E-2</v>
      </c>
      <c r="CT75" s="546">
        <f>+Global!CT77</f>
        <v>6.6807590362541719E-2</v>
      </c>
      <c r="CU75" s="546">
        <f>+Global!CU77</f>
        <v>6.5199121387033543E-2</v>
      </c>
      <c r="CV75" s="546">
        <f>+Global!CV77</f>
        <v>6.3629378137616266E-2</v>
      </c>
      <c r="CW75" s="546">
        <f>+Global!CW77</f>
        <v>6.2097428248242353E-2</v>
      </c>
      <c r="CX75" s="546">
        <f>+Global!CX77</f>
        <v>6.0602361800640839E-2</v>
      </c>
      <c r="CY75" s="546">
        <f>+Global!CY77</f>
        <v>5.9143290783861484E-2</v>
      </c>
      <c r="CZ75" s="546"/>
      <c r="DA75" s="546"/>
    </row>
    <row r="76" spans="1:105" s="544" customFormat="1" ht="11" x14ac:dyDescent="0.15">
      <c r="A76" s="546" t="str">
        <f>+Global!A134</f>
        <v>TE, G&amp;SIC, GIS</v>
      </c>
      <c r="B76" s="546">
        <f>+Global!B134</f>
        <v>0.11827749376652623</v>
      </c>
      <c r="C76" s="546">
        <f>+Global!C134</f>
        <v>0.13504741227397216</v>
      </c>
      <c r="D76" s="546">
        <f>+Global!D134</f>
        <v>0.15355421624925447</v>
      </c>
      <c r="E76" s="546">
        <f>+Global!E134</f>
        <v>0.17219262687667669</v>
      </c>
      <c r="F76" s="546">
        <f>+Global!F134</f>
        <v>0.1931032428699348</v>
      </c>
      <c r="G76" s="546">
        <f>+Global!G134</f>
        <v>0.21774284490683876</v>
      </c>
      <c r="H76" s="546">
        <f>+Global!H134</f>
        <v>0.23880267056497367</v>
      </c>
      <c r="I76" s="546">
        <f>+Global!I134</f>
        <v>0.26354681230487392</v>
      </c>
      <c r="J76" s="546">
        <f>+Global!J134</f>
        <v>0.29217475942525339</v>
      </c>
      <c r="K76" s="546">
        <f>+Global!K134</f>
        <v>0.31394396101911209</v>
      </c>
      <c r="L76" s="546">
        <f>+Global!L134</f>
        <v>0.33579106774017553</v>
      </c>
      <c r="M76" s="546">
        <f>+Global!M134</f>
        <v>0.36151210331680173</v>
      </c>
      <c r="N76" s="546">
        <f>+Global!N134</f>
        <v>0.38983947579962397</v>
      </c>
      <c r="O76" s="546">
        <f>+Global!O134</f>
        <v>0.41752111473896053</v>
      </c>
      <c r="P76" s="546">
        <f>+Global!P134</f>
        <v>0.44228012182083648</v>
      </c>
      <c r="Q76" s="546">
        <f>+Global!Q134</f>
        <v>0.47075315802058959</v>
      </c>
      <c r="R76" s="546">
        <f>+Global!R134</f>
        <v>0.49801643916550253</v>
      </c>
      <c r="S76" s="546">
        <f>+Global!S134</f>
        <v>0.52551060586741549</v>
      </c>
      <c r="T76" s="546">
        <f>+Global!T134</f>
        <v>0.54931110852908271</v>
      </c>
      <c r="U76" s="546">
        <f>+Global!U134</f>
        <v>0.57591626070004664</v>
      </c>
      <c r="V76" s="546">
        <f>+Global!V134</f>
        <v>0.60414101120385211</v>
      </c>
      <c r="W76" s="546">
        <f>+Global!W134</f>
        <v>0.62898981178855085</v>
      </c>
      <c r="X76" s="546">
        <f>+Global!X134</f>
        <v>0.65465482905283756</v>
      </c>
      <c r="Y76" s="546">
        <f>+Global!Y134</f>
        <v>0.68084080447069151</v>
      </c>
      <c r="Z76" s="546">
        <f>+Global!Z134</f>
        <v>0.7083429302530404</v>
      </c>
      <c r="AA76" s="546">
        <f>+Global!AA134</f>
        <v>0.73980960358265202</v>
      </c>
      <c r="AB76" s="546">
        <f>+Global!AB134</f>
        <v>0.7737863156548016</v>
      </c>
      <c r="AC76" s="546">
        <f>+Global!AC134</f>
        <v>0.80489195743049047</v>
      </c>
      <c r="AD76" s="546">
        <f>+Global!AD134</f>
        <v>0.83373980001298231</v>
      </c>
      <c r="AE76" s="546">
        <f>+Global!AE134</f>
        <v>0.86562962080576122</v>
      </c>
      <c r="AF76" s="546">
        <f>+Global!AF134</f>
        <v>0.8978690211264494</v>
      </c>
      <c r="AG76" s="546">
        <f>+Global!AG134</f>
        <v>0.92553606162415614</v>
      </c>
      <c r="AH76" s="546">
        <f>+Global!AH134</f>
        <v>0.95390037706267217</v>
      </c>
      <c r="AI76" s="546">
        <f>+Global!AI134</f>
        <v>0.98907640686630993</v>
      </c>
      <c r="AJ76" s="546">
        <f>+Global!AJ134</f>
        <v>0.98718505319581284</v>
      </c>
      <c r="AK76" s="546">
        <f>+Global!AK134</f>
        <v>0.98546891837845796</v>
      </c>
      <c r="AL76" s="546">
        <f>+Global!AL134</f>
        <v>0.98392367723216778</v>
      </c>
      <c r="AM76" s="546">
        <f>+Global!AM134</f>
        <v>0.98254510879616552</v>
      </c>
      <c r="AN76" s="546">
        <f>+Global!AN134</f>
        <v>0.98132909382165667</v>
      </c>
      <c r="AO76" s="546">
        <f>+Global!AO134</f>
        <v>0.98027161232292503</v>
      </c>
      <c r="AP76" s="546">
        <f>+Global!AP134</f>
        <v>0.9793687411873887</v>
      </c>
      <c r="AQ76" s="546">
        <f>+Global!AQ134</f>
        <v>0.97861665184319746</v>
      </c>
      <c r="AR76" s="546">
        <f>+Global!AR134</f>
        <v>0.97801160798298425</v>
      </c>
      <c r="AS76" s="546">
        <f>+Global!AS134</f>
        <v>0.9775499633424215</v>
      </c>
      <c r="AT76" s="546">
        <f>+Global!AT134</f>
        <v>0.97722815953226028</v>
      </c>
      <c r="AU76" s="546">
        <f>+Global!AU134</f>
        <v>0.97704272392256564</v>
      </c>
      <c r="AV76" s="546">
        <f>+Global!AV134</f>
        <v>0.97699026757789209</v>
      </c>
      <c r="AW76" s="546">
        <f>+Global!AW134</f>
        <v>0.97706748324217174</v>
      </c>
      <c r="AX76" s="546">
        <f>+Global!AX134</f>
        <v>0.97727114337211818</v>
      </c>
      <c r="AY76" s="546">
        <f>+Global!AY134</f>
        <v>0.97759809821797994</v>
      </c>
      <c r="AZ76" s="546">
        <f>+Global!AZ134</f>
        <v>0.97804527395049989</v>
      </c>
      <c r="BA76" s="546">
        <f>+Global!BA134</f>
        <v>0.97860967083297234</v>
      </c>
      <c r="BB76" s="546">
        <f>+Global!BB134</f>
        <v>0.97928836143730869</v>
      </c>
      <c r="BC76" s="546">
        <f>+Global!BC134</f>
        <v>0.98007848890305393</v>
      </c>
      <c r="BD76" s="546">
        <f>+Global!BD134</f>
        <v>0.98097726523831963</v>
      </c>
      <c r="BE76" s="546">
        <f>+Global!BE134</f>
        <v>0.98198196966162299</v>
      </c>
      <c r="BF76" s="546">
        <f>+Global!BF134</f>
        <v>0.98308994698364871</v>
      </c>
      <c r="BG76" s="546">
        <f>+Global!BG134</f>
        <v>0.98429860602797281</v>
      </c>
      <c r="BH76" s="546">
        <f>+Global!BH134</f>
        <v>0.98560541808980695</v>
      </c>
      <c r="BI76" s="546">
        <f>+Global!BI134</f>
        <v>0.98700791543185284</v>
      </c>
      <c r="BJ76" s="546">
        <f>+Global!BJ79</f>
        <v>0.98850368981636905</v>
      </c>
      <c r="BK76" s="546">
        <f>+Global!BK79</f>
        <v>0.9900903910725809</v>
      </c>
      <c r="BL76" s="546">
        <f>+Global!BL79</f>
        <v>0.99176572569858124</v>
      </c>
      <c r="BM76" s="546">
        <f>+Global!BM79</f>
        <v>0.99352745549689248</v>
      </c>
      <c r="BN76" s="546">
        <f>+Global!BN79</f>
        <v>0.99537339624287846</v>
      </c>
      <c r="BO76" s="546">
        <f>+Global!BO79</f>
        <v>0.9973014163852163</v>
      </c>
      <c r="BP76" s="546">
        <f>+Global!BP79</f>
        <v>0.99930943577765674</v>
      </c>
      <c r="BQ76" s="546">
        <f>+Global!BQ79</f>
        <v>1.0013954244413168</v>
      </c>
      <c r="BR76" s="546">
        <f>+Global!BR79</f>
        <v>1.0035574013567734</v>
      </c>
      <c r="BS76" s="546">
        <f>+Global!BS79</f>
        <v>1.0057934332852394</v>
      </c>
      <c r="BT76" s="546">
        <f>+Global!BT79</f>
        <v>1.0081016336181181</v>
      </c>
      <c r="BU76" s="546">
        <f>+Global!BU79</f>
        <v>1.0104801612542595</v>
      </c>
      <c r="BV76" s="546">
        <f>+Global!BV79</f>
        <v>1.0129272195042465</v>
      </c>
      <c r="BW76" s="546">
        <f>+Global!BW79</f>
        <v>1.0154410550210611</v>
      </c>
      <c r="BX76" s="546">
        <f>+Global!BX79</f>
        <v>1.0180199567564974</v>
      </c>
      <c r="BY76" s="546">
        <f>+Global!BY79</f>
        <v>1.0206622549426996</v>
      </c>
      <c r="BZ76" s="546">
        <f>+Global!BZ79</f>
        <v>1.0233663200982199</v>
      </c>
      <c r="CA76" s="546">
        <f>+Global!CA79</f>
        <v>1.0261305620580088</v>
      </c>
      <c r="CB76" s="546">
        <f>+Global!CB79</f>
        <v>1.0289534290267566</v>
      </c>
      <c r="CC76" s="546">
        <f>+Global!CC79</f>
        <v>1.0318334066550303</v>
      </c>
      <c r="CD76" s="546">
        <f>+Global!CD79</f>
        <v>1.0347690171376509</v>
      </c>
      <c r="CE76" s="546">
        <f>+Global!CE79</f>
        <v>1.0377588183337787</v>
      </c>
      <c r="CF76" s="546">
        <f>+Global!CF79</f>
        <v>1.0408014029081856</v>
      </c>
      <c r="CG76" s="546">
        <f>+Global!CG79</f>
        <v>1.0438953974931997</v>
      </c>
      <c r="CH76" s="546">
        <f>+Global!CH79</f>
        <v>1.0470394618708287</v>
      </c>
      <c r="CI76" s="546">
        <f>+Global!CI79</f>
        <v>1.0502322881745747</v>
      </c>
      <c r="CJ76" s="546">
        <f>+Global!CJ79</f>
        <v>1.0534726001104646</v>
      </c>
      <c r="CK76" s="546">
        <f>+Global!CK79</f>
        <v>1.0567591521968382</v>
      </c>
      <c r="CL76" s="546">
        <f>+Global!CL79</f>
        <v>1.060090729022436</v>
      </c>
      <c r="CM76" s="546">
        <f>+Global!CM79</f>
        <v>1.063466144522351</v>
      </c>
      <c r="CN76" s="546">
        <f>+Global!CN79</f>
        <v>1.0668842412714143</v>
      </c>
      <c r="CO76" s="546">
        <f>+Global!CO79</f>
        <v>1.0703438897945896</v>
      </c>
      <c r="CP76" s="546">
        <f>+Global!CP79</f>
        <v>1.0738439878939747</v>
      </c>
      <c r="CQ76" s="546">
        <f>+Global!CQ79</f>
        <v>1.0773834599920038</v>
      </c>
      <c r="CR76" s="546">
        <f>+Global!CR79</f>
        <v>1.080961256490464</v>
      </c>
      <c r="CS76" s="546">
        <f>+Global!CS79</f>
        <v>1.0845763531449437</v>
      </c>
      <c r="CT76" s="546">
        <f>+Global!CT79</f>
        <v>1.0882277504543425</v>
      </c>
      <c r="CU76" s="546">
        <f>+Global!CU79</f>
        <v>1.0919144730650792</v>
      </c>
      <c r="CV76" s="546">
        <f>+Global!CV79</f>
        <v>1.095635569189644</v>
      </c>
      <c r="CW76" s="546">
        <f>+Global!CW79</f>
        <v>1.0993901100391505</v>
      </c>
      <c r="CX76" s="546">
        <f>+Global!CX79</f>
        <v>1.1031771892695481</v>
      </c>
      <c r="CY76" s="546">
        <f>+Global!CY79</f>
        <v>1.1069959224411692</v>
      </c>
      <c r="CZ76" s="546"/>
      <c r="DA76" s="546"/>
    </row>
    <row r="77" spans="1:105" s="544" customFormat="1" ht="11" x14ac:dyDescent="0.15">
      <c r="A77" s="546" t="str">
        <f>+Global!A135</f>
        <v>TE, G&amp;SIC, GIS. AIS</v>
      </c>
      <c r="B77" s="546">
        <f>+Global!B135</f>
        <v>0.12036101040599263</v>
      </c>
      <c r="C77" s="546">
        <f>+Global!C135</f>
        <v>0.1396047102233087</v>
      </c>
      <c r="D77" s="546">
        <f>+Global!D135</f>
        <v>0.16199024832191464</v>
      </c>
      <c r="E77" s="546">
        <f>+Global!E135</f>
        <v>0.18442934013857976</v>
      </c>
      <c r="F77" s="546">
        <f>+Global!F135</f>
        <v>0.20851621384843474</v>
      </c>
      <c r="G77" s="546">
        <f>+Global!G135</f>
        <v>0.23531738545888586</v>
      </c>
      <c r="H77" s="546">
        <f>+Global!H135</f>
        <v>0.25939736296545618</v>
      </c>
      <c r="I77" s="546">
        <f>+Global!I135</f>
        <v>0.28614696841074205</v>
      </c>
      <c r="J77" s="546">
        <f>+Global!J135</f>
        <v>0.31568763815937667</v>
      </c>
      <c r="K77" s="546">
        <f>+Global!K135</f>
        <v>0.34008672693126701</v>
      </c>
      <c r="L77" s="546">
        <f>+Global!L135</f>
        <v>0.36448566789628134</v>
      </c>
      <c r="M77" s="546">
        <f>+Global!M135</f>
        <v>0.38606246874644762</v>
      </c>
      <c r="N77" s="546">
        <f>+Global!N135</f>
        <v>0.40946507716200242</v>
      </c>
      <c r="O77" s="546">
        <f>+Global!O135</f>
        <v>0.4323000049681523</v>
      </c>
      <c r="P77" s="546">
        <f>+Global!P135</f>
        <v>0.45291477732356833</v>
      </c>
      <c r="Q77" s="546">
        <f>+Global!Q135</f>
        <v>0.47615083771973099</v>
      </c>
      <c r="R77" s="546">
        <f>+Global!R135</f>
        <v>0.49841130186329574</v>
      </c>
      <c r="S77" s="546">
        <f>+Global!S135</f>
        <v>0.520746545695699</v>
      </c>
      <c r="T77" s="546">
        <f>+Global!T135</f>
        <v>0.54032476069682556</v>
      </c>
      <c r="U77" s="546">
        <f>+Global!U135</f>
        <v>0.5618490429323606</v>
      </c>
      <c r="V77" s="546">
        <f>+Global!V135</f>
        <v>0.58444655296217185</v>
      </c>
      <c r="W77" s="546">
        <f>+Global!W135</f>
        <v>0.60452669534776471</v>
      </c>
      <c r="X77" s="546">
        <f>+Global!X135</f>
        <v>0.62511084267662242</v>
      </c>
      <c r="Y77" s="546">
        <f>+Global!Y135</f>
        <v>0.64598178935680517</v>
      </c>
      <c r="Z77" s="546">
        <f>+Global!Z135</f>
        <v>0.66770056879699846</v>
      </c>
      <c r="AA77" s="546">
        <f>+Global!AA135</f>
        <v>0.69213504883916244</v>
      </c>
      <c r="AB77" s="546">
        <f>+Global!AB135</f>
        <v>0.71822098534897605</v>
      </c>
      <c r="AC77" s="546">
        <f>+Global!AC135</f>
        <v>0.74213832796905577</v>
      </c>
      <c r="AD77" s="546">
        <f>+Global!AD135</f>
        <v>0.76434424193450368</v>
      </c>
      <c r="AE77" s="546">
        <f>+Global!AE135</f>
        <v>0.78857744596718893</v>
      </c>
      <c r="AF77" s="546">
        <f>+Global!AF135</f>
        <v>0.81292607072554124</v>
      </c>
      <c r="AG77" s="546">
        <f>+Global!AG135</f>
        <v>0.83395118260620404</v>
      </c>
      <c r="AH77" s="546">
        <f>+Global!AH135</f>
        <v>0.85536135769135313</v>
      </c>
      <c r="AI77" s="546">
        <f>+Global!AI135</f>
        <v>0.881397764987363</v>
      </c>
      <c r="AJ77" s="546">
        <f>+Global!AJ135</f>
        <v>0.88160641131686601</v>
      </c>
      <c r="AK77" s="546">
        <f>+Global!AK135</f>
        <v>0.88199027649951112</v>
      </c>
      <c r="AL77" s="546">
        <f>+Global!AL135</f>
        <v>0.88254503535322093</v>
      </c>
      <c r="AM77" s="546">
        <f>+Global!AM135</f>
        <v>0.88326646691721866</v>
      </c>
      <c r="AN77" s="546">
        <f>+Global!AN135</f>
        <v>0.8841504519427098</v>
      </c>
      <c r="AO77" s="546">
        <f>+Global!AO135</f>
        <v>0.88519297044397816</v>
      </c>
      <c r="AP77" s="546">
        <f>+Global!AP135</f>
        <v>0.88639009930844181</v>
      </c>
      <c r="AQ77" s="546">
        <f>+Global!AQ135</f>
        <v>0.88773800996425056</v>
      </c>
      <c r="AR77" s="546">
        <f>+Global!AR135</f>
        <v>0.88923296610403746</v>
      </c>
      <c r="AS77" s="546">
        <f>+Global!AS135</f>
        <v>0.8908713214634747</v>
      </c>
      <c r="AT77" s="546">
        <f>+Global!AT135</f>
        <v>0.89264951765331346</v>
      </c>
      <c r="AU77" s="546">
        <f>+Global!AU135</f>
        <v>0.89456408204361881</v>
      </c>
      <c r="AV77" s="546">
        <f>+Global!AV135</f>
        <v>0.89661162569894526</v>
      </c>
      <c r="AW77" s="546">
        <f>+Global!AW135</f>
        <v>0.8987888413632249</v>
      </c>
      <c r="AX77" s="546">
        <f>+Global!AX135</f>
        <v>0.90109250149317133</v>
      </c>
      <c r="AY77" s="546">
        <f>+Global!AY135</f>
        <v>0.90351945633903308</v>
      </c>
      <c r="AZ77" s="546">
        <f>+Global!AZ135</f>
        <v>0.90606663207155314</v>
      </c>
      <c r="BA77" s="546">
        <f>+Global!BA135</f>
        <v>0.90873102895402558</v>
      </c>
      <c r="BB77" s="546">
        <f>+Global!BB135</f>
        <v>0.91150971955836191</v>
      </c>
      <c r="BC77" s="546">
        <f>+Global!BC135</f>
        <v>0.91439984702410715</v>
      </c>
      <c r="BD77" s="546">
        <f>+Global!BD135</f>
        <v>0.91739862335937283</v>
      </c>
      <c r="BE77" s="546">
        <f>+Global!BE135</f>
        <v>0.92050332778267618</v>
      </c>
      <c r="BF77" s="546">
        <f>+Global!BF135</f>
        <v>0.9237113051047019</v>
      </c>
      <c r="BG77" s="546">
        <f>+Global!BG135</f>
        <v>0.92701996414902599</v>
      </c>
      <c r="BH77" s="546">
        <f>+Global!BH135</f>
        <v>0.93042677621086012</v>
      </c>
      <c r="BI77" s="546">
        <f>+Global!BI135</f>
        <v>0.933929273552906</v>
      </c>
      <c r="BJ77" s="546">
        <f>+Global!BJ80</f>
        <v>0.9375250479374222</v>
      </c>
      <c r="BK77" s="546">
        <f>+Global!BK80</f>
        <v>0.94121174919363404</v>
      </c>
      <c r="BL77" s="546">
        <f>+Global!BL80</f>
        <v>0.94498708381963437</v>
      </c>
      <c r="BM77" s="546">
        <f>+Global!BM80</f>
        <v>0.94884881361794571</v>
      </c>
      <c r="BN77" s="546">
        <f>+Global!BN80</f>
        <v>0.95279475436393168</v>
      </c>
      <c r="BO77" s="546">
        <f>+Global!BO80</f>
        <v>0.95682277450626951</v>
      </c>
      <c r="BP77" s="546">
        <f>+Global!BP80</f>
        <v>0.96093079389870995</v>
      </c>
      <c r="BQ77" s="546">
        <f>+Global!BQ80</f>
        <v>0.96511678256236999</v>
      </c>
      <c r="BR77" s="546">
        <f>+Global!BR80</f>
        <v>0.96937875947782659</v>
      </c>
      <c r="BS77" s="546">
        <f>+Global!BS80</f>
        <v>0.97371479140629258</v>
      </c>
      <c r="BT77" s="546">
        <f>+Global!BT80</f>
        <v>0.97812299173917128</v>
      </c>
      <c r="BU77" s="546">
        <f>+Global!BU80</f>
        <v>0.9826015193753127</v>
      </c>
      <c r="BV77" s="546">
        <f>+Global!BV80</f>
        <v>0.98714857762529962</v>
      </c>
      <c r="BW77" s="546">
        <f>+Global!BW80</f>
        <v>0.99176241314211422</v>
      </c>
      <c r="BX77" s="546">
        <f>+Global!BX80</f>
        <v>0.9964413148775505</v>
      </c>
      <c r="BY77" s="546">
        <f>+Global!BY80</f>
        <v>1.0011836130637528</v>
      </c>
      <c r="BZ77" s="546">
        <f>+Global!BZ80</f>
        <v>1.0059876782192732</v>
      </c>
      <c r="CA77" s="546">
        <f>+Global!CA80</f>
        <v>1.010851920179062</v>
      </c>
      <c r="CB77" s="546">
        <f>+Global!CB80</f>
        <v>1.0157747871478098</v>
      </c>
      <c r="CC77" s="546">
        <f>+Global!CC80</f>
        <v>1.0207547647760835</v>
      </c>
      <c r="CD77" s="546">
        <f>+Global!CD80</f>
        <v>1.0257903752587041</v>
      </c>
      <c r="CE77" s="546">
        <f>+Global!CE80</f>
        <v>1.0308801764548319</v>
      </c>
      <c r="CF77" s="546">
        <f>+Global!CF80</f>
        <v>1.0360227610292387</v>
      </c>
      <c r="CG77" s="546">
        <f>+Global!CG80</f>
        <v>1.0412167556142529</v>
      </c>
      <c r="CH77" s="546">
        <f>+Global!CH80</f>
        <v>1.0464608199918819</v>
      </c>
      <c r="CI77" s="546">
        <f>+Global!CI80</f>
        <v>1.0517536462956278</v>
      </c>
      <c r="CJ77" s="546">
        <f>+Global!CJ80</f>
        <v>1.0570939582315177</v>
      </c>
      <c r="CK77" s="546">
        <f>+Global!CK80</f>
        <v>1.0624805103178914</v>
      </c>
      <c r="CL77" s="546">
        <f>+Global!CL80</f>
        <v>1.0679120871434891</v>
      </c>
      <c r="CM77" s="546">
        <f>+Global!CM80</f>
        <v>1.0733875026434041</v>
      </c>
      <c r="CN77" s="546">
        <f>+Global!CN80</f>
        <v>1.0789055993924674</v>
      </c>
      <c r="CO77" s="546">
        <f>+Global!CO80</f>
        <v>1.0844652479156427</v>
      </c>
      <c r="CP77" s="546">
        <f>+Global!CP80</f>
        <v>1.0900653460150278</v>
      </c>
      <c r="CQ77" s="546">
        <f>+Global!CQ80</f>
        <v>1.0957048181130569</v>
      </c>
      <c r="CR77" s="546">
        <f>+Global!CR80</f>
        <v>1.1013826146115173</v>
      </c>
      <c r="CS77" s="546">
        <f>+Global!CS80</f>
        <v>1.107097711265997</v>
      </c>
      <c r="CT77" s="546">
        <f>+Global!CT80</f>
        <v>1.1128491085753958</v>
      </c>
      <c r="CU77" s="546">
        <f>+Global!CU80</f>
        <v>1.1186358311861324</v>
      </c>
      <c r="CV77" s="546">
        <f>+Global!CV80</f>
        <v>1.1244569273106972</v>
      </c>
      <c r="CW77" s="546">
        <f>+Global!CW80</f>
        <v>1.1303114681602038</v>
      </c>
      <c r="CX77" s="546">
        <f>+Global!CX80</f>
        <v>1.1361985473906013</v>
      </c>
      <c r="CY77" s="546">
        <f>+Global!CY80</f>
        <v>1.1421172805622224</v>
      </c>
      <c r="CZ77" s="546"/>
      <c r="DA77" s="546"/>
    </row>
    <row r="78" spans="1:105" s="544" customFormat="1" ht="11" x14ac:dyDescent="0.15">
      <c r="A78" s="546" t="str">
        <f>+Global!A408</f>
        <v>pop wtd MU</v>
      </c>
      <c r="B78" s="546">
        <f>+Global!B408</f>
        <v>566.80211227031236</v>
      </c>
      <c r="C78" s="546">
        <f>+Global!C408</f>
        <v>546.78333493592322</v>
      </c>
      <c r="D78" s="546">
        <f>+Global!D408</f>
        <v>550.85476055890467</v>
      </c>
      <c r="E78" s="546">
        <f>+Global!E408</f>
        <v>552.33419788226809</v>
      </c>
      <c r="F78" s="546">
        <f>+Global!F408</f>
        <v>540.1384968484814</v>
      </c>
      <c r="G78" s="546">
        <f>+Global!G408</f>
        <v>505.20495970303051</v>
      </c>
      <c r="H78" s="546">
        <f>+Global!H408</f>
        <v>463.00591142932376</v>
      </c>
      <c r="I78" s="546">
        <f>+Global!I408</f>
        <v>441.55826319259137</v>
      </c>
      <c r="J78" s="546">
        <f>+Global!J408</f>
        <v>429.59961813944784</v>
      </c>
      <c r="K78" s="546">
        <f>+Global!K408</f>
        <v>395.02459132574273</v>
      </c>
      <c r="L78" s="546">
        <f>+Global!L408</f>
        <v>365.74649932718751</v>
      </c>
      <c r="M78" s="546">
        <f>+Global!M408</f>
        <v>335.13957842421769</v>
      </c>
      <c r="N78" s="546">
        <f>+Global!N408</f>
        <v>305.4135402811367</v>
      </c>
      <c r="O78" s="546">
        <f>+Global!O408</f>
        <v>272.11202325740516</v>
      </c>
      <c r="P78" s="546">
        <f>+Global!P408</f>
        <v>239.39575759798942</v>
      </c>
      <c r="Q78" s="546">
        <f>+Global!Q408</f>
        <v>211.94137522921437</v>
      </c>
      <c r="R78" s="546">
        <f>+Global!R408</f>
        <v>186.68320892364352</v>
      </c>
      <c r="S78" s="546">
        <f>+Global!S408</f>
        <v>164.51514316888046</v>
      </c>
      <c r="T78" s="546">
        <f>+Global!T408</f>
        <v>149.52481958857311</v>
      </c>
      <c r="U78" s="546">
        <f>+Global!U408</f>
        <v>137.23182271570437</v>
      </c>
      <c r="V78" s="546">
        <f>+Global!V408</f>
        <v>123.19075940304926</v>
      </c>
      <c r="W78" s="546">
        <f>+Global!W408</f>
        <v>116.01185436957132</v>
      </c>
      <c r="X78" s="546">
        <f>+Global!X408</f>
        <v>108.48676746295043</v>
      </c>
      <c r="Y78" s="546">
        <f>+Global!Y408</f>
        <v>102.12116009552422</v>
      </c>
      <c r="Z78" s="546">
        <f>+Global!Z408</f>
        <v>95.956153724721574</v>
      </c>
      <c r="AA78" s="546">
        <f>+Global!AA408</f>
        <v>90.421708262780115</v>
      </c>
      <c r="AB78" s="546">
        <f>+Global!AB408</f>
        <v>85.717820360094294</v>
      </c>
      <c r="AC78" s="546">
        <f>+Global!AC408</f>
        <v>80.93564535545228</v>
      </c>
      <c r="AD78" s="546">
        <f>+Global!AD408</f>
        <v>76.634550011559753</v>
      </c>
      <c r="AE78" s="546">
        <f>+Global!AE408</f>
        <v>73.879064258885123</v>
      </c>
      <c r="AF78" s="546">
        <f>+Global!AF408</f>
        <v>77.826957413947468</v>
      </c>
      <c r="AG78" s="546"/>
      <c r="AH78" s="546"/>
      <c r="AI78" s="546"/>
      <c r="AJ78" s="546"/>
      <c r="AK78" s="546"/>
      <c r="AL78" s="546"/>
      <c r="AM78" s="546"/>
      <c r="AN78" s="546"/>
      <c r="AO78" s="546"/>
      <c r="AP78" s="546"/>
      <c r="AQ78" s="546"/>
      <c r="AR78" s="546"/>
      <c r="AS78" s="546"/>
      <c r="AT78" s="546"/>
      <c r="AU78" s="546"/>
      <c r="AV78" s="546"/>
      <c r="AW78" s="546"/>
      <c r="AX78" s="546"/>
      <c r="AY78" s="546"/>
      <c r="AZ78" s="546"/>
      <c r="BA78" s="546"/>
      <c r="BB78" s="546"/>
      <c r="BC78" s="546"/>
      <c r="BD78" s="546"/>
      <c r="BE78" s="546"/>
      <c r="BF78" s="546"/>
      <c r="BG78" s="546"/>
      <c r="BH78" s="546"/>
      <c r="BI78" s="546"/>
      <c r="BJ78" s="546"/>
      <c r="BK78" s="546"/>
      <c r="BL78" s="546"/>
      <c r="BM78" s="546"/>
      <c r="BN78" s="546"/>
      <c r="BO78" s="546"/>
      <c r="BP78" s="546"/>
      <c r="BQ78" s="546"/>
      <c r="BR78" s="546"/>
      <c r="BS78" s="546"/>
      <c r="BT78" s="546"/>
      <c r="BU78" s="546"/>
      <c r="BV78" s="546"/>
      <c r="BW78" s="546"/>
      <c r="BX78" s="546"/>
      <c r="BY78" s="546"/>
      <c r="BZ78" s="546"/>
      <c r="CA78" s="546"/>
      <c r="CB78" s="546"/>
      <c r="CC78" s="546"/>
      <c r="CD78" s="546"/>
      <c r="CE78" s="546"/>
      <c r="CF78" s="546"/>
      <c r="CG78" s="546"/>
      <c r="CH78" s="546"/>
      <c r="CI78" s="546"/>
      <c r="CJ78" s="546"/>
      <c r="CK78" s="546"/>
      <c r="CL78" s="546"/>
      <c r="CM78" s="546"/>
      <c r="CN78" s="546"/>
      <c r="CO78" s="546"/>
      <c r="CP78" s="546"/>
      <c r="CQ78" s="546"/>
      <c r="CR78" s="546"/>
      <c r="CS78" s="546"/>
      <c r="CT78" s="546"/>
      <c r="CU78" s="546"/>
      <c r="CV78" s="546"/>
      <c r="CW78" s="546"/>
      <c r="CX78" s="546"/>
      <c r="CY78" s="546"/>
      <c r="CZ78" s="546"/>
      <c r="DA78" s="546"/>
    </row>
    <row r="79" spans="1:105" s="544" customFormat="1" ht="11" x14ac:dyDescent="0.15">
      <c r="A79" s="546" t="str">
        <f>+Global!A409</f>
        <v>st dev MU/mean</v>
      </c>
      <c r="B79" s="546">
        <f>+Global!B409</f>
        <v>1.5811901624068094</v>
      </c>
      <c r="C79" s="546">
        <f>+Global!C409</f>
        <v>1.3969989667867544</v>
      </c>
      <c r="D79" s="546">
        <f>+Global!D409</f>
        <v>1.3426181106397974</v>
      </c>
      <c r="E79" s="546">
        <f>+Global!E409</f>
        <v>1.3136840091847513</v>
      </c>
      <c r="F79" s="546">
        <f>+Global!F409</f>
        <v>1.2985905363688983</v>
      </c>
      <c r="G79" s="546">
        <f>+Global!G409</f>
        <v>1.3151119736832868</v>
      </c>
      <c r="H79" s="546">
        <f>+Global!H409</f>
        <v>1.3150123284754516</v>
      </c>
      <c r="I79" s="546">
        <f>+Global!I409</f>
        <v>1.329620360757797</v>
      </c>
      <c r="J79" s="546">
        <f>+Global!J409</f>
        <v>1.3257716007691693</v>
      </c>
      <c r="K79" s="546">
        <f>+Global!K409</f>
        <v>1.3043637027271344</v>
      </c>
      <c r="L79" s="546">
        <f>+Global!L409</f>
        <v>1.3203810834664866</v>
      </c>
      <c r="M79" s="546">
        <f>+Global!M409</f>
        <v>1.3072826191667268</v>
      </c>
      <c r="N79" s="546">
        <f>+Global!N409</f>
        <v>1.2982547960803401</v>
      </c>
      <c r="O79" s="546">
        <f>+Global!O409</f>
        <v>1.2921985385558008</v>
      </c>
      <c r="P79" s="546">
        <f>+Global!P409</f>
        <v>1.2914291743848827</v>
      </c>
      <c r="Q79" s="546">
        <f>+Global!Q409</f>
        <v>1.2829009382347729</v>
      </c>
      <c r="R79" s="546">
        <f>+Global!R409</f>
        <v>1.2787930441117652</v>
      </c>
      <c r="S79" s="546">
        <f>+Global!S409</f>
        <v>1.2763052575932303</v>
      </c>
      <c r="T79" s="546">
        <f>+Global!T409</f>
        <v>1.2701135729059778</v>
      </c>
      <c r="U79" s="546">
        <f>+Global!U409</f>
        <v>1.2427648720645343</v>
      </c>
      <c r="V79" s="546">
        <f>+Global!V409</f>
        <v>1.2371650476883242</v>
      </c>
      <c r="W79" s="546">
        <f>+Global!W409</f>
        <v>1.2535722364742841</v>
      </c>
      <c r="X79" s="546">
        <f>+Global!X409</f>
        <v>1.2480381263455633</v>
      </c>
      <c r="Y79" s="546">
        <f>+Global!Y409</f>
        <v>1.2469175014130209</v>
      </c>
      <c r="Z79" s="546">
        <f>+Global!Z409</f>
        <v>1.2455137165267811</v>
      </c>
      <c r="AA79" s="546">
        <f>+Global!AA409</f>
        <v>1.2435571979821658</v>
      </c>
      <c r="AB79" s="546">
        <f>+Global!AB409</f>
        <v>1.2529625368589123</v>
      </c>
      <c r="AC79" s="546">
        <f>+Global!AC409</f>
        <v>1.2541304016449288</v>
      </c>
      <c r="AD79" s="546">
        <f>+Global!AD409</f>
        <v>1.258074588423856</v>
      </c>
      <c r="AE79" s="546">
        <f>+Global!AE409</f>
        <v>1.259777380733363</v>
      </c>
      <c r="AF79" s="546">
        <f>+Global!AF409</f>
        <v>1.2504318867084654</v>
      </c>
      <c r="AG79" s="546"/>
      <c r="AH79" s="546"/>
      <c r="AI79" s="546"/>
      <c r="AJ79" s="546"/>
      <c r="AK79" s="546"/>
      <c r="AL79" s="546"/>
      <c r="AM79" s="546"/>
      <c r="AN79" s="546"/>
      <c r="AO79" s="546"/>
      <c r="AP79" s="546"/>
      <c r="AQ79" s="546"/>
      <c r="AR79" s="546"/>
      <c r="AS79" s="546"/>
      <c r="AT79" s="546"/>
      <c r="AU79" s="546"/>
      <c r="AV79" s="546"/>
      <c r="AW79" s="546"/>
      <c r="AX79" s="546"/>
      <c r="AY79" s="546"/>
      <c r="AZ79" s="546"/>
      <c r="BA79" s="546"/>
      <c r="BB79" s="546"/>
      <c r="BC79" s="546"/>
      <c r="BD79" s="546"/>
      <c r="BE79" s="546"/>
      <c r="BF79" s="546"/>
      <c r="BG79" s="546"/>
      <c r="BH79" s="546"/>
      <c r="BI79" s="546"/>
      <c r="BJ79" s="546"/>
      <c r="BK79" s="546"/>
      <c r="BL79" s="546"/>
      <c r="BM79" s="546"/>
      <c r="BN79" s="546"/>
      <c r="BO79" s="546"/>
      <c r="BP79" s="546"/>
      <c r="BQ79" s="546"/>
      <c r="BR79" s="546"/>
      <c r="BS79" s="546"/>
      <c r="BT79" s="546"/>
      <c r="BU79" s="546"/>
      <c r="BV79" s="546"/>
      <c r="BW79" s="546"/>
      <c r="BX79" s="546"/>
      <c r="BY79" s="546"/>
      <c r="BZ79" s="546"/>
      <c r="CA79" s="546"/>
      <c r="CB79" s="546"/>
      <c r="CC79" s="546"/>
      <c r="CD79" s="546"/>
      <c r="CE79" s="546"/>
      <c r="CF79" s="546"/>
      <c r="CG79" s="546"/>
      <c r="CH79" s="546"/>
      <c r="CI79" s="546"/>
      <c r="CJ79" s="546"/>
      <c r="CK79" s="546"/>
      <c r="CL79" s="546"/>
      <c r="CM79" s="546"/>
      <c r="CN79" s="546"/>
      <c r="CO79" s="546"/>
      <c r="CP79" s="546"/>
      <c r="CQ79" s="546"/>
      <c r="CR79" s="546"/>
      <c r="CS79" s="546"/>
      <c r="CT79" s="546"/>
      <c r="CU79" s="546"/>
      <c r="CV79" s="546"/>
      <c r="CW79" s="546"/>
      <c r="CX79" s="546"/>
      <c r="CY79" s="546"/>
      <c r="CZ79" s="546"/>
      <c r="DA79" s="546"/>
    </row>
    <row r="80" spans="1:105" s="544" customFormat="1" ht="11" x14ac:dyDescent="0.15">
      <c r="A80" s="546" t="str">
        <f>+Global!A410</f>
        <v>max/min MUC</v>
      </c>
      <c r="B80" s="546">
        <f>+Global!B410</f>
        <v>207.90579771611507</v>
      </c>
      <c r="C80" s="546">
        <f>+Global!C410</f>
        <v>158.63113655703069</v>
      </c>
      <c r="D80" s="546">
        <f>+Global!D410</f>
        <v>179.25270284745926</v>
      </c>
      <c r="E80" s="546">
        <f>+Global!E410</f>
        <v>198.98568056167929</v>
      </c>
      <c r="F80" s="546">
        <f>+Global!F410</f>
        <v>209.29843714713661</v>
      </c>
      <c r="G80" s="546">
        <f>+Global!G410</f>
        <v>210.3698875918802</v>
      </c>
      <c r="H80" s="546">
        <f>+Global!H410</f>
        <v>205.38121560371553</v>
      </c>
      <c r="I80" s="546">
        <f>+Global!I410</f>
        <v>212.99857556629391</v>
      </c>
      <c r="J80" s="546">
        <f>+Global!J410</f>
        <v>220.44466279149782</v>
      </c>
      <c r="K80" s="546">
        <f>+Global!K410</f>
        <v>209.9153822299466</v>
      </c>
      <c r="L80" s="546">
        <f>+Global!L410</f>
        <v>206.88896034240324</v>
      </c>
      <c r="M80" s="546">
        <f>+Global!M410</f>
        <v>183.77890135700969</v>
      </c>
      <c r="N80" s="546">
        <f>+Global!N410</f>
        <v>164.77066688296404</v>
      </c>
      <c r="O80" s="546">
        <f>+Global!O410</f>
        <v>151.17265656198489</v>
      </c>
      <c r="P80" s="546">
        <f>+Global!P410</f>
        <v>137.96472318154815</v>
      </c>
      <c r="Q80" s="546">
        <f>+Global!Q410</f>
        <v>125.17977815106916</v>
      </c>
      <c r="R80" s="546">
        <f>+Global!R410</f>
        <v>112.56657278626042</v>
      </c>
      <c r="S80" s="546">
        <f>+Global!S410</f>
        <v>101.34828853179933</v>
      </c>
      <c r="T80" s="546">
        <f>+Global!T410</f>
        <v>88.707440587099498</v>
      </c>
      <c r="U80" s="546">
        <f>+Global!U410</f>
        <v>74.959030182105749</v>
      </c>
      <c r="V80" s="546">
        <f>+Global!V410</f>
        <v>71.641744830902653</v>
      </c>
      <c r="W80" s="546">
        <f>+Global!W410</f>
        <v>69.003579255325008</v>
      </c>
      <c r="X80" s="546">
        <f>+Global!X410</f>
        <v>65.434052955909365</v>
      </c>
      <c r="Y80" s="546">
        <f>+Global!Y410</f>
        <v>63.729659077964115</v>
      </c>
      <c r="Z80" s="546">
        <f>+Global!Z410</f>
        <v>60.755018374507841</v>
      </c>
      <c r="AA80" s="546">
        <f>+Global!AA410</f>
        <v>59.276376408537047</v>
      </c>
      <c r="AB80" s="546">
        <f>+Global!AB410</f>
        <v>57.956781503043196</v>
      </c>
      <c r="AC80" s="546">
        <f>+Global!AC410</f>
        <v>56.299106174443729</v>
      </c>
      <c r="AD80" s="546">
        <f>+Global!AD410</f>
        <v>54.073914628244573</v>
      </c>
      <c r="AE80" s="546">
        <f>+Global!AE410</f>
        <v>51.603528130882289</v>
      </c>
      <c r="AF80" s="546">
        <f>+Global!AF410</f>
        <v>50.018867240580548</v>
      </c>
      <c r="AG80" s="546"/>
      <c r="AH80" s="546"/>
      <c r="AI80" s="546"/>
      <c r="AJ80" s="546"/>
      <c r="AK80" s="546"/>
      <c r="AL80" s="546"/>
      <c r="AM80" s="546"/>
      <c r="AN80" s="546"/>
      <c r="AO80" s="546"/>
      <c r="AP80" s="546"/>
      <c r="AQ80" s="546"/>
      <c r="AR80" s="546"/>
      <c r="AS80" s="546"/>
      <c r="AT80" s="546"/>
      <c r="AU80" s="546"/>
      <c r="AV80" s="546"/>
      <c r="AW80" s="546"/>
      <c r="AX80" s="546"/>
      <c r="AY80" s="546"/>
      <c r="AZ80" s="546"/>
      <c r="BA80" s="546"/>
      <c r="BB80" s="546"/>
      <c r="BC80" s="546"/>
      <c r="BD80" s="546"/>
      <c r="BE80" s="546"/>
      <c r="BF80" s="546"/>
      <c r="BG80" s="546"/>
      <c r="BH80" s="546"/>
      <c r="BI80" s="546"/>
      <c r="BJ80" s="546"/>
      <c r="BK80" s="546"/>
      <c r="BL80" s="546"/>
      <c r="BM80" s="546"/>
      <c r="BN80" s="546"/>
      <c r="BO80" s="546"/>
      <c r="BP80" s="546"/>
      <c r="BQ80" s="546"/>
      <c r="BR80" s="546"/>
      <c r="BS80" s="546"/>
      <c r="BT80" s="546"/>
      <c r="BU80" s="546"/>
      <c r="BV80" s="546"/>
      <c r="BW80" s="546"/>
      <c r="BX80" s="546"/>
      <c r="BY80" s="546"/>
      <c r="BZ80" s="546"/>
      <c r="CA80" s="546"/>
      <c r="CB80" s="546"/>
      <c r="CC80" s="546"/>
      <c r="CD80" s="546"/>
      <c r="CE80" s="546"/>
      <c r="CF80" s="546"/>
      <c r="CG80" s="546"/>
      <c r="CH80" s="546"/>
      <c r="CI80" s="546"/>
      <c r="CJ80" s="546"/>
      <c r="CK80" s="546"/>
      <c r="CL80" s="546"/>
      <c r="CM80" s="546"/>
      <c r="CN80" s="546"/>
      <c r="CO80" s="546"/>
      <c r="CP80" s="546"/>
      <c r="CQ80" s="546"/>
      <c r="CR80" s="546"/>
      <c r="CS80" s="546"/>
      <c r="CT80" s="546"/>
      <c r="CU80" s="546"/>
      <c r="CV80" s="546"/>
      <c r="CW80" s="546"/>
      <c r="CX80" s="546"/>
      <c r="CY80" s="546"/>
      <c r="CZ80" s="546"/>
      <c r="DA80" s="546"/>
    </row>
    <row r="81" spans="1:105" s="544" customFormat="1" ht="11" x14ac:dyDescent="0.15">
      <c r="A81" s="546" t="s">
        <v>1112</v>
      </c>
      <c r="B81" s="546">
        <f>+Global!B411</f>
        <v>285.81924012155361</v>
      </c>
      <c r="C81" s="546">
        <f>+Global!C411</f>
        <v>288.40197467489196</v>
      </c>
      <c r="D81" s="546">
        <f>+Global!D411</f>
        <v>294.55581418425982</v>
      </c>
      <c r="E81" s="546">
        <f>+Global!E411</f>
        <v>297.69148035699396</v>
      </c>
      <c r="F81" s="546">
        <f>+Global!F411</f>
        <v>291.11802293976569</v>
      </c>
      <c r="G81" s="546">
        <f>+Global!G411</f>
        <v>268.9900223416779</v>
      </c>
      <c r="H81" s="546">
        <f>+Global!H411</f>
        <v>245.66483296093517</v>
      </c>
      <c r="I81" s="546">
        <f>+Global!I411</f>
        <v>232.2344634160813</v>
      </c>
      <c r="J81" s="546">
        <f>+Global!J411</f>
        <v>223.50333468605433</v>
      </c>
      <c r="K81" s="546">
        <f>+Global!K411</f>
        <v>204.82109985193924</v>
      </c>
      <c r="L81" s="546">
        <f>+Global!L411</f>
        <v>188.4046862228663</v>
      </c>
      <c r="M81" s="546">
        <f>+Global!M411</f>
        <v>174.55810591779789</v>
      </c>
      <c r="N81" s="546">
        <f>+Global!N411</f>
        <v>160.74942270317024</v>
      </c>
      <c r="O81" s="546">
        <f>+Global!O411</f>
        <v>144.31399243635681</v>
      </c>
      <c r="P81" s="546">
        <f>+Global!P411</f>
        <v>127.64071484680501</v>
      </c>
      <c r="Q81" s="546">
        <f>+Global!Q411</f>
        <v>114.05660869449616</v>
      </c>
      <c r="R81" s="546">
        <f>+Global!R411</f>
        <v>101.27883399227544</v>
      </c>
      <c r="S81" s="546">
        <f>+Global!S411</f>
        <v>90.028137528845875</v>
      </c>
      <c r="T81" s="546">
        <f>+Global!T411</f>
        <v>82.58003486542151</v>
      </c>
      <c r="U81" s="546">
        <f>+Global!U411</f>
        <v>77.135992383148064</v>
      </c>
      <c r="V81" s="546">
        <f>+Global!V411</f>
        <v>69.795133959808496</v>
      </c>
      <c r="W81" s="546">
        <f>+Global!W411</f>
        <v>65.690674426629471</v>
      </c>
      <c r="X81" s="546">
        <f>+Global!X411</f>
        <v>61.72053624533671</v>
      </c>
      <c r="Y81" s="546">
        <f>+Global!Y411</f>
        <v>58.32224265816324</v>
      </c>
      <c r="Z81" s="546">
        <f>+Global!Z411</f>
        <v>55.023595762646444</v>
      </c>
      <c r="AA81" s="546">
        <f>+Global!AA411</f>
        <v>52.131204795304029</v>
      </c>
      <c r="AB81" s="546">
        <f>+Global!AB411</f>
        <v>49.51878020536072</v>
      </c>
      <c r="AC81" s="546">
        <f>+Global!AC411</f>
        <v>46.997782860065996</v>
      </c>
      <c r="AD81" s="546">
        <f>+Global!AD411</f>
        <v>44.696451783485308</v>
      </c>
      <c r="AE81" s="546">
        <f>+Global!AE411</f>
        <v>43.27477128081555</v>
      </c>
      <c r="AF81" s="546">
        <f>+Global!AF411</f>
        <v>45.707766044809453</v>
      </c>
      <c r="AG81" s="546"/>
      <c r="AH81" s="546"/>
      <c r="AI81" s="546"/>
      <c r="AJ81" s="546"/>
      <c r="AK81" s="546"/>
      <c r="AL81" s="546"/>
      <c r="AM81" s="546"/>
      <c r="AN81" s="546"/>
      <c r="AO81" s="546"/>
      <c r="AP81" s="546"/>
      <c r="AQ81" s="546"/>
      <c r="AR81" s="546"/>
      <c r="AS81" s="546"/>
      <c r="AT81" s="546"/>
      <c r="AU81" s="546"/>
      <c r="AV81" s="546"/>
      <c r="AW81" s="546"/>
      <c r="AX81" s="546"/>
      <c r="AY81" s="546"/>
      <c r="AZ81" s="546"/>
      <c r="BA81" s="546"/>
      <c r="BB81" s="546"/>
      <c r="BC81" s="546"/>
      <c r="BD81" s="546"/>
      <c r="BE81" s="546"/>
      <c r="BF81" s="546"/>
      <c r="BG81" s="546"/>
      <c r="BH81" s="546"/>
      <c r="BI81" s="546"/>
      <c r="BJ81" s="546"/>
      <c r="BK81" s="546"/>
      <c r="BL81" s="546"/>
      <c r="BM81" s="546"/>
      <c r="BN81" s="546"/>
      <c r="BO81" s="546"/>
      <c r="BP81" s="546"/>
      <c r="BQ81" s="546"/>
      <c r="BR81" s="546"/>
      <c r="BS81" s="546"/>
      <c r="BT81" s="546"/>
      <c r="BU81" s="546"/>
      <c r="BV81" s="546"/>
      <c r="BW81" s="546"/>
      <c r="BX81" s="546"/>
      <c r="BY81" s="546"/>
      <c r="BZ81" s="546"/>
      <c r="CA81" s="546"/>
      <c r="CB81" s="546"/>
      <c r="CC81" s="546"/>
      <c r="CD81" s="546"/>
      <c r="CE81" s="546"/>
      <c r="CF81" s="546"/>
      <c r="CG81" s="546"/>
      <c r="CH81" s="546"/>
      <c r="CI81" s="546"/>
      <c r="CJ81" s="546"/>
      <c r="CK81" s="546"/>
      <c r="CL81" s="546"/>
      <c r="CM81" s="546"/>
      <c r="CN81" s="546"/>
      <c r="CO81" s="546"/>
      <c r="CP81" s="546"/>
      <c r="CQ81" s="546"/>
      <c r="CR81" s="546"/>
      <c r="CS81" s="546"/>
      <c r="CT81" s="546"/>
      <c r="CU81" s="546"/>
      <c r="CV81" s="546"/>
      <c r="CW81" s="546"/>
      <c r="CX81" s="546"/>
      <c r="CY81" s="546"/>
      <c r="CZ81" s="546"/>
      <c r="DA81" s="54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Normal="100" workbookViewId="0">
      <pane xSplit="1" ySplit="7" topLeftCell="B25" activePane="bottomRight" state="frozen"/>
      <selection pane="topRight" activeCell="B1" sqref="B1"/>
      <selection pane="bottomLeft" activeCell="A7" sqref="A7"/>
      <selection pane="bottomRight" activeCell="C4" sqref="C4"/>
    </sheetView>
  </sheetViews>
  <sheetFormatPr baseColWidth="10" defaultColWidth="9.1640625" defaultRowHeight="13" x14ac:dyDescent="0.2"/>
  <cols>
    <col min="1" max="1" width="34.6640625" style="221" customWidth="1"/>
    <col min="2" max="2" width="11.33203125" style="221" customWidth="1"/>
    <col min="3" max="3" width="13" style="221" customWidth="1"/>
    <col min="4" max="4" width="11.83203125" style="221" customWidth="1"/>
    <col min="5" max="5" width="9.83203125" style="221" bestFit="1" customWidth="1"/>
    <col min="6" max="6" width="9.5" style="221" bestFit="1" customWidth="1"/>
    <col min="7" max="7" width="8.33203125" style="221" customWidth="1"/>
    <col min="8" max="9" width="9.5" style="221" bestFit="1" customWidth="1"/>
    <col min="10" max="10" width="9.83203125" style="221" bestFit="1" customWidth="1"/>
    <col min="11" max="11" width="12" style="221" bestFit="1" customWidth="1"/>
    <col min="12" max="12" width="12.83203125" style="221" bestFit="1" customWidth="1"/>
    <col min="13" max="13" width="15.1640625" style="221" bestFit="1" customWidth="1"/>
    <col min="14" max="14" width="16.83203125" style="221" bestFit="1" customWidth="1"/>
    <col min="15" max="15" width="19.1640625" style="221" bestFit="1" customWidth="1"/>
    <col min="16" max="16" width="22.33203125" style="221" bestFit="1" customWidth="1"/>
    <col min="17" max="372" width="9.33203125" style="221" bestFit="1" customWidth="1"/>
    <col min="373" max="16384" width="9.1640625" style="221"/>
  </cols>
  <sheetData>
    <row r="1" spans="1:61" ht="16" thickBot="1" x14ac:dyDescent="0.25">
      <c r="A1" s="472" t="s">
        <v>736</v>
      </c>
      <c r="C1" s="473" t="s">
        <v>954</v>
      </c>
      <c r="D1" s="473"/>
      <c r="I1" s="474">
        <v>1</v>
      </c>
    </row>
    <row r="2" spans="1:61" ht="16" thickBot="1" x14ac:dyDescent="0.25">
      <c r="A2" s="387" t="s">
        <v>272</v>
      </c>
      <c r="B2" s="226"/>
      <c r="C2" s="398" t="s">
        <v>966</v>
      </c>
      <c r="D2" s="473"/>
      <c r="I2" s="668">
        <v>1</v>
      </c>
    </row>
    <row r="3" spans="1:61" s="572" customFormat="1" ht="16" thickBot="1" x14ac:dyDescent="0.25">
      <c r="A3" s="571"/>
      <c r="B3" s="589"/>
      <c r="C3" s="596"/>
      <c r="D3" s="596"/>
      <c r="E3" s="596"/>
      <c r="I3" s="573"/>
    </row>
    <row r="4" spans="1:61" s="189" customFormat="1" ht="20.25" customHeight="1" x14ac:dyDescent="0.2">
      <c r="A4" s="240" t="s">
        <v>1032</v>
      </c>
      <c r="B4" s="368">
        <f>SUM(US:OthAsia!B95)</f>
        <v>-1286.367566184224</v>
      </c>
      <c r="C4" s="368">
        <v>2301.5179994214182</v>
      </c>
      <c r="D4" s="528">
        <f>+B4-C4</f>
        <v>-3587.8855656056421</v>
      </c>
      <c r="E4" s="221"/>
      <c r="G4" s="221"/>
      <c r="H4" s="221"/>
      <c r="I4" s="221"/>
      <c r="J4" s="221"/>
      <c r="K4" s="221"/>
      <c r="L4" s="221"/>
      <c r="M4" s="221"/>
      <c r="N4" s="221"/>
      <c r="O4" s="221"/>
    </row>
    <row r="5" spans="1:61" x14ac:dyDescent="0.2">
      <c r="B5" s="221">
        <v>1</v>
      </c>
      <c r="C5" s="221">
        <v>2</v>
      </c>
      <c r="D5" s="221">
        <v>3</v>
      </c>
      <c r="E5" s="221">
        <v>4</v>
      </c>
      <c r="F5" s="221">
        <v>5</v>
      </c>
      <c r="G5" s="221">
        <v>6</v>
      </c>
      <c r="H5" s="221">
        <v>7</v>
      </c>
      <c r="I5" s="221">
        <v>8</v>
      </c>
      <c r="J5" s="221">
        <v>9</v>
      </c>
      <c r="K5" s="221">
        <v>10</v>
      </c>
      <c r="L5" s="221">
        <v>11</v>
      </c>
      <c r="M5" s="221">
        <v>12</v>
      </c>
      <c r="N5" s="221">
        <v>13</v>
      </c>
      <c r="O5" s="221">
        <v>14</v>
      </c>
      <c r="P5" s="221">
        <v>15</v>
      </c>
      <c r="Q5" s="221">
        <v>16</v>
      </c>
      <c r="R5" s="221">
        <v>17</v>
      </c>
      <c r="S5" s="221">
        <v>18</v>
      </c>
      <c r="T5" s="221">
        <v>19</v>
      </c>
      <c r="U5" s="221">
        <v>20</v>
      </c>
      <c r="V5" s="221">
        <v>21</v>
      </c>
      <c r="W5" s="221">
        <v>22</v>
      </c>
      <c r="X5" s="221">
        <v>23</v>
      </c>
      <c r="Y5" s="221">
        <v>24</v>
      </c>
      <c r="Z5" s="221">
        <v>25</v>
      </c>
      <c r="AA5" s="221">
        <v>26</v>
      </c>
      <c r="AB5" s="221">
        <v>27</v>
      </c>
      <c r="AC5" s="221">
        <v>28</v>
      </c>
      <c r="AD5" s="221">
        <v>29</v>
      </c>
      <c r="AE5" s="221">
        <v>30</v>
      </c>
      <c r="AF5" s="221">
        <v>31</v>
      </c>
      <c r="AG5" s="221">
        <v>32</v>
      </c>
      <c r="AH5" s="221">
        <v>33</v>
      </c>
      <c r="AI5" s="221">
        <v>34</v>
      </c>
      <c r="AJ5" s="221">
        <v>35</v>
      </c>
      <c r="AK5" s="221">
        <v>36</v>
      </c>
      <c r="AL5" s="221">
        <v>37</v>
      </c>
      <c r="AM5" s="221">
        <v>38</v>
      </c>
      <c r="AN5" s="221">
        <v>39</v>
      </c>
      <c r="AO5" s="221">
        <v>40</v>
      </c>
      <c r="AP5" s="221">
        <v>41</v>
      </c>
      <c r="AQ5" s="221">
        <v>42</v>
      </c>
      <c r="AR5" s="221">
        <v>43</v>
      </c>
      <c r="AS5" s="221">
        <v>44</v>
      </c>
      <c r="AT5" s="221">
        <v>45</v>
      </c>
      <c r="AU5" s="221">
        <v>46</v>
      </c>
      <c r="AV5" s="221">
        <v>47</v>
      </c>
      <c r="AW5" s="221">
        <v>48</v>
      </c>
      <c r="AX5" s="221">
        <v>49</v>
      </c>
      <c r="AY5" s="221">
        <v>50</v>
      </c>
      <c r="AZ5" s="221">
        <v>51</v>
      </c>
      <c r="BA5" s="221">
        <v>52</v>
      </c>
      <c r="BB5" s="221">
        <v>53</v>
      </c>
      <c r="BC5" s="221">
        <v>54</v>
      </c>
      <c r="BD5" s="221">
        <v>55</v>
      </c>
      <c r="BE5" s="221">
        <v>56</v>
      </c>
      <c r="BF5" s="221">
        <v>57</v>
      </c>
      <c r="BG5" s="221">
        <v>58</v>
      </c>
      <c r="BH5" s="221">
        <v>59</v>
      </c>
      <c r="BI5" s="221">
        <v>60</v>
      </c>
    </row>
    <row r="6" spans="1:61" x14ac:dyDescent="0.2">
      <c r="B6" s="221">
        <v>2005</v>
      </c>
      <c r="C6" s="221">
        <v>2015</v>
      </c>
      <c r="D6" s="221">
        <v>2025</v>
      </c>
      <c r="E6" s="221">
        <v>2035</v>
      </c>
      <c r="F6" s="221">
        <v>2045</v>
      </c>
      <c r="G6" s="221">
        <v>2055</v>
      </c>
      <c r="H6" s="221">
        <v>2065</v>
      </c>
      <c r="I6" s="221">
        <v>2075</v>
      </c>
      <c r="J6" s="221">
        <v>2085</v>
      </c>
      <c r="K6" s="221">
        <v>2095</v>
      </c>
      <c r="L6" s="221">
        <v>2105</v>
      </c>
      <c r="M6" s="221">
        <v>2115</v>
      </c>
      <c r="N6" s="221">
        <v>2125</v>
      </c>
      <c r="O6" s="221">
        <v>2135</v>
      </c>
      <c r="P6" s="221">
        <v>2145</v>
      </c>
      <c r="Q6" s="221">
        <v>2155</v>
      </c>
      <c r="R6" s="221">
        <v>2165</v>
      </c>
      <c r="S6" s="221">
        <v>2175</v>
      </c>
      <c r="T6" s="221">
        <v>2185</v>
      </c>
      <c r="U6" s="221">
        <v>2195</v>
      </c>
      <c r="V6" s="221">
        <v>2205</v>
      </c>
      <c r="W6" s="221">
        <v>2215</v>
      </c>
      <c r="X6" s="221">
        <v>2225</v>
      </c>
      <c r="Y6" s="221">
        <v>2235</v>
      </c>
      <c r="Z6" s="221">
        <v>2245</v>
      </c>
      <c r="AA6" s="221">
        <v>2255</v>
      </c>
      <c r="AB6" s="221">
        <v>2265</v>
      </c>
      <c r="AC6" s="221">
        <v>2275</v>
      </c>
      <c r="AD6" s="221">
        <v>2285</v>
      </c>
      <c r="AE6" s="221">
        <v>2295</v>
      </c>
      <c r="AF6" s="221">
        <v>2305</v>
      </c>
      <c r="AG6" s="221">
        <v>2315</v>
      </c>
      <c r="AH6" s="221">
        <v>2325</v>
      </c>
      <c r="AI6" s="221">
        <v>2335</v>
      </c>
      <c r="AJ6" s="221">
        <v>2345</v>
      </c>
      <c r="AK6" s="221">
        <v>2355</v>
      </c>
      <c r="AL6" s="221">
        <v>2365</v>
      </c>
      <c r="AM6" s="221">
        <v>2375</v>
      </c>
      <c r="AN6" s="221">
        <v>2385</v>
      </c>
      <c r="AO6" s="221">
        <v>2395</v>
      </c>
      <c r="AP6" s="221">
        <v>2405</v>
      </c>
      <c r="AQ6" s="221">
        <v>2415</v>
      </c>
      <c r="AR6" s="221">
        <v>2425</v>
      </c>
      <c r="AS6" s="221">
        <v>2435</v>
      </c>
      <c r="AT6" s="221">
        <v>2445</v>
      </c>
      <c r="AU6" s="221">
        <v>2455</v>
      </c>
      <c r="AV6" s="221">
        <v>2465</v>
      </c>
      <c r="AW6" s="221">
        <v>2475</v>
      </c>
      <c r="AX6" s="221">
        <v>2485</v>
      </c>
      <c r="AY6" s="221">
        <v>2495</v>
      </c>
      <c r="AZ6" s="221">
        <v>2505</v>
      </c>
      <c r="BA6" s="221">
        <v>2515</v>
      </c>
      <c r="BB6" s="221">
        <v>2525</v>
      </c>
      <c r="BC6" s="221">
        <v>2535</v>
      </c>
      <c r="BD6" s="221">
        <v>2545</v>
      </c>
      <c r="BE6" s="221">
        <v>2555</v>
      </c>
      <c r="BF6" s="221">
        <v>2565</v>
      </c>
      <c r="BG6" s="221">
        <v>2575</v>
      </c>
      <c r="BH6" s="221">
        <v>2585</v>
      </c>
      <c r="BI6" s="221">
        <v>2595</v>
      </c>
    </row>
    <row r="7" spans="1:61" ht="18.75" customHeight="1" x14ac:dyDescent="0.2">
      <c r="A7" s="228" t="s">
        <v>733</v>
      </c>
      <c r="C7" s="565">
        <v>0</v>
      </c>
      <c r="D7" s="593"/>
    </row>
    <row r="8" spans="1:61" s="503" customFormat="1" ht="14.25" customHeight="1" x14ac:dyDescent="0.2">
      <c r="A8" s="501" t="s">
        <v>192</v>
      </c>
      <c r="B8" s="502">
        <f>+B9+B10</f>
        <v>1E-3</v>
      </c>
      <c r="C8" s="502">
        <f t="shared" ref="C8:M8" si="0">+C9+C10</f>
        <v>1E-3</v>
      </c>
      <c r="D8" s="502">
        <f t="shared" si="0"/>
        <v>1.0000000000000005E-3</v>
      </c>
      <c r="E8" s="502">
        <f t="shared" si="0"/>
        <v>1.000000000000023E-3</v>
      </c>
      <c r="F8" s="502">
        <f t="shared" si="0"/>
        <v>1.0000000000003001E-3</v>
      </c>
      <c r="G8" s="502">
        <f t="shared" si="0"/>
        <v>1.0000000000020112E-3</v>
      </c>
      <c r="H8" s="502">
        <f t="shared" si="0"/>
        <v>1.0000000000091702E-3</v>
      </c>
      <c r="I8" s="502">
        <f t="shared" si="0"/>
        <v>1.0000000000319844E-3</v>
      </c>
      <c r="J8" s="502">
        <f t="shared" si="0"/>
        <v>1.0000000000922251E-3</v>
      </c>
      <c r="K8" s="502">
        <f t="shared" si="0"/>
        <v>1.0000000002275561E-3</v>
      </c>
      <c r="L8" s="502">
        <f t="shared" si="0"/>
        <v>1.0000000005053185E-3</v>
      </c>
      <c r="M8" s="502">
        <f t="shared" si="0"/>
        <v>1.0000000010417327E-3</v>
      </c>
      <c r="N8" s="502">
        <f t="shared" ref="N8:Z8" si="1">+N9+N10</f>
        <v>1.0000000019921491E-3</v>
      </c>
      <c r="O8" s="502">
        <f t="shared" si="1"/>
        <v>1.0000000035927906E-3</v>
      </c>
      <c r="P8" s="502">
        <f t="shared" si="1"/>
        <v>1.0000000062096877E-3</v>
      </c>
      <c r="Q8" s="502">
        <f t="shared" si="1"/>
        <v>1.0000000104204644E-3</v>
      </c>
      <c r="R8" s="502">
        <f t="shared" si="1"/>
        <v>1.0000000170144582E-3</v>
      </c>
      <c r="S8" s="502">
        <f t="shared" si="1"/>
        <v>1.0000000272142174E-3</v>
      </c>
      <c r="T8" s="502">
        <f t="shared" si="1"/>
        <v>1.0000000427819878E-3</v>
      </c>
      <c r="U8" s="502">
        <f t="shared" si="1"/>
        <v>1.0000000656043364E-3</v>
      </c>
      <c r="V8" s="502">
        <f t="shared" si="1"/>
        <v>1.0000000970886349E-3</v>
      </c>
      <c r="W8" s="502">
        <f t="shared" si="1"/>
        <v>1.0000001421883765E-3</v>
      </c>
      <c r="X8" s="502">
        <f t="shared" si="1"/>
        <v>1.0000002055977509E-3</v>
      </c>
      <c r="Y8" s="502">
        <f t="shared" si="1"/>
        <v>1.0000002932497453E-3</v>
      </c>
      <c r="Z8" s="502">
        <f t="shared" si="1"/>
        <v>1.0000004131003601E-3</v>
      </c>
      <c r="AA8" s="502">
        <f>+MIN(AA9+AA10,Global!AA81)</f>
        <v>1.0000005755955613E-3</v>
      </c>
      <c r="AB8" s="502">
        <f>+MIN(AB9+AB10,Global!AB81)</f>
        <v>382.34860841173639</v>
      </c>
      <c r="AC8" s="502">
        <f>+MIN(AC9+AC10,Global!AC81)</f>
        <v>368.90117799114955</v>
      </c>
      <c r="AD8" s="502">
        <f>+MIN(AD9+AD10,Global!AD81)</f>
        <v>356.1261190915921</v>
      </c>
      <c r="AE8" s="502">
        <f>+MIN(AE9+AE10,Global!AE81)</f>
        <v>343.9898131370125</v>
      </c>
      <c r="AF8" s="502">
        <f>+MIN(AF9+AF10,Global!AF81)</f>
        <v>332.46032248016189</v>
      </c>
      <c r="AG8" s="502">
        <f>+MIN(AG9+AG10,Global!AG81)</f>
        <v>321.50730635615383</v>
      </c>
      <c r="AH8" s="502">
        <f>+MIN(AH9+AH10,Global!AH81)</f>
        <v>311.10194103834613</v>
      </c>
      <c r="AI8" s="502">
        <f>+MIN(AI9+AI10,Global!AI81)</f>
        <v>0</v>
      </c>
      <c r="AJ8" s="502">
        <f>+MIN(AJ9+AJ10,Global!AJ81)</f>
        <v>0</v>
      </c>
      <c r="AK8" s="502">
        <f>+MIN(AK9+AK10,Global!AK81)</f>
        <v>0</v>
      </c>
      <c r="AL8" s="502">
        <f>+MIN(AL9+AL10,Global!AL81)</f>
        <v>0</v>
      </c>
      <c r="AM8" s="502">
        <f>+MIN(AM9+AM10,Global!AM81)</f>
        <v>0</v>
      </c>
      <c r="AN8" s="502">
        <f>+MIN(AN9+AN10,Global!AN81)</f>
        <v>0</v>
      </c>
      <c r="AO8" s="502">
        <f>+MIN(AO9+AO10,Global!AO81)</f>
        <v>0</v>
      </c>
      <c r="AP8" s="502">
        <f>+MIN(AP9+AP10,Global!AP81)</f>
        <v>0</v>
      </c>
      <c r="AQ8" s="502">
        <f>+MIN(AQ9+AQ10,Global!AQ81)</f>
        <v>0</v>
      </c>
      <c r="AR8" s="502">
        <f>+MIN(AR9+AR10,Global!AR81)</f>
        <v>0</v>
      </c>
      <c r="AS8" s="502">
        <f>+MIN(AS9+AS10,Global!AS81)</f>
        <v>0</v>
      </c>
      <c r="AT8" s="502">
        <f>+MIN(AT9+AT10,Global!AT81)</f>
        <v>0</v>
      </c>
      <c r="AU8" s="502">
        <f>+MIN(AU9+AU10,Global!AU81)</f>
        <v>0</v>
      </c>
      <c r="AV8" s="502">
        <f>+MIN(AV9+AV10,Global!AV81)</f>
        <v>0</v>
      </c>
      <c r="AW8" s="502">
        <f>+MIN(AW9+AW10,Global!AW81)</f>
        <v>0</v>
      </c>
      <c r="AX8" s="502">
        <f>+MIN(AX9+AX10,Global!AX81)</f>
        <v>0</v>
      </c>
      <c r="AY8" s="502">
        <f>+MIN(AY9+AY10,Global!AY81)</f>
        <v>0</v>
      </c>
      <c r="AZ8" s="502">
        <f>+MIN(AZ9+AZ10,Global!AZ81)</f>
        <v>0</v>
      </c>
      <c r="BA8" s="502">
        <f>+MIN(BA9+BA10,Global!BA81)</f>
        <v>0</v>
      </c>
      <c r="BB8" s="502">
        <f>+MIN(BB9+BB10,Global!BB81)</f>
        <v>0</v>
      </c>
      <c r="BC8" s="502">
        <f>+MIN(BC9+BC10,Global!BC81)</f>
        <v>0</v>
      </c>
      <c r="BD8" s="502">
        <f>+MIN(BD9+BD10,Global!BD81)</f>
        <v>0</v>
      </c>
      <c r="BE8" s="502">
        <f>+MIN(BE9+BE10,Global!BE81)</f>
        <v>0</v>
      </c>
      <c r="BF8" s="502">
        <f>+MIN(BF9+BF10,Global!BF81)</f>
        <v>0</v>
      </c>
      <c r="BG8" s="502">
        <f>+MIN(BG9+BG10,Global!BG81)</f>
        <v>0</v>
      </c>
      <c r="BH8" s="502">
        <f>+MIN(BH9+BH10,Global!BH81)</f>
        <v>0</v>
      </c>
      <c r="BI8" s="502">
        <f>+MIN(BI9+BI10,Global!BI81)</f>
        <v>0</v>
      </c>
    </row>
    <row r="9" spans="1:61" s="224" customFormat="1" ht="14" x14ac:dyDescent="0.2">
      <c r="A9" s="223" t="s">
        <v>215</v>
      </c>
      <c r="B9" s="319">
        <v>0</v>
      </c>
      <c r="C9" s="319">
        <f>+Global!C84</f>
        <v>4.7431311437536068E-22</v>
      </c>
      <c r="D9" s="319">
        <f>+Global!D84</f>
        <v>4.9499779356646234E-19</v>
      </c>
      <c r="E9" s="319">
        <f>+Global!E84</f>
        <v>2.2950082724145313E-17</v>
      </c>
      <c r="F9" s="319">
        <f>+Global!F84</f>
        <v>3.0007004337781361E-16</v>
      </c>
      <c r="G9" s="319">
        <f>+Global!G84</f>
        <v>2.0111020870924207E-15</v>
      </c>
      <c r="H9" s="319">
        <f>+Global!H84</f>
        <v>9.1702790465416517E-15</v>
      </c>
      <c r="I9" s="319">
        <f>+Global!I84</f>
        <v>3.198449994719941E-14</v>
      </c>
      <c r="J9" s="319">
        <f>+Global!J84</f>
        <v>9.2225114033518281E-14</v>
      </c>
      <c r="K9" s="319">
        <f>+Global!K84</f>
        <v>2.2755606939754696E-13</v>
      </c>
      <c r="L9" s="319">
        <f>+Global!L84</f>
        <v>5.0531839800270536E-13</v>
      </c>
      <c r="M9" s="319">
        <f>+Global!M84</f>
        <v>1.041732739135554E-12</v>
      </c>
      <c r="N9" s="319">
        <f>+Global!N84</f>
        <v>1.9921489808924816E-12</v>
      </c>
      <c r="O9" s="319">
        <f>+Global!O84</f>
        <v>3.592790577647619E-12</v>
      </c>
      <c r="P9" s="319">
        <f>+Global!P84</f>
        <v>6.2096877944755882E-12</v>
      </c>
      <c r="Q9" s="319">
        <f>+Global!Q84</f>
        <v>1.0420464500406822E-11</v>
      </c>
      <c r="R9" s="319">
        <f>+Global!R84</f>
        <v>1.7014458255435967E-11</v>
      </c>
      <c r="S9" s="319">
        <f>+Global!S84</f>
        <v>2.7214217352909939E-11</v>
      </c>
      <c r="T9" s="319">
        <f>+Global!T84</f>
        <v>4.278198774705669E-11</v>
      </c>
      <c r="U9" s="319">
        <f>+Global!U84</f>
        <v>6.56043363323927E-11</v>
      </c>
      <c r="V9" s="319">
        <f>+Global!V84</f>
        <v>9.7088634831693527E-11</v>
      </c>
      <c r="W9" s="319">
        <f>+Global!W84</f>
        <v>1.421883765928301E-10</v>
      </c>
      <c r="X9" s="319">
        <f>+Global!X84</f>
        <v>2.0559775077091586E-10</v>
      </c>
      <c r="Y9" s="319">
        <f>+Global!Y84</f>
        <v>2.9324974524112873E-10</v>
      </c>
      <c r="Z9" s="319">
        <f>+Global!Z84</f>
        <v>4.1310036013686986E-10</v>
      </c>
      <c r="AA9" s="319">
        <f>+Global!AA84</f>
        <v>5.7559556115634E-10</v>
      </c>
      <c r="AB9" s="319">
        <f>+Global!AB84</f>
        <v>7.9377250079448993E-10</v>
      </c>
      <c r="AC9" s="319">
        <f>+Global!AC84</f>
        <v>7.9377250079448993E-10</v>
      </c>
      <c r="AD9" s="319">
        <f>+Global!AD84</f>
        <v>7.9377250079448993E-10</v>
      </c>
      <c r="AE9" s="319">
        <f>+Global!AE84</f>
        <v>7.9377250079448993E-10</v>
      </c>
      <c r="AF9" s="319">
        <f>+Global!AF84</f>
        <v>7.9377250079448993E-10</v>
      </c>
      <c r="AG9" s="319">
        <f>+Global!AG84</f>
        <v>7.9377250079448993E-10</v>
      </c>
      <c r="AH9" s="319">
        <f>+Global!AH84</f>
        <v>7.9377250079448993E-10</v>
      </c>
      <c r="AI9" s="319">
        <f>+Global!AI84</f>
        <v>7.9377250079448993E-10</v>
      </c>
      <c r="AJ9" s="319">
        <f>+Global!AJ84</f>
        <v>7.9377250079448993E-10</v>
      </c>
      <c r="AK9" s="319">
        <f>+Global!AK84</f>
        <v>7.9377250079448993E-10</v>
      </c>
      <c r="AL9" s="319">
        <f>+Global!AL84</f>
        <v>7.9377250079448993E-10</v>
      </c>
      <c r="AM9" s="319">
        <f>+Global!AM84</f>
        <v>7.9377250079448993E-10</v>
      </c>
      <c r="AN9" s="319">
        <f>+Global!AN84</f>
        <v>7.9377250079448993E-10</v>
      </c>
      <c r="AO9" s="319">
        <f>+Global!AO84</f>
        <v>7.9377250079448993E-10</v>
      </c>
      <c r="AP9" s="319">
        <f>+Global!AP84</f>
        <v>7.9377250079448993E-10</v>
      </c>
      <c r="AQ9" s="319">
        <f>+Global!AQ84</f>
        <v>7.9377250079448993E-10</v>
      </c>
      <c r="AR9" s="319">
        <f>+Global!AR84</f>
        <v>7.9377250079448993E-10</v>
      </c>
      <c r="AS9" s="319">
        <f>+Global!AS84</f>
        <v>7.9377250079448993E-10</v>
      </c>
      <c r="AT9" s="319">
        <f>+Global!AT84</f>
        <v>7.9377250079448993E-10</v>
      </c>
      <c r="AU9" s="319">
        <f>+Global!AU84</f>
        <v>7.9377250079448993E-10</v>
      </c>
      <c r="AV9" s="319">
        <f>+Global!AV84</f>
        <v>7.9377250079448993E-10</v>
      </c>
      <c r="AW9" s="319">
        <f>+Global!AW84</f>
        <v>7.9377250079448993E-10</v>
      </c>
      <c r="AX9" s="319">
        <f>+Global!AX84</f>
        <v>7.9377250079448993E-10</v>
      </c>
      <c r="AY9" s="319">
        <f>+Global!AY84</f>
        <v>7.9377250079448993E-10</v>
      </c>
      <c r="AZ9" s="319">
        <f>+Global!AZ84</f>
        <v>7.9377250079448993E-10</v>
      </c>
      <c r="BA9" s="319">
        <f>+Global!BA84</f>
        <v>7.9377250079448993E-10</v>
      </c>
      <c r="BB9" s="319">
        <f>+Global!BB84</f>
        <v>7.9377250079448993E-10</v>
      </c>
      <c r="BC9" s="319">
        <f>+Global!BC84</f>
        <v>7.9377250079448993E-10</v>
      </c>
      <c r="BD9" s="319">
        <f>+Global!BD84</f>
        <v>7.9377250079448993E-10</v>
      </c>
      <c r="BE9" s="319">
        <f>+Global!BE84</f>
        <v>7.9377250079448993E-10</v>
      </c>
      <c r="BF9" s="319">
        <f>+Global!BF84</f>
        <v>7.9377250079448993E-10</v>
      </c>
      <c r="BG9" s="319">
        <f>+Global!BG84</f>
        <v>7.9377250079448993E-10</v>
      </c>
      <c r="BH9" s="319">
        <f>+Global!BH84</f>
        <v>7.9377250079448993E-10</v>
      </c>
      <c r="BI9" s="319">
        <f>+Global!BI84</f>
        <v>7.9377250079448993E-10</v>
      </c>
    </row>
    <row r="10" spans="1:61" s="565" customFormat="1" ht="14" x14ac:dyDescent="0.2">
      <c r="A10" s="565" t="s">
        <v>106</v>
      </c>
      <c r="B10" s="319">
        <v>1E-3</v>
      </c>
      <c r="C10" s="319">
        <v>1E-3</v>
      </c>
      <c r="D10" s="319">
        <v>1E-3</v>
      </c>
      <c r="E10" s="319">
        <v>1E-3</v>
      </c>
      <c r="F10" s="319">
        <v>1E-3</v>
      </c>
      <c r="G10" s="319">
        <v>1E-3</v>
      </c>
      <c r="H10" s="319">
        <v>1E-3</v>
      </c>
      <c r="I10" s="319">
        <v>1E-3</v>
      </c>
      <c r="J10" s="319">
        <v>1E-3</v>
      </c>
      <c r="K10" s="319">
        <v>1E-3</v>
      </c>
      <c r="L10" s="319">
        <v>1E-3</v>
      </c>
      <c r="M10" s="319">
        <v>1E-3</v>
      </c>
      <c r="N10" s="319">
        <v>1E-3</v>
      </c>
      <c r="O10" s="319">
        <v>1E-3</v>
      </c>
      <c r="P10" s="319">
        <v>1E-3</v>
      </c>
      <c r="Q10" s="319">
        <v>1E-3</v>
      </c>
      <c r="R10" s="319">
        <v>1E-3</v>
      </c>
      <c r="S10" s="319">
        <v>1E-3</v>
      </c>
      <c r="T10" s="319">
        <v>1E-3</v>
      </c>
      <c r="U10" s="319">
        <v>1E-3</v>
      </c>
      <c r="V10" s="319">
        <v>1E-3</v>
      </c>
      <c r="W10" s="319">
        <v>1E-3</v>
      </c>
      <c r="X10" s="319">
        <v>1E-3</v>
      </c>
      <c r="Y10" s="319">
        <v>1E-3</v>
      </c>
      <c r="Z10" s="319">
        <v>1E-3</v>
      </c>
      <c r="AA10" s="319">
        <v>1E-3</v>
      </c>
      <c r="AB10" s="565">
        <v>1200</v>
      </c>
      <c r="AC10" s="565">
        <v>1200</v>
      </c>
      <c r="AD10" s="565">
        <v>1200</v>
      </c>
      <c r="AE10" s="565">
        <v>1200</v>
      </c>
      <c r="AF10" s="565">
        <v>1200</v>
      </c>
      <c r="AG10" s="565">
        <v>1200</v>
      </c>
      <c r="AH10" s="565">
        <v>1200</v>
      </c>
      <c r="AI10" s="565">
        <v>1200</v>
      </c>
      <c r="AJ10" s="565">
        <v>1200</v>
      </c>
      <c r="AK10" s="565">
        <v>1200</v>
      </c>
      <c r="AL10" s="565">
        <v>1200</v>
      </c>
      <c r="AM10" s="565">
        <v>1200</v>
      </c>
      <c r="AN10" s="565">
        <v>1200</v>
      </c>
      <c r="AO10" s="565">
        <v>1200</v>
      </c>
      <c r="AP10" s="565">
        <v>1200</v>
      </c>
      <c r="AQ10" s="565">
        <v>1200</v>
      </c>
      <c r="AR10" s="565">
        <v>1200</v>
      </c>
      <c r="AS10" s="565">
        <v>1200</v>
      </c>
      <c r="AT10" s="565">
        <v>1200</v>
      </c>
      <c r="AU10" s="565">
        <v>1200</v>
      </c>
      <c r="AV10" s="565">
        <v>1200</v>
      </c>
      <c r="AW10" s="565">
        <v>1200</v>
      </c>
      <c r="AX10" s="565">
        <v>1200</v>
      </c>
      <c r="AY10" s="565">
        <v>1200</v>
      </c>
      <c r="AZ10" s="565">
        <v>1200</v>
      </c>
      <c r="BA10" s="565">
        <v>1200</v>
      </c>
      <c r="BB10" s="565">
        <v>1200</v>
      </c>
      <c r="BC10" s="565">
        <v>1200</v>
      </c>
      <c r="BD10" s="565">
        <v>1200</v>
      </c>
      <c r="BE10" s="565">
        <v>1200</v>
      </c>
      <c r="BF10" s="565">
        <v>1200</v>
      </c>
      <c r="BG10" s="565">
        <v>1200</v>
      </c>
      <c r="BH10" s="565">
        <v>1200</v>
      </c>
      <c r="BI10" s="565">
        <v>1200</v>
      </c>
    </row>
    <row r="11" spans="1:61" s="222" customFormat="1" x14ac:dyDescent="0.2">
      <c r="A11" s="222" t="s">
        <v>104</v>
      </c>
      <c r="B11" s="222">
        <f t="shared" ref="B11:G22" si="2">+B$10</f>
        <v>1E-3</v>
      </c>
      <c r="C11" s="222">
        <f t="shared" si="2"/>
        <v>1E-3</v>
      </c>
      <c r="D11" s="222">
        <f t="shared" si="2"/>
        <v>1E-3</v>
      </c>
      <c r="E11" s="222">
        <f t="shared" si="2"/>
        <v>1E-3</v>
      </c>
      <c r="F11" s="222">
        <f t="shared" ref="F11:Q22" si="3">+F$10</f>
        <v>1E-3</v>
      </c>
      <c r="G11" s="222">
        <f t="shared" si="3"/>
        <v>1E-3</v>
      </c>
      <c r="H11" s="222">
        <f t="shared" ref="H11:J22" si="4">+H$10</f>
        <v>1E-3</v>
      </c>
      <c r="I11" s="222">
        <f t="shared" si="4"/>
        <v>1E-3</v>
      </c>
      <c r="J11" s="222">
        <f t="shared" si="4"/>
        <v>1E-3</v>
      </c>
      <c r="K11" s="222">
        <f t="shared" si="3"/>
        <v>1E-3</v>
      </c>
      <c r="L11" s="222">
        <f t="shared" si="3"/>
        <v>1E-3</v>
      </c>
      <c r="M11" s="222">
        <f t="shared" si="3"/>
        <v>1E-3</v>
      </c>
      <c r="N11" s="222">
        <f t="shared" si="3"/>
        <v>1E-3</v>
      </c>
      <c r="O11" s="222">
        <f t="shared" si="3"/>
        <v>1E-3</v>
      </c>
      <c r="P11" s="222">
        <f t="shared" si="3"/>
        <v>1E-3</v>
      </c>
      <c r="Q11" s="222">
        <f t="shared" si="3"/>
        <v>1E-3</v>
      </c>
      <c r="R11" s="222">
        <f t="shared" ref="R11:BI17" si="5">+R$10</f>
        <v>1E-3</v>
      </c>
      <c r="S11" s="222">
        <f t="shared" si="5"/>
        <v>1E-3</v>
      </c>
      <c r="T11" s="222">
        <f t="shared" si="5"/>
        <v>1E-3</v>
      </c>
      <c r="U11" s="222">
        <f t="shared" si="5"/>
        <v>1E-3</v>
      </c>
      <c r="V11" s="222">
        <f t="shared" si="5"/>
        <v>1E-3</v>
      </c>
      <c r="W11" s="222">
        <f t="shared" si="5"/>
        <v>1E-3</v>
      </c>
      <c r="X11" s="222">
        <f t="shared" si="5"/>
        <v>1E-3</v>
      </c>
      <c r="Y11" s="222">
        <f t="shared" si="5"/>
        <v>1E-3</v>
      </c>
      <c r="Z11" s="222">
        <f t="shared" si="5"/>
        <v>1E-3</v>
      </c>
      <c r="AA11" s="222">
        <f t="shared" si="5"/>
        <v>1E-3</v>
      </c>
      <c r="AB11" s="222">
        <f t="shared" si="5"/>
        <v>1200</v>
      </c>
      <c r="AC11" s="222">
        <f t="shared" si="5"/>
        <v>1200</v>
      </c>
      <c r="AD11" s="222">
        <f t="shared" si="5"/>
        <v>1200</v>
      </c>
      <c r="AE11" s="222">
        <f t="shared" si="5"/>
        <v>1200</v>
      </c>
      <c r="AF11" s="222">
        <f t="shared" si="5"/>
        <v>1200</v>
      </c>
      <c r="AG11" s="222">
        <f t="shared" si="5"/>
        <v>1200</v>
      </c>
      <c r="AH11" s="222">
        <f t="shared" si="5"/>
        <v>1200</v>
      </c>
      <c r="AI11" s="222">
        <f t="shared" si="5"/>
        <v>1200</v>
      </c>
      <c r="AJ11" s="222">
        <f t="shared" si="5"/>
        <v>1200</v>
      </c>
      <c r="AK11" s="222">
        <f t="shared" si="5"/>
        <v>1200</v>
      </c>
      <c r="AL11" s="222">
        <f t="shared" si="5"/>
        <v>1200</v>
      </c>
      <c r="AM11" s="222">
        <f t="shared" si="5"/>
        <v>1200</v>
      </c>
      <c r="AN11" s="222">
        <f t="shared" si="5"/>
        <v>1200</v>
      </c>
      <c r="AO11" s="222">
        <f t="shared" si="5"/>
        <v>1200</v>
      </c>
      <c r="AP11" s="222">
        <f t="shared" si="5"/>
        <v>1200</v>
      </c>
      <c r="AQ11" s="222">
        <f t="shared" si="5"/>
        <v>1200</v>
      </c>
      <c r="AR11" s="222">
        <f t="shared" si="5"/>
        <v>1200</v>
      </c>
      <c r="AS11" s="222">
        <f t="shared" si="5"/>
        <v>1200</v>
      </c>
      <c r="AT11" s="222">
        <f t="shared" si="5"/>
        <v>1200</v>
      </c>
      <c r="AU11" s="222">
        <f t="shared" si="5"/>
        <v>1200</v>
      </c>
      <c r="AV11" s="222">
        <f t="shared" si="5"/>
        <v>1200</v>
      </c>
      <c r="AW11" s="222">
        <f t="shared" si="5"/>
        <v>1200</v>
      </c>
      <c r="AX11" s="222">
        <f t="shared" si="5"/>
        <v>1200</v>
      </c>
      <c r="AY11" s="222">
        <f t="shared" si="5"/>
        <v>1200</v>
      </c>
      <c r="AZ11" s="222">
        <f t="shared" si="5"/>
        <v>1200</v>
      </c>
      <c r="BA11" s="222">
        <f t="shared" si="5"/>
        <v>1200</v>
      </c>
      <c r="BB11" s="222">
        <f t="shared" si="5"/>
        <v>1200</v>
      </c>
      <c r="BC11" s="222">
        <f t="shared" si="5"/>
        <v>1200</v>
      </c>
      <c r="BD11" s="222">
        <f t="shared" si="5"/>
        <v>1200</v>
      </c>
      <c r="BE11" s="222">
        <f t="shared" si="5"/>
        <v>1200</v>
      </c>
      <c r="BF11" s="222">
        <f t="shared" si="5"/>
        <v>1200</v>
      </c>
      <c r="BG11" s="222">
        <f t="shared" si="5"/>
        <v>1200</v>
      </c>
      <c r="BH11" s="222">
        <f t="shared" si="5"/>
        <v>1200</v>
      </c>
      <c r="BI11" s="222">
        <f t="shared" si="5"/>
        <v>1200</v>
      </c>
    </row>
    <row r="12" spans="1:61" s="222" customFormat="1" x14ac:dyDescent="0.2">
      <c r="A12" s="222" t="s">
        <v>105</v>
      </c>
      <c r="B12" s="222">
        <f t="shared" si="2"/>
        <v>1E-3</v>
      </c>
      <c r="C12" s="222">
        <f t="shared" si="2"/>
        <v>1E-3</v>
      </c>
      <c r="D12" s="222">
        <f t="shared" si="2"/>
        <v>1E-3</v>
      </c>
      <c r="E12" s="222">
        <f t="shared" si="2"/>
        <v>1E-3</v>
      </c>
      <c r="F12" s="222">
        <f t="shared" si="3"/>
        <v>1E-3</v>
      </c>
      <c r="G12" s="222">
        <f t="shared" si="3"/>
        <v>1E-3</v>
      </c>
      <c r="H12" s="222">
        <f t="shared" si="4"/>
        <v>1E-3</v>
      </c>
      <c r="I12" s="222">
        <f t="shared" si="4"/>
        <v>1E-3</v>
      </c>
      <c r="J12" s="222">
        <f t="shared" si="4"/>
        <v>1E-3</v>
      </c>
      <c r="K12" s="222">
        <f t="shared" si="3"/>
        <v>1E-3</v>
      </c>
      <c r="L12" s="222">
        <f t="shared" si="3"/>
        <v>1E-3</v>
      </c>
      <c r="M12" s="222">
        <f t="shared" si="3"/>
        <v>1E-3</v>
      </c>
      <c r="N12" s="222">
        <f t="shared" si="3"/>
        <v>1E-3</v>
      </c>
      <c r="O12" s="222">
        <f t="shared" si="3"/>
        <v>1E-3</v>
      </c>
      <c r="P12" s="222">
        <f t="shared" ref="P12:AL17" si="6">+P$10</f>
        <v>1E-3</v>
      </c>
      <c r="Q12" s="222">
        <f t="shared" si="6"/>
        <v>1E-3</v>
      </c>
      <c r="R12" s="222">
        <f t="shared" si="6"/>
        <v>1E-3</v>
      </c>
      <c r="S12" s="222">
        <f t="shared" si="6"/>
        <v>1E-3</v>
      </c>
      <c r="T12" s="222">
        <f t="shared" si="6"/>
        <v>1E-3</v>
      </c>
      <c r="U12" s="222">
        <f t="shared" si="6"/>
        <v>1E-3</v>
      </c>
      <c r="V12" s="222">
        <f t="shared" si="6"/>
        <v>1E-3</v>
      </c>
      <c r="W12" s="222">
        <f t="shared" si="6"/>
        <v>1E-3</v>
      </c>
      <c r="X12" s="222">
        <f t="shared" si="6"/>
        <v>1E-3</v>
      </c>
      <c r="Y12" s="222">
        <f t="shared" si="6"/>
        <v>1E-3</v>
      </c>
      <c r="Z12" s="222">
        <f t="shared" si="6"/>
        <v>1E-3</v>
      </c>
      <c r="AA12" s="222">
        <f t="shared" si="6"/>
        <v>1E-3</v>
      </c>
      <c r="AB12" s="222">
        <f t="shared" si="6"/>
        <v>1200</v>
      </c>
      <c r="AC12" s="222">
        <f t="shared" si="6"/>
        <v>1200</v>
      </c>
      <c r="AD12" s="222">
        <f t="shared" si="6"/>
        <v>1200</v>
      </c>
      <c r="AE12" s="222">
        <f t="shared" si="6"/>
        <v>1200</v>
      </c>
      <c r="AF12" s="222">
        <f t="shared" si="6"/>
        <v>1200</v>
      </c>
      <c r="AG12" s="222">
        <f t="shared" si="6"/>
        <v>1200</v>
      </c>
      <c r="AH12" s="222">
        <f t="shared" si="6"/>
        <v>1200</v>
      </c>
      <c r="AI12" s="222">
        <f t="shared" si="6"/>
        <v>1200</v>
      </c>
      <c r="AJ12" s="222">
        <f t="shared" si="6"/>
        <v>1200</v>
      </c>
      <c r="AK12" s="222">
        <f t="shared" si="6"/>
        <v>1200</v>
      </c>
      <c r="AL12" s="222">
        <f t="shared" si="6"/>
        <v>1200</v>
      </c>
      <c r="AM12" s="222">
        <f t="shared" si="5"/>
        <v>1200</v>
      </c>
      <c r="AN12" s="222">
        <f t="shared" si="5"/>
        <v>1200</v>
      </c>
      <c r="AO12" s="222">
        <f t="shared" si="5"/>
        <v>1200</v>
      </c>
      <c r="AP12" s="222">
        <f t="shared" si="5"/>
        <v>1200</v>
      </c>
      <c r="AQ12" s="222">
        <f t="shared" si="5"/>
        <v>1200</v>
      </c>
      <c r="AR12" s="222">
        <f t="shared" si="5"/>
        <v>1200</v>
      </c>
      <c r="AS12" s="222">
        <f t="shared" si="5"/>
        <v>1200</v>
      </c>
      <c r="AT12" s="222">
        <f t="shared" si="5"/>
        <v>1200</v>
      </c>
      <c r="AU12" s="222">
        <f t="shared" si="5"/>
        <v>1200</v>
      </c>
      <c r="AV12" s="222">
        <f t="shared" si="5"/>
        <v>1200</v>
      </c>
      <c r="AW12" s="222">
        <f t="shared" si="5"/>
        <v>1200</v>
      </c>
      <c r="AX12" s="222">
        <f t="shared" si="5"/>
        <v>1200</v>
      </c>
      <c r="AY12" s="222">
        <f t="shared" si="5"/>
        <v>1200</v>
      </c>
      <c r="AZ12" s="222">
        <f t="shared" si="5"/>
        <v>1200</v>
      </c>
      <c r="BA12" s="222">
        <f t="shared" si="5"/>
        <v>1200</v>
      </c>
      <c r="BB12" s="222">
        <f t="shared" si="5"/>
        <v>1200</v>
      </c>
      <c r="BC12" s="222">
        <f t="shared" si="5"/>
        <v>1200</v>
      </c>
      <c r="BD12" s="222">
        <f t="shared" si="5"/>
        <v>1200</v>
      </c>
      <c r="BE12" s="222">
        <f t="shared" si="5"/>
        <v>1200</v>
      </c>
      <c r="BF12" s="222">
        <f t="shared" si="5"/>
        <v>1200</v>
      </c>
      <c r="BG12" s="222">
        <f t="shared" si="5"/>
        <v>1200</v>
      </c>
      <c r="BH12" s="222">
        <f t="shared" si="5"/>
        <v>1200</v>
      </c>
      <c r="BI12" s="222">
        <f t="shared" si="5"/>
        <v>1200</v>
      </c>
    </row>
    <row r="13" spans="1:61" s="222" customFormat="1" x14ac:dyDescent="0.2">
      <c r="A13" s="222" t="s">
        <v>51</v>
      </c>
      <c r="B13" s="222">
        <f t="shared" si="2"/>
        <v>1E-3</v>
      </c>
      <c r="C13" s="222">
        <f t="shared" si="2"/>
        <v>1E-3</v>
      </c>
      <c r="D13" s="222">
        <f t="shared" si="2"/>
        <v>1E-3</v>
      </c>
      <c r="E13" s="222">
        <f t="shared" si="2"/>
        <v>1E-3</v>
      </c>
      <c r="F13" s="222">
        <f t="shared" si="3"/>
        <v>1E-3</v>
      </c>
      <c r="G13" s="222">
        <f t="shared" si="3"/>
        <v>1E-3</v>
      </c>
      <c r="H13" s="222">
        <f t="shared" si="4"/>
        <v>1E-3</v>
      </c>
      <c r="I13" s="222">
        <f t="shared" si="4"/>
        <v>1E-3</v>
      </c>
      <c r="J13" s="222">
        <f t="shared" si="4"/>
        <v>1E-3</v>
      </c>
      <c r="K13" s="222">
        <f t="shared" si="3"/>
        <v>1E-3</v>
      </c>
      <c r="L13" s="222">
        <f t="shared" si="3"/>
        <v>1E-3</v>
      </c>
      <c r="M13" s="222">
        <f t="shared" si="3"/>
        <v>1E-3</v>
      </c>
      <c r="N13" s="222">
        <f t="shared" si="3"/>
        <v>1E-3</v>
      </c>
      <c r="O13" s="222">
        <f t="shared" si="3"/>
        <v>1E-3</v>
      </c>
      <c r="P13" s="222">
        <f t="shared" si="6"/>
        <v>1E-3</v>
      </c>
      <c r="Q13" s="222">
        <f t="shared" si="6"/>
        <v>1E-3</v>
      </c>
      <c r="R13" s="222">
        <f t="shared" si="6"/>
        <v>1E-3</v>
      </c>
      <c r="S13" s="222">
        <f t="shared" si="6"/>
        <v>1E-3</v>
      </c>
      <c r="T13" s="222">
        <f t="shared" si="6"/>
        <v>1E-3</v>
      </c>
      <c r="U13" s="222">
        <f t="shared" si="6"/>
        <v>1E-3</v>
      </c>
      <c r="V13" s="222">
        <f t="shared" si="6"/>
        <v>1E-3</v>
      </c>
      <c r="W13" s="222">
        <f t="shared" si="6"/>
        <v>1E-3</v>
      </c>
      <c r="X13" s="222">
        <f t="shared" si="6"/>
        <v>1E-3</v>
      </c>
      <c r="Y13" s="222">
        <f t="shared" si="6"/>
        <v>1E-3</v>
      </c>
      <c r="Z13" s="222">
        <f t="shared" si="6"/>
        <v>1E-3</v>
      </c>
      <c r="AA13" s="222">
        <f t="shared" si="6"/>
        <v>1E-3</v>
      </c>
      <c r="AB13" s="222">
        <f t="shared" si="6"/>
        <v>1200</v>
      </c>
      <c r="AC13" s="222">
        <f t="shared" si="6"/>
        <v>1200</v>
      </c>
      <c r="AD13" s="222">
        <f t="shared" si="6"/>
        <v>1200</v>
      </c>
      <c r="AE13" s="222">
        <f t="shared" si="6"/>
        <v>1200</v>
      </c>
      <c r="AF13" s="222">
        <f t="shared" si="6"/>
        <v>1200</v>
      </c>
      <c r="AG13" s="222">
        <f t="shared" si="6"/>
        <v>1200</v>
      </c>
      <c r="AH13" s="222">
        <f t="shared" si="6"/>
        <v>1200</v>
      </c>
      <c r="AI13" s="222">
        <f t="shared" si="6"/>
        <v>1200</v>
      </c>
      <c r="AJ13" s="222">
        <f t="shared" si="6"/>
        <v>1200</v>
      </c>
      <c r="AK13" s="222">
        <f t="shared" si="6"/>
        <v>1200</v>
      </c>
      <c r="AL13" s="222">
        <f t="shared" si="6"/>
        <v>1200</v>
      </c>
      <c r="AM13" s="222">
        <f t="shared" si="5"/>
        <v>1200</v>
      </c>
      <c r="AN13" s="222">
        <f t="shared" si="5"/>
        <v>1200</v>
      </c>
      <c r="AO13" s="222">
        <f t="shared" si="5"/>
        <v>1200</v>
      </c>
      <c r="AP13" s="222">
        <f t="shared" si="5"/>
        <v>1200</v>
      </c>
      <c r="AQ13" s="222">
        <f t="shared" si="5"/>
        <v>1200</v>
      </c>
      <c r="AR13" s="222">
        <f t="shared" si="5"/>
        <v>1200</v>
      </c>
      <c r="AS13" s="222">
        <f t="shared" si="5"/>
        <v>1200</v>
      </c>
      <c r="AT13" s="222">
        <f t="shared" si="5"/>
        <v>1200</v>
      </c>
      <c r="AU13" s="222">
        <f t="shared" si="5"/>
        <v>1200</v>
      </c>
      <c r="AV13" s="222">
        <f t="shared" si="5"/>
        <v>1200</v>
      </c>
      <c r="AW13" s="222">
        <f t="shared" si="5"/>
        <v>1200</v>
      </c>
      <c r="AX13" s="222">
        <f t="shared" si="5"/>
        <v>1200</v>
      </c>
      <c r="AY13" s="222">
        <f t="shared" si="5"/>
        <v>1200</v>
      </c>
      <c r="AZ13" s="222">
        <f t="shared" si="5"/>
        <v>1200</v>
      </c>
      <c r="BA13" s="222">
        <f t="shared" si="5"/>
        <v>1200</v>
      </c>
      <c r="BB13" s="222">
        <f t="shared" si="5"/>
        <v>1200</v>
      </c>
      <c r="BC13" s="222">
        <f t="shared" si="5"/>
        <v>1200</v>
      </c>
      <c r="BD13" s="222">
        <f t="shared" si="5"/>
        <v>1200</v>
      </c>
      <c r="BE13" s="222">
        <f t="shared" si="5"/>
        <v>1200</v>
      </c>
      <c r="BF13" s="222">
        <f t="shared" si="5"/>
        <v>1200</v>
      </c>
      <c r="BG13" s="222">
        <f t="shared" si="5"/>
        <v>1200</v>
      </c>
      <c r="BH13" s="222">
        <f t="shared" si="5"/>
        <v>1200</v>
      </c>
      <c r="BI13" s="222">
        <f t="shared" si="5"/>
        <v>1200</v>
      </c>
    </row>
    <row r="14" spans="1:61" s="222" customFormat="1" x14ac:dyDescent="0.2">
      <c r="A14" s="222" t="s">
        <v>52</v>
      </c>
      <c r="B14" s="222">
        <f t="shared" si="2"/>
        <v>1E-3</v>
      </c>
      <c r="C14" s="222">
        <f t="shared" si="2"/>
        <v>1E-3</v>
      </c>
      <c r="D14" s="222">
        <f t="shared" si="2"/>
        <v>1E-3</v>
      </c>
      <c r="E14" s="222">
        <f t="shared" si="2"/>
        <v>1E-3</v>
      </c>
      <c r="F14" s="222">
        <f t="shared" si="3"/>
        <v>1E-3</v>
      </c>
      <c r="G14" s="222">
        <f t="shared" si="3"/>
        <v>1E-3</v>
      </c>
      <c r="H14" s="222">
        <f t="shared" si="4"/>
        <v>1E-3</v>
      </c>
      <c r="I14" s="222">
        <f t="shared" si="4"/>
        <v>1E-3</v>
      </c>
      <c r="J14" s="222">
        <f t="shared" si="4"/>
        <v>1E-3</v>
      </c>
      <c r="K14" s="222">
        <f t="shared" si="3"/>
        <v>1E-3</v>
      </c>
      <c r="L14" s="222">
        <f t="shared" si="3"/>
        <v>1E-3</v>
      </c>
      <c r="M14" s="222">
        <f t="shared" si="3"/>
        <v>1E-3</v>
      </c>
      <c r="N14" s="222">
        <f t="shared" si="3"/>
        <v>1E-3</v>
      </c>
      <c r="O14" s="222">
        <f t="shared" si="3"/>
        <v>1E-3</v>
      </c>
      <c r="P14" s="222">
        <f t="shared" si="6"/>
        <v>1E-3</v>
      </c>
      <c r="Q14" s="222">
        <f t="shared" si="6"/>
        <v>1E-3</v>
      </c>
      <c r="R14" s="222">
        <f t="shared" si="6"/>
        <v>1E-3</v>
      </c>
      <c r="S14" s="222">
        <f t="shared" si="6"/>
        <v>1E-3</v>
      </c>
      <c r="T14" s="222">
        <f t="shared" si="6"/>
        <v>1E-3</v>
      </c>
      <c r="U14" s="222">
        <f t="shared" si="6"/>
        <v>1E-3</v>
      </c>
      <c r="V14" s="222">
        <f t="shared" si="6"/>
        <v>1E-3</v>
      </c>
      <c r="W14" s="222">
        <f t="shared" si="6"/>
        <v>1E-3</v>
      </c>
      <c r="X14" s="222">
        <f t="shared" si="6"/>
        <v>1E-3</v>
      </c>
      <c r="Y14" s="222">
        <f t="shared" si="6"/>
        <v>1E-3</v>
      </c>
      <c r="Z14" s="222">
        <f t="shared" si="6"/>
        <v>1E-3</v>
      </c>
      <c r="AA14" s="222">
        <f t="shared" si="6"/>
        <v>1E-3</v>
      </c>
      <c r="AB14" s="222">
        <f t="shared" si="6"/>
        <v>1200</v>
      </c>
      <c r="AC14" s="222">
        <f t="shared" si="6"/>
        <v>1200</v>
      </c>
      <c r="AD14" s="222">
        <f t="shared" si="6"/>
        <v>1200</v>
      </c>
      <c r="AE14" s="222">
        <f t="shared" si="6"/>
        <v>1200</v>
      </c>
      <c r="AF14" s="222">
        <f t="shared" si="6"/>
        <v>1200</v>
      </c>
      <c r="AG14" s="222">
        <f t="shared" si="6"/>
        <v>1200</v>
      </c>
      <c r="AH14" s="222">
        <f t="shared" si="6"/>
        <v>1200</v>
      </c>
      <c r="AI14" s="222">
        <f t="shared" si="6"/>
        <v>1200</v>
      </c>
      <c r="AJ14" s="222">
        <f t="shared" si="6"/>
        <v>1200</v>
      </c>
      <c r="AK14" s="222">
        <f t="shared" si="6"/>
        <v>1200</v>
      </c>
      <c r="AL14" s="222">
        <f t="shared" si="6"/>
        <v>1200</v>
      </c>
      <c r="AM14" s="222">
        <f t="shared" si="5"/>
        <v>1200</v>
      </c>
      <c r="AN14" s="222">
        <f t="shared" si="5"/>
        <v>1200</v>
      </c>
      <c r="AO14" s="222">
        <f t="shared" si="5"/>
        <v>1200</v>
      </c>
      <c r="AP14" s="222">
        <f t="shared" si="5"/>
        <v>1200</v>
      </c>
      <c r="AQ14" s="222">
        <f t="shared" si="5"/>
        <v>1200</v>
      </c>
      <c r="AR14" s="222">
        <f t="shared" si="5"/>
        <v>1200</v>
      </c>
      <c r="AS14" s="222">
        <f t="shared" si="5"/>
        <v>1200</v>
      </c>
      <c r="AT14" s="222">
        <f t="shared" si="5"/>
        <v>1200</v>
      </c>
      <c r="AU14" s="222">
        <f t="shared" si="5"/>
        <v>1200</v>
      </c>
      <c r="AV14" s="222">
        <f t="shared" si="5"/>
        <v>1200</v>
      </c>
      <c r="AW14" s="222">
        <f t="shared" si="5"/>
        <v>1200</v>
      </c>
      <c r="AX14" s="222">
        <f t="shared" si="5"/>
        <v>1200</v>
      </c>
      <c r="AY14" s="222">
        <f t="shared" si="5"/>
        <v>1200</v>
      </c>
      <c r="AZ14" s="222">
        <f t="shared" si="5"/>
        <v>1200</v>
      </c>
      <c r="BA14" s="222">
        <f t="shared" si="5"/>
        <v>1200</v>
      </c>
      <c r="BB14" s="222">
        <f t="shared" si="5"/>
        <v>1200</v>
      </c>
      <c r="BC14" s="222">
        <f t="shared" si="5"/>
        <v>1200</v>
      </c>
      <c r="BD14" s="222">
        <f t="shared" si="5"/>
        <v>1200</v>
      </c>
      <c r="BE14" s="222">
        <f t="shared" si="5"/>
        <v>1200</v>
      </c>
      <c r="BF14" s="222">
        <f t="shared" si="5"/>
        <v>1200</v>
      </c>
      <c r="BG14" s="222">
        <f t="shared" si="5"/>
        <v>1200</v>
      </c>
      <c r="BH14" s="222">
        <f t="shared" si="5"/>
        <v>1200</v>
      </c>
      <c r="BI14" s="222">
        <f t="shared" si="5"/>
        <v>1200</v>
      </c>
    </row>
    <row r="15" spans="1:61" s="222" customFormat="1" x14ac:dyDescent="0.2">
      <c r="A15" s="222" t="s">
        <v>53</v>
      </c>
      <c r="B15" s="222">
        <f t="shared" si="2"/>
        <v>1E-3</v>
      </c>
      <c r="C15" s="222">
        <f t="shared" si="2"/>
        <v>1E-3</v>
      </c>
      <c r="D15" s="222">
        <f t="shared" si="2"/>
        <v>1E-3</v>
      </c>
      <c r="E15" s="222">
        <f t="shared" si="2"/>
        <v>1E-3</v>
      </c>
      <c r="F15" s="222">
        <f t="shared" si="3"/>
        <v>1E-3</v>
      </c>
      <c r="G15" s="222">
        <f t="shared" si="3"/>
        <v>1E-3</v>
      </c>
      <c r="H15" s="222">
        <f t="shared" si="4"/>
        <v>1E-3</v>
      </c>
      <c r="I15" s="222">
        <f t="shared" si="4"/>
        <v>1E-3</v>
      </c>
      <c r="J15" s="222">
        <f t="shared" si="4"/>
        <v>1E-3</v>
      </c>
      <c r="K15" s="222">
        <f t="shared" si="3"/>
        <v>1E-3</v>
      </c>
      <c r="L15" s="222">
        <f t="shared" si="3"/>
        <v>1E-3</v>
      </c>
      <c r="M15" s="222">
        <f t="shared" si="3"/>
        <v>1E-3</v>
      </c>
      <c r="N15" s="222">
        <f t="shared" si="3"/>
        <v>1E-3</v>
      </c>
      <c r="O15" s="222">
        <f t="shared" si="3"/>
        <v>1E-3</v>
      </c>
      <c r="P15" s="222">
        <f t="shared" si="6"/>
        <v>1E-3</v>
      </c>
      <c r="Q15" s="222">
        <f t="shared" si="6"/>
        <v>1E-3</v>
      </c>
      <c r="R15" s="222">
        <f t="shared" si="6"/>
        <v>1E-3</v>
      </c>
      <c r="S15" s="222">
        <f t="shared" si="6"/>
        <v>1E-3</v>
      </c>
      <c r="T15" s="222">
        <f t="shared" si="6"/>
        <v>1E-3</v>
      </c>
      <c r="U15" s="222">
        <f t="shared" si="6"/>
        <v>1E-3</v>
      </c>
      <c r="V15" s="222">
        <f t="shared" si="6"/>
        <v>1E-3</v>
      </c>
      <c r="W15" s="222">
        <f t="shared" si="6"/>
        <v>1E-3</v>
      </c>
      <c r="X15" s="222">
        <f t="shared" si="6"/>
        <v>1E-3</v>
      </c>
      <c r="Y15" s="222">
        <f t="shared" si="6"/>
        <v>1E-3</v>
      </c>
      <c r="Z15" s="222">
        <f t="shared" si="6"/>
        <v>1E-3</v>
      </c>
      <c r="AA15" s="222">
        <f t="shared" si="6"/>
        <v>1E-3</v>
      </c>
      <c r="AB15" s="222">
        <f t="shared" si="6"/>
        <v>1200</v>
      </c>
      <c r="AC15" s="222">
        <f t="shared" si="6"/>
        <v>1200</v>
      </c>
      <c r="AD15" s="222">
        <f t="shared" si="6"/>
        <v>1200</v>
      </c>
      <c r="AE15" s="222">
        <f t="shared" si="6"/>
        <v>1200</v>
      </c>
      <c r="AF15" s="222">
        <f t="shared" si="6"/>
        <v>1200</v>
      </c>
      <c r="AG15" s="222">
        <f t="shared" si="6"/>
        <v>1200</v>
      </c>
      <c r="AH15" s="222">
        <f t="shared" si="6"/>
        <v>1200</v>
      </c>
      <c r="AI15" s="222">
        <f t="shared" si="6"/>
        <v>1200</v>
      </c>
      <c r="AJ15" s="222">
        <f t="shared" si="6"/>
        <v>1200</v>
      </c>
      <c r="AK15" s="222">
        <f t="shared" si="6"/>
        <v>1200</v>
      </c>
      <c r="AL15" s="222">
        <f t="shared" si="6"/>
        <v>1200</v>
      </c>
      <c r="AM15" s="222">
        <f t="shared" si="5"/>
        <v>1200</v>
      </c>
      <c r="AN15" s="222">
        <f t="shared" si="5"/>
        <v>1200</v>
      </c>
      <c r="AO15" s="222">
        <f t="shared" si="5"/>
        <v>1200</v>
      </c>
      <c r="AP15" s="222">
        <f t="shared" si="5"/>
        <v>1200</v>
      </c>
      <c r="AQ15" s="222">
        <f t="shared" si="5"/>
        <v>1200</v>
      </c>
      <c r="AR15" s="222">
        <f t="shared" si="5"/>
        <v>1200</v>
      </c>
      <c r="AS15" s="222">
        <f t="shared" si="5"/>
        <v>1200</v>
      </c>
      <c r="AT15" s="222">
        <f t="shared" si="5"/>
        <v>1200</v>
      </c>
      <c r="AU15" s="222">
        <f t="shared" si="5"/>
        <v>1200</v>
      </c>
      <c r="AV15" s="222">
        <f t="shared" si="5"/>
        <v>1200</v>
      </c>
      <c r="AW15" s="222">
        <f t="shared" si="5"/>
        <v>1200</v>
      </c>
      <c r="AX15" s="222">
        <f t="shared" si="5"/>
        <v>1200</v>
      </c>
      <c r="AY15" s="222">
        <f t="shared" si="5"/>
        <v>1200</v>
      </c>
      <c r="AZ15" s="222">
        <f t="shared" si="5"/>
        <v>1200</v>
      </c>
      <c r="BA15" s="222">
        <f t="shared" si="5"/>
        <v>1200</v>
      </c>
      <c r="BB15" s="222">
        <f t="shared" si="5"/>
        <v>1200</v>
      </c>
      <c r="BC15" s="222">
        <f t="shared" si="5"/>
        <v>1200</v>
      </c>
      <c r="BD15" s="222">
        <f t="shared" si="5"/>
        <v>1200</v>
      </c>
      <c r="BE15" s="222">
        <f t="shared" si="5"/>
        <v>1200</v>
      </c>
      <c r="BF15" s="222">
        <f t="shared" si="5"/>
        <v>1200</v>
      </c>
      <c r="BG15" s="222">
        <f t="shared" si="5"/>
        <v>1200</v>
      </c>
      <c r="BH15" s="222">
        <f t="shared" si="5"/>
        <v>1200</v>
      </c>
      <c r="BI15" s="222">
        <f t="shared" si="5"/>
        <v>1200</v>
      </c>
    </row>
    <row r="16" spans="1:61" s="222" customFormat="1" x14ac:dyDescent="0.2">
      <c r="A16" s="222" t="s">
        <v>54</v>
      </c>
      <c r="B16" s="222">
        <f t="shared" si="2"/>
        <v>1E-3</v>
      </c>
      <c r="C16" s="222">
        <f t="shared" si="2"/>
        <v>1E-3</v>
      </c>
      <c r="D16" s="222">
        <f t="shared" si="2"/>
        <v>1E-3</v>
      </c>
      <c r="E16" s="222">
        <f t="shared" si="2"/>
        <v>1E-3</v>
      </c>
      <c r="F16" s="222">
        <f t="shared" si="3"/>
        <v>1E-3</v>
      </c>
      <c r="G16" s="222">
        <f t="shared" si="3"/>
        <v>1E-3</v>
      </c>
      <c r="H16" s="222">
        <f t="shared" si="4"/>
        <v>1E-3</v>
      </c>
      <c r="I16" s="222">
        <f t="shared" si="4"/>
        <v>1E-3</v>
      </c>
      <c r="J16" s="222">
        <f t="shared" si="4"/>
        <v>1E-3</v>
      </c>
      <c r="K16" s="222">
        <f t="shared" si="3"/>
        <v>1E-3</v>
      </c>
      <c r="L16" s="222">
        <f t="shared" si="3"/>
        <v>1E-3</v>
      </c>
      <c r="M16" s="222">
        <f t="shared" si="3"/>
        <v>1E-3</v>
      </c>
      <c r="N16" s="222">
        <f t="shared" si="3"/>
        <v>1E-3</v>
      </c>
      <c r="O16" s="222">
        <f t="shared" si="3"/>
        <v>1E-3</v>
      </c>
      <c r="P16" s="222">
        <f t="shared" si="6"/>
        <v>1E-3</v>
      </c>
      <c r="Q16" s="222">
        <f t="shared" si="6"/>
        <v>1E-3</v>
      </c>
      <c r="R16" s="222">
        <f t="shared" si="6"/>
        <v>1E-3</v>
      </c>
      <c r="S16" s="222">
        <f t="shared" si="6"/>
        <v>1E-3</v>
      </c>
      <c r="T16" s="222">
        <f t="shared" si="6"/>
        <v>1E-3</v>
      </c>
      <c r="U16" s="222">
        <f t="shared" si="6"/>
        <v>1E-3</v>
      </c>
      <c r="V16" s="222">
        <f t="shared" si="6"/>
        <v>1E-3</v>
      </c>
      <c r="W16" s="222">
        <f t="shared" si="6"/>
        <v>1E-3</v>
      </c>
      <c r="X16" s="222">
        <f t="shared" si="6"/>
        <v>1E-3</v>
      </c>
      <c r="Y16" s="222">
        <f t="shared" si="6"/>
        <v>1E-3</v>
      </c>
      <c r="Z16" s="222">
        <f t="shared" si="6"/>
        <v>1E-3</v>
      </c>
      <c r="AA16" s="222">
        <f t="shared" si="6"/>
        <v>1E-3</v>
      </c>
      <c r="AB16" s="222">
        <f t="shared" si="6"/>
        <v>1200</v>
      </c>
      <c r="AC16" s="222">
        <f t="shared" si="6"/>
        <v>1200</v>
      </c>
      <c r="AD16" s="222">
        <f t="shared" si="6"/>
        <v>1200</v>
      </c>
      <c r="AE16" s="222">
        <f t="shared" si="6"/>
        <v>1200</v>
      </c>
      <c r="AF16" s="222">
        <f t="shared" si="6"/>
        <v>1200</v>
      </c>
      <c r="AG16" s="222">
        <f t="shared" si="6"/>
        <v>1200</v>
      </c>
      <c r="AH16" s="222">
        <f t="shared" si="6"/>
        <v>1200</v>
      </c>
      <c r="AI16" s="222">
        <f t="shared" si="6"/>
        <v>1200</v>
      </c>
      <c r="AJ16" s="222">
        <f t="shared" si="6"/>
        <v>1200</v>
      </c>
      <c r="AK16" s="222">
        <f t="shared" si="6"/>
        <v>1200</v>
      </c>
      <c r="AL16" s="222">
        <f t="shared" si="6"/>
        <v>1200</v>
      </c>
      <c r="AM16" s="222">
        <f t="shared" si="5"/>
        <v>1200</v>
      </c>
      <c r="AN16" s="222">
        <f t="shared" si="5"/>
        <v>1200</v>
      </c>
      <c r="AO16" s="222">
        <f t="shared" si="5"/>
        <v>1200</v>
      </c>
      <c r="AP16" s="222">
        <f t="shared" si="5"/>
        <v>1200</v>
      </c>
      <c r="AQ16" s="222">
        <f t="shared" si="5"/>
        <v>1200</v>
      </c>
      <c r="AR16" s="222">
        <f t="shared" si="5"/>
        <v>1200</v>
      </c>
      <c r="AS16" s="222">
        <f t="shared" si="5"/>
        <v>1200</v>
      </c>
      <c r="AT16" s="222">
        <f t="shared" si="5"/>
        <v>1200</v>
      </c>
      <c r="AU16" s="222">
        <f t="shared" si="5"/>
        <v>1200</v>
      </c>
      <c r="AV16" s="222">
        <f t="shared" si="5"/>
        <v>1200</v>
      </c>
      <c r="AW16" s="222">
        <f t="shared" si="5"/>
        <v>1200</v>
      </c>
      <c r="AX16" s="222">
        <f t="shared" si="5"/>
        <v>1200</v>
      </c>
      <c r="AY16" s="222">
        <f t="shared" si="5"/>
        <v>1200</v>
      </c>
      <c r="AZ16" s="222">
        <f t="shared" si="5"/>
        <v>1200</v>
      </c>
      <c r="BA16" s="222">
        <f t="shared" si="5"/>
        <v>1200</v>
      </c>
      <c r="BB16" s="222">
        <f t="shared" si="5"/>
        <v>1200</v>
      </c>
      <c r="BC16" s="222">
        <f t="shared" si="5"/>
        <v>1200</v>
      </c>
      <c r="BD16" s="222">
        <f t="shared" si="5"/>
        <v>1200</v>
      </c>
      <c r="BE16" s="222">
        <f t="shared" si="5"/>
        <v>1200</v>
      </c>
      <c r="BF16" s="222">
        <f t="shared" si="5"/>
        <v>1200</v>
      </c>
      <c r="BG16" s="222">
        <f t="shared" si="5"/>
        <v>1200</v>
      </c>
      <c r="BH16" s="222">
        <f t="shared" si="5"/>
        <v>1200</v>
      </c>
      <c r="BI16" s="222">
        <f t="shared" si="5"/>
        <v>1200</v>
      </c>
    </row>
    <row r="17" spans="1:61" s="222" customFormat="1" x14ac:dyDescent="0.2">
      <c r="A17" s="222" t="s">
        <v>55</v>
      </c>
      <c r="B17" s="222">
        <f t="shared" si="2"/>
        <v>1E-3</v>
      </c>
      <c r="C17" s="222">
        <f t="shared" si="2"/>
        <v>1E-3</v>
      </c>
      <c r="D17" s="222">
        <f t="shared" si="2"/>
        <v>1E-3</v>
      </c>
      <c r="E17" s="222">
        <f t="shared" si="2"/>
        <v>1E-3</v>
      </c>
      <c r="F17" s="222">
        <f t="shared" si="3"/>
        <v>1E-3</v>
      </c>
      <c r="G17" s="222">
        <f t="shared" si="3"/>
        <v>1E-3</v>
      </c>
      <c r="H17" s="222">
        <f t="shared" si="4"/>
        <v>1E-3</v>
      </c>
      <c r="I17" s="222">
        <f t="shared" si="4"/>
        <v>1E-3</v>
      </c>
      <c r="J17" s="222">
        <f t="shared" si="4"/>
        <v>1E-3</v>
      </c>
      <c r="K17" s="222">
        <f t="shared" si="3"/>
        <v>1E-3</v>
      </c>
      <c r="L17" s="222">
        <f t="shared" si="3"/>
        <v>1E-3</v>
      </c>
      <c r="M17" s="222">
        <f t="shared" si="3"/>
        <v>1E-3</v>
      </c>
      <c r="N17" s="222">
        <f t="shared" si="3"/>
        <v>1E-3</v>
      </c>
      <c r="O17" s="222">
        <f t="shared" si="3"/>
        <v>1E-3</v>
      </c>
      <c r="P17" s="222">
        <f t="shared" si="6"/>
        <v>1E-3</v>
      </c>
      <c r="Q17" s="222">
        <f t="shared" si="6"/>
        <v>1E-3</v>
      </c>
      <c r="R17" s="222">
        <f t="shared" si="6"/>
        <v>1E-3</v>
      </c>
      <c r="S17" s="222">
        <f t="shared" si="6"/>
        <v>1E-3</v>
      </c>
      <c r="T17" s="222">
        <f t="shared" si="6"/>
        <v>1E-3</v>
      </c>
      <c r="U17" s="222">
        <f t="shared" si="6"/>
        <v>1E-3</v>
      </c>
      <c r="V17" s="222">
        <f t="shared" si="6"/>
        <v>1E-3</v>
      </c>
      <c r="W17" s="222">
        <f t="shared" si="6"/>
        <v>1E-3</v>
      </c>
      <c r="X17" s="222">
        <f t="shared" si="6"/>
        <v>1E-3</v>
      </c>
      <c r="Y17" s="222">
        <f t="shared" si="6"/>
        <v>1E-3</v>
      </c>
      <c r="Z17" s="222">
        <f t="shared" si="6"/>
        <v>1E-3</v>
      </c>
      <c r="AA17" s="222">
        <f t="shared" si="6"/>
        <v>1E-3</v>
      </c>
      <c r="AB17" s="222">
        <f t="shared" si="6"/>
        <v>1200</v>
      </c>
      <c r="AC17" s="222">
        <f t="shared" si="6"/>
        <v>1200</v>
      </c>
      <c r="AD17" s="222">
        <f t="shared" si="6"/>
        <v>1200</v>
      </c>
      <c r="AE17" s="222">
        <f t="shared" si="6"/>
        <v>1200</v>
      </c>
      <c r="AF17" s="222">
        <f t="shared" si="6"/>
        <v>1200</v>
      </c>
      <c r="AG17" s="222">
        <f t="shared" si="6"/>
        <v>1200</v>
      </c>
      <c r="AH17" s="222">
        <f t="shared" si="6"/>
        <v>1200</v>
      </c>
      <c r="AI17" s="222">
        <f t="shared" si="6"/>
        <v>1200</v>
      </c>
      <c r="AJ17" s="222">
        <f t="shared" si="6"/>
        <v>1200</v>
      </c>
      <c r="AK17" s="222">
        <f t="shared" si="6"/>
        <v>1200</v>
      </c>
      <c r="AL17" s="222">
        <f t="shared" si="6"/>
        <v>1200</v>
      </c>
      <c r="AM17" s="222">
        <f t="shared" si="5"/>
        <v>1200</v>
      </c>
      <c r="AN17" s="222">
        <f t="shared" si="5"/>
        <v>1200</v>
      </c>
      <c r="AO17" s="222">
        <f t="shared" si="5"/>
        <v>1200</v>
      </c>
      <c r="AP17" s="222">
        <f t="shared" si="5"/>
        <v>1200</v>
      </c>
      <c r="AQ17" s="222">
        <f t="shared" si="5"/>
        <v>1200</v>
      </c>
      <c r="AR17" s="222">
        <f t="shared" si="5"/>
        <v>1200</v>
      </c>
      <c r="AS17" s="222">
        <f t="shared" si="5"/>
        <v>1200</v>
      </c>
      <c r="AT17" s="222">
        <f t="shared" si="5"/>
        <v>1200</v>
      </c>
      <c r="AU17" s="222">
        <f t="shared" si="5"/>
        <v>1200</v>
      </c>
      <c r="AV17" s="222">
        <f t="shared" si="5"/>
        <v>1200</v>
      </c>
      <c r="AW17" s="222">
        <f t="shared" si="5"/>
        <v>1200</v>
      </c>
      <c r="AX17" s="222">
        <f t="shared" si="5"/>
        <v>1200</v>
      </c>
      <c r="AY17" s="222">
        <f t="shared" si="5"/>
        <v>1200</v>
      </c>
      <c r="AZ17" s="222">
        <f t="shared" si="5"/>
        <v>1200</v>
      </c>
      <c r="BA17" s="222">
        <f t="shared" si="5"/>
        <v>1200</v>
      </c>
      <c r="BB17" s="222">
        <f t="shared" si="5"/>
        <v>1200</v>
      </c>
      <c r="BC17" s="222">
        <f t="shared" si="5"/>
        <v>1200</v>
      </c>
      <c r="BD17" s="222">
        <f t="shared" si="5"/>
        <v>1200</v>
      </c>
      <c r="BE17" s="222">
        <f t="shared" si="5"/>
        <v>1200</v>
      </c>
      <c r="BF17" s="222">
        <f t="shared" si="5"/>
        <v>1200</v>
      </c>
      <c r="BG17" s="222">
        <f t="shared" si="5"/>
        <v>1200</v>
      </c>
      <c r="BH17" s="222">
        <f t="shared" si="5"/>
        <v>1200</v>
      </c>
      <c r="BI17" s="222">
        <f t="shared" si="5"/>
        <v>1200</v>
      </c>
    </row>
    <row r="18" spans="1:61" s="222" customFormat="1" x14ac:dyDescent="0.2">
      <c r="A18" s="222" t="s">
        <v>56</v>
      </c>
      <c r="B18" s="222">
        <f t="shared" si="2"/>
        <v>1E-3</v>
      </c>
      <c r="C18" s="222">
        <f t="shared" si="2"/>
        <v>1E-3</v>
      </c>
      <c r="D18" s="222">
        <f t="shared" si="2"/>
        <v>1E-3</v>
      </c>
      <c r="E18" s="222">
        <f t="shared" si="2"/>
        <v>1E-3</v>
      </c>
      <c r="F18" s="222">
        <f t="shared" si="3"/>
        <v>1E-3</v>
      </c>
      <c r="G18" s="222">
        <f t="shared" si="3"/>
        <v>1E-3</v>
      </c>
      <c r="H18" s="222">
        <f t="shared" si="4"/>
        <v>1E-3</v>
      </c>
      <c r="I18" s="222">
        <f t="shared" si="4"/>
        <v>1E-3</v>
      </c>
      <c r="J18" s="222">
        <f t="shared" si="4"/>
        <v>1E-3</v>
      </c>
      <c r="K18" s="222">
        <f t="shared" si="3"/>
        <v>1E-3</v>
      </c>
      <c r="L18" s="222">
        <f t="shared" si="3"/>
        <v>1E-3</v>
      </c>
      <c r="M18" s="222">
        <f t="shared" si="3"/>
        <v>1E-3</v>
      </c>
      <c r="N18" s="222">
        <f t="shared" si="3"/>
        <v>1E-3</v>
      </c>
      <c r="O18" s="222">
        <f t="shared" si="3"/>
        <v>1E-3</v>
      </c>
      <c r="P18" s="222">
        <f t="shared" ref="P18:BI22" si="7">+P$10</f>
        <v>1E-3</v>
      </c>
      <c r="Q18" s="222">
        <f t="shared" si="7"/>
        <v>1E-3</v>
      </c>
      <c r="R18" s="222">
        <f t="shared" si="7"/>
        <v>1E-3</v>
      </c>
      <c r="S18" s="222">
        <f t="shared" si="7"/>
        <v>1E-3</v>
      </c>
      <c r="T18" s="222">
        <f t="shared" si="7"/>
        <v>1E-3</v>
      </c>
      <c r="U18" s="222">
        <f t="shared" si="7"/>
        <v>1E-3</v>
      </c>
      <c r="V18" s="222">
        <f t="shared" si="7"/>
        <v>1E-3</v>
      </c>
      <c r="W18" s="222">
        <f t="shared" si="7"/>
        <v>1E-3</v>
      </c>
      <c r="X18" s="222">
        <f t="shared" si="7"/>
        <v>1E-3</v>
      </c>
      <c r="Y18" s="222">
        <f t="shared" si="7"/>
        <v>1E-3</v>
      </c>
      <c r="Z18" s="222">
        <f t="shared" si="7"/>
        <v>1E-3</v>
      </c>
      <c r="AA18" s="222">
        <f t="shared" si="7"/>
        <v>1E-3</v>
      </c>
      <c r="AB18" s="222">
        <f t="shared" si="7"/>
        <v>1200</v>
      </c>
      <c r="AC18" s="222">
        <f t="shared" si="7"/>
        <v>1200</v>
      </c>
      <c r="AD18" s="222">
        <f t="shared" si="7"/>
        <v>1200</v>
      </c>
      <c r="AE18" s="222">
        <f t="shared" si="7"/>
        <v>1200</v>
      </c>
      <c r="AF18" s="222">
        <f t="shared" si="7"/>
        <v>1200</v>
      </c>
      <c r="AG18" s="222">
        <f t="shared" si="7"/>
        <v>1200</v>
      </c>
      <c r="AH18" s="222">
        <f t="shared" si="7"/>
        <v>1200</v>
      </c>
      <c r="AI18" s="222">
        <f t="shared" si="7"/>
        <v>1200</v>
      </c>
      <c r="AJ18" s="222">
        <f t="shared" si="7"/>
        <v>1200</v>
      </c>
      <c r="AK18" s="222">
        <f t="shared" si="7"/>
        <v>1200</v>
      </c>
      <c r="AL18" s="222">
        <f t="shared" si="7"/>
        <v>1200</v>
      </c>
      <c r="AM18" s="222">
        <f t="shared" si="7"/>
        <v>1200</v>
      </c>
      <c r="AN18" s="222">
        <f t="shared" si="7"/>
        <v>1200</v>
      </c>
      <c r="AO18" s="222">
        <f t="shared" si="7"/>
        <v>1200</v>
      </c>
      <c r="AP18" s="222">
        <f t="shared" si="7"/>
        <v>1200</v>
      </c>
      <c r="AQ18" s="222">
        <f t="shared" si="7"/>
        <v>1200</v>
      </c>
      <c r="AR18" s="222">
        <f t="shared" si="7"/>
        <v>1200</v>
      </c>
      <c r="AS18" s="222">
        <f t="shared" si="7"/>
        <v>1200</v>
      </c>
      <c r="AT18" s="222">
        <f t="shared" si="7"/>
        <v>1200</v>
      </c>
      <c r="AU18" s="222">
        <f t="shared" si="7"/>
        <v>1200</v>
      </c>
      <c r="AV18" s="222">
        <f t="shared" si="7"/>
        <v>1200</v>
      </c>
      <c r="AW18" s="222">
        <f t="shared" si="7"/>
        <v>1200</v>
      </c>
      <c r="AX18" s="222">
        <f t="shared" si="7"/>
        <v>1200</v>
      </c>
      <c r="AY18" s="222">
        <f t="shared" si="7"/>
        <v>1200</v>
      </c>
      <c r="AZ18" s="222">
        <f t="shared" si="7"/>
        <v>1200</v>
      </c>
      <c r="BA18" s="222">
        <f t="shared" si="7"/>
        <v>1200</v>
      </c>
      <c r="BB18" s="222">
        <f t="shared" si="7"/>
        <v>1200</v>
      </c>
      <c r="BC18" s="222">
        <f t="shared" si="7"/>
        <v>1200</v>
      </c>
      <c r="BD18" s="222">
        <f t="shared" si="7"/>
        <v>1200</v>
      </c>
      <c r="BE18" s="222">
        <f t="shared" si="7"/>
        <v>1200</v>
      </c>
      <c r="BF18" s="222">
        <f t="shared" si="7"/>
        <v>1200</v>
      </c>
      <c r="BG18" s="222">
        <f t="shared" si="7"/>
        <v>1200</v>
      </c>
      <c r="BH18" s="222">
        <f t="shared" si="7"/>
        <v>1200</v>
      </c>
      <c r="BI18" s="222">
        <f t="shared" si="7"/>
        <v>1200</v>
      </c>
    </row>
    <row r="19" spans="1:61" s="222" customFormat="1" x14ac:dyDescent="0.2">
      <c r="A19" s="222" t="s">
        <v>57</v>
      </c>
      <c r="B19" s="222">
        <f t="shared" si="2"/>
        <v>1E-3</v>
      </c>
      <c r="C19" s="222">
        <f t="shared" si="2"/>
        <v>1E-3</v>
      </c>
      <c r="D19" s="222">
        <f t="shared" si="2"/>
        <v>1E-3</v>
      </c>
      <c r="E19" s="222">
        <f t="shared" si="2"/>
        <v>1E-3</v>
      </c>
      <c r="F19" s="222">
        <f t="shared" si="2"/>
        <v>1E-3</v>
      </c>
      <c r="G19" s="222">
        <f t="shared" si="2"/>
        <v>1E-3</v>
      </c>
      <c r="H19" s="222">
        <f t="shared" si="4"/>
        <v>1E-3</v>
      </c>
      <c r="I19" s="222">
        <f t="shared" si="4"/>
        <v>1E-3</v>
      </c>
      <c r="J19" s="222">
        <f t="shared" si="4"/>
        <v>1E-3</v>
      </c>
      <c r="K19" s="222">
        <f t="shared" si="3"/>
        <v>1E-3</v>
      </c>
      <c r="L19" s="222">
        <f t="shared" si="3"/>
        <v>1E-3</v>
      </c>
      <c r="M19" s="222">
        <f t="shared" si="3"/>
        <v>1E-3</v>
      </c>
      <c r="N19" s="222">
        <f t="shared" si="3"/>
        <v>1E-3</v>
      </c>
      <c r="O19" s="222">
        <f t="shared" si="3"/>
        <v>1E-3</v>
      </c>
      <c r="P19" s="222">
        <f t="shared" si="7"/>
        <v>1E-3</v>
      </c>
      <c r="Q19" s="222">
        <f t="shared" si="7"/>
        <v>1E-3</v>
      </c>
      <c r="R19" s="222">
        <f t="shared" si="7"/>
        <v>1E-3</v>
      </c>
      <c r="S19" s="222">
        <f t="shared" si="7"/>
        <v>1E-3</v>
      </c>
      <c r="T19" s="222">
        <f t="shared" si="7"/>
        <v>1E-3</v>
      </c>
      <c r="U19" s="222">
        <f t="shared" si="7"/>
        <v>1E-3</v>
      </c>
      <c r="V19" s="222">
        <f t="shared" si="7"/>
        <v>1E-3</v>
      </c>
      <c r="W19" s="222">
        <f t="shared" si="7"/>
        <v>1E-3</v>
      </c>
      <c r="X19" s="222">
        <f t="shared" si="7"/>
        <v>1E-3</v>
      </c>
      <c r="Y19" s="222">
        <f t="shared" si="7"/>
        <v>1E-3</v>
      </c>
      <c r="Z19" s="222">
        <f t="shared" si="7"/>
        <v>1E-3</v>
      </c>
      <c r="AA19" s="222">
        <f t="shared" si="7"/>
        <v>1E-3</v>
      </c>
      <c r="AB19" s="222">
        <f t="shared" si="7"/>
        <v>1200</v>
      </c>
      <c r="AC19" s="222">
        <f t="shared" si="7"/>
        <v>1200</v>
      </c>
      <c r="AD19" s="222">
        <f t="shared" si="7"/>
        <v>1200</v>
      </c>
      <c r="AE19" s="222">
        <f t="shared" si="7"/>
        <v>1200</v>
      </c>
      <c r="AF19" s="222">
        <f t="shared" si="7"/>
        <v>1200</v>
      </c>
      <c r="AG19" s="222">
        <f t="shared" si="7"/>
        <v>1200</v>
      </c>
      <c r="AH19" s="222">
        <f t="shared" si="7"/>
        <v>1200</v>
      </c>
      <c r="AI19" s="222">
        <f t="shared" si="7"/>
        <v>1200</v>
      </c>
      <c r="AJ19" s="222">
        <f t="shared" si="7"/>
        <v>1200</v>
      </c>
      <c r="AK19" s="222">
        <f t="shared" si="7"/>
        <v>1200</v>
      </c>
      <c r="AL19" s="222">
        <f t="shared" si="7"/>
        <v>1200</v>
      </c>
      <c r="AM19" s="222">
        <f t="shared" si="7"/>
        <v>1200</v>
      </c>
      <c r="AN19" s="222">
        <f t="shared" si="7"/>
        <v>1200</v>
      </c>
      <c r="AO19" s="222">
        <f t="shared" ref="AM19:BI22" si="8">+AO$10</f>
        <v>1200</v>
      </c>
      <c r="AP19" s="222">
        <f t="shared" si="8"/>
        <v>1200</v>
      </c>
      <c r="AQ19" s="222">
        <f t="shared" si="8"/>
        <v>1200</v>
      </c>
      <c r="AR19" s="222">
        <f t="shared" si="8"/>
        <v>1200</v>
      </c>
      <c r="AS19" s="222">
        <f t="shared" si="8"/>
        <v>1200</v>
      </c>
      <c r="AT19" s="222">
        <f t="shared" si="8"/>
        <v>1200</v>
      </c>
      <c r="AU19" s="222">
        <f t="shared" si="8"/>
        <v>1200</v>
      </c>
      <c r="AV19" s="222">
        <f t="shared" si="8"/>
        <v>1200</v>
      </c>
      <c r="AW19" s="222">
        <f t="shared" si="8"/>
        <v>1200</v>
      </c>
      <c r="AX19" s="222">
        <f t="shared" si="8"/>
        <v>1200</v>
      </c>
      <c r="AY19" s="222">
        <f t="shared" si="8"/>
        <v>1200</v>
      </c>
      <c r="AZ19" s="222">
        <f t="shared" si="8"/>
        <v>1200</v>
      </c>
      <c r="BA19" s="222">
        <f t="shared" si="8"/>
        <v>1200</v>
      </c>
      <c r="BB19" s="222">
        <f t="shared" si="8"/>
        <v>1200</v>
      </c>
      <c r="BC19" s="222">
        <f t="shared" si="8"/>
        <v>1200</v>
      </c>
      <c r="BD19" s="222">
        <f t="shared" si="8"/>
        <v>1200</v>
      </c>
      <c r="BE19" s="222">
        <f t="shared" si="8"/>
        <v>1200</v>
      </c>
      <c r="BF19" s="222">
        <f t="shared" si="8"/>
        <v>1200</v>
      </c>
      <c r="BG19" s="222">
        <f t="shared" si="8"/>
        <v>1200</v>
      </c>
      <c r="BH19" s="222">
        <f t="shared" si="8"/>
        <v>1200</v>
      </c>
      <c r="BI19" s="222">
        <f t="shared" si="8"/>
        <v>1200</v>
      </c>
    </row>
    <row r="20" spans="1:61" s="222" customFormat="1" x14ac:dyDescent="0.2">
      <c r="A20" s="222" t="s">
        <v>58</v>
      </c>
      <c r="B20" s="222">
        <f t="shared" si="2"/>
        <v>1E-3</v>
      </c>
      <c r="C20" s="222">
        <f t="shared" si="2"/>
        <v>1E-3</v>
      </c>
      <c r="D20" s="222">
        <f t="shared" si="2"/>
        <v>1E-3</v>
      </c>
      <c r="E20" s="222">
        <f t="shared" si="2"/>
        <v>1E-3</v>
      </c>
      <c r="F20" s="222">
        <f t="shared" si="3"/>
        <v>1E-3</v>
      </c>
      <c r="G20" s="222">
        <f t="shared" si="3"/>
        <v>1E-3</v>
      </c>
      <c r="H20" s="222">
        <f t="shared" si="4"/>
        <v>1E-3</v>
      </c>
      <c r="I20" s="222">
        <f t="shared" si="4"/>
        <v>1E-3</v>
      </c>
      <c r="J20" s="222">
        <f t="shared" si="4"/>
        <v>1E-3</v>
      </c>
      <c r="K20" s="222">
        <f t="shared" si="3"/>
        <v>1E-3</v>
      </c>
      <c r="L20" s="222">
        <f t="shared" si="3"/>
        <v>1E-3</v>
      </c>
      <c r="M20" s="222">
        <f t="shared" si="3"/>
        <v>1E-3</v>
      </c>
      <c r="N20" s="222">
        <f t="shared" si="3"/>
        <v>1E-3</v>
      </c>
      <c r="O20" s="222">
        <f t="shared" si="3"/>
        <v>1E-3</v>
      </c>
      <c r="P20" s="222">
        <f t="shared" si="7"/>
        <v>1E-3</v>
      </c>
      <c r="Q20" s="222">
        <f t="shared" si="7"/>
        <v>1E-3</v>
      </c>
      <c r="R20" s="222">
        <f t="shared" si="7"/>
        <v>1E-3</v>
      </c>
      <c r="S20" s="222">
        <f t="shared" si="7"/>
        <v>1E-3</v>
      </c>
      <c r="T20" s="222">
        <f t="shared" si="7"/>
        <v>1E-3</v>
      </c>
      <c r="U20" s="222">
        <f t="shared" si="7"/>
        <v>1E-3</v>
      </c>
      <c r="V20" s="222">
        <f t="shared" si="7"/>
        <v>1E-3</v>
      </c>
      <c r="W20" s="222">
        <f t="shared" si="7"/>
        <v>1E-3</v>
      </c>
      <c r="X20" s="222">
        <f t="shared" si="7"/>
        <v>1E-3</v>
      </c>
      <c r="Y20" s="222">
        <f t="shared" si="7"/>
        <v>1E-3</v>
      </c>
      <c r="Z20" s="222">
        <f t="shared" si="7"/>
        <v>1E-3</v>
      </c>
      <c r="AA20" s="222">
        <f t="shared" si="7"/>
        <v>1E-3</v>
      </c>
      <c r="AB20" s="222">
        <f t="shared" si="7"/>
        <v>1200</v>
      </c>
      <c r="AC20" s="222">
        <f t="shared" si="7"/>
        <v>1200</v>
      </c>
      <c r="AD20" s="222">
        <f t="shared" si="7"/>
        <v>1200</v>
      </c>
      <c r="AE20" s="222">
        <f t="shared" si="7"/>
        <v>1200</v>
      </c>
      <c r="AF20" s="222">
        <f t="shared" si="7"/>
        <v>1200</v>
      </c>
      <c r="AG20" s="222">
        <f t="shared" si="7"/>
        <v>1200</v>
      </c>
      <c r="AH20" s="222">
        <f t="shared" si="7"/>
        <v>1200</v>
      </c>
      <c r="AI20" s="222">
        <f t="shared" si="7"/>
        <v>1200</v>
      </c>
      <c r="AJ20" s="222">
        <f t="shared" si="7"/>
        <v>1200</v>
      </c>
      <c r="AK20" s="222">
        <f t="shared" si="7"/>
        <v>1200</v>
      </c>
      <c r="AL20" s="222">
        <f t="shared" si="7"/>
        <v>1200</v>
      </c>
      <c r="AM20" s="222">
        <f t="shared" si="8"/>
        <v>1200</v>
      </c>
      <c r="AN20" s="222">
        <f t="shared" si="8"/>
        <v>1200</v>
      </c>
      <c r="AO20" s="222">
        <f t="shared" si="8"/>
        <v>1200</v>
      </c>
      <c r="AP20" s="222">
        <f t="shared" si="8"/>
        <v>1200</v>
      </c>
      <c r="AQ20" s="222">
        <f t="shared" si="8"/>
        <v>1200</v>
      </c>
      <c r="AR20" s="222">
        <f t="shared" si="8"/>
        <v>1200</v>
      </c>
      <c r="AS20" s="222">
        <f t="shared" si="8"/>
        <v>1200</v>
      </c>
      <c r="AT20" s="222">
        <f t="shared" si="8"/>
        <v>1200</v>
      </c>
      <c r="AU20" s="222">
        <f t="shared" si="8"/>
        <v>1200</v>
      </c>
      <c r="AV20" s="222">
        <f t="shared" si="8"/>
        <v>1200</v>
      </c>
      <c r="AW20" s="222">
        <f t="shared" si="8"/>
        <v>1200</v>
      </c>
      <c r="AX20" s="222">
        <f t="shared" si="8"/>
        <v>1200</v>
      </c>
      <c r="AY20" s="222">
        <f t="shared" si="8"/>
        <v>1200</v>
      </c>
      <c r="AZ20" s="222">
        <f t="shared" si="8"/>
        <v>1200</v>
      </c>
      <c r="BA20" s="222">
        <f t="shared" si="8"/>
        <v>1200</v>
      </c>
      <c r="BB20" s="222">
        <f t="shared" si="8"/>
        <v>1200</v>
      </c>
      <c r="BC20" s="222">
        <f t="shared" si="8"/>
        <v>1200</v>
      </c>
      <c r="BD20" s="222">
        <f t="shared" si="8"/>
        <v>1200</v>
      </c>
      <c r="BE20" s="222">
        <f t="shared" si="8"/>
        <v>1200</v>
      </c>
      <c r="BF20" s="222">
        <f t="shared" si="8"/>
        <v>1200</v>
      </c>
      <c r="BG20" s="222">
        <f t="shared" si="8"/>
        <v>1200</v>
      </c>
      <c r="BH20" s="222">
        <f t="shared" si="8"/>
        <v>1200</v>
      </c>
      <c r="BI20" s="222">
        <f t="shared" si="8"/>
        <v>1200</v>
      </c>
    </row>
    <row r="21" spans="1:61" s="222" customFormat="1" x14ac:dyDescent="0.2">
      <c r="A21" s="222" t="s">
        <v>114</v>
      </c>
      <c r="B21" s="222">
        <f t="shared" si="2"/>
        <v>1E-3</v>
      </c>
      <c r="C21" s="222">
        <f t="shared" si="2"/>
        <v>1E-3</v>
      </c>
      <c r="D21" s="222">
        <f t="shared" si="2"/>
        <v>1E-3</v>
      </c>
      <c r="E21" s="222">
        <f t="shared" si="2"/>
        <v>1E-3</v>
      </c>
      <c r="F21" s="222">
        <f t="shared" si="3"/>
        <v>1E-3</v>
      </c>
      <c r="G21" s="222">
        <f t="shared" si="3"/>
        <v>1E-3</v>
      </c>
      <c r="H21" s="222">
        <f t="shared" si="4"/>
        <v>1E-3</v>
      </c>
      <c r="I21" s="222">
        <f t="shared" si="4"/>
        <v>1E-3</v>
      </c>
      <c r="J21" s="222">
        <f t="shared" si="4"/>
        <v>1E-3</v>
      </c>
      <c r="K21" s="222">
        <f t="shared" si="3"/>
        <v>1E-3</v>
      </c>
      <c r="L21" s="222">
        <f t="shared" si="3"/>
        <v>1E-3</v>
      </c>
      <c r="M21" s="222">
        <f t="shared" si="3"/>
        <v>1E-3</v>
      </c>
      <c r="N21" s="222">
        <f t="shared" si="3"/>
        <v>1E-3</v>
      </c>
      <c r="O21" s="222">
        <f t="shared" si="3"/>
        <v>1E-3</v>
      </c>
      <c r="P21" s="222">
        <f t="shared" si="7"/>
        <v>1E-3</v>
      </c>
      <c r="Q21" s="222">
        <f t="shared" si="7"/>
        <v>1E-3</v>
      </c>
      <c r="R21" s="222">
        <f t="shared" si="7"/>
        <v>1E-3</v>
      </c>
      <c r="S21" s="222">
        <f t="shared" si="7"/>
        <v>1E-3</v>
      </c>
      <c r="T21" s="222">
        <f t="shared" si="7"/>
        <v>1E-3</v>
      </c>
      <c r="U21" s="222">
        <f t="shared" si="7"/>
        <v>1E-3</v>
      </c>
      <c r="V21" s="222">
        <f t="shared" si="7"/>
        <v>1E-3</v>
      </c>
      <c r="W21" s="222">
        <f t="shared" si="7"/>
        <v>1E-3</v>
      </c>
      <c r="X21" s="222">
        <f t="shared" si="7"/>
        <v>1E-3</v>
      </c>
      <c r="Y21" s="222">
        <f t="shared" si="7"/>
        <v>1E-3</v>
      </c>
      <c r="Z21" s="222">
        <f t="shared" si="7"/>
        <v>1E-3</v>
      </c>
      <c r="AA21" s="222">
        <f t="shared" si="7"/>
        <v>1E-3</v>
      </c>
      <c r="AB21" s="222">
        <f t="shared" si="7"/>
        <v>1200</v>
      </c>
      <c r="AC21" s="222">
        <f t="shared" si="7"/>
        <v>1200</v>
      </c>
      <c r="AD21" s="222">
        <f t="shared" si="7"/>
        <v>1200</v>
      </c>
      <c r="AE21" s="222">
        <f t="shared" si="7"/>
        <v>1200</v>
      </c>
      <c r="AF21" s="222">
        <f t="shared" si="7"/>
        <v>1200</v>
      </c>
      <c r="AG21" s="222">
        <f t="shared" si="7"/>
        <v>1200</v>
      </c>
      <c r="AH21" s="222">
        <f t="shared" si="7"/>
        <v>1200</v>
      </c>
      <c r="AI21" s="222">
        <f t="shared" si="7"/>
        <v>1200</v>
      </c>
      <c r="AJ21" s="222">
        <f t="shared" si="7"/>
        <v>1200</v>
      </c>
      <c r="AK21" s="222">
        <f t="shared" si="7"/>
        <v>1200</v>
      </c>
      <c r="AL21" s="222">
        <f t="shared" si="7"/>
        <v>1200</v>
      </c>
      <c r="AM21" s="222">
        <f t="shared" si="8"/>
        <v>1200</v>
      </c>
      <c r="AN21" s="222">
        <f t="shared" si="8"/>
        <v>1200</v>
      </c>
      <c r="AO21" s="222">
        <f t="shared" si="8"/>
        <v>1200</v>
      </c>
      <c r="AP21" s="222">
        <f t="shared" si="8"/>
        <v>1200</v>
      </c>
      <c r="AQ21" s="222">
        <f t="shared" si="8"/>
        <v>1200</v>
      </c>
      <c r="AR21" s="222">
        <f t="shared" si="8"/>
        <v>1200</v>
      </c>
      <c r="AS21" s="222">
        <f t="shared" si="8"/>
        <v>1200</v>
      </c>
      <c r="AT21" s="222">
        <f t="shared" si="8"/>
        <v>1200</v>
      </c>
      <c r="AU21" s="222">
        <f t="shared" si="8"/>
        <v>1200</v>
      </c>
      <c r="AV21" s="222">
        <f t="shared" si="8"/>
        <v>1200</v>
      </c>
      <c r="AW21" s="222">
        <f t="shared" si="8"/>
        <v>1200</v>
      </c>
      <c r="AX21" s="222">
        <f t="shared" si="8"/>
        <v>1200</v>
      </c>
      <c r="AY21" s="222">
        <f t="shared" si="8"/>
        <v>1200</v>
      </c>
      <c r="AZ21" s="222">
        <f t="shared" si="8"/>
        <v>1200</v>
      </c>
      <c r="BA21" s="222">
        <f t="shared" si="8"/>
        <v>1200</v>
      </c>
      <c r="BB21" s="222">
        <f t="shared" si="8"/>
        <v>1200</v>
      </c>
      <c r="BC21" s="222">
        <f t="shared" si="8"/>
        <v>1200</v>
      </c>
      <c r="BD21" s="222">
        <f t="shared" si="8"/>
        <v>1200</v>
      </c>
      <c r="BE21" s="222">
        <f t="shared" si="8"/>
        <v>1200</v>
      </c>
      <c r="BF21" s="222">
        <f t="shared" si="8"/>
        <v>1200</v>
      </c>
      <c r="BG21" s="222">
        <f t="shared" si="8"/>
        <v>1200</v>
      </c>
      <c r="BH21" s="222">
        <f t="shared" si="8"/>
        <v>1200</v>
      </c>
      <c r="BI21" s="222">
        <f t="shared" si="8"/>
        <v>1200</v>
      </c>
    </row>
    <row r="22" spans="1:61" s="222" customFormat="1" x14ac:dyDescent="0.2">
      <c r="A22" s="222" t="s">
        <v>224</v>
      </c>
      <c r="B22" s="222">
        <f t="shared" si="2"/>
        <v>1E-3</v>
      </c>
      <c r="C22" s="222">
        <f t="shared" si="2"/>
        <v>1E-3</v>
      </c>
      <c r="D22" s="222">
        <f t="shared" si="2"/>
        <v>1E-3</v>
      </c>
      <c r="E22" s="222">
        <f t="shared" si="2"/>
        <v>1E-3</v>
      </c>
      <c r="F22" s="222">
        <f t="shared" si="3"/>
        <v>1E-3</v>
      </c>
      <c r="G22" s="222">
        <f t="shared" si="3"/>
        <v>1E-3</v>
      </c>
      <c r="H22" s="222">
        <f t="shared" si="4"/>
        <v>1E-3</v>
      </c>
      <c r="I22" s="222">
        <f t="shared" si="4"/>
        <v>1E-3</v>
      </c>
      <c r="J22" s="222">
        <f t="shared" si="4"/>
        <v>1E-3</v>
      </c>
      <c r="K22" s="222">
        <f t="shared" si="3"/>
        <v>1E-3</v>
      </c>
      <c r="L22" s="222">
        <f t="shared" si="3"/>
        <v>1E-3</v>
      </c>
      <c r="M22" s="222">
        <f t="shared" si="3"/>
        <v>1E-3</v>
      </c>
      <c r="N22" s="222">
        <f t="shared" si="3"/>
        <v>1E-3</v>
      </c>
      <c r="O22" s="222">
        <f t="shared" si="3"/>
        <v>1E-3</v>
      </c>
      <c r="P22" s="222">
        <f t="shared" si="7"/>
        <v>1E-3</v>
      </c>
      <c r="Q22" s="222">
        <f t="shared" si="7"/>
        <v>1E-3</v>
      </c>
      <c r="R22" s="222">
        <f t="shared" si="7"/>
        <v>1E-3</v>
      </c>
      <c r="S22" s="222">
        <f t="shared" si="7"/>
        <v>1E-3</v>
      </c>
      <c r="T22" s="222">
        <f t="shared" si="7"/>
        <v>1E-3</v>
      </c>
      <c r="U22" s="222">
        <f t="shared" si="7"/>
        <v>1E-3</v>
      </c>
      <c r="V22" s="222">
        <f t="shared" si="7"/>
        <v>1E-3</v>
      </c>
      <c r="W22" s="222">
        <f t="shared" si="7"/>
        <v>1E-3</v>
      </c>
      <c r="X22" s="222">
        <f t="shared" si="7"/>
        <v>1E-3</v>
      </c>
      <c r="Y22" s="222">
        <f t="shared" si="7"/>
        <v>1E-3</v>
      </c>
      <c r="Z22" s="222">
        <f t="shared" si="7"/>
        <v>1E-3</v>
      </c>
      <c r="AA22" s="222">
        <f t="shared" si="7"/>
        <v>1E-3</v>
      </c>
      <c r="AB22" s="222">
        <f t="shared" si="7"/>
        <v>1200</v>
      </c>
      <c r="AC22" s="222">
        <f t="shared" si="7"/>
        <v>1200</v>
      </c>
      <c r="AD22" s="222">
        <f t="shared" si="7"/>
        <v>1200</v>
      </c>
      <c r="AE22" s="222">
        <f t="shared" si="7"/>
        <v>1200</v>
      </c>
      <c r="AF22" s="222">
        <f t="shared" si="7"/>
        <v>1200</v>
      </c>
      <c r="AG22" s="222">
        <f t="shared" si="7"/>
        <v>1200</v>
      </c>
      <c r="AH22" s="222">
        <f t="shared" si="7"/>
        <v>1200</v>
      </c>
      <c r="AI22" s="222">
        <f t="shared" si="7"/>
        <v>1200</v>
      </c>
      <c r="AJ22" s="222">
        <f t="shared" si="7"/>
        <v>1200</v>
      </c>
      <c r="AK22" s="222">
        <f t="shared" si="7"/>
        <v>1200</v>
      </c>
      <c r="AL22" s="222">
        <f t="shared" si="7"/>
        <v>1200</v>
      </c>
      <c r="AM22" s="222">
        <f t="shared" si="8"/>
        <v>1200</v>
      </c>
      <c r="AN22" s="222">
        <f t="shared" si="8"/>
        <v>1200</v>
      </c>
      <c r="AO22" s="222">
        <f t="shared" si="8"/>
        <v>1200</v>
      </c>
      <c r="AP22" s="222">
        <f t="shared" si="8"/>
        <v>1200</v>
      </c>
      <c r="AQ22" s="222">
        <f t="shared" si="8"/>
        <v>1200</v>
      </c>
      <c r="AR22" s="222">
        <f t="shared" si="8"/>
        <v>1200</v>
      </c>
      <c r="AS22" s="222">
        <f t="shared" si="8"/>
        <v>1200</v>
      </c>
      <c r="AT22" s="222">
        <f t="shared" si="8"/>
        <v>1200</v>
      </c>
      <c r="AU22" s="222">
        <f t="shared" si="8"/>
        <v>1200</v>
      </c>
      <c r="AV22" s="222">
        <f t="shared" si="8"/>
        <v>1200</v>
      </c>
      <c r="AW22" s="222">
        <f t="shared" si="8"/>
        <v>1200</v>
      </c>
      <c r="AX22" s="222">
        <f t="shared" si="8"/>
        <v>1200</v>
      </c>
      <c r="AY22" s="222">
        <f t="shared" si="8"/>
        <v>1200</v>
      </c>
      <c r="AZ22" s="222">
        <f t="shared" si="8"/>
        <v>1200</v>
      </c>
      <c r="BA22" s="222">
        <f t="shared" si="8"/>
        <v>1200</v>
      </c>
      <c r="BB22" s="222">
        <f t="shared" si="8"/>
        <v>1200</v>
      </c>
      <c r="BC22" s="222">
        <f t="shared" si="8"/>
        <v>1200</v>
      </c>
      <c r="BD22" s="222">
        <f t="shared" si="8"/>
        <v>1200</v>
      </c>
      <c r="BE22" s="222">
        <f t="shared" si="8"/>
        <v>1200</v>
      </c>
      <c r="BF22" s="222">
        <f t="shared" si="8"/>
        <v>1200</v>
      </c>
      <c r="BG22" s="222">
        <f t="shared" si="8"/>
        <v>1200</v>
      </c>
      <c r="BH22" s="222">
        <f t="shared" si="8"/>
        <v>1200</v>
      </c>
      <c r="BI22" s="222">
        <f t="shared" si="8"/>
        <v>1200</v>
      </c>
    </row>
    <row r="23" spans="1:61" s="227" customFormat="1" x14ac:dyDescent="0.2">
      <c r="A23" s="227" t="s">
        <v>268</v>
      </c>
      <c r="B23" s="227">
        <f>+SUMPRODUCT(Controls!B11:B22*Data!$C$89:$C$100)/SUM(Data!$C$89:$C$100)</f>
        <v>1E-3</v>
      </c>
      <c r="C23" s="227">
        <f>+SUMPRODUCT(Controls!C11:C22*Data!$C$89:$C$100)/SUM(Data!$C$89:$C$100)</f>
        <v>1E-3</v>
      </c>
      <c r="D23" s="227">
        <f>+SUMPRODUCT(Controls!D11:D22*Data!$C$89:$C$100)/SUM(Data!$C$89:$C$100)</f>
        <v>1E-3</v>
      </c>
      <c r="E23" s="227">
        <f>+SUMPRODUCT(Controls!E11:E22*Data!$C$89:$C$100)/SUM(Data!$C$89:$C$100)</f>
        <v>1E-3</v>
      </c>
      <c r="F23" s="227">
        <f>+SUMPRODUCT(Controls!F11:F22*Data!$C$89:$C$100)/SUM(Data!$C$89:$C$100)</f>
        <v>1E-3</v>
      </c>
      <c r="G23" s="227">
        <f>+SUMPRODUCT(Controls!G11:G22*Data!$C$89:$C$100)/SUM(Data!$C$89:$C$100)</f>
        <v>1E-3</v>
      </c>
      <c r="H23" s="227">
        <f>+SUMPRODUCT(Controls!H11:H22*Data!$C$89:$C$100)/SUM(Data!$C$89:$C$100)</f>
        <v>1E-3</v>
      </c>
      <c r="I23" s="227">
        <f>+SUMPRODUCT(Controls!I11:I22*Data!$C$89:$C$100)/SUM(Data!$C$89:$C$100)</f>
        <v>1E-3</v>
      </c>
      <c r="J23" s="227">
        <f>+SUMPRODUCT(Controls!J11:J22*Data!$C$89:$C$100)/SUM(Data!$C$89:$C$100)</f>
        <v>1E-3</v>
      </c>
      <c r="K23" s="227">
        <f>+SUMPRODUCT(Controls!K11:K22*Data!$C$89:$C$100)/SUM(Data!$C$89:$C$100)</f>
        <v>1E-3</v>
      </c>
      <c r="L23" s="227">
        <f>+SUMPRODUCT(Controls!L11:L22*Data!$C$89:$C$100)/SUM(Data!$C$89:$C$100)</f>
        <v>1E-3</v>
      </c>
      <c r="M23" s="227">
        <f>+SUMPRODUCT(Controls!M11:M22*Data!$C$89:$C$100)/SUM(Data!$C$89:$C$100)</f>
        <v>1E-3</v>
      </c>
    </row>
    <row r="24" spans="1:61" ht="15" customHeight="1" x14ac:dyDescent="0.2">
      <c r="A24" s="215" t="s">
        <v>734</v>
      </c>
    </row>
    <row r="25" spans="1:61" ht="15" customHeight="1" x14ac:dyDescent="0.2">
      <c r="A25" s="215"/>
      <c r="B25" s="667"/>
      <c r="C25" s="667"/>
      <c r="D25" s="667"/>
      <c r="E25" s="667"/>
      <c r="F25" s="667"/>
    </row>
    <row r="26" spans="1:61" x14ac:dyDescent="0.2">
      <c r="B26" s="221">
        <v>2005</v>
      </c>
      <c r="C26" s="221">
        <v>2015</v>
      </c>
      <c r="D26" s="221">
        <v>2025</v>
      </c>
      <c r="E26" s="221">
        <v>2035</v>
      </c>
      <c r="F26" s="221">
        <v>2045</v>
      </c>
      <c r="G26" s="221">
        <v>2055</v>
      </c>
      <c r="H26" s="221">
        <v>2065</v>
      </c>
      <c r="I26" s="221">
        <v>2075</v>
      </c>
      <c r="J26" s="221">
        <v>2085</v>
      </c>
      <c r="K26" s="221">
        <v>2095</v>
      </c>
      <c r="L26" s="221">
        <v>2105</v>
      </c>
      <c r="M26" s="221">
        <v>2115</v>
      </c>
      <c r="N26" s="221">
        <v>2125</v>
      </c>
      <c r="O26" s="221">
        <v>2135</v>
      </c>
      <c r="P26" s="221">
        <v>2145</v>
      </c>
      <c r="Q26" s="221">
        <v>2155</v>
      </c>
      <c r="R26" s="221">
        <v>2165</v>
      </c>
      <c r="S26" s="221">
        <v>2175</v>
      </c>
      <c r="T26" s="221">
        <v>2185</v>
      </c>
      <c r="U26" s="221">
        <v>2195</v>
      </c>
      <c r="V26" s="221">
        <v>2205</v>
      </c>
      <c r="W26" s="221">
        <v>2215</v>
      </c>
      <c r="X26" s="221">
        <v>2225</v>
      </c>
      <c r="Y26" s="221">
        <v>2235</v>
      </c>
      <c r="Z26" s="221">
        <v>2245</v>
      </c>
      <c r="AA26" s="221">
        <v>2255</v>
      </c>
      <c r="AB26" s="221">
        <v>2265</v>
      </c>
      <c r="AC26" s="221">
        <v>2275</v>
      </c>
      <c r="AD26" s="221">
        <v>2285</v>
      </c>
      <c r="AE26" s="221">
        <v>2295</v>
      </c>
      <c r="AF26" s="221">
        <v>2305</v>
      </c>
      <c r="AG26" s="221">
        <v>2315</v>
      </c>
      <c r="AH26" s="221">
        <v>2325</v>
      </c>
      <c r="AI26" s="221">
        <v>2335</v>
      </c>
      <c r="AJ26" s="221">
        <v>2345</v>
      </c>
      <c r="AK26" s="221">
        <v>2355</v>
      </c>
      <c r="AL26" s="221">
        <v>2365</v>
      </c>
      <c r="AM26" s="221">
        <v>2375</v>
      </c>
      <c r="AN26" s="221">
        <v>2385</v>
      </c>
      <c r="AO26" s="221">
        <v>2395</v>
      </c>
      <c r="AP26" s="221">
        <v>2405</v>
      </c>
      <c r="AQ26" s="221">
        <v>2415</v>
      </c>
      <c r="AR26" s="221">
        <v>2425</v>
      </c>
      <c r="AS26" s="221">
        <v>2435</v>
      </c>
      <c r="AT26" s="221">
        <v>2445</v>
      </c>
      <c r="AU26" s="221">
        <v>2455</v>
      </c>
      <c r="AV26" s="221">
        <v>2465</v>
      </c>
      <c r="AW26" s="221">
        <v>2475</v>
      </c>
      <c r="AX26" s="221">
        <v>2485</v>
      </c>
      <c r="AY26" s="221">
        <v>2495</v>
      </c>
      <c r="AZ26" s="221">
        <v>2505</v>
      </c>
      <c r="BA26" s="221">
        <v>2515</v>
      </c>
      <c r="BB26" s="221">
        <v>2525</v>
      </c>
      <c r="BC26" s="221">
        <v>2535</v>
      </c>
      <c r="BD26" s="221">
        <v>2545</v>
      </c>
      <c r="BE26" s="221">
        <v>2555</v>
      </c>
      <c r="BF26" s="221">
        <v>2565</v>
      </c>
      <c r="BG26" s="221">
        <v>2575</v>
      </c>
      <c r="BH26" s="221">
        <v>2585</v>
      </c>
      <c r="BI26" s="221">
        <v>2595</v>
      </c>
    </row>
    <row r="27" spans="1:61" ht="16" x14ac:dyDescent="0.2">
      <c r="A27" s="202" t="s">
        <v>735</v>
      </c>
      <c r="B27" s="665">
        <v>0.17851791916683227</v>
      </c>
      <c r="C27" s="665">
        <v>0.2044090651258795</v>
      </c>
      <c r="D27" s="665">
        <v>0.20081283771564495</v>
      </c>
      <c r="E27" s="665">
        <v>0.1986243720647462</v>
      </c>
      <c r="F27" s="665">
        <v>0.19724537293411276</v>
      </c>
      <c r="G27" s="664">
        <v>0.19749782870000124</v>
      </c>
      <c r="H27" s="665">
        <v>0.19980405942420223</v>
      </c>
    </row>
    <row r="28" spans="1:61" s="492" customFormat="1" x14ac:dyDescent="0.2">
      <c r="A28" s="666" t="s">
        <v>104</v>
      </c>
      <c r="B28" s="665">
        <v>0.17851791916683227</v>
      </c>
      <c r="C28" s="665">
        <v>0.20441168561441803</v>
      </c>
      <c r="D28" s="665">
        <v>0.20081130743596862</v>
      </c>
      <c r="E28" s="665">
        <v>0.19862347859815724</v>
      </c>
      <c r="F28" s="665">
        <v>0.19724517955141138</v>
      </c>
      <c r="G28" s="664">
        <v>0.19749773378886082</v>
      </c>
      <c r="H28" s="665">
        <v>0.19978659099475396</v>
      </c>
      <c r="I28" s="665">
        <v>0.20224864393886471</v>
      </c>
      <c r="J28" s="665">
        <v>0.20500133186596789</v>
      </c>
      <c r="K28" s="665">
        <v>0.20701315102347004</v>
      </c>
      <c r="L28" s="665">
        <v>0.20687069210728645</v>
      </c>
      <c r="M28" s="665">
        <v>0.22030307885972511</v>
      </c>
      <c r="N28" s="589">
        <f>+M28</f>
        <v>0.22030307885972511</v>
      </c>
      <c r="O28" s="589">
        <f t="shared" ref="O28:BI28" si="9">+N28</f>
        <v>0.22030307885972511</v>
      </c>
      <c r="P28" s="589">
        <f t="shared" si="9"/>
        <v>0.22030307885972511</v>
      </c>
      <c r="Q28" s="589">
        <f t="shared" si="9"/>
        <v>0.22030307885972511</v>
      </c>
      <c r="R28" s="589">
        <f t="shared" si="9"/>
        <v>0.22030307885972511</v>
      </c>
      <c r="S28" s="589">
        <f t="shared" si="9"/>
        <v>0.22030307885972511</v>
      </c>
      <c r="T28" s="589">
        <f t="shared" si="9"/>
        <v>0.22030307885972511</v>
      </c>
      <c r="U28" s="589">
        <f t="shared" si="9"/>
        <v>0.22030307885972511</v>
      </c>
      <c r="V28" s="589">
        <f t="shared" si="9"/>
        <v>0.22030307885972511</v>
      </c>
      <c r="W28" s="589">
        <f t="shared" si="9"/>
        <v>0.22030307885972511</v>
      </c>
      <c r="X28" s="589">
        <f t="shared" si="9"/>
        <v>0.22030307885972511</v>
      </c>
      <c r="Y28" s="589">
        <f t="shared" si="9"/>
        <v>0.22030307885972511</v>
      </c>
      <c r="Z28" s="589">
        <f t="shared" si="9"/>
        <v>0.22030307885972511</v>
      </c>
      <c r="AA28" s="589">
        <f t="shared" si="9"/>
        <v>0.22030307885972511</v>
      </c>
      <c r="AB28" s="589">
        <f t="shared" si="9"/>
        <v>0.22030307885972511</v>
      </c>
      <c r="AC28" s="589">
        <f t="shared" si="9"/>
        <v>0.22030307885972511</v>
      </c>
      <c r="AD28" s="589">
        <f t="shared" si="9"/>
        <v>0.22030307885972511</v>
      </c>
      <c r="AE28" s="589">
        <f t="shared" si="9"/>
        <v>0.22030307885972511</v>
      </c>
      <c r="AF28" s="589">
        <f t="shared" si="9"/>
        <v>0.22030307885972511</v>
      </c>
      <c r="AG28" s="589">
        <f t="shared" si="9"/>
        <v>0.22030307885972511</v>
      </c>
      <c r="AH28" s="589">
        <f t="shared" si="9"/>
        <v>0.22030307885972511</v>
      </c>
      <c r="AI28" s="589">
        <f t="shared" si="9"/>
        <v>0.22030307885972511</v>
      </c>
      <c r="AJ28" s="589">
        <f t="shared" si="9"/>
        <v>0.22030307885972511</v>
      </c>
      <c r="AK28" s="589">
        <f t="shared" si="9"/>
        <v>0.22030307885972511</v>
      </c>
      <c r="AL28" s="589">
        <f t="shared" si="9"/>
        <v>0.22030307885972511</v>
      </c>
      <c r="AM28" s="589">
        <f t="shared" si="9"/>
        <v>0.22030307885972511</v>
      </c>
      <c r="AN28" s="589">
        <f t="shared" si="9"/>
        <v>0.22030307885972511</v>
      </c>
      <c r="AO28" s="589">
        <f t="shared" si="9"/>
        <v>0.22030307885972511</v>
      </c>
      <c r="AP28" s="589">
        <f t="shared" si="9"/>
        <v>0.22030307885972511</v>
      </c>
      <c r="AQ28" s="589">
        <f t="shared" si="9"/>
        <v>0.22030307885972511</v>
      </c>
      <c r="AR28" s="589">
        <f t="shared" si="9"/>
        <v>0.22030307885972511</v>
      </c>
      <c r="AS28" s="589">
        <f t="shared" si="9"/>
        <v>0.22030307885972511</v>
      </c>
      <c r="AT28" s="589">
        <f t="shared" si="9"/>
        <v>0.22030307885972511</v>
      </c>
      <c r="AU28" s="589">
        <f t="shared" si="9"/>
        <v>0.22030307885972511</v>
      </c>
      <c r="AV28" s="589">
        <f t="shared" si="9"/>
        <v>0.22030307885972511</v>
      </c>
      <c r="AW28" s="589">
        <f t="shared" si="9"/>
        <v>0.22030307885972511</v>
      </c>
      <c r="AX28" s="589">
        <f t="shared" si="9"/>
        <v>0.22030307885972511</v>
      </c>
      <c r="AY28" s="589">
        <f t="shared" si="9"/>
        <v>0.22030307885972511</v>
      </c>
      <c r="AZ28" s="589">
        <f t="shared" si="9"/>
        <v>0.22030307885972511</v>
      </c>
      <c r="BA28" s="589">
        <f t="shared" si="9"/>
        <v>0.22030307885972511</v>
      </c>
      <c r="BB28" s="589">
        <f t="shared" si="9"/>
        <v>0.22030307885972511</v>
      </c>
      <c r="BC28" s="589">
        <f t="shared" si="9"/>
        <v>0.22030307885972511</v>
      </c>
      <c r="BD28" s="589">
        <f t="shared" si="9"/>
        <v>0.22030307885972511</v>
      </c>
      <c r="BE28" s="589">
        <f t="shared" si="9"/>
        <v>0.22030307885972511</v>
      </c>
      <c r="BF28" s="589">
        <f t="shared" si="9"/>
        <v>0.22030307885972511</v>
      </c>
      <c r="BG28" s="589">
        <f t="shared" si="9"/>
        <v>0.22030307885972511</v>
      </c>
      <c r="BH28" s="589">
        <f t="shared" si="9"/>
        <v>0.22030307885972511</v>
      </c>
      <c r="BI28" s="589">
        <f t="shared" si="9"/>
        <v>0.22030307885972511</v>
      </c>
    </row>
    <row r="29" spans="1:61" s="492" customFormat="1" x14ac:dyDescent="0.2">
      <c r="A29" s="666" t="s">
        <v>105</v>
      </c>
      <c r="B29" s="664">
        <v>0.17464278549877818</v>
      </c>
      <c r="C29" s="664">
        <v>0.19951187573456713</v>
      </c>
      <c r="D29" s="664">
        <v>0.19621702705844843</v>
      </c>
      <c r="E29" s="664">
        <v>0.19444764809439508</v>
      </c>
      <c r="F29" s="664">
        <v>0.19311769687881469</v>
      </c>
      <c r="G29" s="664">
        <v>0.19342037928561981</v>
      </c>
      <c r="H29" s="664">
        <v>0.19499881757129625</v>
      </c>
      <c r="I29" s="664">
        <v>0.19675155944103084</v>
      </c>
      <c r="J29" s="664">
        <v>0.1986775404241552</v>
      </c>
      <c r="K29" s="664">
        <v>0.20517684580955442</v>
      </c>
      <c r="L29" s="664">
        <v>0.21074492696069239</v>
      </c>
      <c r="M29" s="664">
        <v>0.2203362818132277</v>
      </c>
      <c r="N29" s="589">
        <f t="shared" ref="N29:BI29" si="10">+M29</f>
        <v>0.2203362818132277</v>
      </c>
      <c r="O29" s="589">
        <f t="shared" si="10"/>
        <v>0.2203362818132277</v>
      </c>
      <c r="P29" s="589">
        <f t="shared" si="10"/>
        <v>0.2203362818132277</v>
      </c>
      <c r="Q29" s="589">
        <f t="shared" si="10"/>
        <v>0.2203362818132277</v>
      </c>
      <c r="R29" s="589">
        <f t="shared" si="10"/>
        <v>0.2203362818132277</v>
      </c>
      <c r="S29" s="589">
        <f t="shared" si="10"/>
        <v>0.2203362818132277</v>
      </c>
      <c r="T29" s="589">
        <f t="shared" si="10"/>
        <v>0.2203362818132277</v>
      </c>
      <c r="U29" s="589">
        <f t="shared" si="10"/>
        <v>0.2203362818132277</v>
      </c>
      <c r="V29" s="589">
        <f t="shared" si="10"/>
        <v>0.2203362818132277</v>
      </c>
      <c r="W29" s="589">
        <f t="shared" si="10"/>
        <v>0.2203362818132277</v>
      </c>
      <c r="X29" s="589">
        <f t="shared" si="10"/>
        <v>0.2203362818132277</v>
      </c>
      <c r="Y29" s="589">
        <f t="shared" si="10"/>
        <v>0.2203362818132277</v>
      </c>
      <c r="Z29" s="589">
        <f t="shared" si="10"/>
        <v>0.2203362818132277</v>
      </c>
      <c r="AA29" s="589">
        <f t="shared" si="10"/>
        <v>0.2203362818132277</v>
      </c>
      <c r="AB29" s="589">
        <f t="shared" si="10"/>
        <v>0.2203362818132277</v>
      </c>
      <c r="AC29" s="589">
        <f t="shared" si="10"/>
        <v>0.2203362818132277</v>
      </c>
      <c r="AD29" s="589">
        <f t="shared" si="10"/>
        <v>0.2203362818132277</v>
      </c>
      <c r="AE29" s="589">
        <f t="shared" si="10"/>
        <v>0.2203362818132277</v>
      </c>
      <c r="AF29" s="589">
        <f t="shared" si="10"/>
        <v>0.2203362818132277</v>
      </c>
      <c r="AG29" s="589">
        <f t="shared" si="10"/>
        <v>0.2203362818132277</v>
      </c>
      <c r="AH29" s="589">
        <f t="shared" si="10"/>
        <v>0.2203362818132277</v>
      </c>
      <c r="AI29" s="589">
        <f t="shared" si="10"/>
        <v>0.2203362818132277</v>
      </c>
      <c r="AJ29" s="589">
        <f t="shared" si="10"/>
        <v>0.2203362818132277</v>
      </c>
      <c r="AK29" s="589">
        <f t="shared" si="10"/>
        <v>0.2203362818132277</v>
      </c>
      <c r="AL29" s="589">
        <f t="shared" si="10"/>
        <v>0.2203362818132277</v>
      </c>
      <c r="AM29" s="589">
        <f t="shared" si="10"/>
        <v>0.2203362818132277</v>
      </c>
      <c r="AN29" s="589">
        <f t="shared" si="10"/>
        <v>0.2203362818132277</v>
      </c>
      <c r="AO29" s="589">
        <f t="shared" si="10"/>
        <v>0.2203362818132277</v>
      </c>
      <c r="AP29" s="589">
        <f t="shared" si="10"/>
        <v>0.2203362818132277</v>
      </c>
      <c r="AQ29" s="589">
        <f t="shared" si="10"/>
        <v>0.2203362818132277</v>
      </c>
      <c r="AR29" s="589">
        <f t="shared" si="10"/>
        <v>0.2203362818132277</v>
      </c>
      <c r="AS29" s="589">
        <f t="shared" si="10"/>
        <v>0.2203362818132277</v>
      </c>
      <c r="AT29" s="589">
        <f t="shared" si="10"/>
        <v>0.2203362818132277</v>
      </c>
      <c r="AU29" s="589">
        <f t="shared" si="10"/>
        <v>0.2203362818132277</v>
      </c>
      <c r="AV29" s="589">
        <f t="shared" si="10"/>
        <v>0.2203362818132277</v>
      </c>
      <c r="AW29" s="589">
        <f t="shared" si="10"/>
        <v>0.2203362818132277</v>
      </c>
      <c r="AX29" s="589">
        <f t="shared" si="10"/>
        <v>0.2203362818132277</v>
      </c>
      <c r="AY29" s="589">
        <f t="shared" si="10"/>
        <v>0.2203362818132277</v>
      </c>
      <c r="AZ29" s="589">
        <f t="shared" si="10"/>
        <v>0.2203362818132277</v>
      </c>
      <c r="BA29" s="589">
        <f t="shared" si="10"/>
        <v>0.2203362818132277</v>
      </c>
      <c r="BB29" s="589">
        <f t="shared" si="10"/>
        <v>0.2203362818132277</v>
      </c>
      <c r="BC29" s="589">
        <f t="shared" si="10"/>
        <v>0.2203362818132277</v>
      </c>
      <c r="BD29" s="589">
        <f t="shared" si="10"/>
        <v>0.2203362818132277</v>
      </c>
      <c r="BE29" s="589">
        <f t="shared" si="10"/>
        <v>0.2203362818132277</v>
      </c>
      <c r="BF29" s="589">
        <f t="shared" si="10"/>
        <v>0.2203362818132277</v>
      </c>
      <c r="BG29" s="589">
        <f t="shared" si="10"/>
        <v>0.2203362818132277</v>
      </c>
      <c r="BH29" s="589">
        <f t="shared" si="10"/>
        <v>0.2203362818132277</v>
      </c>
      <c r="BI29" s="589">
        <f t="shared" si="10"/>
        <v>0.2203362818132277</v>
      </c>
    </row>
    <row r="30" spans="1:61" s="492" customFormat="1" x14ac:dyDescent="0.2">
      <c r="A30" s="666" t="s">
        <v>51</v>
      </c>
      <c r="B30" s="664">
        <v>0.15130516850935352</v>
      </c>
      <c r="C30" s="664">
        <v>0.18028879870424402</v>
      </c>
      <c r="D30" s="664">
        <v>0.17561051284600046</v>
      </c>
      <c r="E30" s="664">
        <v>0.16834939682036698</v>
      </c>
      <c r="F30" s="664">
        <v>0.17936264615265576</v>
      </c>
      <c r="G30" s="664">
        <v>0.18715052917114447</v>
      </c>
      <c r="H30" s="664">
        <v>0.18886752273284263</v>
      </c>
      <c r="I30" s="664">
        <v>0.19078953271553145</v>
      </c>
      <c r="J30" s="664">
        <v>0.19299543769997909</v>
      </c>
      <c r="K30" s="664">
        <v>0.20201478435586034</v>
      </c>
      <c r="L30" s="664">
        <v>0.20937148693838403</v>
      </c>
      <c r="M30" s="664">
        <v>0.22226937429570431</v>
      </c>
      <c r="N30" s="589">
        <f t="shared" ref="N30:BI30" si="11">+M30</f>
        <v>0.22226937429570431</v>
      </c>
      <c r="O30" s="589">
        <f t="shared" si="11"/>
        <v>0.22226937429570431</v>
      </c>
      <c r="P30" s="589">
        <f t="shared" si="11"/>
        <v>0.22226937429570431</v>
      </c>
      <c r="Q30" s="589">
        <f t="shared" si="11"/>
        <v>0.22226937429570431</v>
      </c>
      <c r="R30" s="589">
        <f t="shared" si="11"/>
        <v>0.22226937429570431</v>
      </c>
      <c r="S30" s="589">
        <f t="shared" si="11"/>
        <v>0.22226937429570431</v>
      </c>
      <c r="T30" s="589">
        <f t="shared" si="11"/>
        <v>0.22226937429570431</v>
      </c>
      <c r="U30" s="589">
        <f t="shared" si="11"/>
        <v>0.22226937429570431</v>
      </c>
      <c r="V30" s="589">
        <f t="shared" si="11"/>
        <v>0.22226937429570431</v>
      </c>
      <c r="W30" s="589">
        <f t="shared" si="11"/>
        <v>0.22226937429570431</v>
      </c>
      <c r="X30" s="589">
        <f t="shared" si="11"/>
        <v>0.22226937429570431</v>
      </c>
      <c r="Y30" s="589">
        <f t="shared" si="11"/>
        <v>0.22226937429570431</v>
      </c>
      <c r="Z30" s="589">
        <f t="shared" si="11"/>
        <v>0.22226937429570431</v>
      </c>
      <c r="AA30" s="589">
        <f t="shared" si="11"/>
        <v>0.22226937429570431</v>
      </c>
      <c r="AB30" s="589">
        <f t="shared" si="11"/>
        <v>0.22226937429570431</v>
      </c>
      <c r="AC30" s="589">
        <f t="shared" si="11"/>
        <v>0.22226937429570431</v>
      </c>
      <c r="AD30" s="589">
        <f t="shared" si="11"/>
        <v>0.22226937429570431</v>
      </c>
      <c r="AE30" s="589">
        <f t="shared" si="11"/>
        <v>0.22226937429570431</v>
      </c>
      <c r="AF30" s="589">
        <f t="shared" si="11"/>
        <v>0.22226937429570431</v>
      </c>
      <c r="AG30" s="589">
        <f t="shared" si="11"/>
        <v>0.22226937429570431</v>
      </c>
      <c r="AH30" s="589">
        <f t="shared" si="11"/>
        <v>0.22226937429570431</v>
      </c>
      <c r="AI30" s="589">
        <f t="shared" si="11"/>
        <v>0.22226937429570431</v>
      </c>
      <c r="AJ30" s="589">
        <f t="shared" si="11"/>
        <v>0.22226937429570431</v>
      </c>
      <c r="AK30" s="589">
        <f t="shared" si="11"/>
        <v>0.22226937429570431</v>
      </c>
      <c r="AL30" s="589">
        <f t="shared" si="11"/>
        <v>0.22226937429570431</v>
      </c>
      <c r="AM30" s="589">
        <f t="shared" si="11"/>
        <v>0.22226937429570431</v>
      </c>
      <c r="AN30" s="589">
        <f t="shared" si="11"/>
        <v>0.22226937429570431</v>
      </c>
      <c r="AO30" s="589">
        <f t="shared" si="11"/>
        <v>0.22226937429570431</v>
      </c>
      <c r="AP30" s="589">
        <f t="shared" si="11"/>
        <v>0.22226937429570431</v>
      </c>
      <c r="AQ30" s="589">
        <f t="shared" si="11"/>
        <v>0.22226937429570431</v>
      </c>
      <c r="AR30" s="589">
        <f t="shared" si="11"/>
        <v>0.22226937429570431</v>
      </c>
      <c r="AS30" s="589">
        <f t="shared" si="11"/>
        <v>0.22226937429570431</v>
      </c>
      <c r="AT30" s="589">
        <f t="shared" si="11"/>
        <v>0.22226937429570431</v>
      </c>
      <c r="AU30" s="589">
        <f t="shared" si="11"/>
        <v>0.22226937429570431</v>
      </c>
      <c r="AV30" s="589">
        <f t="shared" si="11"/>
        <v>0.22226937429570431</v>
      </c>
      <c r="AW30" s="589">
        <f t="shared" si="11"/>
        <v>0.22226937429570431</v>
      </c>
      <c r="AX30" s="589">
        <f t="shared" si="11"/>
        <v>0.22226937429570431</v>
      </c>
      <c r="AY30" s="589">
        <f t="shared" si="11"/>
        <v>0.22226937429570431</v>
      </c>
      <c r="AZ30" s="589">
        <f t="shared" si="11"/>
        <v>0.22226937429570431</v>
      </c>
      <c r="BA30" s="589">
        <f t="shared" si="11"/>
        <v>0.22226937429570431</v>
      </c>
      <c r="BB30" s="589">
        <f t="shared" si="11"/>
        <v>0.22226937429570431</v>
      </c>
      <c r="BC30" s="589">
        <f t="shared" si="11"/>
        <v>0.22226937429570431</v>
      </c>
      <c r="BD30" s="589">
        <f t="shared" si="11"/>
        <v>0.22226937429570431</v>
      </c>
      <c r="BE30" s="589">
        <f t="shared" si="11"/>
        <v>0.22226937429570431</v>
      </c>
      <c r="BF30" s="589">
        <f t="shared" si="11"/>
        <v>0.22226937429570431</v>
      </c>
      <c r="BG30" s="589">
        <f t="shared" si="11"/>
        <v>0.22226937429570431</v>
      </c>
      <c r="BH30" s="589">
        <f t="shared" si="11"/>
        <v>0.22226937429570431</v>
      </c>
      <c r="BI30" s="589">
        <f t="shared" si="11"/>
        <v>0.22226937429570431</v>
      </c>
    </row>
    <row r="31" spans="1:61" s="492" customFormat="1" x14ac:dyDescent="0.2">
      <c r="A31" s="666" t="s">
        <v>52</v>
      </c>
      <c r="B31" s="664">
        <v>0.19116870416633872</v>
      </c>
      <c r="C31" s="664">
        <v>0.18903154012827164</v>
      </c>
      <c r="D31" s="664">
        <v>0.18513371193962028</v>
      </c>
      <c r="E31" s="664">
        <v>0.185563870068611</v>
      </c>
      <c r="F31" s="664">
        <v>0.1878739277780751</v>
      </c>
      <c r="G31" s="664">
        <v>0.18989118964398169</v>
      </c>
      <c r="H31" s="664">
        <v>0.19064813179718809</v>
      </c>
      <c r="I31" s="664">
        <v>0.19168340007296758</v>
      </c>
      <c r="J31" s="664">
        <v>0.19308059868291075</v>
      </c>
      <c r="K31" s="664">
        <v>0.20313479711589796</v>
      </c>
      <c r="L31" s="664">
        <v>0.21241990984042894</v>
      </c>
      <c r="M31" s="664">
        <v>0.22223322828967537</v>
      </c>
      <c r="N31" s="589">
        <f t="shared" ref="N31:BI31" si="12">+M31</f>
        <v>0.22223322828967537</v>
      </c>
      <c r="O31" s="589">
        <f t="shared" si="12"/>
        <v>0.22223322828967537</v>
      </c>
      <c r="P31" s="589">
        <f t="shared" si="12"/>
        <v>0.22223322828967537</v>
      </c>
      <c r="Q31" s="589">
        <f t="shared" si="12"/>
        <v>0.22223322828967537</v>
      </c>
      <c r="R31" s="589">
        <f t="shared" si="12"/>
        <v>0.22223322828967537</v>
      </c>
      <c r="S31" s="589">
        <f t="shared" si="12"/>
        <v>0.22223322828967537</v>
      </c>
      <c r="T31" s="589">
        <f t="shared" si="12"/>
        <v>0.22223322828967537</v>
      </c>
      <c r="U31" s="589">
        <f t="shared" si="12"/>
        <v>0.22223322828967537</v>
      </c>
      <c r="V31" s="589">
        <f t="shared" si="12"/>
        <v>0.22223322828967537</v>
      </c>
      <c r="W31" s="589">
        <f t="shared" si="12"/>
        <v>0.22223322828967537</v>
      </c>
      <c r="X31" s="589">
        <f t="shared" si="12"/>
        <v>0.22223322828967537</v>
      </c>
      <c r="Y31" s="589">
        <f t="shared" si="12"/>
        <v>0.22223322828967537</v>
      </c>
      <c r="Z31" s="589">
        <f t="shared" si="12"/>
        <v>0.22223322828967537</v>
      </c>
      <c r="AA31" s="589">
        <f t="shared" si="12"/>
        <v>0.22223322828967537</v>
      </c>
      <c r="AB31" s="589">
        <f t="shared" si="12"/>
        <v>0.22223322828967537</v>
      </c>
      <c r="AC31" s="589">
        <f t="shared" si="12"/>
        <v>0.22223322828967537</v>
      </c>
      <c r="AD31" s="589">
        <f t="shared" si="12"/>
        <v>0.22223322828967537</v>
      </c>
      <c r="AE31" s="589">
        <f t="shared" si="12"/>
        <v>0.22223322828967537</v>
      </c>
      <c r="AF31" s="589">
        <f t="shared" si="12"/>
        <v>0.22223322828967537</v>
      </c>
      <c r="AG31" s="589">
        <f t="shared" si="12"/>
        <v>0.22223322828967537</v>
      </c>
      <c r="AH31" s="589">
        <f t="shared" si="12"/>
        <v>0.22223322828967537</v>
      </c>
      <c r="AI31" s="589">
        <f t="shared" si="12"/>
        <v>0.22223322828967537</v>
      </c>
      <c r="AJ31" s="589">
        <f t="shared" si="12"/>
        <v>0.22223322828967537</v>
      </c>
      <c r="AK31" s="589">
        <f t="shared" si="12"/>
        <v>0.22223322828967537</v>
      </c>
      <c r="AL31" s="589">
        <f t="shared" si="12"/>
        <v>0.22223322828967537</v>
      </c>
      <c r="AM31" s="589">
        <f t="shared" si="12"/>
        <v>0.22223322828967537</v>
      </c>
      <c r="AN31" s="589">
        <f t="shared" si="12"/>
        <v>0.22223322828967537</v>
      </c>
      <c r="AO31" s="589">
        <f t="shared" si="12"/>
        <v>0.22223322828967537</v>
      </c>
      <c r="AP31" s="589">
        <f t="shared" si="12"/>
        <v>0.22223322828967537</v>
      </c>
      <c r="AQ31" s="589">
        <f t="shared" si="12"/>
        <v>0.22223322828967537</v>
      </c>
      <c r="AR31" s="589">
        <f t="shared" si="12"/>
        <v>0.22223322828967537</v>
      </c>
      <c r="AS31" s="589">
        <f t="shared" si="12"/>
        <v>0.22223322828967537</v>
      </c>
      <c r="AT31" s="589">
        <f t="shared" si="12"/>
        <v>0.22223322828967537</v>
      </c>
      <c r="AU31" s="589">
        <f t="shared" si="12"/>
        <v>0.22223322828967537</v>
      </c>
      <c r="AV31" s="589">
        <f t="shared" si="12"/>
        <v>0.22223322828967537</v>
      </c>
      <c r="AW31" s="589">
        <f t="shared" si="12"/>
        <v>0.22223322828967537</v>
      </c>
      <c r="AX31" s="589">
        <f t="shared" si="12"/>
        <v>0.22223322828967537</v>
      </c>
      <c r="AY31" s="589">
        <f t="shared" si="12"/>
        <v>0.22223322828967537</v>
      </c>
      <c r="AZ31" s="589">
        <f t="shared" si="12"/>
        <v>0.22223322828967537</v>
      </c>
      <c r="BA31" s="589">
        <f t="shared" si="12"/>
        <v>0.22223322828967537</v>
      </c>
      <c r="BB31" s="589">
        <f t="shared" si="12"/>
        <v>0.22223322828967537</v>
      </c>
      <c r="BC31" s="589">
        <f t="shared" si="12"/>
        <v>0.22223322828967537</v>
      </c>
      <c r="BD31" s="589">
        <f t="shared" si="12"/>
        <v>0.22223322828967537</v>
      </c>
      <c r="BE31" s="589">
        <f t="shared" si="12"/>
        <v>0.22223322828967537</v>
      </c>
      <c r="BF31" s="589">
        <f t="shared" si="12"/>
        <v>0.22223322828967537</v>
      </c>
      <c r="BG31" s="589">
        <f t="shared" si="12"/>
        <v>0.22223322828967537</v>
      </c>
      <c r="BH31" s="589">
        <f t="shared" si="12"/>
        <v>0.22223322828967537</v>
      </c>
      <c r="BI31" s="589">
        <f t="shared" si="12"/>
        <v>0.22223322828967537</v>
      </c>
    </row>
    <row r="32" spans="1:61" s="492" customFormat="1" x14ac:dyDescent="0.2">
      <c r="A32" s="666" t="s">
        <v>53</v>
      </c>
      <c r="B32" s="664">
        <v>0.1950068390972948</v>
      </c>
      <c r="C32" s="664">
        <v>0.22579565828348314</v>
      </c>
      <c r="D32" s="664">
        <v>0.21818997077859106</v>
      </c>
      <c r="E32" s="664">
        <v>0.2137651998818286</v>
      </c>
      <c r="F32" s="664">
        <v>0.2110399666476615</v>
      </c>
      <c r="G32" s="664">
        <v>0.21054285633670111</v>
      </c>
      <c r="H32" s="664">
        <v>0.21015163132466624</v>
      </c>
      <c r="I32" s="664">
        <v>0.21016396192736281</v>
      </c>
      <c r="J32" s="664">
        <v>0.21067751414477806</v>
      </c>
      <c r="K32" s="664">
        <v>0.21679424846015824</v>
      </c>
      <c r="L32" s="664">
        <v>0.22273954697694098</v>
      </c>
      <c r="M32" s="664">
        <v>0.22890898798344628</v>
      </c>
      <c r="N32" s="589">
        <f t="shared" ref="N32:BI32" si="13">+M32</f>
        <v>0.22890898798344628</v>
      </c>
      <c r="O32" s="589">
        <f t="shared" si="13"/>
        <v>0.22890898798344628</v>
      </c>
      <c r="P32" s="589">
        <f t="shared" si="13"/>
        <v>0.22890898798344628</v>
      </c>
      <c r="Q32" s="589">
        <f t="shared" si="13"/>
        <v>0.22890898798344628</v>
      </c>
      <c r="R32" s="589">
        <f t="shared" si="13"/>
        <v>0.22890898798344628</v>
      </c>
      <c r="S32" s="589">
        <f t="shared" si="13"/>
        <v>0.22890898798344628</v>
      </c>
      <c r="T32" s="589">
        <f t="shared" si="13"/>
        <v>0.22890898798344628</v>
      </c>
      <c r="U32" s="589">
        <f t="shared" si="13"/>
        <v>0.22890898798344628</v>
      </c>
      <c r="V32" s="589">
        <f t="shared" si="13"/>
        <v>0.22890898798344628</v>
      </c>
      <c r="W32" s="589">
        <f t="shared" si="13"/>
        <v>0.22890898798344628</v>
      </c>
      <c r="X32" s="589">
        <f t="shared" si="13"/>
        <v>0.22890898798344628</v>
      </c>
      <c r="Y32" s="589">
        <f t="shared" si="13"/>
        <v>0.22890898798344628</v>
      </c>
      <c r="Z32" s="589">
        <f t="shared" si="13"/>
        <v>0.22890898798344628</v>
      </c>
      <c r="AA32" s="589">
        <f t="shared" si="13"/>
        <v>0.22890898798344628</v>
      </c>
      <c r="AB32" s="589">
        <f t="shared" si="13"/>
        <v>0.22890898798344628</v>
      </c>
      <c r="AC32" s="589">
        <f t="shared" si="13"/>
        <v>0.22890898798344628</v>
      </c>
      <c r="AD32" s="589">
        <f t="shared" si="13"/>
        <v>0.22890898798344628</v>
      </c>
      <c r="AE32" s="589">
        <f t="shared" si="13"/>
        <v>0.22890898798344628</v>
      </c>
      <c r="AF32" s="589">
        <f t="shared" si="13"/>
        <v>0.22890898798344628</v>
      </c>
      <c r="AG32" s="589">
        <f t="shared" si="13"/>
        <v>0.22890898798344628</v>
      </c>
      <c r="AH32" s="589">
        <f t="shared" si="13"/>
        <v>0.22890898798344628</v>
      </c>
      <c r="AI32" s="589">
        <f t="shared" si="13"/>
        <v>0.22890898798344628</v>
      </c>
      <c r="AJ32" s="589">
        <f t="shared" si="13"/>
        <v>0.22890898798344628</v>
      </c>
      <c r="AK32" s="589">
        <f t="shared" si="13"/>
        <v>0.22890898798344628</v>
      </c>
      <c r="AL32" s="589">
        <f t="shared" si="13"/>
        <v>0.22890898798344628</v>
      </c>
      <c r="AM32" s="589">
        <f t="shared" si="13"/>
        <v>0.22890898798344628</v>
      </c>
      <c r="AN32" s="589">
        <f t="shared" si="13"/>
        <v>0.22890898798344628</v>
      </c>
      <c r="AO32" s="589">
        <f t="shared" si="13"/>
        <v>0.22890898798344628</v>
      </c>
      <c r="AP32" s="589">
        <f t="shared" si="13"/>
        <v>0.22890898798344628</v>
      </c>
      <c r="AQ32" s="589">
        <f t="shared" si="13"/>
        <v>0.22890898798344628</v>
      </c>
      <c r="AR32" s="589">
        <f t="shared" si="13"/>
        <v>0.22890898798344628</v>
      </c>
      <c r="AS32" s="589">
        <f t="shared" si="13"/>
        <v>0.22890898798344628</v>
      </c>
      <c r="AT32" s="589">
        <f t="shared" si="13"/>
        <v>0.22890898798344628</v>
      </c>
      <c r="AU32" s="589">
        <f t="shared" si="13"/>
        <v>0.22890898798344628</v>
      </c>
      <c r="AV32" s="589">
        <f t="shared" si="13"/>
        <v>0.22890898798344628</v>
      </c>
      <c r="AW32" s="589">
        <f t="shared" si="13"/>
        <v>0.22890898798344628</v>
      </c>
      <c r="AX32" s="589">
        <f t="shared" si="13"/>
        <v>0.22890898798344628</v>
      </c>
      <c r="AY32" s="589">
        <f t="shared" si="13"/>
        <v>0.22890898798344628</v>
      </c>
      <c r="AZ32" s="589">
        <f t="shared" si="13"/>
        <v>0.22890898798344628</v>
      </c>
      <c r="BA32" s="589">
        <f t="shared" si="13"/>
        <v>0.22890898798344628</v>
      </c>
      <c r="BB32" s="589">
        <f t="shared" si="13"/>
        <v>0.22890898798344628</v>
      </c>
      <c r="BC32" s="589">
        <f t="shared" si="13"/>
        <v>0.22890898798344628</v>
      </c>
      <c r="BD32" s="589">
        <f t="shared" si="13"/>
        <v>0.22890898798344628</v>
      </c>
      <c r="BE32" s="589">
        <f t="shared" si="13"/>
        <v>0.22890898798344628</v>
      </c>
      <c r="BF32" s="589">
        <f t="shared" si="13"/>
        <v>0.22890898798344628</v>
      </c>
      <c r="BG32" s="589">
        <f t="shared" si="13"/>
        <v>0.22890898798344628</v>
      </c>
      <c r="BH32" s="589">
        <f t="shared" si="13"/>
        <v>0.22890898798344628</v>
      </c>
      <c r="BI32" s="589">
        <f t="shared" si="13"/>
        <v>0.22890898798344628</v>
      </c>
    </row>
    <row r="33" spans="1:61" s="492" customFormat="1" x14ac:dyDescent="0.2">
      <c r="A33" s="666" t="s">
        <v>54</v>
      </c>
      <c r="B33" s="664">
        <v>0.35708144186291391</v>
      </c>
      <c r="C33" s="664">
        <v>0.2267610075161593</v>
      </c>
      <c r="D33" s="664">
        <v>0.21516476481009253</v>
      </c>
      <c r="E33" s="664">
        <v>0.20754873475224947</v>
      </c>
      <c r="F33" s="664">
        <v>0.2032796927112448</v>
      </c>
      <c r="G33" s="664">
        <v>0.20375853404594946</v>
      </c>
      <c r="H33" s="664">
        <v>0.2034237446652743</v>
      </c>
      <c r="I33" s="664">
        <v>0.20334246847133677</v>
      </c>
      <c r="J33" s="664">
        <v>0.20316730217272469</v>
      </c>
      <c r="K33" s="664">
        <v>0.20922027492066747</v>
      </c>
      <c r="L33" s="664">
        <v>0.2185201157729674</v>
      </c>
      <c r="M33" s="664">
        <v>0.21324434378424598</v>
      </c>
      <c r="N33" s="589">
        <f t="shared" ref="N33:BI33" si="14">+M33</f>
        <v>0.21324434378424598</v>
      </c>
      <c r="O33" s="589">
        <f t="shared" si="14"/>
        <v>0.21324434378424598</v>
      </c>
      <c r="P33" s="589">
        <f t="shared" si="14"/>
        <v>0.21324434378424598</v>
      </c>
      <c r="Q33" s="589">
        <f t="shared" si="14"/>
        <v>0.21324434378424598</v>
      </c>
      <c r="R33" s="589">
        <f t="shared" si="14"/>
        <v>0.21324434378424598</v>
      </c>
      <c r="S33" s="589">
        <f t="shared" si="14"/>
        <v>0.21324434378424598</v>
      </c>
      <c r="T33" s="589">
        <f t="shared" si="14"/>
        <v>0.21324434378424598</v>
      </c>
      <c r="U33" s="589">
        <f t="shared" si="14"/>
        <v>0.21324434378424598</v>
      </c>
      <c r="V33" s="589">
        <f t="shared" si="14"/>
        <v>0.21324434378424598</v>
      </c>
      <c r="W33" s="589">
        <f t="shared" si="14"/>
        <v>0.21324434378424598</v>
      </c>
      <c r="X33" s="589">
        <f t="shared" si="14"/>
        <v>0.21324434378424598</v>
      </c>
      <c r="Y33" s="589">
        <f t="shared" si="14"/>
        <v>0.21324434378424598</v>
      </c>
      <c r="Z33" s="589">
        <f t="shared" si="14"/>
        <v>0.21324434378424598</v>
      </c>
      <c r="AA33" s="589">
        <f t="shared" si="14"/>
        <v>0.21324434378424598</v>
      </c>
      <c r="AB33" s="589">
        <f t="shared" si="14"/>
        <v>0.21324434378424598</v>
      </c>
      <c r="AC33" s="589">
        <f t="shared" si="14"/>
        <v>0.21324434378424598</v>
      </c>
      <c r="AD33" s="589">
        <f t="shared" si="14"/>
        <v>0.21324434378424598</v>
      </c>
      <c r="AE33" s="589">
        <f t="shared" si="14"/>
        <v>0.21324434378424598</v>
      </c>
      <c r="AF33" s="589">
        <f t="shared" si="14"/>
        <v>0.21324434378424598</v>
      </c>
      <c r="AG33" s="589">
        <f t="shared" si="14"/>
        <v>0.21324434378424598</v>
      </c>
      <c r="AH33" s="589">
        <f t="shared" si="14"/>
        <v>0.21324434378424598</v>
      </c>
      <c r="AI33" s="589">
        <f t="shared" si="14"/>
        <v>0.21324434378424598</v>
      </c>
      <c r="AJ33" s="589">
        <f t="shared" si="14"/>
        <v>0.21324434378424598</v>
      </c>
      <c r="AK33" s="589">
        <f t="shared" si="14"/>
        <v>0.21324434378424598</v>
      </c>
      <c r="AL33" s="589">
        <f t="shared" si="14"/>
        <v>0.21324434378424598</v>
      </c>
      <c r="AM33" s="589">
        <f t="shared" si="14"/>
        <v>0.21324434378424598</v>
      </c>
      <c r="AN33" s="589">
        <f t="shared" si="14"/>
        <v>0.21324434378424598</v>
      </c>
      <c r="AO33" s="589">
        <f t="shared" si="14"/>
        <v>0.21324434378424598</v>
      </c>
      <c r="AP33" s="589">
        <f t="shared" si="14"/>
        <v>0.21324434378424598</v>
      </c>
      <c r="AQ33" s="589">
        <f t="shared" si="14"/>
        <v>0.21324434378424598</v>
      </c>
      <c r="AR33" s="589">
        <f t="shared" si="14"/>
        <v>0.21324434378424598</v>
      </c>
      <c r="AS33" s="589">
        <f t="shared" si="14"/>
        <v>0.21324434378424598</v>
      </c>
      <c r="AT33" s="589">
        <f t="shared" si="14"/>
        <v>0.21324434378424598</v>
      </c>
      <c r="AU33" s="589">
        <f t="shared" si="14"/>
        <v>0.21324434378424598</v>
      </c>
      <c r="AV33" s="589">
        <f t="shared" si="14"/>
        <v>0.21324434378424598</v>
      </c>
      <c r="AW33" s="589">
        <f t="shared" si="14"/>
        <v>0.21324434378424598</v>
      </c>
      <c r="AX33" s="589">
        <f t="shared" si="14"/>
        <v>0.21324434378424598</v>
      </c>
      <c r="AY33" s="589">
        <f t="shared" si="14"/>
        <v>0.21324434378424598</v>
      </c>
      <c r="AZ33" s="589">
        <f t="shared" si="14"/>
        <v>0.21324434378424598</v>
      </c>
      <c r="BA33" s="589">
        <f t="shared" si="14"/>
        <v>0.21324434378424598</v>
      </c>
      <c r="BB33" s="589">
        <f t="shared" si="14"/>
        <v>0.21324434378424598</v>
      </c>
      <c r="BC33" s="589">
        <f t="shared" si="14"/>
        <v>0.21324434378424598</v>
      </c>
      <c r="BD33" s="589">
        <f t="shared" si="14"/>
        <v>0.21324434378424598</v>
      </c>
      <c r="BE33" s="589">
        <f t="shared" si="14"/>
        <v>0.21324434378424598</v>
      </c>
      <c r="BF33" s="589">
        <f t="shared" si="14"/>
        <v>0.21324434378424598</v>
      </c>
      <c r="BG33" s="589">
        <f t="shared" si="14"/>
        <v>0.21324434378424598</v>
      </c>
      <c r="BH33" s="589">
        <f t="shared" si="14"/>
        <v>0.21324434378424598</v>
      </c>
      <c r="BI33" s="589">
        <f t="shared" si="14"/>
        <v>0.21324434378424598</v>
      </c>
    </row>
    <row r="34" spans="1:61" s="492" customFormat="1" x14ac:dyDescent="0.2">
      <c r="A34" s="666" t="s">
        <v>55</v>
      </c>
      <c r="B34" s="664">
        <v>0.2948464854719452</v>
      </c>
      <c r="C34" s="664">
        <v>0.26865630507701344</v>
      </c>
      <c r="D34" s="664">
        <v>0.25373354159378009</v>
      </c>
      <c r="E34" s="664">
        <v>0.24344426015069293</v>
      </c>
      <c r="F34" s="664">
        <v>0.23218356885139413</v>
      </c>
      <c r="G34" s="664">
        <v>0.22645882046122337</v>
      </c>
      <c r="H34" s="664">
        <v>0.22526327943248856</v>
      </c>
      <c r="I34" s="664">
        <v>0.22454207112988211</v>
      </c>
      <c r="J34" s="664">
        <v>0.22439286463993957</v>
      </c>
      <c r="K34" s="664">
        <v>0.22474462158787176</v>
      </c>
      <c r="L34" s="664">
        <v>0.22572862074328459</v>
      </c>
      <c r="M34" s="664">
        <v>0.22819109400760584</v>
      </c>
      <c r="N34" s="589">
        <f t="shared" ref="N34:BI34" si="15">+M34</f>
        <v>0.22819109400760584</v>
      </c>
      <c r="O34" s="589">
        <f t="shared" si="15"/>
        <v>0.22819109400760584</v>
      </c>
      <c r="P34" s="589">
        <f t="shared" si="15"/>
        <v>0.22819109400760584</v>
      </c>
      <c r="Q34" s="589">
        <f t="shared" si="15"/>
        <v>0.22819109400760584</v>
      </c>
      <c r="R34" s="589">
        <f t="shared" si="15"/>
        <v>0.22819109400760584</v>
      </c>
      <c r="S34" s="589">
        <f t="shared" si="15"/>
        <v>0.22819109400760584</v>
      </c>
      <c r="T34" s="589">
        <f t="shared" si="15"/>
        <v>0.22819109400760584</v>
      </c>
      <c r="U34" s="589">
        <f t="shared" si="15"/>
        <v>0.22819109400760584</v>
      </c>
      <c r="V34" s="589">
        <f t="shared" si="15"/>
        <v>0.22819109400760584</v>
      </c>
      <c r="W34" s="589">
        <f t="shared" si="15"/>
        <v>0.22819109400760584</v>
      </c>
      <c r="X34" s="589">
        <f t="shared" si="15"/>
        <v>0.22819109400760584</v>
      </c>
      <c r="Y34" s="589">
        <f t="shared" si="15"/>
        <v>0.22819109400760584</v>
      </c>
      <c r="Z34" s="589">
        <f t="shared" si="15"/>
        <v>0.22819109400760584</v>
      </c>
      <c r="AA34" s="589">
        <f t="shared" si="15"/>
        <v>0.22819109400760584</v>
      </c>
      <c r="AB34" s="589">
        <f t="shared" si="15"/>
        <v>0.22819109400760584</v>
      </c>
      <c r="AC34" s="589">
        <f t="shared" si="15"/>
        <v>0.22819109400760584</v>
      </c>
      <c r="AD34" s="589">
        <f t="shared" si="15"/>
        <v>0.22819109400760584</v>
      </c>
      <c r="AE34" s="589">
        <f t="shared" si="15"/>
        <v>0.22819109400760584</v>
      </c>
      <c r="AF34" s="589">
        <f t="shared" si="15"/>
        <v>0.22819109400760584</v>
      </c>
      <c r="AG34" s="589">
        <f t="shared" si="15"/>
        <v>0.22819109400760584</v>
      </c>
      <c r="AH34" s="589">
        <f t="shared" si="15"/>
        <v>0.22819109400760584</v>
      </c>
      <c r="AI34" s="589">
        <f t="shared" si="15"/>
        <v>0.22819109400760584</v>
      </c>
      <c r="AJ34" s="589">
        <f t="shared" si="15"/>
        <v>0.22819109400760584</v>
      </c>
      <c r="AK34" s="589">
        <f t="shared" si="15"/>
        <v>0.22819109400760584</v>
      </c>
      <c r="AL34" s="589">
        <f t="shared" si="15"/>
        <v>0.22819109400760584</v>
      </c>
      <c r="AM34" s="589">
        <f t="shared" si="15"/>
        <v>0.22819109400760584</v>
      </c>
      <c r="AN34" s="589">
        <f t="shared" si="15"/>
        <v>0.22819109400760584</v>
      </c>
      <c r="AO34" s="589">
        <f t="shared" si="15"/>
        <v>0.22819109400760584</v>
      </c>
      <c r="AP34" s="589">
        <f t="shared" si="15"/>
        <v>0.22819109400760584</v>
      </c>
      <c r="AQ34" s="589">
        <f t="shared" si="15"/>
        <v>0.22819109400760584</v>
      </c>
      <c r="AR34" s="589">
        <f t="shared" si="15"/>
        <v>0.22819109400760584</v>
      </c>
      <c r="AS34" s="589">
        <f t="shared" si="15"/>
        <v>0.22819109400760584</v>
      </c>
      <c r="AT34" s="589">
        <f t="shared" si="15"/>
        <v>0.22819109400760584</v>
      </c>
      <c r="AU34" s="589">
        <f t="shared" si="15"/>
        <v>0.22819109400760584</v>
      </c>
      <c r="AV34" s="589">
        <f t="shared" si="15"/>
        <v>0.22819109400760584</v>
      </c>
      <c r="AW34" s="589">
        <f t="shared" si="15"/>
        <v>0.22819109400760584</v>
      </c>
      <c r="AX34" s="589">
        <f t="shared" si="15"/>
        <v>0.22819109400760584</v>
      </c>
      <c r="AY34" s="589">
        <f t="shared" si="15"/>
        <v>0.22819109400760584</v>
      </c>
      <c r="AZ34" s="589">
        <f t="shared" si="15"/>
        <v>0.22819109400760584</v>
      </c>
      <c r="BA34" s="589">
        <f t="shared" si="15"/>
        <v>0.22819109400760584</v>
      </c>
      <c r="BB34" s="589">
        <f t="shared" si="15"/>
        <v>0.22819109400760584</v>
      </c>
      <c r="BC34" s="589">
        <f t="shared" si="15"/>
        <v>0.22819109400760584</v>
      </c>
      <c r="BD34" s="589">
        <f t="shared" si="15"/>
        <v>0.22819109400760584</v>
      </c>
      <c r="BE34" s="589">
        <f t="shared" si="15"/>
        <v>0.22819109400760584</v>
      </c>
      <c r="BF34" s="589">
        <f t="shared" si="15"/>
        <v>0.22819109400760584</v>
      </c>
      <c r="BG34" s="589">
        <f t="shared" si="15"/>
        <v>0.22819109400760584</v>
      </c>
      <c r="BH34" s="589">
        <f t="shared" si="15"/>
        <v>0.22819109400760584</v>
      </c>
      <c r="BI34" s="589">
        <f t="shared" si="15"/>
        <v>0.22819109400760584</v>
      </c>
    </row>
    <row r="35" spans="1:61" s="492" customFormat="1" x14ac:dyDescent="0.2">
      <c r="A35" s="666" t="s">
        <v>56</v>
      </c>
      <c r="B35" s="664">
        <v>0.25700191079110363</v>
      </c>
      <c r="C35" s="664">
        <v>0.25015233122002567</v>
      </c>
      <c r="D35" s="664">
        <v>0.23912167732660797</v>
      </c>
      <c r="E35" s="664">
        <v>0.2307269307031766</v>
      </c>
      <c r="F35" s="664">
        <v>0.22098172984734518</v>
      </c>
      <c r="G35" s="664">
        <v>0.21762884050424672</v>
      </c>
      <c r="H35" s="664">
        <v>0.21845420685757083</v>
      </c>
      <c r="I35" s="664">
        <v>0.21955433741056951</v>
      </c>
      <c r="J35" s="664">
        <v>0.22101455180104704</v>
      </c>
      <c r="K35" s="664">
        <v>0.21586229093181117</v>
      </c>
      <c r="L35" s="664">
        <v>0.20942696512827097</v>
      </c>
      <c r="M35" s="664">
        <v>0.21875518829498314</v>
      </c>
      <c r="N35" s="589">
        <f t="shared" ref="N35:BI35" si="16">+M35</f>
        <v>0.21875518829498314</v>
      </c>
      <c r="O35" s="589">
        <f t="shared" si="16"/>
        <v>0.21875518829498314</v>
      </c>
      <c r="P35" s="589">
        <f t="shared" si="16"/>
        <v>0.21875518829498314</v>
      </c>
      <c r="Q35" s="589">
        <f t="shared" si="16"/>
        <v>0.21875518829498314</v>
      </c>
      <c r="R35" s="589">
        <f t="shared" si="16"/>
        <v>0.21875518829498314</v>
      </c>
      <c r="S35" s="589">
        <f t="shared" si="16"/>
        <v>0.21875518829498314</v>
      </c>
      <c r="T35" s="589">
        <f t="shared" si="16"/>
        <v>0.21875518829498314</v>
      </c>
      <c r="U35" s="589">
        <f t="shared" si="16"/>
        <v>0.21875518829498314</v>
      </c>
      <c r="V35" s="589">
        <f t="shared" si="16"/>
        <v>0.21875518829498314</v>
      </c>
      <c r="W35" s="589">
        <f t="shared" si="16"/>
        <v>0.21875518829498314</v>
      </c>
      <c r="X35" s="589">
        <f t="shared" si="16"/>
        <v>0.21875518829498314</v>
      </c>
      <c r="Y35" s="589">
        <f t="shared" si="16"/>
        <v>0.21875518829498314</v>
      </c>
      <c r="Z35" s="589">
        <f t="shared" si="16"/>
        <v>0.21875518829498314</v>
      </c>
      <c r="AA35" s="589">
        <f t="shared" si="16"/>
        <v>0.21875518829498314</v>
      </c>
      <c r="AB35" s="589">
        <f t="shared" si="16"/>
        <v>0.21875518829498314</v>
      </c>
      <c r="AC35" s="589">
        <f t="shared" si="16"/>
        <v>0.21875518829498314</v>
      </c>
      <c r="AD35" s="589">
        <f t="shared" si="16"/>
        <v>0.21875518829498314</v>
      </c>
      <c r="AE35" s="589">
        <f t="shared" si="16"/>
        <v>0.21875518829498314</v>
      </c>
      <c r="AF35" s="589">
        <f t="shared" si="16"/>
        <v>0.21875518829498314</v>
      </c>
      <c r="AG35" s="589">
        <f t="shared" si="16"/>
        <v>0.21875518829498314</v>
      </c>
      <c r="AH35" s="589">
        <f t="shared" si="16"/>
        <v>0.21875518829498314</v>
      </c>
      <c r="AI35" s="589">
        <f t="shared" si="16"/>
        <v>0.21875518829498314</v>
      </c>
      <c r="AJ35" s="589">
        <f t="shared" si="16"/>
        <v>0.21875518829498314</v>
      </c>
      <c r="AK35" s="589">
        <f t="shared" si="16"/>
        <v>0.21875518829498314</v>
      </c>
      <c r="AL35" s="589">
        <f t="shared" si="16"/>
        <v>0.21875518829498314</v>
      </c>
      <c r="AM35" s="589">
        <f t="shared" si="16"/>
        <v>0.21875518829498314</v>
      </c>
      <c r="AN35" s="589">
        <f t="shared" si="16"/>
        <v>0.21875518829498314</v>
      </c>
      <c r="AO35" s="589">
        <f t="shared" si="16"/>
        <v>0.21875518829498314</v>
      </c>
      <c r="AP35" s="589">
        <f t="shared" si="16"/>
        <v>0.21875518829498314</v>
      </c>
      <c r="AQ35" s="589">
        <f t="shared" si="16"/>
        <v>0.21875518829498314</v>
      </c>
      <c r="AR35" s="589">
        <f t="shared" si="16"/>
        <v>0.21875518829498314</v>
      </c>
      <c r="AS35" s="589">
        <f t="shared" si="16"/>
        <v>0.21875518829498314</v>
      </c>
      <c r="AT35" s="589">
        <f t="shared" si="16"/>
        <v>0.21875518829498314</v>
      </c>
      <c r="AU35" s="589">
        <f t="shared" si="16"/>
        <v>0.21875518829498314</v>
      </c>
      <c r="AV35" s="589">
        <f t="shared" si="16"/>
        <v>0.21875518829498314</v>
      </c>
      <c r="AW35" s="589">
        <f t="shared" si="16"/>
        <v>0.21875518829498314</v>
      </c>
      <c r="AX35" s="589">
        <f t="shared" si="16"/>
        <v>0.21875518829498314</v>
      </c>
      <c r="AY35" s="589">
        <f t="shared" si="16"/>
        <v>0.21875518829498314</v>
      </c>
      <c r="AZ35" s="589">
        <f t="shared" si="16"/>
        <v>0.21875518829498314</v>
      </c>
      <c r="BA35" s="589">
        <f t="shared" si="16"/>
        <v>0.21875518829498314</v>
      </c>
      <c r="BB35" s="589">
        <f t="shared" si="16"/>
        <v>0.21875518829498314</v>
      </c>
      <c r="BC35" s="589">
        <f t="shared" si="16"/>
        <v>0.21875518829498314</v>
      </c>
      <c r="BD35" s="589">
        <f t="shared" si="16"/>
        <v>0.21875518829498314</v>
      </c>
      <c r="BE35" s="589">
        <f t="shared" si="16"/>
        <v>0.21875518829498314</v>
      </c>
      <c r="BF35" s="589">
        <f t="shared" si="16"/>
        <v>0.21875518829498314</v>
      </c>
      <c r="BG35" s="589">
        <f t="shared" si="16"/>
        <v>0.21875518829498314</v>
      </c>
      <c r="BH35" s="589">
        <f t="shared" si="16"/>
        <v>0.21875518829498314</v>
      </c>
      <c r="BI35" s="589">
        <f t="shared" si="16"/>
        <v>0.21875518829498314</v>
      </c>
    </row>
    <row r="36" spans="1:61" s="492" customFormat="1" x14ac:dyDescent="0.2">
      <c r="A36" s="666" t="s">
        <v>57</v>
      </c>
      <c r="B36" s="664">
        <v>0.29788860940944312</v>
      </c>
      <c r="C36" s="664">
        <v>0.30359077514848781</v>
      </c>
      <c r="D36" s="664">
        <v>0.28874202541933247</v>
      </c>
      <c r="E36" s="664">
        <v>0.27593629358162519</v>
      </c>
      <c r="F36" s="664">
        <v>0.2561328045055854</v>
      </c>
      <c r="G36" s="664">
        <v>0.2440148149678612</v>
      </c>
      <c r="H36" s="664">
        <v>0.242565811339296</v>
      </c>
      <c r="I36" s="664">
        <v>0.24152833799787141</v>
      </c>
      <c r="J36" s="664">
        <v>0.24092324736913098</v>
      </c>
      <c r="K36" s="664">
        <v>0.2320215868160172</v>
      </c>
      <c r="L36" s="664">
        <v>0.22490582720354135</v>
      </c>
      <c r="M36" s="664">
        <v>0.22378231772835322</v>
      </c>
      <c r="N36" s="589">
        <f t="shared" ref="N36:BI36" si="17">+M36</f>
        <v>0.22378231772835322</v>
      </c>
      <c r="O36" s="589">
        <f t="shared" si="17"/>
        <v>0.22378231772835322</v>
      </c>
      <c r="P36" s="589">
        <f t="shared" si="17"/>
        <v>0.22378231772835322</v>
      </c>
      <c r="Q36" s="589">
        <f t="shared" si="17"/>
        <v>0.22378231772835322</v>
      </c>
      <c r="R36" s="589">
        <f t="shared" si="17"/>
        <v>0.22378231772835322</v>
      </c>
      <c r="S36" s="589">
        <f t="shared" si="17"/>
        <v>0.22378231772835322</v>
      </c>
      <c r="T36" s="589">
        <f t="shared" si="17"/>
        <v>0.22378231772835322</v>
      </c>
      <c r="U36" s="589">
        <f t="shared" si="17"/>
        <v>0.22378231772835322</v>
      </c>
      <c r="V36" s="589">
        <f t="shared" si="17"/>
        <v>0.22378231772835322</v>
      </c>
      <c r="W36" s="589">
        <f t="shared" si="17"/>
        <v>0.22378231772835322</v>
      </c>
      <c r="X36" s="589">
        <f t="shared" si="17"/>
        <v>0.22378231772835322</v>
      </c>
      <c r="Y36" s="589">
        <f t="shared" si="17"/>
        <v>0.22378231772835322</v>
      </c>
      <c r="Z36" s="589">
        <f t="shared" si="17"/>
        <v>0.22378231772835322</v>
      </c>
      <c r="AA36" s="589">
        <f t="shared" si="17"/>
        <v>0.22378231772835322</v>
      </c>
      <c r="AB36" s="589">
        <f t="shared" si="17"/>
        <v>0.22378231772835322</v>
      </c>
      <c r="AC36" s="589">
        <f t="shared" si="17"/>
        <v>0.22378231772835322</v>
      </c>
      <c r="AD36" s="589">
        <f t="shared" si="17"/>
        <v>0.22378231772835322</v>
      </c>
      <c r="AE36" s="589">
        <f t="shared" si="17"/>
        <v>0.22378231772835322</v>
      </c>
      <c r="AF36" s="589">
        <f t="shared" si="17"/>
        <v>0.22378231772835322</v>
      </c>
      <c r="AG36" s="589">
        <f t="shared" si="17"/>
        <v>0.22378231772835322</v>
      </c>
      <c r="AH36" s="589">
        <f t="shared" si="17"/>
        <v>0.22378231772835322</v>
      </c>
      <c r="AI36" s="589">
        <f t="shared" si="17"/>
        <v>0.22378231772835322</v>
      </c>
      <c r="AJ36" s="589">
        <f t="shared" si="17"/>
        <v>0.22378231772835322</v>
      </c>
      <c r="AK36" s="589">
        <f t="shared" si="17"/>
        <v>0.22378231772835322</v>
      </c>
      <c r="AL36" s="589">
        <f t="shared" si="17"/>
        <v>0.22378231772835322</v>
      </c>
      <c r="AM36" s="589">
        <f t="shared" si="17"/>
        <v>0.22378231772835322</v>
      </c>
      <c r="AN36" s="589">
        <f t="shared" si="17"/>
        <v>0.22378231772835322</v>
      </c>
      <c r="AO36" s="589">
        <f t="shared" si="17"/>
        <v>0.22378231772835322</v>
      </c>
      <c r="AP36" s="589">
        <f t="shared" si="17"/>
        <v>0.22378231772835322</v>
      </c>
      <c r="AQ36" s="589">
        <f t="shared" si="17"/>
        <v>0.22378231772835322</v>
      </c>
      <c r="AR36" s="589">
        <f t="shared" si="17"/>
        <v>0.22378231772835322</v>
      </c>
      <c r="AS36" s="589">
        <f t="shared" si="17"/>
        <v>0.22378231772835322</v>
      </c>
      <c r="AT36" s="589">
        <f t="shared" si="17"/>
        <v>0.22378231772835322</v>
      </c>
      <c r="AU36" s="589">
        <f t="shared" si="17"/>
        <v>0.22378231772835322</v>
      </c>
      <c r="AV36" s="589">
        <f t="shared" si="17"/>
        <v>0.22378231772835322</v>
      </c>
      <c r="AW36" s="589">
        <f t="shared" si="17"/>
        <v>0.22378231772835322</v>
      </c>
      <c r="AX36" s="589">
        <f t="shared" si="17"/>
        <v>0.22378231772835322</v>
      </c>
      <c r="AY36" s="589">
        <f t="shared" si="17"/>
        <v>0.22378231772835322</v>
      </c>
      <c r="AZ36" s="589">
        <f t="shared" si="17"/>
        <v>0.22378231772835322</v>
      </c>
      <c r="BA36" s="589">
        <f t="shared" si="17"/>
        <v>0.22378231772835322</v>
      </c>
      <c r="BB36" s="589">
        <f t="shared" si="17"/>
        <v>0.22378231772835322</v>
      </c>
      <c r="BC36" s="589">
        <f t="shared" si="17"/>
        <v>0.22378231772835322</v>
      </c>
      <c r="BD36" s="589">
        <f t="shared" si="17"/>
        <v>0.22378231772835322</v>
      </c>
      <c r="BE36" s="589">
        <f t="shared" si="17"/>
        <v>0.22378231772835322</v>
      </c>
      <c r="BF36" s="589">
        <f t="shared" si="17"/>
        <v>0.22378231772835322</v>
      </c>
      <c r="BG36" s="589">
        <f t="shared" si="17"/>
        <v>0.22378231772835322</v>
      </c>
      <c r="BH36" s="589">
        <f t="shared" si="17"/>
        <v>0.22378231772835322</v>
      </c>
      <c r="BI36" s="589">
        <f t="shared" si="17"/>
        <v>0.22378231772835322</v>
      </c>
    </row>
    <row r="37" spans="1:61" s="492" customFormat="1" x14ac:dyDescent="0.2">
      <c r="A37" s="666" t="s">
        <v>58</v>
      </c>
      <c r="B37" s="664">
        <v>0.23570388608045523</v>
      </c>
      <c r="C37" s="664">
        <v>0.23790902069559233</v>
      </c>
      <c r="D37" s="664">
        <v>0.22912270211317867</v>
      </c>
      <c r="E37" s="664">
        <v>0.22069701683870002</v>
      </c>
      <c r="F37" s="664">
        <v>0.21416107983063631</v>
      </c>
      <c r="G37" s="664">
        <v>0.21272081789222094</v>
      </c>
      <c r="H37" s="664">
        <v>0.21309603865646073</v>
      </c>
      <c r="I37" s="664">
        <v>0.21378594238336635</v>
      </c>
      <c r="J37" s="664">
        <v>0.21491052039196434</v>
      </c>
      <c r="K37" s="664">
        <v>0.21680028128984263</v>
      </c>
      <c r="L37" s="664">
        <v>0.21764556793354661</v>
      </c>
      <c r="M37" s="664">
        <v>0.226187871702172</v>
      </c>
      <c r="N37" s="589">
        <f t="shared" ref="N37:BI37" si="18">+M37</f>
        <v>0.226187871702172</v>
      </c>
      <c r="O37" s="589">
        <f t="shared" si="18"/>
        <v>0.226187871702172</v>
      </c>
      <c r="P37" s="589">
        <f t="shared" si="18"/>
        <v>0.226187871702172</v>
      </c>
      <c r="Q37" s="589">
        <f t="shared" si="18"/>
        <v>0.226187871702172</v>
      </c>
      <c r="R37" s="589">
        <f t="shared" si="18"/>
        <v>0.226187871702172</v>
      </c>
      <c r="S37" s="589">
        <f t="shared" si="18"/>
        <v>0.226187871702172</v>
      </c>
      <c r="T37" s="589">
        <f t="shared" si="18"/>
        <v>0.226187871702172</v>
      </c>
      <c r="U37" s="589">
        <f t="shared" si="18"/>
        <v>0.226187871702172</v>
      </c>
      <c r="V37" s="589">
        <f t="shared" si="18"/>
        <v>0.226187871702172</v>
      </c>
      <c r="W37" s="589">
        <f t="shared" si="18"/>
        <v>0.226187871702172</v>
      </c>
      <c r="X37" s="589">
        <f t="shared" si="18"/>
        <v>0.226187871702172</v>
      </c>
      <c r="Y37" s="589">
        <f t="shared" si="18"/>
        <v>0.226187871702172</v>
      </c>
      <c r="Z37" s="589">
        <f t="shared" si="18"/>
        <v>0.226187871702172</v>
      </c>
      <c r="AA37" s="589">
        <f t="shared" si="18"/>
        <v>0.226187871702172</v>
      </c>
      <c r="AB37" s="589">
        <f t="shared" si="18"/>
        <v>0.226187871702172</v>
      </c>
      <c r="AC37" s="589">
        <f t="shared" si="18"/>
        <v>0.226187871702172</v>
      </c>
      <c r="AD37" s="589">
        <f t="shared" si="18"/>
        <v>0.226187871702172</v>
      </c>
      <c r="AE37" s="589">
        <f t="shared" si="18"/>
        <v>0.226187871702172</v>
      </c>
      <c r="AF37" s="589">
        <f t="shared" si="18"/>
        <v>0.226187871702172</v>
      </c>
      <c r="AG37" s="589">
        <f t="shared" si="18"/>
        <v>0.226187871702172</v>
      </c>
      <c r="AH37" s="589">
        <f t="shared" si="18"/>
        <v>0.226187871702172</v>
      </c>
      <c r="AI37" s="589">
        <f t="shared" si="18"/>
        <v>0.226187871702172</v>
      </c>
      <c r="AJ37" s="589">
        <f t="shared" si="18"/>
        <v>0.226187871702172</v>
      </c>
      <c r="AK37" s="589">
        <f t="shared" si="18"/>
        <v>0.226187871702172</v>
      </c>
      <c r="AL37" s="589">
        <f t="shared" si="18"/>
        <v>0.226187871702172</v>
      </c>
      <c r="AM37" s="589">
        <f t="shared" si="18"/>
        <v>0.226187871702172</v>
      </c>
      <c r="AN37" s="589">
        <f t="shared" si="18"/>
        <v>0.226187871702172</v>
      </c>
      <c r="AO37" s="589">
        <f t="shared" si="18"/>
        <v>0.226187871702172</v>
      </c>
      <c r="AP37" s="589">
        <f t="shared" si="18"/>
        <v>0.226187871702172</v>
      </c>
      <c r="AQ37" s="589">
        <f t="shared" si="18"/>
        <v>0.226187871702172</v>
      </c>
      <c r="AR37" s="589">
        <f t="shared" si="18"/>
        <v>0.226187871702172</v>
      </c>
      <c r="AS37" s="589">
        <f t="shared" si="18"/>
        <v>0.226187871702172</v>
      </c>
      <c r="AT37" s="589">
        <f t="shared" si="18"/>
        <v>0.226187871702172</v>
      </c>
      <c r="AU37" s="589">
        <f t="shared" si="18"/>
        <v>0.226187871702172</v>
      </c>
      <c r="AV37" s="589">
        <f t="shared" si="18"/>
        <v>0.226187871702172</v>
      </c>
      <c r="AW37" s="589">
        <f t="shared" si="18"/>
        <v>0.226187871702172</v>
      </c>
      <c r="AX37" s="589">
        <f t="shared" si="18"/>
        <v>0.226187871702172</v>
      </c>
      <c r="AY37" s="589">
        <f t="shared" si="18"/>
        <v>0.226187871702172</v>
      </c>
      <c r="AZ37" s="589">
        <f t="shared" si="18"/>
        <v>0.226187871702172</v>
      </c>
      <c r="BA37" s="589">
        <f t="shared" si="18"/>
        <v>0.226187871702172</v>
      </c>
      <c r="BB37" s="589">
        <f t="shared" si="18"/>
        <v>0.226187871702172</v>
      </c>
      <c r="BC37" s="589">
        <f t="shared" si="18"/>
        <v>0.226187871702172</v>
      </c>
      <c r="BD37" s="589">
        <f t="shared" si="18"/>
        <v>0.226187871702172</v>
      </c>
      <c r="BE37" s="589">
        <f t="shared" si="18"/>
        <v>0.226187871702172</v>
      </c>
      <c r="BF37" s="589">
        <f t="shared" si="18"/>
        <v>0.226187871702172</v>
      </c>
      <c r="BG37" s="589">
        <f t="shared" si="18"/>
        <v>0.226187871702172</v>
      </c>
      <c r="BH37" s="589">
        <f t="shared" si="18"/>
        <v>0.226187871702172</v>
      </c>
      <c r="BI37" s="589">
        <f t="shared" si="18"/>
        <v>0.226187871702172</v>
      </c>
    </row>
    <row r="38" spans="1:61" s="492" customFormat="1" x14ac:dyDescent="0.2">
      <c r="A38" s="666" t="s">
        <v>114</v>
      </c>
      <c r="B38" s="664">
        <v>0.18690855254026759</v>
      </c>
      <c r="C38" s="664">
        <v>0.20306631580236426</v>
      </c>
      <c r="D38" s="664">
        <v>0.19794957414301073</v>
      </c>
      <c r="E38" s="664">
        <v>0.19302617707505698</v>
      </c>
      <c r="F38" s="664">
        <v>0.18994991789169799</v>
      </c>
      <c r="G38" s="664">
        <v>0.18934598039742812</v>
      </c>
      <c r="H38" s="664">
        <v>0.19102341169229398</v>
      </c>
      <c r="I38" s="664">
        <v>0.19285651886479005</v>
      </c>
      <c r="J38" s="664">
        <v>0.1947992496136097</v>
      </c>
      <c r="K38" s="664">
        <v>0.20167915075617232</v>
      </c>
      <c r="L38" s="664">
        <v>0.20770716072191683</v>
      </c>
      <c r="M38" s="664">
        <v>0.21691090060939039</v>
      </c>
      <c r="N38" s="589">
        <f t="shared" ref="N38:BI38" si="19">+M38</f>
        <v>0.21691090060939039</v>
      </c>
      <c r="O38" s="589">
        <f t="shared" si="19"/>
        <v>0.21691090060939039</v>
      </c>
      <c r="P38" s="589">
        <f t="shared" si="19"/>
        <v>0.21691090060939039</v>
      </c>
      <c r="Q38" s="589">
        <f t="shared" si="19"/>
        <v>0.21691090060939039</v>
      </c>
      <c r="R38" s="589">
        <f t="shared" si="19"/>
        <v>0.21691090060939039</v>
      </c>
      <c r="S38" s="589">
        <f t="shared" si="19"/>
        <v>0.21691090060939039</v>
      </c>
      <c r="T38" s="589">
        <f t="shared" si="19"/>
        <v>0.21691090060939039</v>
      </c>
      <c r="U38" s="589">
        <f t="shared" si="19"/>
        <v>0.21691090060939039</v>
      </c>
      <c r="V38" s="589">
        <f t="shared" si="19"/>
        <v>0.21691090060939039</v>
      </c>
      <c r="W38" s="589">
        <f t="shared" si="19"/>
        <v>0.21691090060939039</v>
      </c>
      <c r="X38" s="589">
        <f t="shared" si="19"/>
        <v>0.21691090060939039</v>
      </c>
      <c r="Y38" s="589">
        <f t="shared" si="19"/>
        <v>0.21691090060939039</v>
      </c>
      <c r="Z38" s="589">
        <f t="shared" si="19"/>
        <v>0.21691090060939039</v>
      </c>
      <c r="AA38" s="589">
        <f t="shared" si="19"/>
        <v>0.21691090060939039</v>
      </c>
      <c r="AB38" s="589">
        <f t="shared" si="19"/>
        <v>0.21691090060939039</v>
      </c>
      <c r="AC38" s="589">
        <f t="shared" si="19"/>
        <v>0.21691090060939039</v>
      </c>
      <c r="AD38" s="589">
        <f t="shared" si="19"/>
        <v>0.21691090060939039</v>
      </c>
      <c r="AE38" s="589">
        <f t="shared" si="19"/>
        <v>0.21691090060939039</v>
      </c>
      <c r="AF38" s="589">
        <f t="shared" si="19"/>
        <v>0.21691090060939039</v>
      </c>
      <c r="AG38" s="589">
        <f t="shared" si="19"/>
        <v>0.21691090060939039</v>
      </c>
      <c r="AH38" s="589">
        <f t="shared" si="19"/>
        <v>0.21691090060939039</v>
      </c>
      <c r="AI38" s="589">
        <f t="shared" si="19"/>
        <v>0.21691090060939039</v>
      </c>
      <c r="AJ38" s="589">
        <f t="shared" si="19"/>
        <v>0.21691090060939039</v>
      </c>
      <c r="AK38" s="589">
        <f t="shared" si="19"/>
        <v>0.21691090060939039</v>
      </c>
      <c r="AL38" s="589">
        <f t="shared" si="19"/>
        <v>0.21691090060939039</v>
      </c>
      <c r="AM38" s="589">
        <f t="shared" si="19"/>
        <v>0.21691090060939039</v>
      </c>
      <c r="AN38" s="589">
        <f t="shared" si="19"/>
        <v>0.21691090060939039</v>
      </c>
      <c r="AO38" s="589">
        <f t="shared" si="19"/>
        <v>0.21691090060939039</v>
      </c>
      <c r="AP38" s="589">
        <f t="shared" si="19"/>
        <v>0.21691090060939039</v>
      </c>
      <c r="AQ38" s="589">
        <f t="shared" si="19"/>
        <v>0.21691090060939039</v>
      </c>
      <c r="AR38" s="589">
        <f t="shared" si="19"/>
        <v>0.21691090060939039</v>
      </c>
      <c r="AS38" s="589">
        <f t="shared" si="19"/>
        <v>0.21691090060939039</v>
      </c>
      <c r="AT38" s="589">
        <f t="shared" si="19"/>
        <v>0.21691090060939039</v>
      </c>
      <c r="AU38" s="589">
        <f t="shared" si="19"/>
        <v>0.21691090060939039</v>
      </c>
      <c r="AV38" s="589">
        <f t="shared" si="19"/>
        <v>0.21691090060939039</v>
      </c>
      <c r="AW38" s="589">
        <f t="shared" si="19"/>
        <v>0.21691090060939039</v>
      </c>
      <c r="AX38" s="589">
        <f t="shared" si="19"/>
        <v>0.21691090060939039</v>
      </c>
      <c r="AY38" s="589">
        <f t="shared" si="19"/>
        <v>0.21691090060939039</v>
      </c>
      <c r="AZ38" s="589">
        <f t="shared" si="19"/>
        <v>0.21691090060939039</v>
      </c>
      <c r="BA38" s="589">
        <f t="shared" si="19"/>
        <v>0.21691090060939039</v>
      </c>
      <c r="BB38" s="589">
        <f t="shared" si="19"/>
        <v>0.21691090060939039</v>
      </c>
      <c r="BC38" s="589">
        <f t="shared" si="19"/>
        <v>0.21691090060939039</v>
      </c>
      <c r="BD38" s="589">
        <f t="shared" si="19"/>
        <v>0.21691090060939039</v>
      </c>
      <c r="BE38" s="589">
        <f t="shared" si="19"/>
        <v>0.21691090060939039</v>
      </c>
      <c r="BF38" s="589">
        <f t="shared" si="19"/>
        <v>0.21691090060939039</v>
      </c>
      <c r="BG38" s="589">
        <f t="shared" si="19"/>
        <v>0.21691090060939039</v>
      </c>
      <c r="BH38" s="589">
        <f t="shared" si="19"/>
        <v>0.21691090060939039</v>
      </c>
      <c r="BI38" s="589">
        <f t="shared" si="19"/>
        <v>0.21691090060939039</v>
      </c>
    </row>
    <row r="39" spans="1:61" s="492" customFormat="1" x14ac:dyDescent="0.2">
      <c r="A39" s="666" t="s">
        <v>224</v>
      </c>
      <c r="B39" s="664">
        <v>0.24090677874281113</v>
      </c>
      <c r="C39" s="664">
        <v>0.27878900739472695</v>
      </c>
      <c r="D39" s="664">
        <v>0.26593412796489785</v>
      </c>
      <c r="E39" s="664">
        <v>0.25432500497917565</v>
      </c>
      <c r="F39" s="664">
        <v>0.24142114405066595</v>
      </c>
      <c r="G39" s="664">
        <v>0.23453135050311699</v>
      </c>
      <c r="H39" s="664">
        <v>0.23295198667090264</v>
      </c>
      <c r="I39" s="664">
        <v>0.23183169833643794</v>
      </c>
      <c r="J39" s="664">
        <v>0.23124471119866691</v>
      </c>
      <c r="K39" s="664">
        <v>0.22879016682325784</v>
      </c>
      <c r="L39" s="664">
        <v>0.22945447097309063</v>
      </c>
      <c r="M39" s="664">
        <v>0.22371270831332768</v>
      </c>
      <c r="N39" s="589">
        <f t="shared" ref="N39:BI39" si="20">+M39</f>
        <v>0.22371270831332768</v>
      </c>
      <c r="O39" s="589">
        <f t="shared" si="20"/>
        <v>0.22371270831332768</v>
      </c>
      <c r="P39" s="589">
        <f t="shared" si="20"/>
        <v>0.22371270831332768</v>
      </c>
      <c r="Q39" s="589">
        <f t="shared" si="20"/>
        <v>0.22371270831332768</v>
      </c>
      <c r="R39" s="589">
        <f t="shared" si="20"/>
        <v>0.22371270831332768</v>
      </c>
      <c r="S39" s="589">
        <f t="shared" si="20"/>
        <v>0.22371270831332768</v>
      </c>
      <c r="T39" s="589">
        <f t="shared" si="20"/>
        <v>0.22371270831332768</v>
      </c>
      <c r="U39" s="589">
        <f t="shared" si="20"/>
        <v>0.22371270831332768</v>
      </c>
      <c r="V39" s="589">
        <f t="shared" si="20"/>
        <v>0.22371270831332768</v>
      </c>
      <c r="W39" s="589">
        <f t="shared" si="20"/>
        <v>0.22371270831332768</v>
      </c>
      <c r="X39" s="589">
        <f t="shared" si="20"/>
        <v>0.22371270831332768</v>
      </c>
      <c r="Y39" s="589">
        <f t="shared" si="20"/>
        <v>0.22371270831332768</v>
      </c>
      <c r="Z39" s="589">
        <f t="shared" si="20"/>
        <v>0.22371270831332768</v>
      </c>
      <c r="AA39" s="589">
        <f t="shared" si="20"/>
        <v>0.22371270831332768</v>
      </c>
      <c r="AB39" s="589">
        <f t="shared" si="20"/>
        <v>0.22371270831332768</v>
      </c>
      <c r="AC39" s="589">
        <f t="shared" si="20"/>
        <v>0.22371270831332768</v>
      </c>
      <c r="AD39" s="589">
        <f t="shared" si="20"/>
        <v>0.22371270831332768</v>
      </c>
      <c r="AE39" s="589">
        <f t="shared" si="20"/>
        <v>0.22371270831332768</v>
      </c>
      <c r="AF39" s="589">
        <f t="shared" si="20"/>
        <v>0.22371270831332768</v>
      </c>
      <c r="AG39" s="589">
        <f t="shared" si="20"/>
        <v>0.22371270831332768</v>
      </c>
      <c r="AH39" s="589">
        <f t="shared" si="20"/>
        <v>0.22371270831332768</v>
      </c>
      <c r="AI39" s="589">
        <f t="shared" si="20"/>
        <v>0.22371270831332768</v>
      </c>
      <c r="AJ39" s="589">
        <f t="shared" si="20"/>
        <v>0.22371270831332768</v>
      </c>
      <c r="AK39" s="589">
        <f t="shared" si="20"/>
        <v>0.22371270831332768</v>
      </c>
      <c r="AL39" s="589">
        <f t="shared" si="20"/>
        <v>0.22371270831332768</v>
      </c>
      <c r="AM39" s="589">
        <f t="shared" si="20"/>
        <v>0.22371270831332768</v>
      </c>
      <c r="AN39" s="589">
        <f t="shared" si="20"/>
        <v>0.22371270831332768</v>
      </c>
      <c r="AO39" s="589">
        <f t="shared" si="20"/>
        <v>0.22371270831332768</v>
      </c>
      <c r="AP39" s="589">
        <f t="shared" si="20"/>
        <v>0.22371270831332768</v>
      </c>
      <c r="AQ39" s="589">
        <f t="shared" si="20"/>
        <v>0.22371270831332768</v>
      </c>
      <c r="AR39" s="589">
        <f t="shared" si="20"/>
        <v>0.22371270831332768</v>
      </c>
      <c r="AS39" s="589">
        <f t="shared" si="20"/>
        <v>0.22371270831332768</v>
      </c>
      <c r="AT39" s="589">
        <f t="shared" si="20"/>
        <v>0.22371270831332768</v>
      </c>
      <c r="AU39" s="589">
        <f t="shared" si="20"/>
        <v>0.22371270831332768</v>
      </c>
      <c r="AV39" s="589">
        <f t="shared" si="20"/>
        <v>0.22371270831332768</v>
      </c>
      <c r="AW39" s="589">
        <f t="shared" si="20"/>
        <v>0.22371270831332768</v>
      </c>
      <c r="AX39" s="589">
        <f t="shared" si="20"/>
        <v>0.22371270831332768</v>
      </c>
      <c r="AY39" s="589">
        <f t="shared" si="20"/>
        <v>0.22371270831332768</v>
      </c>
      <c r="AZ39" s="589">
        <f t="shared" si="20"/>
        <v>0.22371270831332768</v>
      </c>
      <c r="BA39" s="589">
        <f t="shared" si="20"/>
        <v>0.22371270831332768</v>
      </c>
      <c r="BB39" s="589">
        <f t="shared" si="20"/>
        <v>0.22371270831332768</v>
      </c>
      <c r="BC39" s="589">
        <f t="shared" si="20"/>
        <v>0.22371270831332768</v>
      </c>
      <c r="BD39" s="589">
        <f t="shared" si="20"/>
        <v>0.22371270831332768</v>
      </c>
      <c r="BE39" s="589">
        <f t="shared" si="20"/>
        <v>0.22371270831332768</v>
      </c>
      <c r="BF39" s="589">
        <f t="shared" si="20"/>
        <v>0.22371270831332768</v>
      </c>
      <c r="BG39" s="589">
        <f t="shared" si="20"/>
        <v>0.22371270831332768</v>
      </c>
      <c r="BH39" s="589">
        <f t="shared" si="20"/>
        <v>0.22371270831332768</v>
      </c>
      <c r="BI39" s="589">
        <f t="shared" si="20"/>
        <v>0.22371270831332768</v>
      </c>
    </row>
    <row r="41" spans="1:61" ht="16" x14ac:dyDescent="0.2">
      <c r="A41" s="215" t="s">
        <v>737</v>
      </c>
    </row>
    <row r="43" spans="1:61" x14ac:dyDescent="0.2">
      <c r="B43" s="221">
        <v>2005</v>
      </c>
      <c r="C43" s="221">
        <v>2015</v>
      </c>
      <c r="D43" s="221">
        <v>2025</v>
      </c>
      <c r="E43" s="221">
        <v>2035</v>
      </c>
      <c r="F43" s="221">
        <v>2045</v>
      </c>
      <c r="G43" s="221">
        <v>2055</v>
      </c>
      <c r="H43" s="221">
        <v>2065</v>
      </c>
      <c r="I43" s="221">
        <v>2075</v>
      </c>
      <c r="J43" s="221">
        <v>2085</v>
      </c>
      <c r="K43" s="221">
        <v>2095</v>
      </c>
      <c r="L43" s="221">
        <v>2105</v>
      </c>
      <c r="M43" s="221">
        <v>2115</v>
      </c>
      <c r="N43" s="221">
        <v>2125</v>
      </c>
      <c r="O43" s="221">
        <v>2135</v>
      </c>
      <c r="P43" s="221">
        <v>2145</v>
      </c>
      <c r="Q43" s="221">
        <v>2155</v>
      </c>
      <c r="R43" s="221">
        <v>2165</v>
      </c>
      <c r="S43" s="221">
        <v>2175</v>
      </c>
      <c r="T43" s="221">
        <v>2185</v>
      </c>
      <c r="U43" s="221">
        <v>2195</v>
      </c>
      <c r="V43" s="221">
        <v>2205</v>
      </c>
      <c r="W43" s="221">
        <v>2215</v>
      </c>
      <c r="X43" s="221">
        <v>2225</v>
      </c>
      <c r="Y43" s="221">
        <v>2235</v>
      </c>
      <c r="Z43" s="221">
        <v>2245</v>
      </c>
      <c r="AA43" s="221">
        <v>2255</v>
      </c>
      <c r="AB43" s="221">
        <v>2265</v>
      </c>
      <c r="AC43" s="221">
        <v>2275</v>
      </c>
      <c r="AD43" s="221">
        <v>2285</v>
      </c>
      <c r="AE43" s="221">
        <v>2295</v>
      </c>
      <c r="AF43" s="221">
        <v>2305</v>
      </c>
      <c r="AG43" s="221">
        <v>2315</v>
      </c>
      <c r="AH43" s="221">
        <v>2325</v>
      </c>
      <c r="AI43" s="221">
        <v>2335</v>
      </c>
      <c r="AJ43" s="221">
        <v>2345</v>
      </c>
      <c r="AK43" s="221">
        <v>2355</v>
      </c>
      <c r="AL43" s="221">
        <v>2365</v>
      </c>
      <c r="AM43" s="221">
        <v>2375</v>
      </c>
      <c r="AN43" s="221">
        <v>2385</v>
      </c>
      <c r="AO43" s="221">
        <v>2395</v>
      </c>
      <c r="AP43" s="221">
        <v>2405</v>
      </c>
      <c r="AQ43" s="221">
        <v>2415</v>
      </c>
      <c r="AR43" s="221">
        <v>2425</v>
      </c>
      <c r="AS43" s="221">
        <v>2435</v>
      </c>
      <c r="AT43" s="221">
        <v>2445</v>
      </c>
      <c r="AU43" s="221">
        <v>2455</v>
      </c>
      <c r="AV43" s="221">
        <v>2465</v>
      </c>
      <c r="AW43" s="221">
        <v>2475</v>
      </c>
      <c r="AX43" s="221">
        <v>2485</v>
      </c>
      <c r="AY43" s="221">
        <v>2495</v>
      </c>
      <c r="AZ43" s="221">
        <v>2505</v>
      </c>
      <c r="BA43" s="221">
        <v>2515</v>
      </c>
      <c r="BB43" s="221">
        <v>2525</v>
      </c>
      <c r="BC43" s="221">
        <v>2535</v>
      </c>
      <c r="BD43" s="221">
        <v>2545</v>
      </c>
      <c r="BE43" s="221">
        <v>2555</v>
      </c>
      <c r="BF43" s="221">
        <v>2565</v>
      </c>
      <c r="BG43" s="221">
        <v>2575</v>
      </c>
      <c r="BH43" s="221">
        <v>2585</v>
      </c>
      <c r="BI43" s="221">
        <v>2595</v>
      </c>
    </row>
    <row r="44" spans="1:61" ht="16" x14ac:dyDescent="0.2">
      <c r="A44" s="202" t="s">
        <v>738</v>
      </c>
    </row>
    <row r="45" spans="1:61" x14ac:dyDescent="0.2">
      <c r="B45" s="221" t="s">
        <v>104</v>
      </c>
      <c r="C45" s="221" t="s">
        <v>105</v>
      </c>
      <c r="D45" s="221" t="s">
        <v>51</v>
      </c>
      <c r="E45" s="221" t="s">
        <v>52</v>
      </c>
      <c r="F45" s="221" t="s">
        <v>53</v>
      </c>
      <c r="G45" s="221" t="s">
        <v>54</v>
      </c>
      <c r="H45" s="221" t="s">
        <v>55</v>
      </c>
      <c r="I45" s="221" t="s">
        <v>56</v>
      </c>
      <c r="J45" s="221" t="s">
        <v>57</v>
      </c>
      <c r="K45" s="221" t="s">
        <v>58</v>
      </c>
      <c r="L45" s="221" t="s">
        <v>114</v>
      </c>
      <c r="M45" s="221" t="s">
        <v>224</v>
      </c>
    </row>
    <row r="46" spans="1:61" x14ac:dyDescent="0.2">
      <c r="A46" s="221" t="s">
        <v>827</v>
      </c>
      <c r="B46" s="221">
        <v>1</v>
      </c>
      <c r="C46" s="221">
        <v>1</v>
      </c>
      <c r="D46" s="221">
        <v>1</v>
      </c>
      <c r="E46" s="221">
        <v>1</v>
      </c>
      <c r="F46" s="221">
        <v>1</v>
      </c>
      <c r="G46" s="221">
        <v>1</v>
      </c>
      <c r="H46" s="221">
        <v>1</v>
      </c>
      <c r="I46" s="221">
        <v>1</v>
      </c>
      <c r="J46" s="221">
        <v>1</v>
      </c>
      <c r="K46" s="221">
        <v>1</v>
      </c>
      <c r="L46" s="221">
        <v>1</v>
      </c>
      <c r="M46" s="221">
        <v>1</v>
      </c>
    </row>
    <row r="47" spans="1:61" x14ac:dyDescent="0.2">
      <c r="A47" s="221" t="s">
        <v>739</v>
      </c>
      <c r="B47" s="221">
        <v>2010</v>
      </c>
      <c r="C47" s="221">
        <v>2010</v>
      </c>
      <c r="D47" s="221">
        <v>2010</v>
      </c>
      <c r="E47" s="221">
        <v>2010</v>
      </c>
      <c r="F47" s="221">
        <v>2010</v>
      </c>
      <c r="G47" s="221">
        <v>2010</v>
      </c>
      <c r="H47" s="221">
        <v>2010</v>
      </c>
      <c r="I47" s="221">
        <v>2010</v>
      </c>
      <c r="J47" s="221">
        <v>2010</v>
      </c>
      <c r="K47" s="221">
        <v>2010</v>
      </c>
      <c r="L47" s="221">
        <v>2010</v>
      </c>
      <c r="M47" s="221">
        <v>2010</v>
      </c>
    </row>
    <row r="48" spans="1:61" x14ac:dyDescent="0.2">
      <c r="A48" s="221" t="s">
        <v>164</v>
      </c>
      <c r="B48" s="221">
        <v>1</v>
      </c>
      <c r="C48" s="221">
        <v>1</v>
      </c>
      <c r="D48" s="221">
        <v>1</v>
      </c>
      <c r="E48" s="221">
        <v>1</v>
      </c>
      <c r="F48" s="221">
        <v>1</v>
      </c>
      <c r="G48" s="221">
        <v>1</v>
      </c>
      <c r="H48" s="221">
        <v>1</v>
      </c>
      <c r="I48" s="221">
        <v>1</v>
      </c>
      <c r="J48" s="221">
        <v>1</v>
      </c>
      <c r="K48" s="221">
        <v>1</v>
      </c>
      <c r="L48" s="221">
        <v>1</v>
      </c>
      <c r="M48" s="221">
        <v>1</v>
      </c>
    </row>
    <row r="49" spans="1:61" x14ac:dyDescent="0.2">
      <c r="A49" s="221" t="s">
        <v>163</v>
      </c>
      <c r="B49" s="221">
        <v>1</v>
      </c>
      <c r="C49" s="221">
        <v>1</v>
      </c>
      <c r="D49" s="221">
        <v>1</v>
      </c>
      <c r="E49" s="221">
        <v>1</v>
      </c>
      <c r="F49" s="221">
        <v>1</v>
      </c>
      <c r="G49" s="221">
        <v>1</v>
      </c>
      <c r="H49" s="221">
        <v>1</v>
      </c>
      <c r="I49" s="221">
        <v>1</v>
      </c>
      <c r="J49" s="221">
        <v>1</v>
      </c>
      <c r="K49" s="221">
        <v>1</v>
      </c>
      <c r="L49" s="221">
        <v>1</v>
      </c>
      <c r="M49" s="221">
        <v>1</v>
      </c>
    </row>
    <row r="50" spans="1:61" x14ac:dyDescent="0.2">
      <c r="A50" s="221" t="s">
        <v>194</v>
      </c>
      <c r="B50" s="221">
        <f>+Parameters!F113</f>
        <v>0</v>
      </c>
      <c r="C50" s="221">
        <f>+Parameters!G113</f>
        <v>0</v>
      </c>
      <c r="D50" s="221">
        <f>+Parameters!H113</f>
        <v>0</v>
      </c>
      <c r="E50" s="221">
        <f>+Parameters!I113</f>
        <v>0</v>
      </c>
      <c r="F50" s="221">
        <f>+Parameters!J113</f>
        <v>0</v>
      </c>
      <c r="G50" s="221">
        <f>+Parameters!K113</f>
        <v>0</v>
      </c>
      <c r="H50" s="221">
        <f>+Parameters!L113</f>
        <v>0</v>
      </c>
      <c r="I50" s="221">
        <f>+Parameters!M113</f>
        <v>0</v>
      </c>
      <c r="J50" s="221">
        <f>+Parameters!N113</f>
        <v>0</v>
      </c>
      <c r="K50" s="221">
        <f>+Parameters!O113</f>
        <v>0</v>
      </c>
      <c r="L50" s="221">
        <f>+Parameters!P113</f>
        <v>0</v>
      </c>
      <c r="M50" s="221">
        <f>+Parameters!Q113</f>
        <v>0</v>
      </c>
    </row>
    <row r="52" spans="1:61" ht="16" x14ac:dyDescent="0.2">
      <c r="A52" s="215" t="s">
        <v>829</v>
      </c>
    </row>
    <row r="54" spans="1:61" ht="16" x14ac:dyDescent="0.2">
      <c r="A54" s="228" t="s">
        <v>946</v>
      </c>
    </row>
    <row r="55" spans="1:61" ht="16" x14ac:dyDescent="0.2">
      <c r="A55" s="228" t="s">
        <v>828</v>
      </c>
    </row>
    <row r="56" spans="1:61" s="481" customFormat="1" x14ac:dyDescent="0.2">
      <c r="A56" s="480" t="s">
        <v>104</v>
      </c>
      <c r="B56" s="481">
        <f>+Copen!V70</f>
        <v>0</v>
      </c>
      <c r="C56" s="481">
        <f>+Copen!X70</f>
        <v>1</v>
      </c>
      <c r="D56" s="481">
        <f>+Copen!Z70</f>
        <v>1</v>
      </c>
      <c r="E56" s="481">
        <f>+Copen!AB70</f>
        <v>1</v>
      </c>
      <c r="F56" s="481">
        <f>+Copen!AD70</f>
        <v>1</v>
      </c>
      <c r="G56" s="481">
        <f>+Copen!AF70</f>
        <v>1</v>
      </c>
      <c r="H56" s="481">
        <f>+Copen!AH70</f>
        <v>1</v>
      </c>
      <c r="I56" s="481">
        <f>+Copen!AJ70</f>
        <v>1</v>
      </c>
      <c r="J56" s="482">
        <f>+Copen!AL70</f>
        <v>1</v>
      </c>
      <c r="K56" s="482">
        <f>+Copen!AN70</f>
        <v>1</v>
      </c>
      <c r="L56" s="482">
        <f>+Copen!AP70</f>
        <v>1</v>
      </c>
      <c r="M56" s="482">
        <f>+Copen!AR70</f>
        <v>1</v>
      </c>
      <c r="N56" s="482">
        <f>+Copen!AT70</f>
        <v>1</v>
      </c>
      <c r="O56" s="482">
        <f>+Copen!AV70</f>
        <v>1</v>
      </c>
      <c r="P56" s="482">
        <f>+Copen!AX70</f>
        <v>1</v>
      </c>
      <c r="Q56" s="481">
        <f>+P56</f>
        <v>1</v>
      </c>
      <c r="R56" s="481">
        <f t="shared" ref="R56:BI56" si="21">+Q56</f>
        <v>1</v>
      </c>
      <c r="S56" s="481">
        <f t="shared" si="21"/>
        <v>1</v>
      </c>
      <c r="T56" s="481">
        <f t="shared" si="21"/>
        <v>1</v>
      </c>
      <c r="U56" s="481">
        <f t="shared" si="21"/>
        <v>1</v>
      </c>
      <c r="V56" s="481">
        <f t="shared" si="21"/>
        <v>1</v>
      </c>
      <c r="W56" s="481">
        <f t="shared" si="21"/>
        <v>1</v>
      </c>
      <c r="X56" s="481">
        <f t="shared" si="21"/>
        <v>1</v>
      </c>
      <c r="Y56" s="481">
        <f t="shared" si="21"/>
        <v>1</v>
      </c>
      <c r="Z56" s="481">
        <f t="shared" si="21"/>
        <v>1</v>
      </c>
      <c r="AA56" s="481">
        <f t="shared" si="21"/>
        <v>1</v>
      </c>
      <c r="AB56" s="481">
        <f t="shared" si="21"/>
        <v>1</v>
      </c>
      <c r="AC56" s="481">
        <f t="shared" si="21"/>
        <v>1</v>
      </c>
      <c r="AD56" s="481">
        <f t="shared" si="21"/>
        <v>1</v>
      </c>
      <c r="AE56" s="481">
        <f t="shared" si="21"/>
        <v>1</v>
      </c>
      <c r="AF56" s="481">
        <f t="shared" si="21"/>
        <v>1</v>
      </c>
      <c r="AG56" s="481">
        <f t="shared" si="21"/>
        <v>1</v>
      </c>
      <c r="AH56" s="481">
        <f t="shared" si="21"/>
        <v>1</v>
      </c>
      <c r="AI56" s="481">
        <f t="shared" si="21"/>
        <v>1</v>
      </c>
      <c r="AJ56" s="481">
        <f t="shared" si="21"/>
        <v>1</v>
      </c>
      <c r="AK56" s="481">
        <f t="shared" si="21"/>
        <v>1</v>
      </c>
      <c r="AL56" s="481">
        <f t="shared" si="21"/>
        <v>1</v>
      </c>
      <c r="AM56" s="481">
        <f t="shared" si="21"/>
        <v>1</v>
      </c>
      <c r="AN56" s="481">
        <f t="shared" si="21"/>
        <v>1</v>
      </c>
      <c r="AO56" s="481">
        <f t="shared" si="21"/>
        <v>1</v>
      </c>
      <c r="AP56" s="481">
        <f t="shared" si="21"/>
        <v>1</v>
      </c>
      <c r="AQ56" s="481">
        <f t="shared" si="21"/>
        <v>1</v>
      </c>
      <c r="AR56" s="481">
        <f t="shared" si="21"/>
        <v>1</v>
      </c>
      <c r="AS56" s="481">
        <f t="shared" si="21"/>
        <v>1</v>
      </c>
      <c r="AT56" s="481">
        <f t="shared" si="21"/>
        <v>1</v>
      </c>
      <c r="AU56" s="481">
        <f t="shared" si="21"/>
        <v>1</v>
      </c>
      <c r="AV56" s="481">
        <f t="shared" si="21"/>
        <v>1</v>
      </c>
      <c r="AW56" s="481">
        <f t="shared" si="21"/>
        <v>1</v>
      </c>
      <c r="AX56" s="481">
        <f t="shared" si="21"/>
        <v>1</v>
      </c>
      <c r="AY56" s="481">
        <f t="shared" si="21"/>
        <v>1</v>
      </c>
      <c r="AZ56" s="481">
        <f t="shared" si="21"/>
        <v>1</v>
      </c>
      <c r="BA56" s="481">
        <f t="shared" si="21"/>
        <v>1</v>
      </c>
      <c r="BB56" s="481">
        <f t="shared" si="21"/>
        <v>1</v>
      </c>
      <c r="BC56" s="481">
        <f t="shared" si="21"/>
        <v>1</v>
      </c>
      <c r="BD56" s="481">
        <f t="shared" si="21"/>
        <v>1</v>
      </c>
      <c r="BE56" s="481">
        <f t="shared" si="21"/>
        <v>1</v>
      </c>
      <c r="BF56" s="481">
        <f t="shared" si="21"/>
        <v>1</v>
      </c>
      <c r="BG56" s="481">
        <f t="shared" si="21"/>
        <v>1</v>
      </c>
      <c r="BH56" s="481">
        <f t="shared" si="21"/>
        <v>1</v>
      </c>
      <c r="BI56" s="481">
        <f t="shared" si="21"/>
        <v>1</v>
      </c>
    </row>
    <row r="57" spans="1:61" s="481" customFormat="1" x14ac:dyDescent="0.2">
      <c r="A57" s="480" t="s">
        <v>105</v>
      </c>
      <c r="B57" s="481">
        <f>+Copen!V71</f>
        <v>0</v>
      </c>
      <c r="C57" s="481">
        <f>+Copen!X71</f>
        <v>1</v>
      </c>
      <c r="D57" s="481">
        <f>+Copen!Z71</f>
        <v>1</v>
      </c>
      <c r="E57" s="481">
        <f>+Copen!AB71</f>
        <v>1</v>
      </c>
      <c r="F57" s="481">
        <f>+Copen!AD71</f>
        <v>1</v>
      </c>
      <c r="G57" s="481">
        <f>+Copen!AF71</f>
        <v>1</v>
      </c>
      <c r="H57" s="481">
        <f>+Copen!AH71</f>
        <v>1</v>
      </c>
      <c r="I57" s="481">
        <f>+Copen!AJ71</f>
        <v>1</v>
      </c>
      <c r="J57" s="482">
        <f>+Copen!AL71</f>
        <v>1</v>
      </c>
      <c r="K57" s="482">
        <f>+Copen!AN71</f>
        <v>1</v>
      </c>
      <c r="L57" s="482">
        <f>+Copen!AP71</f>
        <v>1</v>
      </c>
      <c r="M57" s="482">
        <f>+Copen!AR71</f>
        <v>1</v>
      </c>
      <c r="N57" s="482">
        <f>+Copen!AT71</f>
        <v>1</v>
      </c>
      <c r="O57" s="482">
        <f>+Copen!AV71</f>
        <v>1</v>
      </c>
      <c r="P57" s="482">
        <f>+Copen!AX71</f>
        <v>1</v>
      </c>
      <c r="Q57" s="481">
        <f t="shared" ref="Q57:BI62" si="22">+P57</f>
        <v>1</v>
      </c>
      <c r="R57" s="481">
        <f t="shared" si="22"/>
        <v>1</v>
      </c>
      <c r="S57" s="481">
        <f t="shared" si="22"/>
        <v>1</v>
      </c>
      <c r="T57" s="481">
        <f t="shared" si="22"/>
        <v>1</v>
      </c>
      <c r="U57" s="481">
        <f t="shared" si="22"/>
        <v>1</v>
      </c>
      <c r="V57" s="481">
        <f t="shared" si="22"/>
        <v>1</v>
      </c>
      <c r="W57" s="481">
        <f t="shared" si="22"/>
        <v>1</v>
      </c>
      <c r="X57" s="481">
        <f t="shared" si="22"/>
        <v>1</v>
      </c>
      <c r="Y57" s="481">
        <f t="shared" si="22"/>
        <v>1</v>
      </c>
      <c r="Z57" s="481">
        <f t="shared" si="22"/>
        <v>1</v>
      </c>
      <c r="AA57" s="481">
        <f t="shared" si="22"/>
        <v>1</v>
      </c>
      <c r="AB57" s="481">
        <f t="shared" si="22"/>
        <v>1</v>
      </c>
      <c r="AC57" s="481">
        <f t="shared" si="22"/>
        <v>1</v>
      </c>
      <c r="AD57" s="481">
        <f t="shared" si="22"/>
        <v>1</v>
      </c>
      <c r="AE57" s="481">
        <f t="shared" si="22"/>
        <v>1</v>
      </c>
      <c r="AF57" s="481">
        <f t="shared" si="22"/>
        <v>1</v>
      </c>
      <c r="AG57" s="481">
        <f t="shared" si="22"/>
        <v>1</v>
      </c>
      <c r="AH57" s="481">
        <f t="shared" si="22"/>
        <v>1</v>
      </c>
      <c r="AI57" s="481">
        <f t="shared" si="22"/>
        <v>1</v>
      </c>
      <c r="AJ57" s="481">
        <f t="shared" si="22"/>
        <v>1</v>
      </c>
      <c r="AK57" s="481">
        <f t="shared" si="22"/>
        <v>1</v>
      </c>
      <c r="AL57" s="481">
        <f t="shared" si="22"/>
        <v>1</v>
      </c>
      <c r="AM57" s="481">
        <f t="shared" si="22"/>
        <v>1</v>
      </c>
      <c r="AN57" s="481">
        <f t="shared" si="22"/>
        <v>1</v>
      </c>
      <c r="AO57" s="481">
        <f t="shared" si="22"/>
        <v>1</v>
      </c>
      <c r="AP57" s="481">
        <f t="shared" si="22"/>
        <v>1</v>
      </c>
      <c r="AQ57" s="481">
        <f t="shared" si="22"/>
        <v>1</v>
      </c>
      <c r="AR57" s="481">
        <f t="shared" si="22"/>
        <v>1</v>
      </c>
      <c r="AS57" s="481">
        <f t="shared" si="22"/>
        <v>1</v>
      </c>
      <c r="AT57" s="481">
        <f t="shared" si="22"/>
        <v>1</v>
      </c>
      <c r="AU57" s="481">
        <f t="shared" si="22"/>
        <v>1</v>
      </c>
      <c r="AV57" s="481">
        <f t="shared" si="22"/>
        <v>1</v>
      </c>
      <c r="AW57" s="481">
        <f t="shared" si="22"/>
        <v>1</v>
      </c>
      <c r="AX57" s="481">
        <f t="shared" si="22"/>
        <v>1</v>
      </c>
      <c r="AY57" s="481">
        <f t="shared" si="22"/>
        <v>1</v>
      </c>
      <c r="AZ57" s="481">
        <f t="shared" si="22"/>
        <v>1</v>
      </c>
      <c r="BA57" s="481">
        <f t="shared" si="22"/>
        <v>1</v>
      </c>
      <c r="BB57" s="481">
        <f t="shared" si="22"/>
        <v>1</v>
      </c>
      <c r="BC57" s="481">
        <f t="shared" si="22"/>
        <v>1</v>
      </c>
      <c r="BD57" s="481">
        <f t="shared" si="22"/>
        <v>1</v>
      </c>
      <c r="BE57" s="481">
        <f t="shared" si="22"/>
        <v>1</v>
      </c>
      <c r="BF57" s="481">
        <f t="shared" si="22"/>
        <v>1</v>
      </c>
      <c r="BG57" s="481">
        <f t="shared" si="22"/>
        <v>1</v>
      </c>
      <c r="BH57" s="481">
        <f t="shared" si="22"/>
        <v>1</v>
      </c>
      <c r="BI57" s="481">
        <f t="shared" si="22"/>
        <v>1</v>
      </c>
    </row>
    <row r="58" spans="1:61" s="481" customFormat="1" x14ac:dyDescent="0.2">
      <c r="A58" s="480" t="s">
        <v>51</v>
      </c>
      <c r="B58" s="481">
        <f>+Copen!V72</f>
        <v>0</v>
      </c>
      <c r="C58" s="481">
        <f>+Copen!X72</f>
        <v>1</v>
      </c>
      <c r="D58" s="481">
        <f>+Copen!Z72</f>
        <v>1</v>
      </c>
      <c r="E58" s="481">
        <f>+Copen!AB72</f>
        <v>1</v>
      </c>
      <c r="F58" s="481">
        <f>+Copen!AD72</f>
        <v>1</v>
      </c>
      <c r="G58" s="481">
        <f>+Copen!AF72</f>
        <v>1</v>
      </c>
      <c r="H58" s="481">
        <f>+Copen!AH72</f>
        <v>1</v>
      </c>
      <c r="I58" s="481">
        <f>+Copen!AJ72</f>
        <v>1</v>
      </c>
      <c r="J58" s="482">
        <f>+Copen!AL72</f>
        <v>1</v>
      </c>
      <c r="K58" s="482">
        <f>+Copen!AN72</f>
        <v>1</v>
      </c>
      <c r="L58" s="482">
        <f>+Copen!AP72</f>
        <v>1</v>
      </c>
      <c r="M58" s="482">
        <f>+Copen!AR72</f>
        <v>1</v>
      </c>
      <c r="N58" s="482">
        <f>+Copen!AT72</f>
        <v>1</v>
      </c>
      <c r="O58" s="482">
        <f>+Copen!AV72</f>
        <v>1</v>
      </c>
      <c r="P58" s="482">
        <f>+Copen!AX72</f>
        <v>1</v>
      </c>
      <c r="Q58" s="481">
        <f t="shared" si="22"/>
        <v>1</v>
      </c>
      <c r="R58" s="481">
        <f t="shared" si="22"/>
        <v>1</v>
      </c>
      <c r="S58" s="481">
        <f t="shared" si="22"/>
        <v>1</v>
      </c>
      <c r="T58" s="481">
        <f t="shared" si="22"/>
        <v>1</v>
      </c>
      <c r="U58" s="481">
        <f t="shared" si="22"/>
        <v>1</v>
      </c>
      <c r="V58" s="481">
        <f t="shared" si="22"/>
        <v>1</v>
      </c>
      <c r="W58" s="481">
        <f t="shared" si="22"/>
        <v>1</v>
      </c>
      <c r="X58" s="481">
        <f t="shared" si="22"/>
        <v>1</v>
      </c>
      <c r="Y58" s="481">
        <f t="shared" si="22"/>
        <v>1</v>
      </c>
      <c r="Z58" s="481">
        <f t="shared" si="22"/>
        <v>1</v>
      </c>
      <c r="AA58" s="481">
        <f t="shared" si="22"/>
        <v>1</v>
      </c>
      <c r="AB58" s="481">
        <f t="shared" si="22"/>
        <v>1</v>
      </c>
      <c r="AC58" s="481">
        <f t="shared" si="22"/>
        <v>1</v>
      </c>
      <c r="AD58" s="481">
        <f t="shared" si="22"/>
        <v>1</v>
      </c>
      <c r="AE58" s="481">
        <f t="shared" si="22"/>
        <v>1</v>
      </c>
      <c r="AF58" s="481">
        <f t="shared" si="22"/>
        <v>1</v>
      </c>
      <c r="AG58" s="481">
        <f t="shared" si="22"/>
        <v>1</v>
      </c>
      <c r="AH58" s="481">
        <f t="shared" si="22"/>
        <v>1</v>
      </c>
      <c r="AI58" s="481">
        <f t="shared" si="22"/>
        <v>1</v>
      </c>
      <c r="AJ58" s="481">
        <f t="shared" si="22"/>
        <v>1</v>
      </c>
      <c r="AK58" s="481">
        <f t="shared" si="22"/>
        <v>1</v>
      </c>
      <c r="AL58" s="481">
        <f t="shared" si="22"/>
        <v>1</v>
      </c>
      <c r="AM58" s="481">
        <f t="shared" si="22"/>
        <v>1</v>
      </c>
      <c r="AN58" s="481">
        <f t="shared" si="22"/>
        <v>1</v>
      </c>
      <c r="AO58" s="481">
        <f t="shared" si="22"/>
        <v>1</v>
      </c>
      <c r="AP58" s="481">
        <f t="shared" si="22"/>
        <v>1</v>
      </c>
      <c r="AQ58" s="481">
        <f t="shared" si="22"/>
        <v>1</v>
      </c>
      <c r="AR58" s="481">
        <f t="shared" si="22"/>
        <v>1</v>
      </c>
      <c r="AS58" s="481">
        <f t="shared" si="22"/>
        <v>1</v>
      </c>
      <c r="AT58" s="481">
        <f t="shared" si="22"/>
        <v>1</v>
      </c>
      <c r="AU58" s="481">
        <f t="shared" si="22"/>
        <v>1</v>
      </c>
      <c r="AV58" s="481">
        <f t="shared" si="22"/>
        <v>1</v>
      </c>
      <c r="AW58" s="481">
        <f t="shared" si="22"/>
        <v>1</v>
      </c>
      <c r="AX58" s="481">
        <f t="shared" si="22"/>
        <v>1</v>
      </c>
      <c r="AY58" s="481">
        <f t="shared" si="22"/>
        <v>1</v>
      </c>
      <c r="AZ58" s="481">
        <f t="shared" si="22"/>
        <v>1</v>
      </c>
      <c r="BA58" s="481">
        <f t="shared" si="22"/>
        <v>1</v>
      </c>
      <c r="BB58" s="481">
        <f t="shared" si="22"/>
        <v>1</v>
      </c>
      <c r="BC58" s="481">
        <f t="shared" si="22"/>
        <v>1</v>
      </c>
      <c r="BD58" s="481">
        <f t="shared" si="22"/>
        <v>1</v>
      </c>
      <c r="BE58" s="481">
        <f t="shared" si="22"/>
        <v>1</v>
      </c>
      <c r="BF58" s="481">
        <f t="shared" si="22"/>
        <v>1</v>
      </c>
      <c r="BG58" s="481">
        <f t="shared" si="22"/>
        <v>1</v>
      </c>
      <c r="BH58" s="481">
        <f t="shared" si="22"/>
        <v>1</v>
      </c>
      <c r="BI58" s="481">
        <f t="shared" si="22"/>
        <v>1</v>
      </c>
    </row>
    <row r="59" spans="1:61" s="481" customFormat="1" x14ac:dyDescent="0.2">
      <c r="A59" s="480" t="s">
        <v>52</v>
      </c>
      <c r="B59" s="481">
        <f>+Copen!V73</f>
        <v>0</v>
      </c>
      <c r="C59" s="481">
        <f>+Copen!X73</f>
        <v>1</v>
      </c>
      <c r="D59" s="481">
        <f>+Copen!Z73</f>
        <v>1</v>
      </c>
      <c r="E59" s="481">
        <f>+Copen!AB73</f>
        <v>1</v>
      </c>
      <c r="F59" s="481">
        <f>+Copen!AD73</f>
        <v>1</v>
      </c>
      <c r="G59" s="481">
        <f>+Copen!AF73</f>
        <v>1</v>
      </c>
      <c r="H59" s="481">
        <f>+Copen!AH73</f>
        <v>1</v>
      </c>
      <c r="I59" s="481">
        <f>+Copen!AJ73</f>
        <v>1</v>
      </c>
      <c r="J59" s="482">
        <f>+Copen!AL73</f>
        <v>1</v>
      </c>
      <c r="K59" s="482">
        <f>+Copen!AN73</f>
        <v>1</v>
      </c>
      <c r="L59" s="482">
        <f>+Copen!AP73</f>
        <v>1</v>
      </c>
      <c r="M59" s="482">
        <f>+Copen!AR73</f>
        <v>1</v>
      </c>
      <c r="N59" s="482">
        <f>+Copen!AT73</f>
        <v>1</v>
      </c>
      <c r="O59" s="482">
        <f>+Copen!AV73</f>
        <v>1</v>
      </c>
      <c r="P59" s="482">
        <f>+Copen!AX73</f>
        <v>1</v>
      </c>
      <c r="Q59" s="481">
        <f t="shared" si="22"/>
        <v>1</v>
      </c>
      <c r="R59" s="481">
        <f t="shared" si="22"/>
        <v>1</v>
      </c>
      <c r="S59" s="481">
        <f t="shared" si="22"/>
        <v>1</v>
      </c>
      <c r="T59" s="481">
        <f t="shared" si="22"/>
        <v>1</v>
      </c>
      <c r="U59" s="481">
        <f t="shared" si="22"/>
        <v>1</v>
      </c>
      <c r="V59" s="481">
        <f t="shared" si="22"/>
        <v>1</v>
      </c>
      <c r="W59" s="481">
        <f t="shared" si="22"/>
        <v>1</v>
      </c>
      <c r="X59" s="481">
        <f t="shared" si="22"/>
        <v>1</v>
      </c>
      <c r="Y59" s="481">
        <f t="shared" si="22"/>
        <v>1</v>
      </c>
      <c r="Z59" s="481">
        <f t="shared" si="22"/>
        <v>1</v>
      </c>
      <c r="AA59" s="481">
        <f t="shared" si="22"/>
        <v>1</v>
      </c>
      <c r="AB59" s="481">
        <f t="shared" si="22"/>
        <v>1</v>
      </c>
      <c r="AC59" s="481">
        <f t="shared" si="22"/>
        <v>1</v>
      </c>
      <c r="AD59" s="481">
        <f t="shared" si="22"/>
        <v>1</v>
      </c>
      <c r="AE59" s="481">
        <f t="shared" si="22"/>
        <v>1</v>
      </c>
      <c r="AF59" s="481">
        <f t="shared" si="22"/>
        <v>1</v>
      </c>
      <c r="AG59" s="481">
        <f t="shared" si="22"/>
        <v>1</v>
      </c>
      <c r="AH59" s="481">
        <f t="shared" si="22"/>
        <v>1</v>
      </c>
      <c r="AI59" s="481">
        <f t="shared" si="22"/>
        <v>1</v>
      </c>
      <c r="AJ59" s="481">
        <f t="shared" si="22"/>
        <v>1</v>
      </c>
      <c r="AK59" s="481">
        <f t="shared" si="22"/>
        <v>1</v>
      </c>
      <c r="AL59" s="481">
        <f t="shared" si="22"/>
        <v>1</v>
      </c>
      <c r="AM59" s="481">
        <f t="shared" si="22"/>
        <v>1</v>
      </c>
      <c r="AN59" s="481">
        <f t="shared" si="22"/>
        <v>1</v>
      </c>
      <c r="AO59" s="481">
        <f t="shared" si="22"/>
        <v>1</v>
      </c>
      <c r="AP59" s="481">
        <f t="shared" si="22"/>
        <v>1</v>
      </c>
      <c r="AQ59" s="481">
        <f t="shared" si="22"/>
        <v>1</v>
      </c>
      <c r="AR59" s="481">
        <f t="shared" si="22"/>
        <v>1</v>
      </c>
      <c r="AS59" s="481">
        <f t="shared" si="22"/>
        <v>1</v>
      </c>
      <c r="AT59" s="481">
        <f t="shared" si="22"/>
        <v>1</v>
      </c>
      <c r="AU59" s="481">
        <f t="shared" si="22"/>
        <v>1</v>
      </c>
      <c r="AV59" s="481">
        <f t="shared" si="22"/>
        <v>1</v>
      </c>
      <c r="AW59" s="481">
        <f t="shared" si="22"/>
        <v>1</v>
      </c>
      <c r="AX59" s="481">
        <f t="shared" si="22"/>
        <v>1</v>
      </c>
      <c r="AY59" s="481">
        <f t="shared" si="22"/>
        <v>1</v>
      </c>
      <c r="AZ59" s="481">
        <f t="shared" si="22"/>
        <v>1</v>
      </c>
      <c r="BA59" s="481">
        <f t="shared" si="22"/>
        <v>1</v>
      </c>
      <c r="BB59" s="481">
        <f t="shared" si="22"/>
        <v>1</v>
      </c>
      <c r="BC59" s="481">
        <f t="shared" si="22"/>
        <v>1</v>
      </c>
      <c r="BD59" s="481">
        <f t="shared" si="22"/>
        <v>1</v>
      </c>
      <c r="BE59" s="481">
        <f t="shared" si="22"/>
        <v>1</v>
      </c>
      <c r="BF59" s="481">
        <f t="shared" si="22"/>
        <v>1</v>
      </c>
      <c r="BG59" s="481">
        <f t="shared" si="22"/>
        <v>1</v>
      </c>
      <c r="BH59" s="481">
        <f t="shared" si="22"/>
        <v>1</v>
      </c>
      <c r="BI59" s="481">
        <f t="shared" si="22"/>
        <v>1</v>
      </c>
    </row>
    <row r="60" spans="1:61" s="481" customFormat="1" x14ac:dyDescent="0.2">
      <c r="A60" s="480" t="s">
        <v>53</v>
      </c>
      <c r="B60" s="481">
        <f>+Copen!V74</f>
        <v>0</v>
      </c>
      <c r="C60" s="481">
        <f>+Copen!X74</f>
        <v>0</v>
      </c>
      <c r="D60" s="481">
        <f>+Copen!Z74</f>
        <v>1</v>
      </c>
      <c r="E60" s="481">
        <f>+Copen!AB74</f>
        <v>1</v>
      </c>
      <c r="F60" s="481">
        <f>+Copen!AD74</f>
        <v>1</v>
      </c>
      <c r="G60" s="481">
        <f>+Copen!AF74</f>
        <v>1</v>
      </c>
      <c r="H60" s="481">
        <f>+Copen!AH74</f>
        <v>1</v>
      </c>
      <c r="I60" s="481">
        <f>+Copen!AJ74</f>
        <v>1</v>
      </c>
      <c r="J60" s="482">
        <f>+Copen!AL74</f>
        <v>1</v>
      </c>
      <c r="K60" s="482">
        <f>+Copen!AN74</f>
        <v>1</v>
      </c>
      <c r="L60" s="482">
        <f>+Copen!AP74</f>
        <v>1</v>
      </c>
      <c r="M60" s="482">
        <f>+Copen!AR74</f>
        <v>1</v>
      </c>
      <c r="N60" s="482">
        <f>+Copen!AT74</f>
        <v>1</v>
      </c>
      <c r="O60" s="482">
        <f>+Copen!AV74</f>
        <v>1</v>
      </c>
      <c r="P60" s="482">
        <f>+Copen!AX74</f>
        <v>1</v>
      </c>
      <c r="Q60" s="481">
        <f t="shared" si="22"/>
        <v>1</v>
      </c>
      <c r="R60" s="481">
        <f t="shared" si="22"/>
        <v>1</v>
      </c>
      <c r="S60" s="481">
        <f t="shared" si="22"/>
        <v>1</v>
      </c>
      <c r="T60" s="481">
        <f t="shared" si="22"/>
        <v>1</v>
      </c>
      <c r="U60" s="481">
        <f t="shared" si="22"/>
        <v>1</v>
      </c>
      <c r="V60" s="481">
        <f t="shared" si="22"/>
        <v>1</v>
      </c>
      <c r="W60" s="481">
        <f t="shared" si="22"/>
        <v>1</v>
      </c>
      <c r="X60" s="481">
        <f t="shared" si="22"/>
        <v>1</v>
      </c>
      <c r="Y60" s="481">
        <f t="shared" si="22"/>
        <v>1</v>
      </c>
      <c r="Z60" s="481">
        <f t="shared" si="22"/>
        <v>1</v>
      </c>
      <c r="AA60" s="481">
        <f t="shared" si="22"/>
        <v>1</v>
      </c>
      <c r="AB60" s="481">
        <f t="shared" si="22"/>
        <v>1</v>
      </c>
      <c r="AC60" s="481">
        <f t="shared" si="22"/>
        <v>1</v>
      </c>
      <c r="AD60" s="481">
        <f t="shared" si="22"/>
        <v>1</v>
      </c>
      <c r="AE60" s="481">
        <f t="shared" si="22"/>
        <v>1</v>
      </c>
      <c r="AF60" s="481">
        <f t="shared" si="22"/>
        <v>1</v>
      </c>
      <c r="AG60" s="481">
        <f t="shared" si="22"/>
        <v>1</v>
      </c>
      <c r="AH60" s="481">
        <f t="shared" si="22"/>
        <v>1</v>
      </c>
      <c r="AI60" s="481">
        <f t="shared" si="22"/>
        <v>1</v>
      </c>
      <c r="AJ60" s="481">
        <f t="shared" si="22"/>
        <v>1</v>
      </c>
      <c r="AK60" s="481">
        <f t="shared" si="22"/>
        <v>1</v>
      </c>
      <c r="AL60" s="481">
        <f t="shared" si="22"/>
        <v>1</v>
      </c>
      <c r="AM60" s="481">
        <f t="shared" si="22"/>
        <v>1</v>
      </c>
      <c r="AN60" s="481">
        <f t="shared" si="22"/>
        <v>1</v>
      </c>
      <c r="AO60" s="481">
        <f t="shared" si="22"/>
        <v>1</v>
      </c>
      <c r="AP60" s="481">
        <f t="shared" si="22"/>
        <v>1</v>
      </c>
      <c r="AQ60" s="481">
        <f t="shared" si="22"/>
        <v>1</v>
      </c>
      <c r="AR60" s="481">
        <f t="shared" si="22"/>
        <v>1</v>
      </c>
      <c r="AS60" s="481">
        <f t="shared" si="22"/>
        <v>1</v>
      </c>
      <c r="AT60" s="481">
        <f t="shared" si="22"/>
        <v>1</v>
      </c>
      <c r="AU60" s="481">
        <f t="shared" si="22"/>
        <v>1</v>
      </c>
      <c r="AV60" s="481">
        <f t="shared" si="22"/>
        <v>1</v>
      </c>
      <c r="AW60" s="481">
        <f t="shared" si="22"/>
        <v>1</v>
      </c>
      <c r="AX60" s="481">
        <f t="shared" si="22"/>
        <v>1</v>
      </c>
      <c r="AY60" s="481">
        <f t="shared" si="22"/>
        <v>1</v>
      </c>
      <c r="AZ60" s="481">
        <f t="shared" si="22"/>
        <v>1</v>
      </c>
      <c r="BA60" s="481">
        <f t="shared" si="22"/>
        <v>1</v>
      </c>
      <c r="BB60" s="481">
        <f t="shared" si="22"/>
        <v>1</v>
      </c>
      <c r="BC60" s="481">
        <f t="shared" si="22"/>
        <v>1</v>
      </c>
      <c r="BD60" s="481">
        <f t="shared" si="22"/>
        <v>1</v>
      </c>
      <c r="BE60" s="481">
        <f t="shared" si="22"/>
        <v>1</v>
      </c>
      <c r="BF60" s="481">
        <f t="shared" si="22"/>
        <v>1</v>
      </c>
      <c r="BG60" s="481">
        <f t="shared" si="22"/>
        <v>1</v>
      </c>
      <c r="BH60" s="481">
        <f t="shared" si="22"/>
        <v>1</v>
      </c>
      <c r="BI60" s="481">
        <f t="shared" si="22"/>
        <v>1</v>
      </c>
    </row>
    <row r="61" spans="1:61" s="481" customFormat="1" x14ac:dyDescent="0.2">
      <c r="A61" s="480" t="s">
        <v>54</v>
      </c>
      <c r="B61" s="481">
        <f>+Copen!V75</f>
        <v>0</v>
      </c>
      <c r="C61" s="481">
        <f>+Copen!X75</f>
        <v>0</v>
      </c>
      <c r="D61" s="481">
        <f>+Copen!Z75</f>
        <v>0</v>
      </c>
      <c r="E61" s="481">
        <f>+Copen!AB75</f>
        <v>1</v>
      </c>
      <c r="F61" s="481">
        <f>+Copen!AD75</f>
        <v>1</v>
      </c>
      <c r="G61" s="481">
        <f>+Copen!AF75</f>
        <v>1</v>
      </c>
      <c r="H61" s="481">
        <f>+Copen!AH75</f>
        <v>1</v>
      </c>
      <c r="I61" s="481">
        <f>+Copen!AJ75</f>
        <v>1</v>
      </c>
      <c r="J61" s="482">
        <f>+Copen!AL75</f>
        <v>1</v>
      </c>
      <c r="K61" s="482">
        <f>+Copen!AN75</f>
        <v>1</v>
      </c>
      <c r="L61" s="482">
        <f>+Copen!AP75</f>
        <v>1</v>
      </c>
      <c r="M61" s="482">
        <f>+Copen!AR75</f>
        <v>1</v>
      </c>
      <c r="N61" s="482">
        <f>+Copen!AT75</f>
        <v>1</v>
      </c>
      <c r="O61" s="482">
        <f>+Copen!AV75</f>
        <v>1</v>
      </c>
      <c r="P61" s="482">
        <f>+Copen!AX75</f>
        <v>1</v>
      </c>
      <c r="Q61" s="481">
        <f t="shared" si="22"/>
        <v>1</v>
      </c>
      <c r="R61" s="481">
        <f t="shared" si="22"/>
        <v>1</v>
      </c>
      <c r="S61" s="481">
        <f t="shared" si="22"/>
        <v>1</v>
      </c>
      <c r="T61" s="481">
        <f t="shared" si="22"/>
        <v>1</v>
      </c>
      <c r="U61" s="481">
        <f t="shared" si="22"/>
        <v>1</v>
      </c>
      <c r="V61" s="481">
        <f t="shared" si="22"/>
        <v>1</v>
      </c>
      <c r="W61" s="481">
        <f t="shared" si="22"/>
        <v>1</v>
      </c>
      <c r="X61" s="481">
        <f t="shared" si="22"/>
        <v>1</v>
      </c>
      <c r="Y61" s="481">
        <f t="shared" si="22"/>
        <v>1</v>
      </c>
      <c r="Z61" s="481">
        <f t="shared" si="22"/>
        <v>1</v>
      </c>
      <c r="AA61" s="481">
        <f t="shared" si="22"/>
        <v>1</v>
      </c>
      <c r="AB61" s="481">
        <f t="shared" si="22"/>
        <v>1</v>
      </c>
      <c r="AC61" s="481">
        <f t="shared" si="22"/>
        <v>1</v>
      </c>
      <c r="AD61" s="481">
        <f t="shared" si="22"/>
        <v>1</v>
      </c>
      <c r="AE61" s="481">
        <f t="shared" si="22"/>
        <v>1</v>
      </c>
      <c r="AF61" s="481">
        <f t="shared" si="22"/>
        <v>1</v>
      </c>
      <c r="AG61" s="481">
        <f t="shared" si="22"/>
        <v>1</v>
      </c>
      <c r="AH61" s="481">
        <f t="shared" si="22"/>
        <v>1</v>
      </c>
      <c r="AI61" s="481">
        <f t="shared" si="22"/>
        <v>1</v>
      </c>
      <c r="AJ61" s="481">
        <f t="shared" si="22"/>
        <v>1</v>
      </c>
      <c r="AK61" s="481">
        <f t="shared" si="22"/>
        <v>1</v>
      </c>
      <c r="AL61" s="481">
        <f t="shared" si="22"/>
        <v>1</v>
      </c>
      <c r="AM61" s="481">
        <f t="shared" si="22"/>
        <v>1</v>
      </c>
      <c r="AN61" s="481">
        <f t="shared" si="22"/>
        <v>1</v>
      </c>
      <c r="AO61" s="481">
        <f t="shared" si="22"/>
        <v>1</v>
      </c>
      <c r="AP61" s="481">
        <f t="shared" si="22"/>
        <v>1</v>
      </c>
      <c r="AQ61" s="481">
        <f t="shared" si="22"/>
        <v>1</v>
      </c>
      <c r="AR61" s="481">
        <f t="shared" si="22"/>
        <v>1</v>
      </c>
      <c r="AS61" s="481">
        <f t="shared" si="22"/>
        <v>1</v>
      </c>
      <c r="AT61" s="481">
        <f t="shared" si="22"/>
        <v>1</v>
      </c>
      <c r="AU61" s="481">
        <f t="shared" si="22"/>
        <v>1</v>
      </c>
      <c r="AV61" s="481">
        <f t="shared" si="22"/>
        <v>1</v>
      </c>
      <c r="AW61" s="481">
        <f t="shared" si="22"/>
        <v>1</v>
      </c>
      <c r="AX61" s="481">
        <f t="shared" si="22"/>
        <v>1</v>
      </c>
      <c r="AY61" s="481">
        <f t="shared" si="22"/>
        <v>1</v>
      </c>
      <c r="AZ61" s="481">
        <f t="shared" si="22"/>
        <v>1</v>
      </c>
      <c r="BA61" s="481">
        <f t="shared" si="22"/>
        <v>1</v>
      </c>
      <c r="BB61" s="481">
        <f t="shared" si="22"/>
        <v>1</v>
      </c>
      <c r="BC61" s="481">
        <f t="shared" si="22"/>
        <v>1</v>
      </c>
      <c r="BD61" s="481">
        <f t="shared" si="22"/>
        <v>1</v>
      </c>
      <c r="BE61" s="481">
        <f t="shared" si="22"/>
        <v>1</v>
      </c>
      <c r="BF61" s="481">
        <f t="shared" si="22"/>
        <v>1</v>
      </c>
      <c r="BG61" s="481">
        <f t="shared" si="22"/>
        <v>1</v>
      </c>
      <c r="BH61" s="481">
        <f t="shared" si="22"/>
        <v>1</v>
      </c>
      <c r="BI61" s="481">
        <f t="shared" si="22"/>
        <v>1</v>
      </c>
    </row>
    <row r="62" spans="1:61" s="481" customFormat="1" x14ac:dyDescent="0.2">
      <c r="A62" s="480" t="s">
        <v>55</v>
      </c>
      <c r="B62" s="481">
        <f>+Copen!V76</f>
        <v>0</v>
      </c>
      <c r="C62" s="481">
        <f>+Copen!X76</f>
        <v>0</v>
      </c>
      <c r="D62" s="481">
        <f>+Copen!Z76</f>
        <v>0</v>
      </c>
      <c r="E62" s="481">
        <f>+Copen!AB76</f>
        <v>0</v>
      </c>
      <c r="F62" s="481">
        <f>+Copen!AD76</f>
        <v>1</v>
      </c>
      <c r="G62" s="481">
        <f>+Copen!AF76</f>
        <v>1</v>
      </c>
      <c r="H62" s="481">
        <f>+Copen!AH76</f>
        <v>1</v>
      </c>
      <c r="I62" s="481">
        <f>+Copen!AJ76</f>
        <v>1</v>
      </c>
      <c r="J62" s="482">
        <f>+Copen!AL76</f>
        <v>1</v>
      </c>
      <c r="K62" s="482">
        <f>+Copen!AN76</f>
        <v>1</v>
      </c>
      <c r="L62" s="482">
        <f>+Copen!AP76</f>
        <v>1</v>
      </c>
      <c r="M62" s="482">
        <f>+Copen!AR76</f>
        <v>1</v>
      </c>
      <c r="N62" s="482">
        <f>+Copen!AT76</f>
        <v>1</v>
      </c>
      <c r="O62" s="482">
        <f>+Copen!AV76</f>
        <v>1</v>
      </c>
      <c r="P62" s="482">
        <f>+Copen!AX76</f>
        <v>1</v>
      </c>
      <c r="Q62" s="481">
        <f t="shared" si="22"/>
        <v>1</v>
      </c>
      <c r="R62" s="481">
        <f t="shared" si="22"/>
        <v>1</v>
      </c>
      <c r="S62" s="481">
        <f t="shared" si="22"/>
        <v>1</v>
      </c>
      <c r="T62" s="481">
        <f t="shared" si="22"/>
        <v>1</v>
      </c>
      <c r="U62" s="481">
        <f t="shared" si="22"/>
        <v>1</v>
      </c>
      <c r="V62" s="481">
        <f t="shared" si="22"/>
        <v>1</v>
      </c>
      <c r="W62" s="481">
        <f t="shared" si="22"/>
        <v>1</v>
      </c>
      <c r="X62" s="481">
        <f t="shared" si="22"/>
        <v>1</v>
      </c>
      <c r="Y62" s="481">
        <f t="shared" si="22"/>
        <v>1</v>
      </c>
      <c r="Z62" s="481">
        <f t="shared" si="22"/>
        <v>1</v>
      </c>
      <c r="AA62" s="481">
        <f t="shared" si="22"/>
        <v>1</v>
      </c>
      <c r="AB62" s="481">
        <f t="shared" si="22"/>
        <v>1</v>
      </c>
      <c r="AC62" s="481">
        <f t="shared" si="22"/>
        <v>1</v>
      </c>
      <c r="AD62" s="481">
        <f t="shared" si="22"/>
        <v>1</v>
      </c>
      <c r="AE62" s="481">
        <f t="shared" si="22"/>
        <v>1</v>
      </c>
      <c r="AF62" s="481">
        <f t="shared" si="22"/>
        <v>1</v>
      </c>
      <c r="AG62" s="481">
        <f t="shared" si="22"/>
        <v>1</v>
      </c>
      <c r="AH62" s="481">
        <f t="shared" si="22"/>
        <v>1</v>
      </c>
      <c r="AI62" s="481">
        <f t="shared" si="22"/>
        <v>1</v>
      </c>
      <c r="AJ62" s="481">
        <f t="shared" si="22"/>
        <v>1</v>
      </c>
      <c r="AK62" s="481">
        <f t="shared" si="22"/>
        <v>1</v>
      </c>
      <c r="AL62" s="481">
        <f t="shared" si="22"/>
        <v>1</v>
      </c>
      <c r="AM62" s="481">
        <f t="shared" si="22"/>
        <v>1</v>
      </c>
      <c r="AN62" s="481">
        <f t="shared" si="22"/>
        <v>1</v>
      </c>
      <c r="AO62" s="481">
        <f t="shared" si="22"/>
        <v>1</v>
      </c>
      <c r="AP62" s="481">
        <f t="shared" si="22"/>
        <v>1</v>
      </c>
      <c r="AQ62" s="481">
        <f t="shared" si="22"/>
        <v>1</v>
      </c>
      <c r="AR62" s="481">
        <f t="shared" si="22"/>
        <v>1</v>
      </c>
      <c r="AS62" s="481">
        <f t="shared" si="22"/>
        <v>1</v>
      </c>
      <c r="AT62" s="481">
        <f t="shared" si="22"/>
        <v>1</v>
      </c>
      <c r="AU62" s="481">
        <f t="shared" ref="AU62:BI62" si="23">+AT62</f>
        <v>1</v>
      </c>
      <c r="AV62" s="481">
        <f t="shared" si="23"/>
        <v>1</v>
      </c>
      <c r="AW62" s="481">
        <f t="shared" si="23"/>
        <v>1</v>
      </c>
      <c r="AX62" s="481">
        <f t="shared" si="23"/>
        <v>1</v>
      </c>
      <c r="AY62" s="481">
        <f t="shared" si="23"/>
        <v>1</v>
      </c>
      <c r="AZ62" s="481">
        <f t="shared" si="23"/>
        <v>1</v>
      </c>
      <c r="BA62" s="481">
        <f t="shared" si="23"/>
        <v>1</v>
      </c>
      <c r="BB62" s="481">
        <f t="shared" si="23"/>
        <v>1</v>
      </c>
      <c r="BC62" s="481">
        <f t="shared" si="23"/>
        <v>1</v>
      </c>
      <c r="BD62" s="481">
        <f t="shared" si="23"/>
        <v>1</v>
      </c>
      <c r="BE62" s="481">
        <f t="shared" si="23"/>
        <v>1</v>
      </c>
      <c r="BF62" s="481">
        <f t="shared" si="23"/>
        <v>1</v>
      </c>
      <c r="BG62" s="481">
        <f t="shared" si="23"/>
        <v>1</v>
      </c>
      <c r="BH62" s="481">
        <f t="shared" si="23"/>
        <v>1</v>
      </c>
      <c r="BI62" s="481">
        <f t="shared" si="23"/>
        <v>1</v>
      </c>
    </row>
    <row r="63" spans="1:61" s="481" customFormat="1" x14ac:dyDescent="0.2">
      <c r="A63" s="480" t="s">
        <v>56</v>
      </c>
      <c r="B63" s="481">
        <f>+Copen!V77</f>
        <v>0</v>
      </c>
      <c r="C63" s="481">
        <f>+Copen!X77</f>
        <v>0</v>
      </c>
      <c r="D63" s="481">
        <f>+Copen!Z77</f>
        <v>0</v>
      </c>
      <c r="E63" s="481">
        <f>+Copen!AB77</f>
        <v>0</v>
      </c>
      <c r="F63" s="481">
        <f>+Copen!AD77</f>
        <v>0</v>
      </c>
      <c r="G63" s="481">
        <f>+Copen!AF77</f>
        <v>1</v>
      </c>
      <c r="H63" s="481">
        <f>+Copen!AH77</f>
        <v>1</v>
      </c>
      <c r="I63" s="481">
        <f>+Copen!AJ77</f>
        <v>1</v>
      </c>
      <c r="J63" s="482">
        <f>+Copen!AL77</f>
        <v>1</v>
      </c>
      <c r="K63" s="482">
        <f>+Copen!AN77</f>
        <v>1</v>
      </c>
      <c r="L63" s="482">
        <f>+Copen!AP77</f>
        <v>1</v>
      </c>
      <c r="M63" s="482">
        <f>+Copen!AR77</f>
        <v>1</v>
      </c>
      <c r="N63" s="482">
        <f>+Copen!AT77</f>
        <v>1</v>
      </c>
      <c r="O63" s="482">
        <f>+Copen!AV77</f>
        <v>1</v>
      </c>
      <c r="P63" s="482">
        <f>+Copen!AX77</f>
        <v>1</v>
      </c>
      <c r="Q63" s="481">
        <f t="shared" ref="Q63:BI67" si="24">+P63</f>
        <v>1</v>
      </c>
      <c r="R63" s="481">
        <f t="shared" si="24"/>
        <v>1</v>
      </c>
      <c r="S63" s="481">
        <f t="shared" si="24"/>
        <v>1</v>
      </c>
      <c r="T63" s="481">
        <f t="shared" si="24"/>
        <v>1</v>
      </c>
      <c r="U63" s="481">
        <f t="shared" si="24"/>
        <v>1</v>
      </c>
      <c r="V63" s="481">
        <f t="shared" si="24"/>
        <v>1</v>
      </c>
      <c r="W63" s="481">
        <f t="shared" si="24"/>
        <v>1</v>
      </c>
      <c r="X63" s="481">
        <f t="shared" si="24"/>
        <v>1</v>
      </c>
      <c r="Y63" s="481">
        <f t="shared" si="24"/>
        <v>1</v>
      </c>
      <c r="Z63" s="481">
        <f t="shared" si="24"/>
        <v>1</v>
      </c>
      <c r="AA63" s="481">
        <f t="shared" si="24"/>
        <v>1</v>
      </c>
      <c r="AB63" s="481">
        <f t="shared" si="24"/>
        <v>1</v>
      </c>
      <c r="AC63" s="481">
        <f t="shared" si="24"/>
        <v>1</v>
      </c>
      <c r="AD63" s="481">
        <f t="shared" si="24"/>
        <v>1</v>
      </c>
      <c r="AE63" s="481">
        <f t="shared" si="24"/>
        <v>1</v>
      </c>
      <c r="AF63" s="481">
        <f t="shared" si="24"/>
        <v>1</v>
      </c>
      <c r="AG63" s="481">
        <f t="shared" si="24"/>
        <v>1</v>
      </c>
      <c r="AH63" s="481">
        <f t="shared" si="24"/>
        <v>1</v>
      </c>
      <c r="AI63" s="481">
        <f t="shared" si="24"/>
        <v>1</v>
      </c>
      <c r="AJ63" s="481">
        <f t="shared" si="24"/>
        <v>1</v>
      </c>
      <c r="AK63" s="481">
        <f t="shared" si="24"/>
        <v>1</v>
      </c>
      <c r="AL63" s="481">
        <f t="shared" si="24"/>
        <v>1</v>
      </c>
      <c r="AM63" s="481">
        <f t="shared" si="24"/>
        <v>1</v>
      </c>
      <c r="AN63" s="481">
        <f t="shared" si="24"/>
        <v>1</v>
      </c>
      <c r="AO63" s="481">
        <f t="shared" si="24"/>
        <v>1</v>
      </c>
      <c r="AP63" s="481">
        <f t="shared" si="24"/>
        <v>1</v>
      </c>
      <c r="AQ63" s="481">
        <f t="shared" si="24"/>
        <v>1</v>
      </c>
      <c r="AR63" s="481">
        <f t="shared" si="24"/>
        <v>1</v>
      </c>
      <c r="AS63" s="481">
        <f t="shared" si="24"/>
        <v>1</v>
      </c>
      <c r="AT63" s="481">
        <f t="shared" si="24"/>
        <v>1</v>
      </c>
      <c r="AU63" s="481">
        <f t="shared" si="24"/>
        <v>1</v>
      </c>
      <c r="AV63" s="481">
        <f t="shared" si="24"/>
        <v>1</v>
      </c>
      <c r="AW63" s="481">
        <f t="shared" si="24"/>
        <v>1</v>
      </c>
      <c r="AX63" s="481">
        <f t="shared" si="24"/>
        <v>1</v>
      </c>
      <c r="AY63" s="481">
        <f t="shared" si="24"/>
        <v>1</v>
      </c>
      <c r="AZ63" s="481">
        <f t="shared" si="24"/>
        <v>1</v>
      </c>
      <c r="BA63" s="481">
        <f t="shared" si="24"/>
        <v>1</v>
      </c>
      <c r="BB63" s="481">
        <f t="shared" si="24"/>
        <v>1</v>
      </c>
      <c r="BC63" s="481">
        <f t="shared" si="24"/>
        <v>1</v>
      </c>
      <c r="BD63" s="481">
        <f t="shared" si="24"/>
        <v>1</v>
      </c>
      <c r="BE63" s="481">
        <f t="shared" si="24"/>
        <v>1</v>
      </c>
      <c r="BF63" s="481">
        <f t="shared" si="24"/>
        <v>1</v>
      </c>
      <c r="BG63" s="481">
        <f t="shared" si="24"/>
        <v>1</v>
      </c>
      <c r="BH63" s="481">
        <f t="shared" si="24"/>
        <v>1</v>
      </c>
      <c r="BI63" s="481">
        <f t="shared" si="24"/>
        <v>1</v>
      </c>
    </row>
    <row r="64" spans="1:61" s="481" customFormat="1" x14ac:dyDescent="0.2">
      <c r="A64" s="480" t="s">
        <v>57</v>
      </c>
      <c r="B64" s="481">
        <f>+Copen!V78</f>
        <v>0</v>
      </c>
      <c r="C64" s="481">
        <f>+Copen!X78</f>
        <v>0</v>
      </c>
      <c r="D64" s="481">
        <f>+Copen!Z78</f>
        <v>0</v>
      </c>
      <c r="E64" s="481">
        <f>+Copen!AB78</f>
        <v>0</v>
      </c>
      <c r="F64" s="481">
        <f>+Copen!AD78</f>
        <v>0</v>
      </c>
      <c r="G64" s="481">
        <f>+Copen!AF78</f>
        <v>0</v>
      </c>
      <c r="H64" s="481">
        <f>+Copen!AH78</f>
        <v>0</v>
      </c>
      <c r="I64" s="481">
        <f>+Copen!AJ78</f>
        <v>1</v>
      </c>
      <c r="J64" s="482">
        <f>+Copen!AL78</f>
        <v>1</v>
      </c>
      <c r="K64" s="482">
        <f>+Copen!AN78</f>
        <v>1</v>
      </c>
      <c r="L64" s="482">
        <f>+Copen!AP78</f>
        <v>1</v>
      </c>
      <c r="M64" s="482">
        <f>+Copen!AR78</f>
        <v>1</v>
      </c>
      <c r="N64" s="482">
        <f>+Copen!AT78</f>
        <v>1</v>
      </c>
      <c r="O64" s="482">
        <f>+Copen!AV78</f>
        <v>1</v>
      </c>
      <c r="P64" s="482">
        <f>+Copen!AX78</f>
        <v>1</v>
      </c>
      <c r="Q64" s="481">
        <f t="shared" si="24"/>
        <v>1</v>
      </c>
      <c r="R64" s="481">
        <f t="shared" si="24"/>
        <v>1</v>
      </c>
      <c r="S64" s="481">
        <f t="shared" si="24"/>
        <v>1</v>
      </c>
      <c r="T64" s="481">
        <f t="shared" si="24"/>
        <v>1</v>
      </c>
      <c r="U64" s="481">
        <f t="shared" si="24"/>
        <v>1</v>
      </c>
      <c r="V64" s="481">
        <f t="shared" si="24"/>
        <v>1</v>
      </c>
      <c r="W64" s="481">
        <f t="shared" si="24"/>
        <v>1</v>
      </c>
      <c r="X64" s="481">
        <f t="shared" si="24"/>
        <v>1</v>
      </c>
      <c r="Y64" s="481">
        <f t="shared" si="24"/>
        <v>1</v>
      </c>
      <c r="Z64" s="481">
        <f t="shared" si="24"/>
        <v>1</v>
      </c>
      <c r="AA64" s="481">
        <f t="shared" si="24"/>
        <v>1</v>
      </c>
      <c r="AB64" s="481">
        <f t="shared" si="24"/>
        <v>1</v>
      </c>
      <c r="AC64" s="481">
        <f t="shared" si="24"/>
        <v>1</v>
      </c>
      <c r="AD64" s="481">
        <f t="shared" si="24"/>
        <v>1</v>
      </c>
      <c r="AE64" s="481">
        <f t="shared" si="24"/>
        <v>1</v>
      </c>
      <c r="AF64" s="481">
        <f t="shared" si="24"/>
        <v>1</v>
      </c>
      <c r="AG64" s="481">
        <f t="shared" si="24"/>
        <v>1</v>
      </c>
      <c r="AH64" s="481">
        <f t="shared" si="24"/>
        <v>1</v>
      </c>
      <c r="AI64" s="481">
        <f t="shared" si="24"/>
        <v>1</v>
      </c>
      <c r="AJ64" s="481">
        <f t="shared" si="24"/>
        <v>1</v>
      </c>
      <c r="AK64" s="481">
        <f t="shared" si="24"/>
        <v>1</v>
      </c>
      <c r="AL64" s="481">
        <f t="shared" si="24"/>
        <v>1</v>
      </c>
      <c r="AM64" s="481">
        <f t="shared" si="24"/>
        <v>1</v>
      </c>
      <c r="AN64" s="481">
        <f t="shared" si="24"/>
        <v>1</v>
      </c>
      <c r="AO64" s="481">
        <f t="shared" si="24"/>
        <v>1</v>
      </c>
      <c r="AP64" s="481">
        <f t="shared" si="24"/>
        <v>1</v>
      </c>
      <c r="AQ64" s="481">
        <f t="shared" si="24"/>
        <v>1</v>
      </c>
      <c r="AR64" s="481">
        <f t="shared" si="24"/>
        <v>1</v>
      </c>
      <c r="AS64" s="481">
        <f t="shared" si="24"/>
        <v>1</v>
      </c>
      <c r="AT64" s="481">
        <f t="shared" si="24"/>
        <v>1</v>
      </c>
      <c r="AU64" s="481">
        <f t="shared" si="24"/>
        <v>1</v>
      </c>
      <c r="AV64" s="481">
        <f t="shared" si="24"/>
        <v>1</v>
      </c>
      <c r="AW64" s="481">
        <f t="shared" si="24"/>
        <v>1</v>
      </c>
      <c r="AX64" s="481">
        <f t="shared" si="24"/>
        <v>1</v>
      </c>
      <c r="AY64" s="481">
        <f t="shared" si="24"/>
        <v>1</v>
      </c>
      <c r="AZ64" s="481">
        <f t="shared" si="24"/>
        <v>1</v>
      </c>
      <c r="BA64" s="481">
        <f t="shared" si="24"/>
        <v>1</v>
      </c>
      <c r="BB64" s="481">
        <f t="shared" si="24"/>
        <v>1</v>
      </c>
      <c r="BC64" s="481">
        <f t="shared" si="24"/>
        <v>1</v>
      </c>
      <c r="BD64" s="481">
        <f t="shared" si="24"/>
        <v>1</v>
      </c>
      <c r="BE64" s="481">
        <f t="shared" si="24"/>
        <v>1</v>
      </c>
      <c r="BF64" s="481">
        <f t="shared" si="24"/>
        <v>1</v>
      </c>
      <c r="BG64" s="481">
        <f t="shared" si="24"/>
        <v>1</v>
      </c>
      <c r="BH64" s="481">
        <f t="shared" si="24"/>
        <v>1</v>
      </c>
      <c r="BI64" s="481">
        <f t="shared" si="24"/>
        <v>1</v>
      </c>
    </row>
    <row r="65" spans="1:61" s="481" customFormat="1" x14ac:dyDescent="0.2">
      <c r="A65" s="480" t="s">
        <v>58</v>
      </c>
      <c r="B65" s="481">
        <f>+Copen!V79</f>
        <v>0</v>
      </c>
      <c r="C65" s="481">
        <f>+Copen!X79</f>
        <v>0</v>
      </c>
      <c r="D65" s="481">
        <f>+Copen!Z79</f>
        <v>0</v>
      </c>
      <c r="E65" s="481">
        <f>+Copen!AB79</f>
        <v>1</v>
      </c>
      <c r="F65" s="481">
        <f>+Copen!AD79</f>
        <v>1</v>
      </c>
      <c r="G65" s="481">
        <f>+Copen!AF79</f>
        <v>1</v>
      </c>
      <c r="H65" s="481">
        <f>+Copen!AH79</f>
        <v>1</v>
      </c>
      <c r="I65" s="481">
        <f>+Copen!AJ79</f>
        <v>1</v>
      </c>
      <c r="J65" s="482">
        <f>+Copen!AL79</f>
        <v>1</v>
      </c>
      <c r="K65" s="482">
        <f>+Copen!AN79</f>
        <v>1</v>
      </c>
      <c r="L65" s="482">
        <f>+Copen!AP79</f>
        <v>1</v>
      </c>
      <c r="M65" s="482">
        <f>+Copen!AR79</f>
        <v>1</v>
      </c>
      <c r="N65" s="482">
        <f>+Copen!AT79</f>
        <v>1</v>
      </c>
      <c r="O65" s="482">
        <f>+Copen!AV79</f>
        <v>1</v>
      </c>
      <c r="P65" s="482">
        <f>+Copen!AX79</f>
        <v>1</v>
      </c>
      <c r="Q65" s="481">
        <f t="shared" si="24"/>
        <v>1</v>
      </c>
      <c r="R65" s="481">
        <f t="shared" si="24"/>
        <v>1</v>
      </c>
      <c r="S65" s="481">
        <f t="shared" si="24"/>
        <v>1</v>
      </c>
      <c r="T65" s="481">
        <f t="shared" si="24"/>
        <v>1</v>
      </c>
      <c r="U65" s="481">
        <f t="shared" si="24"/>
        <v>1</v>
      </c>
      <c r="V65" s="481">
        <f t="shared" si="24"/>
        <v>1</v>
      </c>
      <c r="W65" s="481">
        <f t="shared" si="24"/>
        <v>1</v>
      </c>
      <c r="X65" s="481">
        <f t="shared" si="24"/>
        <v>1</v>
      </c>
      <c r="Y65" s="481">
        <f t="shared" si="24"/>
        <v>1</v>
      </c>
      <c r="Z65" s="481">
        <f t="shared" si="24"/>
        <v>1</v>
      </c>
      <c r="AA65" s="481">
        <f t="shared" si="24"/>
        <v>1</v>
      </c>
      <c r="AB65" s="481">
        <f t="shared" si="24"/>
        <v>1</v>
      </c>
      <c r="AC65" s="481">
        <f t="shared" si="24"/>
        <v>1</v>
      </c>
      <c r="AD65" s="481">
        <f t="shared" si="24"/>
        <v>1</v>
      </c>
      <c r="AE65" s="481">
        <f t="shared" si="24"/>
        <v>1</v>
      </c>
      <c r="AF65" s="481">
        <f t="shared" si="24"/>
        <v>1</v>
      </c>
      <c r="AG65" s="481">
        <f t="shared" si="24"/>
        <v>1</v>
      </c>
      <c r="AH65" s="481">
        <f t="shared" si="24"/>
        <v>1</v>
      </c>
      <c r="AI65" s="481">
        <f t="shared" si="24"/>
        <v>1</v>
      </c>
      <c r="AJ65" s="481">
        <f t="shared" si="24"/>
        <v>1</v>
      </c>
      <c r="AK65" s="481">
        <f t="shared" si="24"/>
        <v>1</v>
      </c>
      <c r="AL65" s="481">
        <f t="shared" si="24"/>
        <v>1</v>
      </c>
      <c r="AM65" s="481">
        <f t="shared" si="24"/>
        <v>1</v>
      </c>
      <c r="AN65" s="481">
        <f t="shared" si="24"/>
        <v>1</v>
      </c>
      <c r="AO65" s="481">
        <f t="shared" si="24"/>
        <v>1</v>
      </c>
      <c r="AP65" s="481">
        <f t="shared" si="24"/>
        <v>1</v>
      </c>
      <c r="AQ65" s="481">
        <f t="shared" si="24"/>
        <v>1</v>
      </c>
      <c r="AR65" s="481">
        <f t="shared" si="24"/>
        <v>1</v>
      </c>
      <c r="AS65" s="481">
        <f t="shared" si="24"/>
        <v>1</v>
      </c>
      <c r="AT65" s="481">
        <f t="shared" si="24"/>
        <v>1</v>
      </c>
      <c r="AU65" s="481">
        <f t="shared" si="24"/>
        <v>1</v>
      </c>
      <c r="AV65" s="481">
        <f t="shared" si="24"/>
        <v>1</v>
      </c>
      <c r="AW65" s="481">
        <f t="shared" si="24"/>
        <v>1</v>
      </c>
      <c r="AX65" s="481">
        <f t="shared" si="24"/>
        <v>1</v>
      </c>
      <c r="AY65" s="481">
        <f t="shared" si="24"/>
        <v>1</v>
      </c>
      <c r="AZ65" s="481">
        <f t="shared" si="24"/>
        <v>1</v>
      </c>
      <c r="BA65" s="481">
        <f t="shared" si="24"/>
        <v>1</v>
      </c>
      <c r="BB65" s="481">
        <f t="shared" si="24"/>
        <v>1</v>
      </c>
      <c r="BC65" s="481">
        <f t="shared" si="24"/>
        <v>1</v>
      </c>
      <c r="BD65" s="481">
        <f t="shared" si="24"/>
        <v>1</v>
      </c>
      <c r="BE65" s="481">
        <f t="shared" si="24"/>
        <v>1</v>
      </c>
      <c r="BF65" s="481">
        <f t="shared" si="24"/>
        <v>1</v>
      </c>
      <c r="BG65" s="481">
        <f t="shared" si="24"/>
        <v>1</v>
      </c>
      <c r="BH65" s="481">
        <f t="shared" si="24"/>
        <v>1</v>
      </c>
      <c r="BI65" s="481">
        <f t="shared" si="24"/>
        <v>1</v>
      </c>
    </row>
    <row r="66" spans="1:61" s="481" customFormat="1" x14ac:dyDescent="0.2">
      <c r="A66" s="480" t="s">
        <v>114</v>
      </c>
      <c r="B66" s="481">
        <f>+Copen!V80</f>
        <v>0</v>
      </c>
      <c r="C66" s="481">
        <f>+Copen!X80</f>
        <v>1</v>
      </c>
      <c r="D66" s="481">
        <f>+Copen!Z80</f>
        <v>1</v>
      </c>
      <c r="E66" s="481">
        <f>+Copen!AB80</f>
        <v>1</v>
      </c>
      <c r="F66" s="481">
        <f>+Copen!AD80</f>
        <v>1</v>
      </c>
      <c r="G66" s="481">
        <f>+Copen!AF80</f>
        <v>1</v>
      </c>
      <c r="H66" s="481">
        <f>+Copen!AH80</f>
        <v>1</v>
      </c>
      <c r="I66" s="481">
        <f>+Copen!AJ80</f>
        <v>1</v>
      </c>
      <c r="J66" s="482">
        <f>+Copen!AL80</f>
        <v>1</v>
      </c>
      <c r="K66" s="482">
        <f>+Copen!AN80</f>
        <v>1</v>
      </c>
      <c r="L66" s="482">
        <f>+Copen!AP80</f>
        <v>1</v>
      </c>
      <c r="M66" s="482">
        <f>+Copen!AR80</f>
        <v>1</v>
      </c>
      <c r="N66" s="482">
        <f>+Copen!AT80</f>
        <v>1</v>
      </c>
      <c r="O66" s="482">
        <f>+Copen!AV80</f>
        <v>1</v>
      </c>
      <c r="P66" s="482">
        <f>+Copen!AX80</f>
        <v>1</v>
      </c>
      <c r="Q66" s="481">
        <f t="shared" si="24"/>
        <v>1</v>
      </c>
      <c r="R66" s="481">
        <f t="shared" si="24"/>
        <v>1</v>
      </c>
      <c r="S66" s="481">
        <f t="shared" si="24"/>
        <v>1</v>
      </c>
      <c r="T66" s="481">
        <f t="shared" si="24"/>
        <v>1</v>
      </c>
      <c r="U66" s="481">
        <f t="shared" si="24"/>
        <v>1</v>
      </c>
      <c r="V66" s="481">
        <f t="shared" si="24"/>
        <v>1</v>
      </c>
      <c r="W66" s="481">
        <f t="shared" si="24"/>
        <v>1</v>
      </c>
      <c r="X66" s="481">
        <f t="shared" si="24"/>
        <v>1</v>
      </c>
      <c r="Y66" s="481">
        <f t="shared" si="24"/>
        <v>1</v>
      </c>
      <c r="Z66" s="481">
        <f t="shared" si="24"/>
        <v>1</v>
      </c>
      <c r="AA66" s="481">
        <f t="shared" si="24"/>
        <v>1</v>
      </c>
      <c r="AB66" s="481">
        <f t="shared" si="24"/>
        <v>1</v>
      </c>
      <c r="AC66" s="481">
        <f t="shared" si="24"/>
        <v>1</v>
      </c>
      <c r="AD66" s="481">
        <f t="shared" si="24"/>
        <v>1</v>
      </c>
      <c r="AE66" s="481">
        <f t="shared" si="24"/>
        <v>1</v>
      </c>
      <c r="AF66" s="481">
        <f t="shared" si="24"/>
        <v>1</v>
      </c>
      <c r="AG66" s="481">
        <f t="shared" si="24"/>
        <v>1</v>
      </c>
      <c r="AH66" s="481">
        <f t="shared" si="24"/>
        <v>1</v>
      </c>
      <c r="AI66" s="481">
        <f t="shared" si="24"/>
        <v>1</v>
      </c>
      <c r="AJ66" s="481">
        <f t="shared" si="24"/>
        <v>1</v>
      </c>
      <c r="AK66" s="481">
        <f t="shared" si="24"/>
        <v>1</v>
      </c>
      <c r="AL66" s="481">
        <f t="shared" si="24"/>
        <v>1</v>
      </c>
      <c r="AM66" s="481">
        <f t="shared" si="24"/>
        <v>1</v>
      </c>
      <c r="AN66" s="481">
        <f t="shared" si="24"/>
        <v>1</v>
      </c>
      <c r="AO66" s="481">
        <f t="shared" si="24"/>
        <v>1</v>
      </c>
      <c r="AP66" s="481">
        <f t="shared" si="24"/>
        <v>1</v>
      </c>
      <c r="AQ66" s="481">
        <f t="shared" si="24"/>
        <v>1</v>
      </c>
      <c r="AR66" s="481">
        <f t="shared" si="24"/>
        <v>1</v>
      </c>
      <c r="AS66" s="481">
        <f t="shared" si="24"/>
        <v>1</v>
      </c>
      <c r="AT66" s="481">
        <f t="shared" si="24"/>
        <v>1</v>
      </c>
      <c r="AU66" s="481">
        <f t="shared" si="24"/>
        <v>1</v>
      </c>
      <c r="AV66" s="481">
        <f t="shared" si="24"/>
        <v>1</v>
      </c>
      <c r="AW66" s="481">
        <f t="shared" si="24"/>
        <v>1</v>
      </c>
      <c r="AX66" s="481">
        <f t="shared" si="24"/>
        <v>1</v>
      </c>
      <c r="AY66" s="481">
        <f t="shared" si="24"/>
        <v>1</v>
      </c>
      <c r="AZ66" s="481">
        <f t="shared" si="24"/>
        <v>1</v>
      </c>
      <c r="BA66" s="481">
        <f t="shared" si="24"/>
        <v>1</v>
      </c>
      <c r="BB66" s="481">
        <f t="shared" si="24"/>
        <v>1</v>
      </c>
      <c r="BC66" s="481">
        <f t="shared" si="24"/>
        <v>1</v>
      </c>
      <c r="BD66" s="481">
        <f t="shared" si="24"/>
        <v>1</v>
      </c>
      <c r="BE66" s="481">
        <f t="shared" si="24"/>
        <v>1</v>
      </c>
      <c r="BF66" s="481">
        <f t="shared" si="24"/>
        <v>1</v>
      </c>
      <c r="BG66" s="481">
        <f t="shared" si="24"/>
        <v>1</v>
      </c>
      <c r="BH66" s="481">
        <f t="shared" si="24"/>
        <v>1</v>
      </c>
      <c r="BI66" s="481">
        <f t="shared" si="24"/>
        <v>1</v>
      </c>
    </row>
    <row r="67" spans="1:61" s="481" customFormat="1" x14ac:dyDescent="0.2">
      <c r="A67" s="480" t="s">
        <v>224</v>
      </c>
      <c r="B67" s="481">
        <f>+Copen!V81</f>
        <v>0</v>
      </c>
      <c r="C67" s="481">
        <f>+Copen!X81</f>
        <v>0</v>
      </c>
      <c r="D67" s="481">
        <f>+Copen!Z81</f>
        <v>0</v>
      </c>
      <c r="E67" s="481">
        <f>+Copen!AB81</f>
        <v>0</v>
      </c>
      <c r="F67" s="481">
        <f>+Copen!AD81</f>
        <v>1</v>
      </c>
      <c r="G67" s="481">
        <f>+Copen!AF81</f>
        <v>1</v>
      </c>
      <c r="H67" s="481">
        <f>+Copen!AH81</f>
        <v>1</v>
      </c>
      <c r="I67" s="481">
        <f>+Copen!AJ81</f>
        <v>1</v>
      </c>
      <c r="J67" s="482">
        <f>+Copen!AL81</f>
        <v>1</v>
      </c>
      <c r="K67" s="482">
        <f>+Copen!AN81</f>
        <v>1</v>
      </c>
      <c r="L67" s="482">
        <f>+Copen!AP81</f>
        <v>1</v>
      </c>
      <c r="M67" s="482">
        <f>+Copen!AR81</f>
        <v>1</v>
      </c>
      <c r="N67" s="482">
        <f>+Copen!AT81</f>
        <v>1</v>
      </c>
      <c r="O67" s="482">
        <f>+Copen!AV81</f>
        <v>1</v>
      </c>
      <c r="P67" s="482">
        <f>+Copen!AX81</f>
        <v>1</v>
      </c>
      <c r="Q67" s="481">
        <f t="shared" si="24"/>
        <v>1</v>
      </c>
      <c r="R67" s="481">
        <f t="shared" si="24"/>
        <v>1</v>
      </c>
      <c r="S67" s="481">
        <f t="shared" si="24"/>
        <v>1</v>
      </c>
      <c r="T67" s="481">
        <f t="shared" si="24"/>
        <v>1</v>
      </c>
      <c r="U67" s="481">
        <f t="shared" si="24"/>
        <v>1</v>
      </c>
      <c r="V67" s="481">
        <f t="shared" si="24"/>
        <v>1</v>
      </c>
      <c r="W67" s="481">
        <f t="shared" si="24"/>
        <v>1</v>
      </c>
      <c r="X67" s="481">
        <f t="shared" si="24"/>
        <v>1</v>
      </c>
      <c r="Y67" s="481">
        <f t="shared" si="24"/>
        <v>1</v>
      </c>
      <c r="Z67" s="481">
        <f t="shared" si="24"/>
        <v>1</v>
      </c>
      <c r="AA67" s="481">
        <f t="shared" si="24"/>
        <v>1</v>
      </c>
      <c r="AB67" s="481">
        <f t="shared" si="24"/>
        <v>1</v>
      </c>
      <c r="AC67" s="481">
        <f t="shared" si="24"/>
        <v>1</v>
      </c>
      <c r="AD67" s="481">
        <f t="shared" si="24"/>
        <v>1</v>
      </c>
      <c r="AE67" s="481">
        <f t="shared" si="24"/>
        <v>1</v>
      </c>
      <c r="AF67" s="481">
        <f t="shared" si="24"/>
        <v>1</v>
      </c>
      <c r="AG67" s="481">
        <f t="shared" si="24"/>
        <v>1</v>
      </c>
      <c r="AH67" s="481">
        <f t="shared" si="24"/>
        <v>1</v>
      </c>
      <c r="AI67" s="481">
        <f t="shared" si="24"/>
        <v>1</v>
      </c>
      <c r="AJ67" s="481">
        <f t="shared" si="24"/>
        <v>1</v>
      </c>
      <c r="AK67" s="481">
        <f t="shared" si="24"/>
        <v>1</v>
      </c>
      <c r="AL67" s="481">
        <f t="shared" si="24"/>
        <v>1</v>
      </c>
      <c r="AM67" s="481">
        <f t="shared" si="24"/>
        <v>1</v>
      </c>
      <c r="AN67" s="481">
        <f t="shared" si="24"/>
        <v>1</v>
      </c>
      <c r="AO67" s="481">
        <f t="shared" si="24"/>
        <v>1</v>
      </c>
      <c r="AP67" s="481">
        <f t="shared" si="24"/>
        <v>1</v>
      </c>
      <c r="AQ67" s="481">
        <f t="shared" si="24"/>
        <v>1</v>
      </c>
      <c r="AR67" s="481">
        <f t="shared" si="24"/>
        <v>1</v>
      </c>
      <c r="AS67" s="481">
        <f t="shared" si="24"/>
        <v>1</v>
      </c>
      <c r="AT67" s="481">
        <f t="shared" si="24"/>
        <v>1</v>
      </c>
      <c r="AU67" s="481">
        <f t="shared" si="24"/>
        <v>1</v>
      </c>
      <c r="AV67" s="481">
        <f t="shared" si="24"/>
        <v>1</v>
      </c>
      <c r="AW67" s="481">
        <f t="shared" si="24"/>
        <v>1</v>
      </c>
      <c r="AX67" s="481">
        <f t="shared" si="24"/>
        <v>1</v>
      </c>
      <c r="AY67" s="481">
        <f t="shared" si="24"/>
        <v>1</v>
      </c>
      <c r="AZ67" s="481">
        <f t="shared" si="24"/>
        <v>1</v>
      </c>
      <c r="BA67" s="481">
        <f t="shared" si="24"/>
        <v>1</v>
      </c>
      <c r="BB67" s="481">
        <f t="shared" si="24"/>
        <v>1</v>
      </c>
      <c r="BC67" s="481">
        <f t="shared" si="24"/>
        <v>1</v>
      </c>
      <c r="BD67" s="481">
        <f t="shared" si="24"/>
        <v>1</v>
      </c>
      <c r="BE67" s="481">
        <f t="shared" si="24"/>
        <v>1</v>
      </c>
      <c r="BF67" s="481">
        <f t="shared" si="24"/>
        <v>1</v>
      </c>
      <c r="BG67" s="481">
        <f t="shared" si="24"/>
        <v>1</v>
      </c>
      <c r="BH67" s="481">
        <f t="shared" si="24"/>
        <v>1</v>
      </c>
      <c r="BI67" s="481">
        <f t="shared" si="24"/>
        <v>1</v>
      </c>
    </row>
    <row r="68" spans="1:61" s="478" customFormat="1" x14ac:dyDescent="0.2">
      <c r="A68" s="477"/>
      <c r="B68" s="479"/>
      <c r="C68" s="479"/>
      <c r="D68" s="479"/>
      <c r="E68" s="479"/>
      <c r="F68" s="479"/>
      <c r="G68" s="479"/>
      <c r="H68" s="479"/>
      <c r="I68" s="479"/>
      <c r="J68" s="479"/>
      <c r="K68" s="479"/>
      <c r="L68" s="479"/>
      <c r="M68" s="479"/>
      <c r="N68" s="479"/>
      <c r="O68" s="479"/>
      <c r="P68" s="479"/>
      <c r="Q68" s="479"/>
      <c r="R68" s="479"/>
      <c r="S68" s="479"/>
      <c r="T68" s="479"/>
      <c r="U68" s="479"/>
      <c r="V68" s="479"/>
      <c r="W68" s="479"/>
      <c r="X68" s="479"/>
      <c r="Y68" s="479"/>
      <c r="Z68" s="479"/>
      <c r="AA68" s="479"/>
      <c r="AB68" s="479"/>
      <c r="AC68" s="479"/>
      <c r="AD68" s="479"/>
      <c r="AE68" s="479"/>
      <c r="AF68" s="479"/>
      <c r="AG68" s="479"/>
      <c r="AH68" s="479"/>
      <c r="AI68" s="479"/>
      <c r="AJ68" s="479"/>
      <c r="AK68" s="479"/>
      <c r="AL68" s="479"/>
      <c r="AM68" s="479"/>
      <c r="AN68" s="479"/>
      <c r="AO68" s="479"/>
      <c r="AP68" s="479"/>
      <c r="AQ68" s="479"/>
      <c r="AR68" s="479"/>
      <c r="AS68" s="479"/>
      <c r="AT68" s="479"/>
      <c r="AU68" s="479"/>
      <c r="AV68" s="479"/>
      <c r="AW68" s="479"/>
      <c r="AX68" s="479"/>
      <c r="AY68" s="479"/>
      <c r="AZ68" s="479"/>
      <c r="BA68" s="479"/>
      <c r="BB68" s="479"/>
      <c r="BC68" s="479"/>
      <c r="BD68" s="479"/>
      <c r="BE68" s="479"/>
      <c r="BF68" s="479"/>
      <c r="BG68" s="479"/>
      <c r="BH68" s="479"/>
      <c r="BI68" s="479"/>
    </row>
    <row r="69" spans="1:61" ht="16" x14ac:dyDescent="0.2">
      <c r="A69" s="370" t="str">
        <f>+Copen!A101</f>
        <v>Emission cap (actual if non-capped)</v>
      </c>
    </row>
    <row r="70" spans="1:61" s="371" customFormat="1" x14ac:dyDescent="0.2">
      <c r="A70" s="225" t="s">
        <v>104</v>
      </c>
      <c r="B70" s="371">
        <f>+Copen!R102</f>
        <v>1.6621334550980102</v>
      </c>
      <c r="C70" s="371">
        <f>+Copen!X102</f>
        <v>1.3842794390922046</v>
      </c>
      <c r="D70" s="371">
        <f>+Copen!Z102</f>
        <v>1.3529484199086483</v>
      </c>
      <c r="E70" s="371">
        <f>+Copen!AB102</f>
        <v>1.0650404885241216</v>
      </c>
      <c r="F70" s="371">
        <f>+Copen!AD102</f>
        <v>0.7656926372213686</v>
      </c>
      <c r="G70" s="371">
        <f>+Copen!AF102</f>
        <v>0.53914315712482919</v>
      </c>
      <c r="H70" s="371">
        <f>+Copen!AH102</f>
        <v>0.43798529818541049</v>
      </c>
      <c r="I70" s="371">
        <f>+Copen!AJ102</f>
        <v>0.36306889547259652</v>
      </c>
      <c r="J70" s="371">
        <f>+Copen!AL102</f>
        <v>0.30766153025849458</v>
      </c>
      <c r="K70" s="371">
        <f>+Copen!AN102</f>
        <v>0.26664261383066901</v>
      </c>
      <c r="L70" s="371">
        <f>+Copen!AP102</f>
        <v>0.23748629239215169</v>
      </c>
      <c r="M70" s="371">
        <f>+Copen!AR102</f>
        <v>0.2143313788839169</v>
      </c>
      <c r="N70" s="371">
        <f>+Copen!AT102</f>
        <v>0.193434069442735</v>
      </c>
      <c r="O70" s="371">
        <f>+Copen!AV102</f>
        <v>0.17457424767206833</v>
      </c>
      <c r="P70" s="371">
        <f>+Copen!AX102</f>
        <v>0.15755325852404164</v>
      </c>
      <c r="Q70" s="371">
        <f>+Copen!AZ102</f>
        <v>0.14219181581794757</v>
      </c>
      <c r="R70" s="371">
        <f>+Copen!BB102</f>
        <v>0.12832811377569767</v>
      </c>
      <c r="S70" s="371">
        <f>+Copen!BD102</f>
        <v>0.11581612268256714</v>
      </c>
      <c r="T70" s="371">
        <f>+Copen!BF102</f>
        <v>0.10452405072101684</v>
      </c>
      <c r="U70" s="371">
        <f>+Copen!BH102</f>
        <v>9.4332955775717695E-2</v>
      </c>
      <c r="V70" s="371">
        <f>+Copen!BJ102</f>
        <v>8.513549258758521E-2</v>
      </c>
      <c r="W70" s="371">
        <f>+Copen!BK102</f>
        <v>8.0878717958205948E-2</v>
      </c>
      <c r="X70" s="371">
        <f>+Copen!BL102</f>
        <v>7.6834782060295648E-2</v>
      </c>
      <c r="Y70" s="371">
        <f>+Copen!BM102</f>
        <v>7.299304295728086E-2</v>
      </c>
      <c r="Z70" s="371">
        <f>+Copen!BN102</f>
        <v>6.9343390809416816E-2</v>
      </c>
      <c r="AA70" s="371">
        <f>+Copen!BO102</f>
        <v>6.5876221268945975E-2</v>
      </c>
      <c r="AB70" s="371">
        <f>+Copen!BP102</f>
        <v>6.2582410205498679E-2</v>
      </c>
      <c r="AC70" s="371">
        <f>+Copen!BQ102</f>
        <v>5.9453289695223739E-2</v>
      </c>
      <c r="AD70" s="371">
        <f>+Copen!BR102</f>
        <v>5.648062521046255E-2</v>
      </c>
      <c r="AE70" s="371">
        <f>+Copen!BS102</f>
        <v>5.3656593949939421E-2</v>
      </c>
      <c r="AF70" s="371">
        <f>+Copen!BT102</f>
        <v>5.0973764252442447E-2</v>
      </c>
      <c r="AG70" s="371">
        <f>+Copen!BU102</f>
        <v>4.8425076039820325E-2</v>
      </c>
      <c r="AH70" s="371">
        <f>+Copen!BV102</f>
        <v>4.6003822237829305E-2</v>
      </c>
      <c r="AI70" s="371">
        <f>+Copen!BW102</f>
        <v>4.3703631125937836E-2</v>
      </c>
      <c r="AJ70" s="371">
        <f>+Copen!BX102</f>
        <v>4.1518449569640944E-2</v>
      </c>
      <c r="AK70" s="371">
        <f>+Copen!BY102</f>
        <v>3.9442527091158898E-2</v>
      </c>
      <c r="AL70" s="371">
        <f>+Copen!BZ102</f>
        <v>3.7470400736600948E-2</v>
      </c>
      <c r="AM70" s="371">
        <f>+Copen!CA102</f>
        <v>3.5596880699770898E-2</v>
      </c>
      <c r="AN70" s="371">
        <f>+Copen!CB102</f>
        <v>3.3817036664782349E-2</v>
      </c>
      <c r="AO70" s="371">
        <f>+Copen!CC102</f>
        <v>3.2126184831543232E-2</v>
      </c>
      <c r="AP70" s="371">
        <f>+Copen!CD102</f>
        <v>3.0519875589966067E-2</v>
      </c>
      <c r="AQ70" s="371">
        <f>+Copen!CE102</f>
        <v>2.8993881810467761E-2</v>
      </c>
      <c r="AR70" s="371">
        <f>+Copen!CF102</f>
        <v>2.7544187719944373E-2</v>
      </c>
      <c r="AS70" s="371">
        <f>+Copen!CG102</f>
        <v>2.6166978333947152E-2</v>
      </c>
      <c r="AT70" s="371">
        <f>+Copen!CH102</f>
        <v>2.4858629417249794E-2</v>
      </c>
      <c r="AU70" s="371">
        <f>+Copen!CI102</f>
        <v>2.3615697946387303E-2</v>
      </c>
      <c r="AV70" s="371">
        <f>+Copen!CJ102</f>
        <v>2.2434913049067938E-2</v>
      </c>
      <c r="AW70" s="371">
        <f>+Copen!CK102</f>
        <v>2.1313167396614541E-2</v>
      </c>
      <c r="AX70" s="371">
        <f>+Copen!CL102</f>
        <v>2.0247509026783812E-2</v>
      </c>
      <c r="AY70" s="371">
        <f>+Copen!CM102</f>
        <v>1.9235133575444621E-2</v>
      </c>
      <c r="AZ70" s="371">
        <f>+Copen!CN102</f>
        <v>1.827337689667239E-2</v>
      </c>
      <c r="BA70" s="371">
        <f>+Copen!CO102</f>
        <v>1.7359708051838771E-2</v>
      </c>
      <c r="BB70" s="371">
        <f>+Copen!CP102</f>
        <v>1.649172264924683E-2</v>
      </c>
      <c r="BC70" s="371">
        <f>+Copen!CQ102</f>
        <v>1.5667136516784488E-2</v>
      </c>
      <c r="BD70" s="371">
        <f>+Copen!CR102</f>
        <v>1.4883779690945263E-2</v>
      </c>
      <c r="BE70" s="371">
        <f>+Copen!CS102</f>
        <v>1.4139590706398E-2</v>
      </c>
      <c r="BF70" s="371">
        <f>+Copen!CT102</f>
        <v>1.3432611171078098E-2</v>
      </c>
      <c r="BG70" s="371">
        <f>+Copen!CU102</f>
        <v>1.2760980612524193E-2</v>
      </c>
      <c r="BH70" s="371">
        <f>+Copen!CV102</f>
        <v>1.2122931581897983E-2</v>
      </c>
      <c r="BI70" s="371">
        <f>+Copen!CW102</f>
        <v>1.1516785002803084E-2</v>
      </c>
    </row>
    <row r="71" spans="1:61" s="371" customFormat="1" x14ac:dyDescent="0.2">
      <c r="A71" s="225" t="s">
        <v>105</v>
      </c>
      <c r="B71" s="371">
        <f>+Copen!R103</f>
        <v>1.1460506191660516</v>
      </c>
      <c r="C71" s="371">
        <f>+Copen!X103</f>
        <v>1.0537535277990626</v>
      </c>
      <c r="D71" s="371">
        <f>+Copen!Z103</f>
        <v>0.90645464756908634</v>
      </c>
      <c r="E71" s="371">
        <f>+Copen!AB103</f>
        <v>0.80990096886794261</v>
      </c>
      <c r="F71" s="371">
        <f>+Copen!AD103</f>
        <v>0.58226444480058026</v>
      </c>
      <c r="G71" s="371">
        <f>+Copen!AF103</f>
        <v>0.40998682211510207</v>
      </c>
      <c r="H71" s="371">
        <f>+Copen!AH103</f>
        <v>0.33306218981574859</v>
      </c>
      <c r="I71" s="371">
        <f>+Copen!AJ103</f>
        <v>0.27609264941330897</v>
      </c>
      <c r="J71" s="371">
        <f>+Copen!AL103</f>
        <v>0.23395859042414713</v>
      </c>
      <c r="K71" s="371">
        <f>+Copen!AN103</f>
        <v>0.20276610477240878</v>
      </c>
      <c r="L71" s="371">
        <f>+Copen!AP103</f>
        <v>0.1805944284501283</v>
      </c>
      <c r="M71" s="371">
        <f>+Copen!AR103</f>
        <v>0.16298647167624078</v>
      </c>
      <c r="N71" s="371">
        <f>+Copen!AT103</f>
        <v>0.1470952906878073</v>
      </c>
      <c r="O71" s="371">
        <f>+Copen!AV103</f>
        <v>0.13275349984574608</v>
      </c>
      <c r="P71" s="371">
        <f>+Copen!AX103</f>
        <v>0.11981003361078582</v>
      </c>
      <c r="Q71" s="371">
        <f>+Copen!AZ103</f>
        <v>0.10812855533373419</v>
      </c>
      <c r="R71" s="371">
        <f>+Copen!BB103</f>
        <v>9.7586021188695096E-2</v>
      </c>
      <c r="S71" s="371">
        <f>+Copen!BD103</f>
        <v>8.8071384122797317E-2</v>
      </c>
      <c r="T71" s="371">
        <f>+Copen!BF103</f>
        <v>7.9484424170824575E-2</v>
      </c>
      <c r="U71" s="371">
        <f>+Copen!BH103</f>
        <v>7.1734692814169179E-2</v>
      </c>
      <c r="V71" s="371">
        <f>+Copen!BJ103</f>
        <v>6.474056026478768E-2</v>
      </c>
      <c r="W71" s="371">
        <f>+Copen!BK103</f>
        <v>6.1503532251548296E-2</v>
      </c>
      <c r="X71" s="371">
        <f>+Copen!BL103</f>
        <v>5.8428355638970877E-2</v>
      </c>
      <c r="Y71" s="371">
        <f>+Copen!BM103</f>
        <v>5.5506937857022334E-2</v>
      </c>
      <c r="Z71" s="371">
        <f>+Copen!BN103</f>
        <v>5.2731590964171217E-2</v>
      </c>
      <c r="AA71" s="371">
        <f>+Copen!BO103</f>
        <v>5.0095011415962655E-2</v>
      </c>
      <c r="AB71" s="371">
        <f>+Copen!BP103</f>
        <v>4.7590260845164517E-2</v>
      </c>
      <c r="AC71" s="371">
        <f>+Copen!BQ103</f>
        <v>4.5210747802906286E-2</v>
      </c>
      <c r="AD71" s="371">
        <f>+Copen!BR103</f>
        <v>4.2950210412760967E-2</v>
      </c>
      <c r="AE71" s="371">
        <f>+Copen!BS103</f>
        <v>4.0802699892122915E-2</v>
      </c>
      <c r="AF71" s="371">
        <f>+Copen!BT103</f>
        <v>3.8762564897516769E-2</v>
      </c>
      <c r="AG71" s="371">
        <f>+Copen!BU103</f>
        <v>3.6824436652640929E-2</v>
      </c>
      <c r="AH71" s="371">
        <f>+Copen!BV103</f>
        <v>3.4983214820008879E-2</v>
      </c>
      <c r="AI71" s="371">
        <f>+Copen!BW103</f>
        <v>3.3234054079008431E-2</v>
      </c>
      <c r="AJ71" s="371">
        <f>+Copen!BX103</f>
        <v>3.1572351375058011E-2</v>
      </c>
      <c r="AK71" s="371">
        <f>+Copen!BY103</f>
        <v>2.9993733806305108E-2</v>
      </c>
      <c r="AL71" s="371">
        <f>+Copen!BZ103</f>
        <v>2.8494047115989851E-2</v>
      </c>
      <c r="AM71" s="371">
        <f>+Copen!CA103</f>
        <v>2.7069344760190357E-2</v>
      </c>
      <c r="AN71" s="371">
        <f>+Copen!CB103</f>
        <v>2.5715877522180838E-2</v>
      </c>
      <c r="AO71" s="371">
        <f>+Copen!CC103</f>
        <v>2.4430083646071795E-2</v>
      </c>
      <c r="AP71" s="371">
        <f>+Copen!CD103</f>
        <v>2.3208579463768204E-2</v>
      </c>
      <c r="AQ71" s="371">
        <f>+Copen!CE103</f>
        <v>2.2048150490579795E-2</v>
      </c>
      <c r="AR71" s="371">
        <f>+Copen!CF103</f>
        <v>2.0945742966050805E-2</v>
      </c>
      <c r="AS71" s="371">
        <f>+Copen!CG103</f>
        <v>1.9898455817748264E-2</v>
      </c>
      <c r="AT71" s="371">
        <f>+Copen!CH103</f>
        <v>1.890353302686085E-2</v>
      </c>
      <c r="AU71" s="371">
        <f>+Copen!CI103</f>
        <v>1.7958356375517806E-2</v>
      </c>
      <c r="AV71" s="371">
        <f>+Copen!CJ103</f>
        <v>1.7060438556741914E-2</v>
      </c>
      <c r="AW71" s="371">
        <f>+Copen!CK103</f>
        <v>1.6207416628904816E-2</v>
      </c>
      <c r="AX71" s="371">
        <f>+Copen!CL103</f>
        <v>1.5397045797459574E-2</v>
      </c>
      <c r="AY71" s="371">
        <f>+Copen!CM103</f>
        <v>1.4627193507586594E-2</v>
      </c>
      <c r="AZ71" s="371">
        <f>+Copen!CN103</f>
        <v>1.3895833832207265E-2</v>
      </c>
      <c r="BA71" s="371">
        <f>+Copen!CO103</f>
        <v>1.32010421405969E-2</v>
      </c>
      <c r="BB71" s="371">
        <f>+Copen!CP103</f>
        <v>1.2540990033567054E-2</v>
      </c>
      <c r="BC71" s="371">
        <f>+Copen!CQ103</f>
        <v>1.1913940531888701E-2</v>
      </c>
      <c r="BD71" s="371">
        <f>+Copen!CR103</f>
        <v>1.1318243505294265E-2</v>
      </c>
      <c r="BE71" s="371">
        <f>+Copen!CS103</f>
        <v>1.0752331330029551E-2</v>
      </c>
      <c r="BF71" s="371">
        <f>+Copen!CT103</f>
        <v>1.0214714763528072E-2</v>
      </c>
      <c r="BG71" s="371">
        <f>+Copen!CU103</f>
        <v>9.7039790253516684E-3</v>
      </c>
      <c r="BH71" s="371">
        <f>+Copen!CV103</f>
        <v>9.2187800740840854E-3</v>
      </c>
      <c r="BI71" s="371">
        <f>+Copen!CW103</f>
        <v>8.7578410703798813E-3</v>
      </c>
    </row>
    <row r="72" spans="1:61" s="371" customFormat="1" x14ac:dyDescent="0.2">
      <c r="A72" s="225" t="s">
        <v>51</v>
      </c>
      <c r="B72" s="371">
        <f>+Copen!R104</f>
        <v>0.36996592574248305</v>
      </c>
      <c r="C72" s="371">
        <f>+Copen!X104</f>
        <v>0.27014967320962396</v>
      </c>
      <c r="D72" s="371">
        <f>+Copen!Z104</f>
        <v>0.26403525414455947</v>
      </c>
      <c r="E72" s="371">
        <f>+Copen!AB104</f>
        <v>0.20784845299623433</v>
      </c>
      <c r="F72" s="371">
        <f>+Copen!AD104</f>
        <v>0.14942908915848588</v>
      </c>
      <c r="G72" s="371">
        <f>+Copen!AF104</f>
        <v>0.10521672402068818</v>
      </c>
      <c r="H72" s="371">
        <f>+Copen!AH104</f>
        <v>8.5475216805215526E-2</v>
      </c>
      <c r="I72" s="371">
        <f>+Copen!AJ104</f>
        <v>7.0854872719068041E-2</v>
      </c>
      <c r="J72" s="371">
        <f>+Copen!AL104</f>
        <v>6.0041823573577624E-2</v>
      </c>
      <c r="K72" s="371">
        <f>+Copen!AN104</f>
        <v>5.2036758587813689E-2</v>
      </c>
      <c r="L72" s="371">
        <f>+Copen!AP104</f>
        <v>4.6346743634058704E-2</v>
      </c>
      <c r="M72" s="371">
        <f>+Copen!AR104</f>
        <v>4.1827936129737973E-2</v>
      </c>
      <c r="N72" s="371">
        <f>+Copen!AT104</f>
        <v>3.7749712357088516E-2</v>
      </c>
      <c r="O72" s="371">
        <f>+Copen!AV104</f>
        <v>3.4069115402272379E-2</v>
      </c>
      <c r="P72" s="371">
        <f>+Copen!AX104</f>
        <v>3.0747376650550821E-2</v>
      </c>
      <c r="Q72" s="371">
        <f>+Copen!AZ104</f>
        <v>2.7749507427122115E-2</v>
      </c>
      <c r="R72" s="371">
        <f>+Copen!BB104</f>
        <v>2.5043930452977706E-2</v>
      </c>
      <c r="S72" s="371">
        <f>+Copen!BD104</f>
        <v>2.2602147233812379E-2</v>
      </c>
      <c r="T72" s="371">
        <f>+Copen!BF104</f>
        <v>2.0398437878515668E-2</v>
      </c>
      <c r="U72" s="371">
        <f>+Copen!BH104</f>
        <v>1.840959018536039E-2</v>
      </c>
      <c r="V72" s="371">
        <f>+Copen!BJ104</f>
        <v>1.661465514228775E-2</v>
      </c>
      <c r="W72" s="371">
        <f>+Copen!BK104</f>
        <v>1.5783922385173361E-2</v>
      </c>
      <c r="X72" s="371">
        <f>+Copen!BL104</f>
        <v>1.4994726265914691E-2</v>
      </c>
      <c r="Y72" s="371">
        <f>+Copen!BM104</f>
        <v>1.4244989952618956E-2</v>
      </c>
      <c r="Z72" s="371">
        <f>+Copen!BN104</f>
        <v>1.3532740454988007E-2</v>
      </c>
      <c r="AA72" s="371">
        <f>+Copen!BO104</f>
        <v>1.2856103432238607E-2</v>
      </c>
      <c r="AB72" s="371">
        <f>+Copen!BP104</f>
        <v>1.2213298260626676E-2</v>
      </c>
      <c r="AC72" s="371">
        <f>+Copen!BQ104</f>
        <v>1.1602633347595341E-2</v>
      </c>
      <c r="AD72" s="371">
        <f>+Copen!BR104</f>
        <v>1.1022501680215574E-2</v>
      </c>
      <c r="AE72" s="371">
        <f>+Copen!BS104</f>
        <v>1.0471376596204795E-2</v>
      </c>
      <c r="AF72" s="371">
        <f>+Copen!BT104</f>
        <v>9.9478077663945549E-3</v>
      </c>
      <c r="AG72" s="371">
        <f>+Copen!BU104</f>
        <v>9.4504173780748275E-3</v>
      </c>
      <c r="AH72" s="371">
        <f>+Copen!BV104</f>
        <v>8.9778965091710863E-3</v>
      </c>
      <c r="AI72" s="371">
        <f>+Copen!BW104</f>
        <v>8.5290016837125324E-3</v>
      </c>
      <c r="AJ72" s="371">
        <f>+Copen!BX104</f>
        <v>8.1025515995269051E-3</v>
      </c>
      <c r="AK72" s="371">
        <f>+Copen!BY104</f>
        <v>7.6974240195505595E-3</v>
      </c>
      <c r="AL72" s="371">
        <f>+Copen!BZ104</f>
        <v>7.3125528185730313E-3</v>
      </c>
      <c r="AM72" s="371">
        <f>+Copen!CA104</f>
        <v>6.9469251776443797E-3</v>
      </c>
      <c r="AN72" s="371">
        <f>+Copen!CB104</f>
        <v>6.5995789187621601E-3</v>
      </c>
      <c r="AO72" s="371">
        <f>+Copen!CC104</f>
        <v>6.269599972824052E-3</v>
      </c>
      <c r="AP72" s="371">
        <f>+Copen!CD104</f>
        <v>5.9561199741828491E-3</v>
      </c>
      <c r="AQ72" s="371">
        <f>+Copen!CE104</f>
        <v>5.658313975473706E-3</v>
      </c>
      <c r="AR72" s="371">
        <f>+Copen!CF104</f>
        <v>5.3753982767000205E-3</v>
      </c>
      <c r="AS72" s="371">
        <f>+Copen!CG104</f>
        <v>5.1066283628650195E-3</v>
      </c>
      <c r="AT72" s="371">
        <f>+Copen!CH104</f>
        <v>4.8512969447217684E-3</v>
      </c>
      <c r="AU72" s="371">
        <f>+Copen!CI104</f>
        <v>4.6087320974856801E-3</v>
      </c>
      <c r="AV72" s="371">
        <f>+Copen!CJ104</f>
        <v>4.378295492611396E-3</v>
      </c>
      <c r="AW72" s="371">
        <f>+Copen!CK104</f>
        <v>4.1593807179808257E-3</v>
      </c>
      <c r="AX72" s="371">
        <f>+Copen!CL104</f>
        <v>3.9514116820817844E-3</v>
      </c>
      <c r="AY72" s="371">
        <f>+Copen!CM104</f>
        <v>3.7538410979776949E-3</v>
      </c>
      <c r="AZ72" s="371">
        <f>+Copen!CN104</f>
        <v>3.5661490430788098E-3</v>
      </c>
      <c r="BA72" s="371">
        <f>+Copen!CO104</f>
        <v>3.3878415909248693E-3</v>
      </c>
      <c r="BB72" s="371">
        <f>+Copen!CP104</f>
        <v>3.2184495113786256E-3</v>
      </c>
      <c r="BC72" s="371">
        <f>+Copen!CQ104</f>
        <v>3.0575270358096942E-3</v>
      </c>
      <c r="BD72" s="371">
        <f>+Copen!CR104</f>
        <v>2.9046506840192093E-3</v>
      </c>
      <c r="BE72" s="371">
        <f>+Copen!CS104</f>
        <v>2.7594181498182485E-3</v>
      </c>
      <c r="BF72" s="371">
        <f>+Copen!CT104</f>
        <v>2.621447242327336E-3</v>
      </c>
      <c r="BG72" s="371">
        <f>+Copen!CU104</f>
        <v>2.4903748802109693E-3</v>
      </c>
      <c r="BH72" s="371">
        <f>+Copen!CV104</f>
        <v>2.3658561362004207E-3</v>
      </c>
      <c r="BI72" s="371">
        <f>+Copen!CW104</f>
        <v>2.2475633293903997E-3</v>
      </c>
    </row>
    <row r="73" spans="1:61" s="371" customFormat="1" x14ac:dyDescent="0.2">
      <c r="A73" s="225" t="s">
        <v>52</v>
      </c>
      <c r="B73" s="371">
        <f>+Copen!R105</f>
        <v>0.43123618180564005</v>
      </c>
      <c r="C73" s="371">
        <f>+Copen!X105</f>
        <v>0.65</v>
      </c>
      <c r="D73" s="371">
        <f>+Copen!Z105</f>
        <v>0.62712759012947861</v>
      </c>
      <c r="E73" s="371">
        <f>+Copen!AB105</f>
        <v>0.4936746036508568</v>
      </c>
      <c r="F73" s="371">
        <f>+Copen!AD105</f>
        <v>0.35491890991154296</v>
      </c>
      <c r="G73" s="371">
        <f>+Copen!AF105</f>
        <v>0.2499071981512217</v>
      </c>
      <c r="H73" s="371">
        <f>+Copen!AH105</f>
        <v>0.20301783905531562</v>
      </c>
      <c r="I73" s="371">
        <f>+Copen!AJ105</f>
        <v>0.16829209311917059</v>
      </c>
      <c r="J73" s="371">
        <f>+Copen!AL105</f>
        <v>0.14260930513491779</v>
      </c>
      <c r="K73" s="371">
        <f>+Copen!AN105</f>
        <v>0.12359594599234115</v>
      </c>
      <c r="L73" s="371">
        <f>+Copen!AP105</f>
        <v>0.11008121525189475</v>
      </c>
      <c r="M73" s="371">
        <f>+Copen!AR105</f>
        <v>9.9348296764835003E-2</v>
      </c>
      <c r="N73" s="371">
        <f>+Copen!AT105</f>
        <v>8.9661837830263574E-2</v>
      </c>
      <c r="O73" s="371">
        <f>+Copen!AV105</f>
        <v>8.0919808641812876E-2</v>
      </c>
      <c r="P73" s="371">
        <f>+Copen!AX105</f>
        <v>7.3030127299236108E-2</v>
      </c>
      <c r="Q73" s="371">
        <f>+Copen!AZ105</f>
        <v>6.5909689887560574E-2</v>
      </c>
      <c r="R73" s="371">
        <f>+Copen!BB105</f>
        <v>5.9483495123523418E-2</v>
      </c>
      <c r="S73" s="371">
        <f>+Copen!BD105</f>
        <v>5.3683854348979883E-2</v>
      </c>
      <c r="T73" s="371">
        <f>+Copen!BF105</f>
        <v>4.8449678549954335E-2</v>
      </c>
      <c r="U73" s="371">
        <f>+Copen!BH105</f>
        <v>4.3725834891333783E-2</v>
      </c>
      <c r="V73" s="371">
        <f>+Copen!BJ105</f>
        <v>3.9462565989428731E-2</v>
      </c>
      <c r="W73" s="371">
        <f>+Copen!BK105</f>
        <v>3.7489437689957293E-2</v>
      </c>
      <c r="X73" s="371">
        <f>+Copen!BL105</f>
        <v>3.5614965805459427E-2</v>
      </c>
      <c r="Y73" s="371">
        <f>+Copen!BM105</f>
        <v>3.3834217515186456E-2</v>
      </c>
      <c r="Z73" s="371">
        <f>+Copen!BN105</f>
        <v>3.2142506639427131E-2</v>
      </c>
      <c r="AA73" s="371">
        <f>+Copen!BO105</f>
        <v>3.0535381307455773E-2</v>
      </c>
      <c r="AB73" s="371">
        <f>+Copen!BP105</f>
        <v>2.9008612242082982E-2</v>
      </c>
      <c r="AC73" s="371">
        <f>+Copen!BQ105</f>
        <v>2.7558181629978831E-2</v>
      </c>
      <c r="AD73" s="371">
        <f>+Copen!BR105</f>
        <v>2.6180272548479887E-2</v>
      </c>
      <c r="AE73" s="371">
        <f>+Copen!BS105</f>
        <v>2.4871258921055892E-2</v>
      </c>
      <c r="AF73" s="371">
        <f>+Copen!BT105</f>
        <v>2.3627695975003096E-2</v>
      </c>
      <c r="AG73" s="371">
        <f>+Copen!BU105</f>
        <v>2.2446311176252939E-2</v>
      </c>
      <c r="AH73" s="371">
        <f>+Copen!BV105</f>
        <v>2.1323995617440292E-2</v>
      </c>
      <c r="AI73" s="371">
        <f>+Copen!BW105</f>
        <v>2.0257795836568275E-2</v>
      </c>
      <c r="AJ73" s="371">
        <f>+Copen!BX105</f>
        <v>1.924490604473986E-2</v>
      </c>
      <c r="AK73" s="371">
        <f>+Copen!BY105</f>
        <v>1.8282660742502867E-2</v>
      </c>
      <c r="AL73" s="371">
        <f>+Copen!BZ105</f>
        <v>1.7368527705377723E-2</v>
      </c>
      <c r="AM73" s="371">
        <f>+Copen!CA105</f>
        <v>1.6500101320108835E-2</v>
      </c>
      <c r="AN73" s="371">
        <f>+Copen!CB105</f>
        <v>1.5675096254103394E-2</v>
      </c>
      <c r="AO73" s="371">
        <f>+Copen!CC105</f>
        <v>1.4891341441398224E-2</v>
      </c>
      <c r="AP73" s="371">
        <f>+Copen!CD105</f>
        <v>1.4146774369328312E-2</v>
      </c>
      <c r="AQ73" s="371">
        <f>+Copen!CE105</f>
        <v>1.3439435650861895E-2</v>
      </c>
      <c r="AR73" s="371">
        <f>+Copen!CF105</f>
        <v>1.27674638683188E-2</v>
      </c>
      <c r="AS73" s="371">
        <f>+Copen!CG105</f>
        <v>1.212909067490286E-2</v>
      </c>
      <c r="AT73" s="371">
        <f>+Copen!CH105</f>
        <v>1.1522636141157717E-2</v>
      </c>
      <c r="AU73" s="371">
        <f>+Copen!CI105</f>
        <v>1.094650433409983E-2</v>
      </c>
      <c r="AV73" s="371">
        <f>+Copen!CJ105</f>
        <v>1.0399179117394838E-2</v>
      </c>
      <c r="AW73" s="371">
        <f>+Copen!CK105</f>
        <v>9.8792201615250964E-3</v>
      </c>
      <c r="AX73" s="371">
        <f>+Copen!CL105</f>
        <v>9.3852591534488404E-3</v>
      </c>
      <c r="AY73" s="371">
        <f>+Copen!CM105</f>
        <v>8.9159961957763975E-3</v>
      </c>
      <c r="AZ73" s="371">
        <f>+Copen!CN105</f>
        <v>8.470196385987578E-3</v>
      </c>
      <c r="BA73" s="371">
        <f>+Copen!CO105</f>
        <v>8.0466865666881989E-3</v>
      </c>
      <c r="BB73" s="371">
        <f>+Copen!CP105</f>
        <v>7.6443522383537882E-3</v>
      </c>
      <c r="BC73" s="371">
        <f>+Copen!CQ105</f>
        <v>7.2621346264360983E-3</v>
      </c>
      <c r="BD73" s="371">
        <f>+Copen!CR105</f>
        <v>6.8990278951142929E-3</v>
      </c>
      <c r="BE73" s="371">
        <f>+Copen!CS105</f>
        <v>6.5540765003585782E-3</v>
      </c>
      <c r="BF73" s="371">
        <f>+Copen!CT105</f>
        <v>6.2263726753406488E-3</v>
      </c>
      <c r="BG73" s="371">
        <f>+Copen!CU105</f>
        <v>5.9150540415736164E-3</v>
      </c>
      <c r="BH73" s="371">
        <f>+Copen!CV105</f>
        <v>5.6193013394949349E-3</v>
      </c>
      <c r="BI73" s="371">
        <f>+Copen!CW105</f>
        <v>5.3383362725201878E-3</v>
      </c>
    </row>
    <row r="74" spans="1:61" s="371" customFormat="1" x14ac:dyDescent="0.2">
      <c r="A74" s="225" t="s">
        <v>53</v>
      </c>
      <c r="B74" s="371">
        <f>+Copen!R106</f>
        <v>0.25666629327477047</v>
      </c>
      <c r="C74" s="371">
        <f>+Copen!X106</f>
        <v>0.49278319473092996</v>
      </c>
      <c r="D74" s="371">
        <f>+Copen!Z106</f>
        <v>0.47544298056602108</v>
      </c>
      <c r="E74" s="371">
        <f>+Copen!AB106</f>
        <v>0.37426853591476134</v>
      </c>
      <c r="F74" s="371">
        <f>+Copen!AD106</f>
        <v>0.26907396045635273</v>
      </c>
      <c r="G74" s="371">
        <f>+Copen!AF106</f>
        <v>0.18946164229417631</v>
      </c>
      <c r="H74" s="371">
        <f>+Copen!AH106</f>
        <v>0.15391350664161263</v>
      </c>
      <c r="I74" s="371">
        <f>+Copen!AJ106</f>
        <v>0.12758694660803085</v>
      </c>
      <c r="J74" s="371">
        <f>+Copen!AL106</f>
        <v>0.10811610612729665</v>
      </c>
      <c r="K74" s="371">
        <f>+Copen!AN106</f>
        <v>9.3701546341380559E-2</v>
      </c>
      <c r="L74" s="371">
        <f>+Copen!AP106</f>
        <v>8.3455650664141345E-2</v>
      </c>
      <c r="M74" s="371">
        <f>+Copen!AR106</f>
        <v>7.5318724724387554E-2</v>
      </c>
      <c r="N74" s="371">
        <f>+Copen!AT106</f>
        <v>6.797514906375976E-2</v>
      </c>
      <c r="O74" s="371">
        <f>+Copen!AV106</f>
        <v>6.1347572030043179E-2</v>
      </c>
      <c r="P74" s="371">
        <f>+Copen!AX106</f>
        <v>5.5366183757113961E-2</v>
      </c>
      <c r="Q74" s="371">
        <f>+Copen!AZ106</f>
        <v>4.9967980840795345E-2</v>
      </c>
      <c r="R74" s="371">
        <f>+Copen!BB106</f>
        <v>4.5096102708817788E-2</v>
      </c>
      <c r="S74" s="371">
        <f>+Copen!BD106</f>
        <v>4.069923269470805E-2</v>
      </c>
      <c r="T74" s="371">
        <f>+Copen!BF106</f>
        <v>3.6731057506974009E-2</v>
      </c>
      <c r="U74" s="371">
        <f>+Copen!BH106</f>
        <v>3.3149779400044044E-2</v>
      </c>
      <c r="V74" s="371">
        <f>+Copen!BJ106</f>
        <v>2.9917675908539748E-2</v>
      </c>
      <c r="W74" s="371">
        <f>+Copen!BK106</f>
        <v>2.842179211311276E-2</v>
      </c>
      <c r="X74" s="371">
        <f>+Copen!BL106</f>
        <v>2.7000702507457119E-2</v>
      </c>
      <c r="Y74" s="371">
        <f>+Copen!BM106</f>
        <v>2.5650667382084262E-2</v>
      </c>
      <c r="Z74" s="371">
        <f>+Copen!BN106</f>
        <v>2.4368134012980047E-2</v>
      </c>
      <c r="AA74" s="371">
        <f>+Copen!BO106</f>
        <v>2.3149727312331045E-2</v>
      </c>
      <c r="AB74" s="371">
        <f>+Copen!BP106</f>
        <v>2.1992240946714491E-2</v>
      </c>
      <c r="AC74" s="371">
        <f>+Copen!BQ106</f>
        <v>2.0892628899378766E-2</v>
      </c>
      <c r="AD74" s="371">
        <f>+Copen!BR106</f>
        <v>1.9847997454409825E-2</v>
      </c>
      <c r="AE74" s="371">
        <f>+Copen!BS106</f>
        <v>1.8855597581689334E-2</v>
      </c>
      <c r="AF74" s="371">
        <f>+Copen!BT106</f>
        <v>1.7912817702604868E-2</v>
      </c>
      <c r="AG74" s="371">
        <f>+Copen!BU106</f>
        <v>1.7017176817474625E-2</v>
      </c>
      <c r="AH74" s="371">
        <f>+Copen!BV106</f>
        <v>1.6166317976600893E-2</v>
      </c>
      <c r="AI74" s="371">
        <f>+Copen!BW106</f>
        <v>1.5358002077770848E-2</v>
      </c>
      <c r="AJ74" s="371">
        <f>+Copen!BX106</f>
        <v>1.4590101973882304E-2</v>
      </c>
      <c r="AK74" s="371">
        <f>+Copen!BY106</f>
        <v>1.3860596875188189E-2</v>
      </c>
      <c r="AL74" s="371">
        <f>+Copen!BZ106</f>
        <v>1.3167567031428778E-2</v>
      </c>
      <c r="AM74" s="371">
        <f>+Copen!CA106</f>
        <v>1.2509188679857338E-2</v>
      </c>
      <c r="AN74" s="371">
        <f>+Copen!CB106</f>
        <v>1.188372924586447E-2</v>
      </c>
      <c r="AO74" s="371">
        <f>+Copen!CC106</f>
        <v>1.1289542783571246E-2</v>
      </c>
      <c r="AP74" s="371">
        <f>+Copen!CD106</f>
        <v>1.0725065644392682E-2</v>
      </c>
      <c r="AQ74" s="371">
        <f>+Copen!CE106</f>
        <v>1.0188812362173047E-2</v>
      </c>
      <c r="AR74" s="371">
        <f>+Copen!CF106</f>
        <v>9.6793717440643943E-3</v>
      </c>
      <c r="AS74" s="371">
        <f>+Copen!CG106</f>
        <v>9.1954031568611747E-3</v>
      </c>
      <c r="AT74" s="371">
        <f>+Copen!CH106</f>
        <v>8.7356329990181149E-3</v>
      </c>
      <c r="AU74" s="371">
        <f>+Copen!CI106</f>
        <v>8.2988513490672086E-3</v>
      </c>
      <c r="AV74" s="371">
        <f>+Copen!CJ106</f>
        <v>7.8839087816138485E-3</v>
      </c>
      <c r="AW74" s="371">
        <f>+Copen!CK106</f>
        <v>7.4897133425331558E-3</v>
      </c>
      <c r="AX74" s="371">
        <f>+Copen!CL106</f>
        <v>7.1152276754064972E-3</v>
      </c>
      <c r="AY74" s="371">
        <f>+Copen!CM106</f>
        <v>6.7594662916361722E-3</v>
      </c>
      <c r="AZ74" s="371">
        <f>+Copen!CN106</f>
        <v>6.4214929770543636E-3</v>
      </c>
      <c r="BA74" s="371">
        <f>+Copen!CO106</f>
        <v>6.1004183282016454E-3</v>
      </c>
      <c r="BB74" s="371">
        <f>+Copen!CP106</f>
        <v>5.7953974117915625E-3</v>
      </c>
      <c r="BC74" s="371">
        <f>+Copen!CQ106</f>
        <v>5.5056275412019842E-3</v>
      </c>
      <c r="BD74" s="371">
        <f>+Copen!CR106</f>
        <v>5.2303461641418844E-3</v>
      </c>
      <c r="BE74" s="371">
        <f>+Copen!CS106</f>
        <v>4.9688288559347898E-3</v>
      </c>
      <c r="BF74" s="371">
        <f>+Copen!CT106</f>
        <v>4.7203874131380502E-3</v>
      </c>
      <c r="BG74" s="371">
        <f>+Copen!CU106</f>
        <v>4.4843680424811478E-3</v>
      </c>
      <c r="BH74" s="371">
        <f>+Copen!CV106</f>
        <v>4.2601496403570898E-3</v>
      </c>
      <c r="BI74" s="371">
        <f>+Copen!CW106</f>
        <v>4.0471421583392351E-3</v>
      </c>
    </row>
    <row r="75" spans="1:61" s="371" customFormat="1" x14ac:dyDescent="0.2">
      <c r="A75" s="225" t="s">
        <v>54</v>
      </c>
      <c r="B75" s="371">
        <f>+Copen!R107</f>
        <v>1.6007411280266048</v>
      </c>
      <c r="C75" s="371">
        <f>+Copen!X107</f>
        <v>2.843737175726925</v>
      </c>
      <c r="D75" s="371">
        <f>+Copen!Z107</f>
        <v>3.2081467193314417</v>
      </c>
      <c r="E75" s="371">
        <f>+Copen!AB107</f>
        <v>2.5254518937569852</v>
      </c>
      <c r="F75" s="371">
        <f>+Copen!AD107</f>
        <v>1.8156304305258246</v>
      </c>
      <c r="G75" s="371">
        <f>+Copen!AF107</f>
        <v>1.2784303712752059</v>
      </c>
      <c r="H75" s="371">
        <f>+Copen!AH107</f>
        <v>1.0385622074075833</v>
      </c>
      <c r="I75" s="371">
        <f>+Copen!AJ107</f>
        <v>0.86091847165936064</v>
      </c>
      <c r="J75" s="371">
        <f>+Copen!AL107</f>
        <v>0.72953507645910443</v>
      </c>
      <c r="K75" s="371">
        <f>+Copen!AN107</f>
        <v>0.63226994777271706</v>
      </c>
      <c r="L75" s="371">
        <f>+Copen!AP107</f>
        <v>0.56313371493904552</v>
      </c>
      <c r="M75" s="371">
        <f>+Copen!AR107</f>
        <v>0.50822817773248852</v>
      </c>
      <c r="N75" s="371">
        <f>+Copen!AT107</f>
        <v>0.45867593040357085</v>
      </c>
      <c r="O75" s="371">
        <f>+Copen!AV107</f>
        <v>0.41395502718922267</v>
      </c>
      <c r="P75" s="371">
        <f>+Copen!AX107</f>
        <v>0.37359441203827343</v>
      </c>
      <c r="Q75" s="371">
        <f>+Copen!AZ107</f>
        <v>0.33716895686454174</v>
      </c>
      <c r="R75" s="371">
        <f>+Copen!BB107</f>
        <v>0.30429498357024887</v>
      </c>
      <c r="S75" s="371">
        <f>+Copen!BD107</f>
        <v>0.27462622267214959</v>
      </c>
      <c r="T75" s="371">
        <f>+Copen!BF107</f>
        <v>0.24785016596161499</v>
      </c>
      <c r="U75" s="371">
        <f>+Copen!BH107</f>
        <v>0.22368477478035753</v>
      </c>
      <c r="V75" s="371">
        <f>+Copen!BJ107</f>
        <v>0.20187550923927267</v>
      </c>
      <c r="W75" s="371">
        <f>+Copen!BK107</f>
        <v>0.19178173377730903</v>
      </c>
      <c r="X75" s="371">
        <f>+Copen!BL107</f>
        <v>0.18219264708844357</v>
      </c>
      <c r="Y75" s="371">
        <f>+Copen!BM107</f>
        <v>0.17308301473402138</v>
      </c>
      <c r="Z75" s="371">
        <f>+Copen!BN107</f>
        <v>0.16442886399732029</v>
      </c>
      <c r="AA75" s="371">
        <f>+Copen!BO107</f>
        <v>0.15620742079745426</v>
      </c>
      <c r="AB75" s="371">
        <f>+Copen!BP107</f>
        <v>0.14839704975758153</v>
      </c>
      <c r="AC75" s="371">
        <f>+Copen!BQ107</f>
        <v>0.14097719726970245</v>
      </c>
      <c r="AD75" s="371">
        <f>+Copen!BR107</f>
        <v>0.13392833740621732</v>
      </c>
      <c r="AE75" s="371">
        <f>+Copen!BS107</f>
        <v>0.12723192053590646</v>
      </c>
      <c r="AF75" s="371">
        <f>+Copen!BT107</f>
        <v>0.12087032450911113</v>
      </c>
      <c r="AG75" s="371">
        <f>+Copen!BU107</f>
        <v>0.11482680828365557</v>
      </c>
      <c r="AH75" s="371">
        <f>+Copen!BV107</f>
        <v>0.10908546786947279</v>
      </c>
      <c r="AI75" s="371">
        <f>+Copen!BW107</f>
        <v>0.10363119447599915</v>
      </c>
      <c r="AJ75" s="371">
        <f>+Copen!BX107</f>
        <v>9.8449634752199186E-2</v>
      </c>
      <c r="AK75" s="371">
        <f>+Copen!BY107</f>
        <v>9.352715301458922E-2</v>
      </c>
      <c r="AL75" s="371">
        <f>+Copen!BZ107</f>
        <v>8.8850795363859758E-2</v>
      </c>
      <c r="AM75" s="371">
        <f>+Copen!CA107</f>
        <v>8.4408255595666767E-2</v>
      </c>
      <c r="AN75" s="371">
        <f>+Copen!CB107</f>
        <v>8.0187842815883426E-2</v>
      </c>
      <c r="AO75" s="371">
        <f>+Copen!CC107</f>
        <v>7.6178450675089257E-2</v>
      </c>
      <c r="AP75" s="371">
        <f>+Copen!CD107</f>
        <v>7.2369528141334794E-2</v>
      </c>
      <c r="AQ75" s="371">
        <f>+Copen!CE107</f>
        <v>6.8751051734268057E-2</v>
      </c>
      <c r="AR75" s="371">
        <f>+Copen!CF107</f>
        <v>6.5313499147554646E-2</v>
      </c>
      <c r="AS75" s="371">
        <f>+Copen!CG107</f>
        <v>6.204782419017691E-2</v>
      </c>
      <c r="AT75" s="371">
        <f>+Copen!CH107</f>
        <v>5.894543298066806E-2</v>
      </c>
      <c r="AU75" s="371">
        <f>+Copen!CI107</f>
        <v>5.5998161331634655E-2</v>
      </c>
      <c r="AV75" s="371">
        <f>+Copen!CJ107</f>
        <v>5.3198253265052918E-2</v>
      </c>
      <c r="AW75" s="371">
        <f>+Copen!CK107</f>
        <v>5.053834060180027E-2</v>
      </c>
      <c r="AX75" s="371">
        <f>+Copen!CL107</f>
        <v>4.8011423571710253E-2</v>
      </c>
      <c r="AY75" s="371">
        <f>+Copen!CM107</f>
        <v>4.5610852393124741E-2</v>
      </c>
      <c r="AZ75" s="371">
        <f>+Copen!CN107</f>
        <v>4.3330309773468502E-2</v>
      </c>
      <c r="BA75" s="371">
        <f>+Copen!CO107</f>
        <v>4.1163794284795073E-2</v>
      </c>
      <c r="BB75" s="371">
        <f>+Copen!CP107</f>
        <v>3.910560457055532E-2</v>
      </c>
      <c r="BC75" s="371">
        <f>+Copen!CQ107</f>
        <v>3.7150324342027551E-2</v>
      </c>
      <c r="BD75" s="371">
        <f>+Copen!CR107</f>
        <v>3.5292808124926169E-2</v>
      </c>
      <c r="BE75" s="371">
        <f>+Copen!CS107</f>
        <v>3.3528167718679856E-2</v>
      </c>
      <c r="BF75" s="371">
        <f>+Copen!CT107</f>
        <v>3.1851759332745859E-2</v>
      </c>
      <c r="BG75" s="371">
        <f>+Copen!CU107</f>
        <v>3.0259171366108565E-2</v>
      </c>
      <c r="BH75" s="371">
        <f>+Copen!CV107</f>
        <v>2.8746212797803136E-2</v>
      </c>
      <c r="BI75" s="371">
        <f>+Copen!CW107</f>
        <v>2.7308902157912977E-2</v>
      </c>
    </row>
    <row r="76" spans="1:61" s="371" customFormat="1" x14ac:dyDescent="0.2">
      <c r="A76" s="225" t="s">
        <v>55</v>
      </c>
      <c r="B76" s="371">
        <f>+Copen!R108</f>
        <v>0.40515158969265602</v>
      </c>
      <c r="C76" s="371">
        <f>+Copen!X108</f>
        <v>0.72309374310061081</v>
      </c>
      <c r="D76" s="371">
        <f>+Copen!Z108</f>
        <v>0.95176955277897013</v>
      </c>
      <c r="E76" s="371">
        <f>+Copen!AB108</f>
        <v>1.1736542267846262</v>
      </c>
      <c r="F76" s="371">
        <f>+Copen!AD108</f>
        <v>0.84377862604833109</v>
      </c>
      <c r="G76" s="371">
        <f>+Copen!AF108</f>
        <v>0.59412543656290517</v>
      </c>
      <c r="H76" s="371">
        <f>+Copen!AH108</f>
        <v>0.48265141280888452</v>
      </c>
      <c r="I76" s="371">
        <f>+Copen!AJ108</f>
        <v>0.40009497139017691</v>
      </c>
      <c r="J76" s="371">
        <f>+Copen!AL108</f>
        <v>0.33903711576945383</v>
      </c>
      <c r="K76" s="371">
        <f>+Copen!AN108</f>
        <v>0.29383505522586312</v>
      </c>
      <c r="L76" s="371">
        <f>+Copen!AP108</f>
        <v>0.26170534723586308</v>
      </c>
      <c r="M76" s="371">
        <f>+Copen!AR108</f>
        <v>0.23618907588036642</v>
      </c>
      <c r="N76" s="371">
        <f>+Copen!AT108</f>
        <v>0.21316064098203069</v>
      </c>
      <c r="O76" s="371">
        <f>+Copen!AV108</f>
        <v>0.19237747848628267</v>
      </c>
      <c r="P76" s="371">
        <f>+Copen!AX108</f>
        <v>0.17362067433387007</v>
      </c>
      <c r="Q76" s="371">
        <f>+Copen!AZ108</f>
        <v>0.15669265858631773</v>
      </c>
      <c r="R76" s="371">
        <f>+Copen!BB108</f>
        <v>0.14141512437415174</v>
      </c>
      <c r="S76" s="371">
        <f>+Copen!BD108</f>
        <v>0.12762714974767195</v>
      </c>
      <c r="T76" s="371">
        <f>+Copen!BF108</f>
        <v>0.11518350264727392</v>
      </c>
      <c r="U76" s="371">
        <f>+Copen!BH108</f>
        <v>0.10395311113916471</v>
      </c>
      <c r="V76" s="371">
        <f>+Copen!BJ108</f>
        <v>9.3817682803096145E-2</v>
      </c>
      <c r="W76" s="371">
        <f>+Copen!BK108</f>
        <v>8.9126798662941334E-2</v>
      </c>
      <c r="X76" s="371">
        <f>+Copen!BL108</f>
        <v>8.4670458729794257E-2</v>
      </c>
      <c r="Y76" s="371">
        <f>+Copen!BM108</f>
        <v>8.0436935793304534E-2</v>
      </c>
      <c r="Z76" s="371">
        <f>+Copen!BN108</f>
        <v>7.6415089003639303E-2</v>
      </c>
      <c r="AA76" s="371">
        <f>+Copen!BO108</f>
        <v>7.2594334553457332E-2</v>
      </c>
      <c r="AB76" s="371">
        <f>+Copen!BP108</f>
        <v>6.8964617825784461E-2</v>
      </c>
      <c r="AC76" s="371">
        <f>+Copen!BQ108</f>
        <v>6.5516386934495241E-2</v>
      </c>
      <c r="AD76" s="371">
        <f>+Copen!BR108</f>
        <v>6.2240567587770475E-2</v>
      </c>
      <c r="AE76" s="371">
        <f>+Copen!BS108</f>
        <v>5.9128539208381951E-2</v>
      </c>
      <c r="AF76" s="371">
        <f>+Copen!BT108</f>
        <v>5.6172112247962848E-2</v>
      </c>
      <c r="AG76" s="371">
        <f>+Copen!BU108</f>
        <v>5.3363506635564703E-2</v>
      </c>
      <c r="AH76" s="371">
        <f>+Copen!BV108</f>
        <v>5.0695331303786464E-2</v>
      </c>
      <c r="AI76" s="371">
        <f>+Copen!BW108</f>
        <v>4.8160564738597138E-2</v>
      </c>
      <c r="AJ76" s="371">
        <f>+Copen!BX108</f>
        <v>4.5752536501667281E-2</v>
      </c>
      <c r="AK76" s="371">
        <f>+Copen!BY108</f>
        <v>4.3464909676583917E-2</v>
      </c>
      <c r="AL76" s="371">
        <f>+Copen!BZ108</f>
        <v>4.1291664192754721E-2</v>
      </c>
      <c r="AM76" s="371">
        <f>+Copen!CA108</f>
        <v>3.9227080983116981E-2</v>
      </c>
      <c r="AN76" s="371">
        <f>+Copen!CB108</f>
        <v>3.726572693396113E-2</v>
      </c>
      <c r="AO76" s="371">
        <f>+Copen!CC108</f>
        <v>3.5402440587263072E-2</v>
      </c>
      <c r="AP76" s="371">
        <f>+Copen!CD108</f>
        <v>3.3632318557899915E-2</v>
      </c>
      <c r="AQ76" s="371">
        <f>+Copen!CE108</f>
        <v>3.1950702630004921E-2</v>
      </c>
      <c r="AR76" s="371">
        <f>+Copen!CF108</f>
        <v>3.0353167498504672E-2</v>
      </c>
      <c r="AS76" s="371">
        <f>+Copen!CG108</f>
        <v>2.8835509123579437E-2</v>
      </c>
      <c r="AT76" s="371">
        <f>+Copen!CH108</f>
        <v>2.7393733667400465E-2</v>
      </c>
      <c r="AU76" s="371">
        <f>+Copen!CI108</f>
        <v>2.6024046984030439E-2</v>
      </c>
      <c r="AV76" s="371">
        <f>+Copen!CJ108</f>
        <v>2.4722844634828916E-2</v>
      </c>
      <c r="AW76" s="371">
        <f>+Copen!CK108</f>
        <v>2.3486702403087468E-2</v>
      </c>
      <c r="AX76" s="371">
        <f>+Copen!CL108</f>
        <v>2.2312367282933093E-2</v>
      </c>
      <c r="AY76" s="371">
        <f>+Copen!CM108</f>
        <v>2.1196748918786437E-2</v>
      </c>
      <c r="AZ76" s="371">
        <f>+Copen!CN108</f>
        <v>2.0136911472847116E-2</v>
      </c>
      <c r="BA76" s="371">
        <f>+Copen!CO108</f>
        <v>1.9130065899204761E-2</v>
      </c>
      <c r="BB76" s="371">
        <f>+Copen!CP108</f>
        <v>1.8173562604244523E-2</v>
      </c>
      <c r="BC76" s="371">
        <f>+Copen!CQ108</f>
        <v>1.7264884474032297E-2</v>
      </c>
      <c r="BD76" s="371">
        <f>+Copen!CR108</f>
        <v>1.6401640250330682E-2</v>
      </c>
      <c r="BE76" s="371">
        <f>+Copen!CS108</f>
        <v>1.5581558237814147E-2</v>
      </c>
      <c r="BF76" s="371">
        <f>+Copen!CT108</f>
        <v>1.4802480325923439E-2</v>
      </c>
      <c r="BG76" s="371">
        <f>+Copen!CU108</f>
        <v>1.4062356309627266E-2</v>
      </c>
      <c r="BH76" s="371">
        <f>+Copen!CV108</f>
        <v>1.3359238494145902E-2</v>
      </c>
      <c r="BI76" s="371">
        <f>+Copen!CW108</f>
        <v>1.2691276569438607E-2</v>
      </c>
    </row>
    <row r="77" spans="1:61" s="371" customFormat="1" x14ac:dyDescent="0.2">
      <c r="A77" s="225" t="s">
        <v>56</v>
      </c>
      <c r="B77" s="371">
        <f>+Copen!R109</f>
        <v>0.58967496043455159</v>
      </c>
      <c r="C77" s="371">
        <f>+Copen!X109</f>
        <v>0.80742718953750414</v>
      </c>
      <c r="D77" s="371">
        <f>+Copen!Z109</f>
        <v>1.0442826029982819</v>
      </c>
      <c r="E77" s="371">
        <f>+Copen!AB109</f>
        <v>1.2745456100982464</v>
      </c>
      <c r="F77" s="371">
        <f>+Copen!AD109</f>
        <v>1.4943414327878348</v>
      </c>
      <c r="G77" s="371">
        <f>+Copen!AF109</f>
        <v>1.0522028275201363</v>
      </c>
      <c r="H77" s="371">
        <f>+Copen!AH109</f>
        <v>0.8547810782215628</v>
      </c>
      <c r="I77" s="371">
        <f>+Copen!AJ109</f>
        <v>0.70857269234046549</v>
      </c>
      <c r="J77" s="371">
        <f>+Copen!AL109</f>
        <v>0.60043854360226578</v>
      </c>
      <c r="K77" s="371">
        <f>+Copen!AN109</f>
        <v>0.52038518620209528</v>
      </c>
      <c r="L77" s="371">
        <f>+Copen!AP109</f>
        <v>0.46348311213832144</v>
      </c>
      <c r="M77" s="371">
        <f>+Copen!AR109</f>
        <v>0.41829350870483506</v>
      </c>
      <c r="N77" s="371">
        <f>+Copen!AT109</f>
        <v>0.37750989160611359</v>
      </c>
      <c r="O77" s="371">
        <f>+Copen!AV109</f>
        <v>0.34070267717451752</v>
      </c>
      <c r="P77" s="371">
        <f>+Copen!AX109</f>
        <v>0.30748416615000201</v>
      </c>
      <c r="Q77" s="371">
        <f>+Copen!AZ109</f>
        <v>0.27750445995037676</v>
      </c>
      <c r="R77" s="371">
        <f>+Copen!BB109</f>
        <v>0.25044777510521499</v>
      </c>
      <c r="S77" s="371">
        <f>+Copen!BD109</f>
        <v>0.22602911703245651</v>
      </c>
      <c r="T77" s="371">
        <f>+Copen!BF109</f>
        <v>0.20399127812179196</v>
      </c>
      <c r="U77" s="371">
        <f>+Copen!BH109</f>
        <v>0.18410212850491722</v>
      </c>
      <c r="V77" s="371">
        <f>+Copen!BJ109</f>
        <v>0.1661521709756878</v>
      </c>
      <c r="W77" s="371">
        <f>+Copen!BK109</f>
        <v>0.1578445624269034</v>
      </c>
      <c r="X77" s="371">
        <f>+Copen!BL109</f>
        <v>0.14995233430555821</v>
      </c>
      <c r="Y77" s="371">
        <f>+Copen!BM109</f>
        <v>0.14245471759028031</v>
      </c>
      <c r="Z77" s="371">
        <f>+Copen!BN109</f>
        <v>0.1353319817107663</v>
      </c>
      <c r="AA77" s="371">
        <f>+Copen!BO109</f>
        <v>0.12856538262522799</v>
      </c>
      <c r="AB77" s="371">
        <f>+Copen!BP109</f>
        <v>0.12213711349396658</v>
      </c>
      <c r="AC77" s="371">
        <f>+Copen!BQ109</f>
        <v>0.11603025781926825</v>
      </c>
      <c r="AD77" s="371">
        <f>+Copen!BR109</f>
        <v>0.11022874492830483</v>
      </c>
      <c r="AE77" s="371">
        <f>+Copen!BS109</f>
        <v>0.10471730768188958</v>
      </c>
      <c r="AF77" s="371">
        <f>+Copen!BT109</f>
        <v>9.9481442297795097E-2</v>
      </c>
      <c r="AG77" s="371">
        <f>+Copen!BU109</f>
        <v>9.4507370182905337E-2</v>
      </c>
      <c r="AH77" s="371">
        <f>+Copen!BV109</f>
        <v>8.9782001673760062E-2</v>
      </c>
      <c r="AI77" s="371">
        <f>+Copen!BW109</f>
        <v>8.5292901590072051E-2</v>
      </c>
      <c r="AJ77" s="371">
        <f>+Copen!BX109</f>
        <v>8.1028256510568442E-2</v>
      </c>
      <c r="AK77" s="371">
        <f>+Copen!BY109</f>
        <v>7.6976843685040014E-2</v>
      </c>
      <c r="AL77" s="371">
        <f>+Copen!BZ109</f>
        <v>7.3128001500788006E-2</v>
      </c>
      <c r="AM77" s="371">
        <f>+Copen!CA109</f>
        <v>6.9471601425748597E-2</v>
      </c>
      <c r="AN77" s="371">
        <f>+Copen!CB109</f>
        <v>6.5998021354461159E-2</v>
      </c>
      <c r="AO77" s="371">
        <f>+Copen!CC109</f>
        <v>6.2698120286738102E-2</v>
      </c>
      <c r="AP77" s="371">
        <f>+Copen!CD109</f>
        <v>5.9563214272401195E-2</v>
      </c>
      <c r="AQ77" s="371">
        <f>+Copen!CE109</f>
        <v>5.6585053558781136E-2</v>
      </c>
      <c r="AR77" s="371">
        <f>+Copen!CF109</f>
        <v>5.3755800880842079E-2</v>
      </c>
      <c r="AS77" s="371">
        <f>+Copen!CG109</f>
        <v>5.1068010836799974E-2</v>
      </c>
      <c r="AT77" s="371">
        <f>+Copen!CH109</f>
        <v>4.8514610294959973E-2</v>
      </c>
      <c r="AU77" s="371">
        <f>+Copen!CI109</f>
        <v>4.6088879780211971E-2</v>
      </c>
      <c r="AV77" s="371">
        <f>+Copen!CJ109</f>
        <v>4.3784435791201372E-2</v>
      </c>
      <c r="AW77" s="371">
        <f>+Copen!CK109</f>
        <v>4.1595214001641304E-2</v>
      </c>
      <c r="AX77" s="371">
        <f>+Copen!CL109</f>
        <v>3.9515453301559235E-2</v>
      </c>
      <c r="AY77" s="371">
        <f>+Copen!CM109</f>
        <v>3.7539680636481269E-2</v>
      </c>
      <c r="AZ77" s="371">
        <f>+Copen!CN109</f>
        <v>3.5662696604657207E-2</v>
      </c>
      <c r="BA77" s="371">
        <f>+Copen!CO109</f>
        <v>3.3879561774424347E-2</v>
      </c>
      <c r="BB77" s="371">
        <f>+Copen!CP109</f>
        <v>3.218558368570313E-2</v>
      </c>
      <c r="BC77" s="371">
        <f>+Copen!CQ109</f>
        <v>3.0576304501417972E-2</v>
      </c>
      <c r="BD77" s="371">
        <f>+Copen!CR109</f>
        <v>2.9047489276347073E-2</v>
      </c>
      <c r="BE77" s="371">
        <f>+Copen!CS109</f>
        <v>2.7595114812529718E-2</v>
      </c>
      <c r="BF77" s="371">
        <f>+Copen!CT109</f>
        <v>2.621535907190323E-2</v>
      </c>
      <c r="BG77" s="371">
        <f>+Copen!CU109</f>
        <v>2.4904591118308068E-2</v>
      </c>
      <c r="BH77" s="371">
        <f>+Copen!CV109</f>
        <v>2.3659361562392664E-2</v>
      </c>
      <c r="BI77" s="371">
        <f>+Copen!CW109</f>
        <v>2.2476393484273029E-2</v>
      </c>
    </row>
    <row r="78" spans="1:61" s="371" customFormat="1" x14ac:dyDescent="0.2">
      <c r="A78" s="225" t="s">
        <v>57</v>
      </c>
      <c r="B78" s="371">
        <f>+Copen!R110</f>
        <v>0.19137708401697254</v>
      </c>
      <c r="C78" s="371">
        <f>+Copen!X110</f>
        <v>0.2440378886848312</v>
      </c>
      <c r="D78" s="371">
        <f>+Copen!Z110</f>
        <v>0.35389319854131812</v>
      </c>
      <c r="E78" s="371">
        <f>+Copen!AB110</f>
        <v>0.48200312688199881</v>
      </c>
      <c r="F78" s="371">
        <f>+Copen!AD110</f>
        <v>0.62603054224477039</v>
      </c>
      <c r="G78" s="371">
        <f>+Copen!AF110</f>
        <v>0.75868965138535882</v>
      </c>
      <c r="H78" s="371">
        <f>+Copen!AH110</f>
        <v>0.87768254899933362</v>
      </c>
      <c r="I78" s="371">
        <f>+Copen!AJ110</f>
        <v>0.72755691791705857</v>
      </c>
      <c r="J78" s="371">
        <f>+Copen!AL110</f>
        <v>0.61652561678451767</v>
      </c>
      <c r="K78" s="371">
        <f>+Copen!AN110</f>
        <v>0.53432745333766118</v>
      </c>
      <c r="L78" s="371">
        <f>+Copen!AP110</f>
        <v>0.47590084718073744</v>
      </c>
      <c r="M78" s="371">
        <f>+Copen!AR110</f>
        <v>0.4295005145806155</v>
      </c>
      <c r="N78" s="371">
        <f>+Copen!AT110</f>
        <v>0.38762421440900541</v>
      </c>
      <c r="O78" s="371">
        <f>+Copen!AV110</f>
        <v>0.34983085350412735</v>
      </c>
      <c r="P78" s="371">
        <f>+Copen!AX110</f>
        <v>0.31572234528747495</v>
      </c>
      <c r="Q78" s="371">
        <f>+Copen!AZ110</f>
        <v>0.28493941662194611</v>
      </c>
      <c r="R78" s="371">
        <f>+Copen!BB110</f>
        <v>0.25715782350130634</v>
      </c>
      <c r="S78" s="371">
        <f>+Copen!BD110</f>
        <v>0.23208493570992894</v>
      </c>
      <c r="T78" s="371">
        <f>+Copen!BF110</f>
        <v>0.20945665447821085</v>
      </c>
      <c r="U78" s="371">
        <f>+Copen!BH110</f>
        <v>0.18903463066658527</v>
      </c>
      <c r="V78" s="371">
        <f>+Copen!BJ110</f>
        <v>0.17060375417659321</v>
      </c>
      <c r="W78" s="371">
        <f>+Copen!BK110</f>
        <v>0.16207356646776355</v>
      </c>
      <c r="X78" s="371">
        <f>+Copen!BL110</f>
        <v>0.15396988814437537</v>
      </c>
      <c r="Y78" s="371">
        <f>+Copen!BM110</f>
        <v>0.14627139373715659</v>
      </c>
      <c r="Z78" s="371">
        <f>+Copen!BN110</f>
        <v>0.13895782405029874</v>
      </c>
      <c r="AA78" s="371">
        <f>+Copen!BO110</f>
        <v>0.13200993284778381</v>
      </c>
      <c r="AB78" s="371">
        <f>+Copen!BP110</f>
        <v>0.1254094362053946</v>
      </c>
      <c r="AC78" s="371">
        <f>+Copen!BQ110</f>
        <v>0.11913896439512486</v>
      </c>
      <c r="AD78" s="371">
        <f>+Copen!BR110</f>
        <v>0.11318201617536862</v>
      </c>
      <c r="AE78" s="371">
        <f>+Copen!BS110</f>
        <v>0.10752291536660018</v>
      </c>
      <c r="AF78" s="371">
        <f>+Copen!BT110</f>
        <v>0.10214676959827017</v>
      </c>
      <c r="AG78" s="371">
        <f>+Copen!BU110</f>
        <v>9.7039431118356653E-2</v>
      </c>
      <c r="AH78" s="371">
        <f>+Copen!BV110</f>
        <v>9.2187459562438817E-2</v>
      </c>
      <c r="AI78" s="371">
        <f>+Copen!BW110</f>
        <v>8.7578086584316872E-2</v>
      </c>
      <c r="AJ78" s="371">
        <f>+Copen!BX110</f>
        <v>8.319918225510102E-2</v>
      </c>
      <c r="AK78" s="371">
        <f>+Copen!BY110</f>
        <v>7.903922314234596E-2</v>
      </c>
      <c r="AL78" s="371">
        <f>+Copen!BZ110</f>
        <v>7.5087261985228665E-2</v>
      </c>
      <c r="AM78" s="371">
        <f>+Copen!CA110</f>
        <v>7.1332898885967222E-2</v>
      </c>
      <c r="AN78" s="371">
        <f>+Copen!CB110</f>
        <v>6.7766253941668853E-2</v>
      </c>
      <c r="AO78" s="371">
        <f>+Copen!CC110</f>
        <v>6.4377941244585402E-2</v>
      </c>
      <c r="AP78" s="371">
        <f>+Copen!CD110</f>
        <v>6.1159044182356126E-2</v>
      </c>
      <c r="AQ78" s="371">
        <f>+Copen!CE110</f>
        <v>5.8101091973238317E-2</v>
      </c>
      <c r="AR78" s="371">
        <f>+Copen!CF110</f>
        <v>5.5196037374576401E-2</v>
      </c>
      <c r="AS78" s="371">
        <f>+Copen!CG110</f>
        <v>5.2436235505847577E-2</v>
      </c>
      <c r="AT78" s="371">
        <f>+Copen!CH110</f>
        <v>4.9814423730555196E-2</v>
      </c>
      <c r="AU78" s="371">
        <f>+Copen!CI110</f>
        <v>4.7323702544027436E-2</v>
      </c>
      <c r="AV78" s="371">
        <f>+Copen!CJ110</f>
        <v>4.4957517416826062E-2</v>
      </c>
      <c r="AW78" s="371">
        <f>+Copen!CK110</f>
        <v>4.2709641545984757E-2</v>
      </c>
      <c r="AX78" s="371">
        <f>+Copen!CL110</f>
        <v>4.0574159468685519E-2</v>
      </c>
      <c r="AY78" s="371">
        <f>+Copen!CM110</f>
        <v>3.8545451495251244E-2</v>
      </c>
      <c r="AZ78" s="371">
        <f>+Copen!CN110</f>
        <v>3.661817892048868E-2</v>
      </c>
      <c r="BA78" s="371">
        <f>+Copen!CO110</f>
        <v>3.4787269974464241E-2</v>
      </c>
      <c r="BB78" s="371">
        <f>+Copen!CP110</f>
        <v>3.3047906475741025E-2</v>
      </c>
      <c r="BC78" s="371">
        <f>+Copen!CQ110</f>
        <v>3.1395511151953971E-2</v>
      </c>
      <c r="BD78" s="371">
        <f>+Copen!CR110</f>
        <v>2.9825735594356272E-2</v>
      </c>
      <c r="BE78" s="371">
        <f>+Copen!CS110</f>
        <v>2.8334448814638456E-2</v>
      </c>
      <c r="BF78" s="371">
        <f>+Copen!CT110</f>
        <v>2.691772637390653E-2</v>
      </c>
      <c r="BG78" s="371">
        <f>+Copen!CU110</f>
        <v>2.5571840055211202E-2</v>
      </c>
      <c r="BH78" s="371">
        <f>+Copen!CV110</f>
        <v>2.4293248052450641E-2</v>
      </c>
      <c r="BI78" s="371">
        <f>+Copen!CW110</f>
        <v>2.3078585649828107E-2</v>
      </c>
    </row>
    <row r="79" spans="1:61" s="371" customFormat="1" x14ac:dyDescent="0.2">
      <c r="A79" s="225" t="s">
        <v>58</v>
      </c>
      <c r="B79" s="371">
        <f>+Copen!R111</f>
        <v>0.41227239850714797</v>
      </c>
      <c r="C79" s="371">
        <f>+Copen!X111</f>
        <v>0.53297093331331402</v>
      </c>
      <c r="D79" s="371">
        <f>+Copen!Z111</f>
        <v>0.67605785971701871</v>
      </c>
      <c r="E79" s="371">
        <f>+Copen!AB111</f>
        <v>0.53219249351146902</v>
      </c>
      <c r="F79" s="371">
        <f>+Copen!AD111</f>
        <v>0.3826106878161033</v>
      </c>
      <c r="G79" s="371">
        <f>+Copen!AF111</f>
        <v>0.26940566508182101</v>
      </c>
      <c r="H79" s="371">
        <f>+Copen!AH111</f>
        <v>0.21885786547482852</v>
      </c>
      <c r="I79" s="371">
        <f>+Copen!AJ111</f>
        <v>0.18142271855389636</v>
      </c>
      <c r="J79" s="371">
        <f>+Copen!AL111</f>
        <v>0.15373608675921629</v>
      </c>
      <c r="K79" s="371">
        <f>+Copen!AN111</f>
        <v>0.13323925152141808</v>
      </c>
      <c r="L79" s="371">
        <f>+Copen!AP111</f>
        <v>0.11867006323685927</v>
      </c>
      <c r="M79" s="371">
        <f>+Copen!AR111</f>
        <v>0.1070997320712655</v>
      </c>
      <c r="N79" s="371">
        <f>+Copen!AT111</f>
        <v>9.6657508194317107E-2</v>
      </c>
      <c r="O79" s="371">
        <f>+Copen!AV111</f>
        <v>8.7233401145371176E-2</v>
      </c>
      <c r="P79" s="371">
        <f>+Copen!AX111</f>
        <v>7.8728144533697475E-2</v>
      </c>
      <c r="Q79" s="371">
        <f>+Copen!AZ111</f>
        <v>7.1052150441661965E-2</v>
      </c>
      <c r="R79" s="371">
        <f>+Copen!BB111</f>
        <v>6.4124565773599915E-2</v>
      </c>
      <c r="S79" s="371">
        <f>+Copen!BD111</f>
        <v>5.7872420610673915E-2</v>
      </c>
      <c r="T79" s="371">
        <f>+Copen!BF111</f>
        <v>5.2229859601133202E-2</v>
      </c>
      <c r="U79" s="371">
        <f>+Copen!BH111</f>
        <v>4.7137448290022713E-2</v>
      </c>
      <c r="V79" s="371">
        <f>+Copen!BJ111</f>
        <v>4.2541547081745491E-2</v>
      </c>
      <c r="W79" s="371">
        <f>+Copen!BK111</f>
        <v>4.0414469727658213E-2</v>
      </c>
      <c r="X79" s="371">
        <f>+Copen!BL111</f>
        <v>3.8393746241275298E-2</v>
      </c>
      <c r="Y79" s="371">
        <f>+Copen!BM111</f>
        <v>3.6474058929211531E-2</v>
      </c>
      <c r="Z79" s="371">
        <f>+Copen!BN111</f>
        <v>3.4650355982750951E-2</v>
      </c>
      <c r="AA79" s="371">
        <f>+Copen!BO111</f>
        <v>3.29178381836134E-2</v>
      </c>
      <c r="AB79" s="371">
        <f>+Copen!BP111</f>
        <v>3.1271946274432728E-2</v>
      </c>
      <c r="AC79" s="371">
        <f>+Copen!BQ111</f>
        <v>2.970834896071109E-2</v>
      </c>
      <c r="AD79" s="371">
        <f>+Copen!BR111</f>
        <v>2.8222931512675534E-2</v>
      </c>
      <c r="AE79" s="371">
        <f>+Copen!BS111</f>
        <v>2.6811784937041755E-2</v>
      </c>
      <c r="AF79" s="371">
        <f>+Copen!BT111</f>
        <v>2.5471195690189664E-2</v>
      </c>
      <c r="AG79" s="371">
        <f>+Copen!BU111</f>
        <v>2.4197635905680179E-2</v>
      </c>
      <c r="AH79" s="371">
        <f>+Copen!BV111</f>
        <v>2.2987754110396167E-2</v>
      </c>
      <c r="AI79" s="371">
        <f>+Copen!BW111</f>
        <v>2.1838366404876356E-2</v>
      </c>
      <c r="AJ79" s="371">
        <f>+Copen!BX111</f>
        <v>2.0746448084632538E-2</v>
      </c>
      <c r="AK79" s="371">
        <f>+Copen!BY111</f>
        <v>1.970912568040091E-2</v>
      </c>
      <c r="AL79" s="371">
        <f>+Copen!BZ111</f>
        <v>1.8723669396380864E-2</v>
      </c>
      <c r="AM79" s="371">
        <f>+Copen!CA111</f>
        <v>1.7787485926561819E-2</v>
      </c>
      <c r="AN79" s="371">
        <f>+Copen!CB111</f>
        <v>1.6898111630233727E-2</v>
      </c>
      <c r="AO79" s="371">
        <f>+Copen!CC111</f>
        <v>1.6053206048722041E-2</v>
      </c>
      <c r="AP79" s="371">
        <f>+Copen!CD111</f>
        <v>1.5250545746285938E-2</v>
      </c>
      <c r="AQ79" s="371">
        <f>+Copen!CE111</f>
        <v>1.448801845897164E-2</v>
      </c>
      <c r="AR79" s="371">
        <f>+Copen!CF111</f>
        <v>1.3763617536023058E-2</v>
      </c>
      <c r="AS79" s="371">
        <f>+Copen!CG111</f>
        <v>1.3075436659221904E-2</v>
      </c>
      <c r="AT79" s="371">
        <f>+Copen!CH111</f>
        <v>1.2421664826260809E-2</v>
      </c>
      <c r="AU79" s="371">
        <f>+Copen!CI111</f>
        <v>1.1800581584947768E-2</v>
      </c>
      <c r="AV79" s="371">
        <f>+Copen!CJ111</f>
        <v>1.121055250570038E-2</v>
      </c>
      <c r="AW79" s="371">
        <f>+Copen!CK111</f>
        <v>1.065002488041536E-2</v>
      </c>
      <c r="AX79" s="371">
        <f>+Copen!CL111</f>
        <v>1.0117523636394591E-2</v>
      </c>
      <c r="AY79" s="371">
        <f>+Copen!CM111</f>
        <v>9.6116474545748613E-3</v>
      </c>
      <c r="AZ79" s="371">
        <f>+Copen!CN111</f>
        <v>9.1310650818461174E-3</v>
      </c>
      <c r="BA79" s="371">
        <f>+Copen!CO111</f>
        <v>8.674511827753811E-3</v>
      </c>
      <c r="BB79" s="371">
        <f>+Copen!CP111</f>
        <v>8.2407862363661193E-3</v>
      </c>
      <c r="BC79" s="371">
        <f>+Copen!CQ111</f>
        <v>7.8287469245478126E-3</v>
      </c>
      <c r="BD79" s="371">
        <f>+Copen!CR111</f>
        <v>7.4373095783204215E-3</v>
      </c>
      <c r="BE79" s="371">
        <f>+Copen!CS111</f>
        <v>7.0654440994044002E-3</v>
      </c>
      <c r="BF79" s="371">
        <f>+Copen!CT111</f>
        <v>6.7121718944341798E-3</v>
      </c>
      <c r="BG79" s="371">
        <f>+Copen!CU111</f>
        <v>6.3765632997124701E-3</v>
      </c>
      <c r="BH79" s="371">
        <f>+Copen!CV111</f>
        <v>6.0577351347268467E-3</v>
      </c>
      <c r="BI79" s="371">
        <f>+Copen!CW111</f>
        <v>5.7548483779905043E-3</v>
      </c>
    </row>
    <row r="80" spans="1:61" s="371" customFormat="1" x14ac:dyDescent="0.2">
      <c r="A80" s="225" t="s">
        <v>114</v>
      </c>
      <c r="B80" s="371">
        <f>+Copen!R112</f>
        <v>0.54177826149727892</v>
      </c>
      <c r="C80" s="371">
        <f>+Copen!X112</f>
        <v>0.56968410834355332</v>
      </c>
      <c r="D80" s="371">
        <f>+Copen!Z112</f>
        <v>0.55679019167974442</v>
      </c>
      <c r="E80" s="371">
        <f>+Copen!AB112</f>
        <v>0.43830502998190735</v>
      </c>
      <c r="F80" s="371">
        <f>+Copen!AD112</f>
        <v>0.3151119022520022</v>
      </c>
      <c r="G80" s="371">
        <f>+Copen!AF112</f>
        <v>0.22187809777598549</v>
      </c>
      <c r="H80" s="371">
        <f>+Copen!AH112</f>
        <v>0.18024775707711799</v>
      </c>
      <c r="I80" s="371">
        <f>+Copen!AJ112</f>
        <v>0.14941678258273108</v>
      </c>
      <c r="J80" s="371">
        <f>+Copen!AL112</f>
        <v>0.12661452564220971</v>
      </c>
      <c r="K80" s="371">
        <f>+Copen!AN112</f>
        <v>0.10973366750728797</v>
      </c>
      <c r="L80" s="371">
        <f>+Copen!AP112</f>
        <v>9.7734722415556821E-2</v>
      </c>
      <c r="M80" s="371">
        <f>+Copen!AR112</f>
        <v>8.8205586980040024E-2</v>
      </c>
      <c r="N80" s="371">
        <f>+Copen!AT112</f>
        <v>7.9605542249486114E-2</v>
      </c>
      <c r="O80" s="371">
        <f>+Copen!AV112</f>
        <v>7.1844001880161212E-2</v>
      </c>
      <c r="P80" s="371">
        <f>+Copen!AX112</f>
        <v>6.4839211696845478E-2</v>
      </c>
      <c r="Q80" s="371">
        <f>+Copen!AZ112</f>
        <v>5.8517388556403038E-2</v>
      </c>
      <c r="R80" s="371">
        <f>+Copen!BB112</f>
        <v>5.2811943172153743E-2</v>
      </c>
      <c r="S80" s="371">
        <f>+Copen!BD112</f>
        <v>4.7662778712868746E-2</v>
      </c>
      <c r="T80" s="371">
        <f>+Copen!BF112</f>
        <v>4.301565778836404E-2</v>
      </c>
      <c r="U80" s="371">
        <f>+Copen!BH112</f>
        <v>3.8821631153998545E-2</v>
      </c>
      <c r="V80" s="371">
        <f>+Copen!BJ112</f>
        <v>3.5036522116483684E-2</v>
      </c>
      <c r="W80" s="371">
        <f>+Copen!BK112</f>
        <v>3.3284696010659497E-2</v>
      </c>
      <c r="X80" s="371">
        <f>+Copen!BL112</f>
        <v>3.1620461210126523E-2</v>
      </c>
      <c r="Y80" s="371">
        <f>+Copen!BM112</f>
        <v>3.0039438149620196E-2</v>
      </c>
      <c r="Z80" s="371">
        <f>+Copen!BN112</f>
        <v>2.8537466242139185E-2</v>
      </c>
      <c r="AA80" s="371">
        <f>+Copen!BO112</f>
        <v>2.7110592930032224E-2</v>
      </c>
      <c r="AB80" s="371">
        <f>+Copen!BP112</f>
        <v>2.575506328353061E-2</v>
      </c>
      <c r="AC80" s="371">
        <f>+Copen!BQ112</f>
        <v>2.4467310119354078E-2</v>
      </c>
      <c r="AD80" s="371">
        <f>+Copen!BR112</f>
        <v>2.3243944613386372E-2</v>
      </c>
      <c r="AE80" s="371">
        <f>+Copen!BS112</f>
        <v>2.2081747382717051E-2</v>
      </c>
      <c r="AF80" s="371">
        <f>+Copen!BT112</f>
        <v>2.0977660013581197E-2</v>
      </c>
      <c r="AG80" s="371">
        <f>+Copen!BU112</f>
        <v>1.9928777012902136E-2</v>
      </c>
      <c r="AH80" s="371">
        <f>+Copen!BV112</f>
        <v>1.8932338162257027E-2</v>
      </c>
      <c r="AI80" s="371">
        <f>+Copen!BW112</f>
        <v>1.7985721254144174E-2</v>
      </c>
      <c r="AJ80" s="371">
        <f>+Copen!BX112</f>
        <v>1.7086435191436964E-2</v>
      </c>
      <c r="AK80" s="371">
        <f>+Copen!BY112</f>
        <v>1.6232113431865116E-2</v>
      </c>
      <c r="AL80" s="371">
        <f>+Copen!BZ112</f>
        <v>1.5420507760271859E-2</v>
      </c>
      <c r="AM80" s="371">
        <f>+Copen!CA112</f>
        <v>1.4649482372258266E-2</v>
      </c>
      <c r="AN80" s="371">
        <f>+Copen!CB112</f>
        <v>1.3917008253645353E-2</v>
      </c>
      <c r="AO80" s="371">
        <f>+Copen!CC112</f>
        <v>1.3221157840963085E-2</v>
      </c>
      <c r="AP80" s="371">
        <f>+Copen!CD112</f>
        <v>1.2560099948914929E-2</v>
      </c>
      <c r="AQ80" s="371">
        <f>+Copen!CE112</f>
        <v>1.1932094951469182E-2</v>
      </c>
      <c r="AR80" s="371">
        <f>+Copen!CF112</f>
        <v>1.1335490203895722E-2</v>
      </c>
      <c r="AS80" s="371">
        <f>+Copen!CG112</f>
        <v>1.0768715693700935E-2</v>
      </c>
      <c r="AT80" s="371">
        <f>+Copen!CH112</f>
        <v>1.0230279909015889E-2</v>
      </c>
      <c r="AU80" s="371">
        <f>+Copen!CI112</f>
        <v>9.7187659135650941E-3</v>
      </c>
      <c r="AV80" s="371">
        <f>+Copen!CJ112</f>
        <v>9.2328276178868397E-3</v>
      </c>
      <c r="AW80" s="371">
        <f>+Copen!CK112</f>
        <v>8.7711862369924971E-3</v>
      </c>
      <c r="AX80" s="371">
        <f>+Copen!CL112</f>
        <v>8.3326269251428713E-3</v>
      </c>
      <c r="AY80" s="371">
        <f>+Copen!CM112</f>
        <v>7.9159955788857279E-3</v>
      </c>
      <c r="AZ80" s="371">
        <f>+Copen!CN112</f>
        <v>7.5201957999414407E-3</v>
      </c>
      <c r="BA80" s="371">
        <f>+Copen!CO112</f>
        <v>7.1441860099443685E-3</v>
      </c>
      <c r="BB80" s="371">
        <f>+Copen!CP112</f>
        <v>6.7869767094471496E-3</v>
      </c>
      <c r="BC80" s="371">
        <f>+Copen!CQ112</f>
        <v>6.4476278739747919E-3</v>
      </c>
      <c r="BD80" s="371">
        <f>+Copen!CR112</f>
        <v>6.1252464802760524E-3</v>
      </c>
      <c r="BE80" s="371">
        <f>+Copen!CS112</f>
        <v>5.8189841562622498E-3</v>
      </c>
      <c r="BF80" s="371">
        <f>+Copen!CT112</f>
        <v>5.5280349484491372E-3</v>
      </c>
      <c r="BG80" s="371">
        <f>+Copen!CU112</f>
        <v>5.25163320102668E-3</v>
      </c>
      <c r="BH80" s="371">
        <f>+Copen!CV112</f>
        <v>4.9890515409753457E-3</v>
      </c>
      <c r="BI80" s="371">
        <f>+Copen!CW112</f>
        <v>4.7395989639265786E-3</v>
      </c>
    </row>
    <row r="81" spans="1:71" s="371" customFormat="1" x14ac:dyDescent="0.2">
      <c r="A81" s="225" t="s">
        <v>224</v>
      </c>
      <c r="B81" s="371">
        <f>+Copen!R113</f>
        <v>0.36395210273783341</v>
      </c>
      <c r="C81" s="371">
        <f>+Copen!X113</f>
        <v>0.63080748393847597</v>
      </c>
      <c r="D81" s="371">
        <f>+Copen!Z113</f>
        <v>0.87865736123542426</v>
      </c>
      <c r="E81" s="371">
        <f>+Copen!AB113</f>
        <v>1.1513158345113612</v>
      </c>
      <c r="F81" s="371">
        <f>+Copen!AD113</f>
        <v>0.82771882111574679</v>
      </c>
      <c r="G81" s="371">
        <f>+Copen!AF113</f>
        <v>0.58281733000257119</v>
      </c>
      <c r="H81" s="371">
        <f>+Copen!AH113</f>
        <v>0.47346501331871432</v>
      </c>
      <c r="I81" s="371">
        <f>+Copen!AJ113</f>
        <v>0.39247988492475361</v>
      </c>
      <c r="J81" s="371">
        <f>+Copen!AL113</f>
        <v>0.33258415550704068</v>
      </c>
      <c r="K81" s="371">
        <f>+Copen!AN113</f>
        <v>0.28824243469293648</v>
      </c>
      <c r="L81" s="371">
        <f>+Copen!AP113</f>
        <v>0.25672425776917929</v>
      </c>
      <c r="M81" s="371">
        <f>+Copen!AR113</f>
        <v>0.23169364263668427</v>
      </c>
      <c r="N81" s="371">
        <f>+Copen!AT113</f>
        <v>0.20910351247960754</v>
      </c>
      <c r="O81" s="371">
        <f>+Copen!AV113</f>
        <v>0.18871592001284579</v>
      </c>
      <c r="P81" s="371">
        <f>+Copen!AX113</f>
        <v>0.17031611781159331</v>
      </c>
      <c r="Q81" s="371">
        <f>+Copen!AZ113</f>
        <v>0.15371029632496294</v>
      </c>
      <c r="R81" s="371">
        <f>+Copen!BB113</f>
        <v>0.13872354243327903</v>
      </c>
      <c r="S81" s="371">
        <f>+Copen!BD113</f>
        <v>0.12519799704603432</v>
      </c>
      <c r="T81" s="371">
        <f>+Copen!BF113</f>
        <v>0.11299119233404596</v>
      </c>
      <c r="U81" s="371">
        <f>+Copen!BH113</f>
        <v>0.10197455108147647</v>
      </c>
      <c r="V81" s="371">
        <f>+Copen!BJ113</f>
        <v>9.2032032351032508E-2</v>
      </c>
      <c r="W81" s="371">
        <f>+Copen!BK113</f>
        <v>8.7430430733480877E-2</v>
      </c>
      <c r="X81" s="371">
        <f>+Copen!BL113</f>
        <v>8.3058909196806835E-2</v>
      </c>
      <c r="Y81" s="371">
        <f>+Copen!BM113</f>
        <v>7.8905963736966483E-2</v>
      </c>
      <c r="Z81" s="371">
        <f>+Copen!BN113</f>
        <v>7.4960665550118155E-2</v>
      </c>
      <c r="AA81" s="371">
        <f>+Copen!BO113</f>
        <v>7.121263227261225E-2</v>
      </c>
      <c r="AB81" s="371">
        <f>+Copen!BP113</f>
        <v>6.7652000658981637E-2</v>
      </c>
      <c r="AC81" s="371">
        <f>+Copen!BQ113</f>
        <v>6.426940062603255E-2</v>
      </c>
      <c r="AD81" s="371">
        <f>+Copen!BR113</f>
        <v>6.1055930594730919E-2</v>
      </c>
      <c r="AE81" s="371">
        <f>+Copen!BS113</f>
        <v>5.8003134064994369E-2</v>
      </c>
      <c r="AF81" s="371">
        <f>+Copen!BT113</f>
        <v>5.5102977361744646E-2</v>
      </c>
      <c r="AG81" s="371">
        <f>+Copen!BU113</f>
        <v>5.2347828493657413E-2</v>
      </c>
      <c r="AH81" s="371">
        <f>+Copen!BV113</f>
        <v>4.9730437068974537E-2</v>
      </c>
      <c r="AI81" s="371">
        <f>+Copen!BW113</f>
        <v>4.724391521552581E-2</v>
      </c>
      <c r="AJ81" s="371">
        <f>+Copen!BX113</f>
        <v>4.4881719454749516E-2</v>
      </c>
      <c r="AK81" s="371">
        <f>+Copen!BY113</f>
        <v>4.2637633482012036E-2</v>
      </c>
      <c r="AL81" s="371">
        <f>+Copen!BZ113</f>
        <v>4.0505751807911432E-2</v>
      </c>
      <c r="AM81" s="371">
        <f>+Copen!CA113</f>
        <v>3.8480464217515858E-2</v>
      </c>
      <c r="AN81" s="371">
        <f>+Copen!CB113</f>
        <v>3.6556441006640066E-2</v>
      </c>
      <c r="AO81" s="371">
        <f>+Copen!CC113</f>
        <v>3.4728618956308063E-2</v>
      </c>
      <c r="AP81" s="371">
        <f>+Copen!CD113</f>
        <v>3.2992188008492657E-2</v>
      </c>
      <c r="AQ81" s="371">
        <f>+Copen!CE113</f>
        <v>3.1342578608068022E-2</v>
      </c>
      <c r="AR81" s="371">
        <f>+Copen!CF113</f>
        <v>2.9775449677664621E-2</v>
      </c>
      <c r="AS81" s="371">
        <f>+Copen!CG113</f>
        <v>2.828667719378139E-2</v>
      </c>
      <c r="AT81" s="371">
        <f>+Copen!CH113</f>
        <v>2.687234333409232E-2</v>
      </c>
      <c r="AU81" s="371">
        <f>+Copen!CI113</f>
        <v>2.5528726167387703E-2</v>
      </c>
      <c r="AV81" s="371">
        <f>+Copen!CJ113</f>
        <v>2.4252289859018315E-2</v>
      </c>
      <c r="AW81" s="371">
        <f>+Copen!CK113</f>
        <v>2.3039675366067398E-2</v>
      </c>
      <c r="AX81" s="371">
        <f>+Copen!CL113</f>
        <v>2.1887691597764027E-2</v>
      </c>
      <c r="AY81" s="371">
        <f>+Copen!CM113</f>
        <v>2.0793307017875823E-2</v>
      </c>
      <c r="AZ81" s="371">
        <f>+Copen!CN113</f>
        <v>1.9753641666982031E-2</v>
      </c>
      <c r="BA81" s="371">
        <f>+Copen!CO113</f>
        <v>1.8765959583632929E-2</v>
      </c>
      <c r="BB81" s="371">
        <f>+Copen!CP113</f>
        <v>1.7827661604451282E-2</v>
      </c>
      <c r="BC81" s="371">
        <f>+Copen!CQ113</f>
        <v>1.6936278524228719E-2</v>
      </c>
      <c r="BD81" s="371">
        <f>+Copen!CR113</f>
        <v>1.6089464598017283E-2</v>
      </c>
      <c r="BE81" s="371">
        <f>+Copen!CS113</f>
        <v>1.5284991368116417E-2</v>
      </c>
      <c r="BF81" s="371">
        <f>+Copen!CT113</f>
        <v>1.4520741799710595E-2</v>
      </c>
      <c r="BG81" s="371">
        <f>+Copen!CU113</f>
        <v>1.3794704709725065E-2</v>
      </c>
      <c r="BH81" s="371">
        <f>+Copen!CV113</f>
        <v>1.3104969474238811E-2</v>
      </c>
      <c r="BI81" s="371">
        <f>+Copen!CW113</f>
        <v>1.2449721000526869E-2</v>
      </c>
    </row>
    <row r="82" spans="1:71" s="506" customFormat="1" x14ac:dyDescent="0.2">
      <c r="U82" s="506">
        <f>SUM(U70:U81)</f>
        <v>1.1500611286831475</v>
      </c>
      <c r="V82" s="506">
        <f>SUM(V70:V81)</f>
        <v>1.0379301686365405</v>
      </c>
    </row>
    <row r="83" spans="1:71" s="506" customFormat="1" x14ac:dyDescent="0.2">
      <c r="A83" s="506" t="s">
        <v>1014</v>
      </c>
    </row>
    <row r="84" spans="1:71" s="565" customFormat="1" ht="14" x14ac:dyDescent="0.2">
      <c r="A84" s="565" t="s">
        <v>106</v>
      </c>
      <c r="B84" s="319">
        <v>1E-3</v>
      </c>
      <c r="C84" s="565">
        <v>42.800327928662092</v>
      </c>
      <c r="D84" s="565">
        <v>71.172417385181049</v>
      </c>
      <c r="E84" s="565">
        <v>85.231065873067863</v>
      </c>
      <c r="F84" s="565">
        <v>135.01204549772399</v>
      </c>
      <c r="G84" s="565">
        <v>156.27126558160776</v>
      </c>
      <c r="H84" s="565">
        <v>189.81413522895045</v>
      </c>
      <c r="I84" s="565">
        <v>242.26958402023052</v>
      </c>
      <c r="J84" s="565">
        <v>303.94807557477873</v>
      </c>
      <c r="K84" s="565">
        <v>347.42521101610458</v>
      </c>
      <c r="L84" s="565">
        <v>450.30712263350557</v>
      </c>
      <c r="M84" s="565">
        <v>681.95114585263036</v>
      </c>
      <c r="N84" s="565">
        <v>532.37218413296023</v>
      </c>
      <c r="O84" s="565">
        <v>594.84402780059327</v>
      </c>
      <c r="P84" s="565">
        <v>658.41467629009742</v>
      </c>
      <c r="Q84" s="565">
        <v>663.19340339819735</v>
      </c>
      <c r="R84" s="565">
        <v>624.65410867312437</v>
      </c>
      <c r="S84" s="565">
        <v>614.2241591269144</v>
      </c>
      <c r="T84" s="565">
        <v>590.92968158850317</v>
      </c>
      <c r="U84" s="565">
        <v>587.45656542780728</v>
      </c>
      <c r="V84" s="565">
        <v>586.22363562495127</v>
      </c>
      <c r="W84" s="565">
        <v>577.61769929096363</v>
      </c>
      <c r="X84" s="565">
        <v>576.8529949604399</v>
      </c>
      <c r="Y84" s="565">
        <v>573.10939151764569</v>
      </c>
      <c r="Z84" s="565">
        <v>570.59849366553135</v>
      </c>
      <c r="AA84" s="565">
        <v>1200</v>
      </c>
      <c r="AB84" s="565">
        <v>1200</v>
      </c>
      <c r="AC84" s="565">
        <v>1200</v>
      </c>
      <c r="AD84" s="565">
        <v>1200</v>
      </c>
      <c r="AE84" s="565">
        <v>1200</v>
      </c>
      <c r="AF84" s="565">
        <v>1200</v>
      </c>
      <c r="AG84" s="565">
        <v>1200</v>
      </c>
      <c r="AH84" s="565">
        <v>1200</v>
      </c>
      <c r="AI84" s="565">
        <v>1200</v>
      </c>
      <c r="AJ84" s="565">
        <v>1200</v>
      </c>
      <c r="AK84" s="565">
        <v>1200</v>
      </c>
      <c r="AL84" s="565">
        <v>1200</v>
      </c>
      <c r="AM84" s="565">
        <v>1200</v>
      </c>
      <c r="AN84" s="565">
        <v>1200</v>
      </c>
      <c r="AO84" s="565">
        <v>1200</v>
      </c>
      <c r="AP84" s="565">
        <v>1200</v>
      </c>
      <c r="AQ84" s="565">
        <v>1200</v>
      </c>
      <c r="AR84" s="565">
        <v>1200</v>
      </c>
      <c r="AS84" s="565">
        <v>1200</v>
      </c>
      <c r="AT84" s="565">
        <v>1200</v>
      </c>
      <c r="AU84" s="565">
        <v>1200</v>
      </c>
      <c r="AV84" s="565">
        <v>1200</v>
      </c>
      <c r="AW84" s="565">
        <v>1200</v>
      </c>
      <c r="AX84" s="565">
        <v>1200</v>
      </c>
      <c r="AY84" s="565">
        <v>1200</v>
      </c>
      <c r="AZ84" s="565">
        <v>1200</v>
      </c>
      <c r="BA84" s="565">
        <v>1200</v>
      </c>
      <c r="BB84" s="565">
        <v>1200</v>
      </c>
      <c r="BC84" s="565">
        <v>1200</v>
      </c>
      <c r="BD84" s="565">
        <v>1200</v>
      </c>
      <c r="BE84" s="565">
        <v>1200</v>
      </c>
      <c r="BF84" s="565">
        <v>1200</v>
      </c>
      <c r="BG84" s="565">
        <v>1200</v>
      </c>
      <c r="BH84" s="565">
        <v>1200</v>
      </c>
      <c r="BI84" s="565">
        <v>1200</v>
      </c>
    </row>
    <row r="85" spans="1:71" s="506" customFormat="1" x14ac:dyDescent="0.2"/>
    <row r="86" spans="1:71" s="506" customFormat="1" x14ac:dyDescent="0.2">
      <c r="A86" s="506" t="s">
        <v>1053</v>
      </c>
    </row>
    <row r="87" spans="1:71" s="565" customFormat="1" ht="14" x14ac:dyDescent="0.2">
      <c r="A87" s="565" t="s">
        <v>106</v>
      </c>
      <c r="B87" s="319">
        <v>1E-3</v>
      </c>
      <c r="C87" s="565">
        <v>92.734851415434463</v>
      </c>
      <c r="D87" s="565">
        <v>154.88705551745403</v>
      </c>
      <c r="E87" s="565">
        <v>248.01213527973187</v>
      </c>
      <c r="F87" s="565">
        <v>385.45173508604552</v>
      </c>
      <c r="G87" s="565">
        <v>578.33076279944885</v>
      </c>
      <c r="H87" s="565">
        <v>823.63433554415155</v>
      </c>
      <c r="I87" s="565">
        <v>1165.7471019211685</v>
      </c>
      <c r="J87" s="565">
        <v>1245.6350866957441</v>
      </c>
      <c r="K87" s="565">
        <v>893.50768223114665</v>
      </c>
      <c r="L87" s="565">
        <v>1200</v>
      </c>
      <c r="M87" s="565">
        <v>900</v>
      </c>
      <c r="N87" s="565">
        <v>702.64811759698864</v>
      </c>
      <c r="O87" s="565">
        <v>649.93499504797649</v>
      </c>
      <c r="P87" s="565">
        <v>647.09613485522198</v>
      </c>
      <c r="Q87" s="565">
        <v>648.59072085149205</v>
      </c>
      <c r="R87" s="565">
        <v>647.08623975009039</v>
      </c>
      <c r="S87" s="565">
        <v>639.97912404745045</v>
      </c>
      <c r="T87" s="565">
        <v>719.70117465699525</v>
      </c>
      <c r="U87" s="565">
        <v>567.70707524514637</v>
      </c>
      <c r="V87" s="565">
        <v>567.66489871334636</v>
      </c>
      <c r="W87" s="565">
        <v>567.35467692486475</v>
      </c>
      <c r="X87" s="565">
        <v>567.32812616664341</v>
      </c>
      <c r="Y87" s="565">
        <v>567.301110771612</v>
      </c>
      <c r="Z87" s="565">
        <v>567.10493493504396</v>
      </c>
      <c r="AA87" s="565">
        <v>1200</v>
      </c>
      <c r="AB87" s="565">
        <v>1200</v>
      </c>
      <c r="AC87" s="565">
        <v>1200</v>
      </c>
      <c r="AD87" s="565">
        <v>1200</v>
      </c>
      <c r="AE87" s="565">
        <v>1200</v>
      </c>
      <c r="AF87" s="565">
        <v>1200</v>
      </c>
      <c r="AG87" s="565">
        <v>1200</v>
      </c>
      <c r="AH87" s="565">
        <v>1200</v>
      </c>
      <c r="AI87" s="565">
        <v>1200</v>
      </c>
      <c r="AJ87" s="565">
        <v>1200</v>
      </c>
      <c r="AK87" s="565">
        <v>1200</v>
      </c>
      <c r="AL87" s="565">
        <v>1200</v>
      </c>
      <c r="AM87" s="565">
        <v>1200</v>
      </c>
      <c r="AN87" s="565">
        <v>1200</v>
      </c>
      <c r="AO87" s="565">
        <v>1200</v>
      </c>
      <c r="AP87" s="565">
        <v>1200</v>
      </c>
      <c r="AQ87" s="565">
        <v>1200</v>
      </c>
      <c r="AR87" s="565">
        <v>1200</v>
      </c>
      <c r="AS87" s="565">
        <v>1200</v>
      </c>
      <c r="AT87" s="565">
        <v>1200</v>
      </c>
      <c r="AU87" s="565">
        <v>1200</v>
      </c>
      <c r="AV87" s="565">
        <v>1200</v>
      </c>
      <c r="AW87" s="565">
        <v>1200</v>
      </c>
      <c r="AX87" s="565">
        <v>1200</v>
      </c>
      <c r="AY87" s="565">
        <v>1200</v>
      </c>
      <c r="AZ87" s="565">
        <v>1200</v>
      </c>
      <c r="BA87" s="565">
        <v>1200</v>
      </c>
      <c r="BB87" s="565">
        <v>1200</v>
      </c>
      <c r="BC87" s="565">
        <v>1200</v>
      </c>
      <c r="BD87" s="565">
        <v>1200</v>
      </c>
      <c r="BE87" s="565">
        <v>1200</v>
      </c>
      <c r="BF87" s="565">
        <v>1200</v>
      </c>
      <c r="BG87" s="565">
        <v>1200</v>
      </c>
      <c r="BH87" s="565">
        <v>1200</v>
      </c>
      <c r="BI87" s="565">
        <v>1200</v>
      </c>
    </row>
    <row r="88" spans="1:71" s="506" customFormat="1" x14ac:dyDescent="0.2"/>
    <row r="89" spans="1:71" x14ac:dyDescent="0.2">
      <c r="A89" s="221" t="s">
        <v>1079</v>
      </c>
    </row>
    <row r="90" spans="1:71" s="523" customFormat="1" ht="14" x14ac:dyDescent="0.2">
      <c r="A90" s="522" t="s">
        <v>106</v>
      </c>
      <c r="B90" s="319">
        <v>1E-3</v>
      </c>
      <c r="C90" s="319">
        <v>1E-3</v>
      </c>
      <c r="D90" s="319">
        <v>1E-3</v>
      </c>
      <c r="E90" s="319">
        <v>1E-3</v>
      </c>
      <c r="F90" s="319">
        <v>1E-3</v>
      </c>
      <c r="G90" s="319">
        <v>1E-3</v>
      </c>
      <c r="H90" s="319">
        <v>1E-3</v>
      </c>
      <c r="I90" s="319">
        <v>1E-3</v>
      </c>
      <c r="J90" s="319">
        <v>1E-3</v>
      </c>
      <c r="K90" s="319">
        <v>1E-3</v>
      </c>
      <c r="L90" s="319">
        <v>1E-3</v>
      </c>
      <c r="M90" s="319">
        <v>1E-3</v>
      </c>
      <c r="N90" s="319">
        <v>1E-3</v>
      </c>
      <c r="O90" s="319">
        <v>1E-3</v>
      </c>
      <c r="P90" s="319">
        <v>1E-3</v>
      </c>
      <c r="Q90" s="319">
        <v>1E-3</v>
      </c>
      <c r="R90" s="319">
        <v>1E-3</v>
      </c>
      <c r="S90" s="319">
        <v>1E-3</v>
      </c>
      <c r="T90" s="319">
        <v>1E-3</v>
      </c>
      <c r="U90" s="319">
        <v>1E-3</v>
      </c>
      <c r="V90" s="319">
        <v>1E-3</v>
      </c>
      <c r="W90" s="319">
        <v>1E-3</v>
      </c>
      <c r="X90" s="319">
        <v>1E-3</v>
      </c>
      <c r="Y90" s="319">
        <v>1E-3</v>
      </c>
      <c r="Z90" s="319">
        <v>1E-3</v>
      </c>
      <c r="AA90" s="319">
        <v>1E-3</v>
      </c>
      <c r="AB90" s="319">
        <v>1E-3</v>
      </c>
      <c r="AC90" s="319">
        <v>1E-3</v>
      </c>
      <c r="AD90" s="319">
        <v>1E-3</v>
      </c>
      <c r="AE90" s="319">
        <v>1E-3</v>
      </c>
      <c r="AF90" s="319">
        <v>1E-3</v>
      </c>
      <c r="AG90" s="319">
        <v>1E-3</v>
      </c>
      <c r="AH90" s="319">
        <v>1E-3</v>
      </c>
      <c r="AI90" s="319">
        <v>1E-3</v>
      </c>
      <c r="AJ90" s="319">
        <v>1E-3</v>
      </c>
      <c r="AK90" s="319">
        <v>1E-3</v>
      </c>
      <c r="AL90" s="319">
        <v>1E-3</v>
      </c>
      <c r="AM90" s="319">
        <v>1E-3</v>
      </c>
      <c r="AN90" s="319">
        <v>1E-3</v>
      </c>
      <c r="AO90" s="319">
        <v>1E-3</v>
      </c>
      <c r="AP90" s="319">
        <v>1E-3</v>
      </c>
      <c r="AQ90" s="319">
        <v>1E-3</v>
      </c>
      <c r="AR90" s="319">
        <v>1E-3</v>
      </c>
      <c r="AS90" s="319">
        <v>1E-3</v>
      </c>
      <c r="AT90" s="319">
        <v>1E-3</v>
      </c>
      <c r="AU90" s="319">
        <v>1E-3</v>
      </c>
      <c r="AV90" s="319">
        <v>1E-3</v>
      </c>
      <c r="AW90" s="319">
        <v>1E-3</v>
      </c>
      <c r="AX90" s="319">
        <v>1E-3</v>
      </c>
      <c r="AY90" s="319">
        <v>1E-3</v>
      </c>
      <c r="AZ90" s="319">
        <v>1E-3</v>
      </c>
      <c r="BA90" s="319">
        <v>1E-3</v>
      </c>
      <c r="BB90" s="319">
        <v>1E-3</v>
      </c>
      <c r="BC90" s="319">
        <v>1E-3</v>
      </c>
      <c r="BD90" s="319">
        <v>1E-3</v>
      </c>
      <c r="BE90" s="319">
        <v>1E-3</v>
      </c>
      <c r="BF90" s="319">
        <v>1E-3</v>
      </c>
      <c r="BG90" s="319">
        <v>1E-3</v>
      </c>
      <c r="BH90" s="319">
        <v>1E-3</v>
      </c>
      <c r="BI90" s="319">
        <v>1E-3</v>
      </c>
    </row>
    <row r="96" spans="1:71" x14ac:dyDescent="0.2">
      <c r="J96" s="369"/>
      <c r="K96" s="369"/>
      <c r="L96" s="369"/>
      <c r="M96" s="369"/>
      <c r="N96" s="369"/>
      <c r="O96" s="369"/>
      <c r="P96" s="369"/>
      <c r="BM96" s="369"/>
      <c r="BN96" s="369"/>
      <c r="BO96" s="369"/>
      <c r="BP96" s="369"/>
      <c r="BQ96" s="369"/>
      <c r="BR96" s="369"/>
      <c r="BS96" s="369"/>
    </row>
    <row r="98" spans="10:71" x14ac:dyDescent="0.2">
      <c r="J98" s="369"/>
      <c r="K98" s="369"/>
      <c r="L98" s="369"/>
      <c r="M98" s="369"/>
      <c r="N98" s="369"/>
      <c r="O98" s="369"/>
      <c r="P98" s="369"/>
      <c r="BM98" s="369"/>
      <c r="BN98" s="369"/>
      <c r="BO98" s="369"/>
      <c r="BP98" s="369"/>
      <c r="BQ98" s="369"/>
      <c r="BR98" s="369"/>
      <c r="BS98" s="36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C1C7-461F-D441-B624-FA33EEE11ACC}">
  <dimension ref="A1:N158"/>
  <sheetViews>
    <sheetView topLeftCell="A81" workbookViewId="0">
      <selection activeCell="N116" sqref="N116"/>
    </sheetView>
  </sheetViews>
  <sheetFormatPr baseColWidth="10" defaultRowHeight="16" x14ac:dyDescent="0.2"/>
  <cols>
    <col min="1" max="16384" width="10.83203125" style="678"/>
  </cols>
  <sheetData>
    <row r="1" spans="1:14" x14ac:dyDescent="0.2">
      <c r="A1" s="678" t="s">
        <v>1310</v>
      </c>
      <c r="B1" s="678" t="s">
        <v>1311</v>
      </c>
    </row>
    <row r="2" spans="1:14" x14ac:dyDescent="0.2">
      <c r="A2" s="678" t="s">
        <v>1312</v>
      </c>
    </row>
    <row r="3" spans="1:14" x14ac:dyDescent="0.2">
      <c r="A3" s="678" t="s">
        <v>1313</v>
      </c>
    </row>
    <row r="4" spans="1:14" x14ac:dyDescent="0.2">
      <c r="A4" s="678" t="s">
        <v>1312</v>
      </c>
    </row>
    <row r="5" spans="1:14" x14ac:dyDescent="0.2">
      <c r="A5" s="678" t="s">
        <v>1314</v>
      </c>
      <c r="B5" s="678" t="s">
        <v>1315</v>
      </c>
      <c r="C5" s="678" t="s">
        <v>1316</v>
      </c>
      <c r="D5" s="678" t="s">
        <v>1317</v>
      </c>
      <c r="E5" s="678" t="s">
        <v>1318</v>
      </c>
      <c r="F5" s="678" t="s">
        <v>1319</v>
      </c>
      <c r="G5" s="678" t="s">
        <v>1320</v>
      </c>
      <c r="H5" s="678" t="s">
        <v>1321</v>
      </c>
      <c r="I5" s="678" t="s">
        <v>1322</v>
      </c>
      <c r="J5" s="678" t="s">
        <v>1323</v>
      </c>
      <c r="K5" s="678" t="s">
        <v>1324</v>
      </c>
      <c r="L5" s="678" t="s">
        <v>1325</v>
      </c>
      <c r="M5" s="678" t="s">
        <v>1326</v>
      </c>
      <c r="N5" s="678" t="s">
        <v>1327</v>
      </c>
    </row>
    <row r="6" spans="1:14" x14ac:dyDescent="0.2">
      <c r="A6" s="678">
        <v>1880</v>
      </c>
      <c r="B6" s="678">
        <v>0.14000000000000001</v>
      </c>
      <c r="C6" s="678">
        <v>0.04</v>
      </c>
      <c r="D6" s="678">
        <v>0.19</v>
      </c>
      <c r="E6" s="678">
        <v>0.11</v>
      </c>
      <c r="F6" s="678">
        <v>0.18</v>
      </c>
      <c r="G6" s="678">
        <v>0.08</v>
      </c>
      <c r="H6" s="678">
        <v>0.06</v>
      </c>
      <c r="I6" s="678">
        <v>0.15</v>
      </c>
      <c r="J6" s="678">
        <v>0.1</v>
      </c>
      <c r="K6" s="678">
        <v>0</v>
      </c>
      <c r="L6" s="678">
        <v>0.04</v>
      </c>
      <c r="M6" s="678">
        <v>0.11</v>
      </c>
      <c r="N6" s="678">
        <v>0.1</v>
      </c>
    </row>
    <row r="7" spans="1:14" x14ac:dyDescent="0.2">
      <c r="A7" s="678">
        <v>1881</v>
      </c>
      <c r="B7" s="678">
        <v>0.13</v>
      </c>
      <c r="C7" s="678">
        <v>0.15</v>
      </c>
      <c r="D7" s="678">
        <v>0.31</v>
      </c>
      <c r="E7" s="678">
        <v>0.32</v>
      </c>
      <c r="F7" s="678">
        <v>0.33</v>
      </c>
      <c r="G7" s="678">
        <v>0.1</v>
      </c>
      <c r="H7" s="678">
        <v>0.24</v>
      </c>
      <c r="I7" s="678">
        <v>0.21</v>
      </c>
      <c r="J7" s="678">
        <v>0.09</v>
      </c>
      <c r="K7" s="678">
        <v>0.01</v>
      </c>
      <c r="L7" s="678">
        <v>7.0000000000000007E-2</v>
      </c>
      <c r="M7" s="678">
        <v>0.21</v>
      </c>
      <c r="N7" s="678">
        <v>0.18</v>
      </c>
    </row>
    <row r="8" spans="1:14" x14ac:dyDescent="0.2">
      <c r="A8" s="678">
        <v>1882</v>
      </c>
      <c r="B8" s="678">
        <v>0.49</v>
      </c>
      <c r="C8" s="678">
        <v>0.43</v>
      </c>
      <c r="D8" s="678">
        <v>0.32</v>
      </c>
      <c r="E8" s="678">
        <v>0.1</v>
      </c>
      <c r="F8" s="678">
        <v>0.13</v>
      </c>
      <c r="G8" s="678">
        <v>0.06</v>
      </c>
      <c r="H8" s="678">
        <v>0.08</v>
      </c>
      <c r="I8" s="678">
        <v>0.18</v>
      </c>
      <c r="J8" s="678">
        <v>0.1</v>
      </c>
      <c r="K8" s="678">
        <v>0</v>
      </c>
      <c r="L8" s="678">
        <v>0.09</v>
      </c>
      <c r="M8" s="678">
        <v>-7.0000000000000007E-2</v>
      </c>
      <c r="N8" s="678">
        <v>0.16</v>
      </c>
    </row>
    <row r="9" spans="1:14" x14ac:dyDescent="0.2">
      <c r="A9" s="678">
        <v>1883</v>
      </c>
      <c r="B9" s="678">
        <v>0.04</v>
      </c>
      <c r="C9" s="678">
        <v>-0.08</v>
      </c>
      <c r="D9" s="678">
        <v>0.15</v>
      </c>
      <c r="E9" s="678">
        <v>0.09</v>
      </c>
      <c r="F9" s="678">
        <v>0.1</v>
      </c>
      <c r="G9" s="678">
        <v>0.21</v>
      </c>
      <c r="H9" s="678">
        <v>0.18</v>
      </c>
      <c r="I9" s="678">
        <v>0.12</v>
      </c>
      <c r="J9" s="678">
        <v>0.04</v>
      </c>
      <c r="K9" s="678">
        <v>0.13</v>
      </c>
      <c r="L9" s="678">
        <v>0.03</v>
      </c>
      <c r="M9" s="678">
        <v>0.18</v>
      </c>
      <c r="N9" s="678">
        <v>0.1</v>
      </c>
    </row>
    <row r="10" spans="1:14" x14ac:dyDescent="0.2">
      <c r="A10" s="678">
        <v>1884</v>
      </c>
      <c r="B10" s="678">
        <v>0.2</v>
      </c>
      <c r="C10" s="678">
        <v>0.21</v>
      </c>
      <c r="D10" s="678">
        <v>-0.09</v>
      </c>
      <c r="E10" s="678">
        <v>-0.13</v>
      </c>
      <c r="F10" s="678">
        <v>-0.06</v>
      </c>
      <c r="G10" s="678">
        <v>-0.06</v>
      </c>
      <c r="H10" s="678">
        <v>-7.0000000000000007E-2</v>
      </c>
      <c r="I10" s="678">
        <v>-0.03</v>
      </c>
      <c r="J10" s="678">
        <v>-0.02</v>
      </c>
      <c r="K10" s="678">
        <v>-0.01</v>
      </c>
      <c r="L10" s="678">
        <v>-0.08</v>
      </c>
      <c r="M10" s="678">
        <v>-0.02</v>
      </c>
      <c r="N10" s="678">
        <v>-0.01</v>
      </c>
    </row>
    <row r="11" spans="1:14" x14ac:dyDescent="0.2">
      <c r="A11" s="678">
        <v>1885</v>
      </c>
      <c r="B11" s="678">
        <v>-0.26</v>
      </c>
      <c r="C11" s="678">
        <v>-0.05</v>
      </c>
      <c r="D11" s="678">
        <v>0.01</v>
      </c>
      <c r="E11" s="678">
        <v>-0.15</v>
      </c>
      <c r="F11" s="678">
        <v>-0.18</v>
      </c>
      <c r="G11" s="678">
        <v>-0.15</v>
      </c>
      <c r="H11" s="678">
        <v>-0.1</v>
      </c>
      <c r="I11" s="678">
        <v>-0.06</v>
      </c>
      <c r="J11" s="678">
        <v>-0.03</v>
      </c>
      <c r="K11" s="678">
        <v>0</v>
      </c>
      <c r="L11" s="678">
        <v>0.02</v>
      </c>
      <c r="M11" s="678">
        <v>0.19</v>
      </c>
      <c r="N11" s="678">
        <v>-0.06</v>
      </c>
    </row>
    <row r="12" spans="1:14" x14ac:dyDescent="0.2">
      <c r="A12" s="678">
        <v>1886</v>
      </c>
      <c r="B12" s="678">
        <v>-0.11</v>
      </c>
      <c r="C12" s="678">
        <v>-0.21</v>
      </c>
      <c r="D12" s="678">
        <v>-0.15</v>
      </c>
      <c r="E12" s="678">
        <v>-0.01</v>
      </c>
      <c r="F12" s="678">
        <v>0.04</v>
      </c>
      <c r="G12" s="678">
        <v>-0.06</v>
      </c>
      <c r="H12" s="678">
        <v>0.06</v>
      </c>
      <c r="I12" s="678">
        <v>-0.05</v>
      </c>
      <c r="J12" s="678">
        <v>0.01</v>
      </c>
      <c r="K12" s="678">
        <v>-0.04</v>
      </c>
      <c r="L12" s="678">
        <v>-0.02</v>
      </c>
      <c r="M12" s="678">
        <v>0.04</v>
      </c>
      <c r="N12" s="678">
        <v>-0.04</v>
      </c>
    </row>
    <row r="13" spans="1:14" x14ac:dyDescent="0.2">
      <c r="A13" s="678">
        <v>1887</v>
      </c>
      <c r="B13" s="678">
        <v>-0.39</v>
      </c>
      <c r="C13" s="678">
        <v>-0.28000000000000003</v>
      </c>
      <c r="D13" s="678">
        <v>-0.08</v>
      </c>
      <c r="E13" s="678">
        <v>-0.08</v>
      </c>
      <c r="F13" s="678">
        <v>-0.03</v>
      </c>
      <c r="G13" s="678">
        <v>0.04</v>
      </c>
      <c r="H13" s="678">
        <v>-0.02</v>
      </c>
      <c r="I13" s="678">
        <v>-0.1</v>
      </c>
      <c r="J13" s="678">
        <v>-0.01</v>
      </c>
      <c r="K13" s="678">
        <v>-0.12</v>
      </c>
      <c r="L13" s="678">
        <v>0</v>
      </c>
      <c r="M13" s="678">
        <v>-0.04</v>
      </c>
      <c r="N13" s="678">
        <v>-0.09</v>
      </c>
    </row>
    <row r="14" spans="1:14" x14ac:dyDescent="0.2">
      <c r="A14" s="678">
        <v>1888</v>
      </c>
      <c r="B14" s="678">
        <v>-0.01</v>
      </c>
      <c r="C14" s="678">
        <v>-7.0000000000000007E-2</v>
      </c>
      <c r="D14" s="678">
        <v>-0.13</v>
      </c>
      <c r="E14" s="678">
        <v>7.0000000000000007E-2</v>
      </c>
      <c r="F14" s="678">
        <v>0.06</v>
      </c>
      <c r="G14" s="678">
        <v>0.12</v>
      </c>
      <c r="H14" s="678">
        <v>0.14000000000000001</v>
      </c>
      <c r="I14" s="678">
        <v>0.1</v>
      </c>
      <c r="J14" s="678">
        <v>0.13</v>
      </c>
      <c r="K14" s="678">
        <v>0.25</v>
      </c>
      <c r="L14" s="678">
        <v>0.28999999999999998</v>
      </c>
      <c r="M14" s="678">
        <v>0.25</v>
      </c>
      <c r="N14" s="678">
        <v>0.1</v>
      </c>
    </row>
    <row r="15" spans="1:14" x14ac:dyDescent="0.2">
      <c r="A15" s="678">
        <v>1889</v>
      </c>
      <c r="B15" s="678">
        <v>0.24</v>
      </c>
      <c r="C15" s="678">
        <v>0.46</v>
      </c>
      <c r="D15" s="678">
        <v>0.34</v>
      </c>
      <c r="E15" s="678">
        <v>0.37</v>
      </c>
      <c r="F15" s="678">
        <v>0.27</v>
      </c>
      <c r="G15" s="678">
        <v>0.19</v>
      </c>
      <c r="H15" s="678">
        <v>0.17</v>
      </c>
      <c r="I15" s="678">
        <v>0.05</v>
      </c>
      <c r="J15" s="678">
        <v>0.01</v>
      </c>
      <c r="K15" s="678">
        <v>-0.02</v>
      </c>
      <c r="L15" s="678">
        <v>-7.0000000000000007E-2</v>
      </c>
      <c r="M15" s="678">
        <v>0</v>
      </c>
      <c r="N15" s="678">
        <v>0.17</v>
      </c>
    </row>
    <row r="16" spans="1:14" x14ac:dyDescent="0.2">
      <c r="A16" s="678">
        <v>1890</v>
      </c>
      <c r="B16" s="678">
        <v>-0.09</v>
      </c>
      <c r="C16" s="678">
        <v>-0.15</v>
      </c>
      <c r="D16" s="678">
        <v>-0.12</v>
      </c>
      <c r="E16" s="678">
        <v>-0.03</v>
      </c>
      <c r="F16" s="678">
        <v>-0.12</v>
      </c>
      <c r="G16" s="678">
        <v>0.05</v>
      </c>
      <c r="H16" s="678">
        <v>-0.04</v>
      </c>
      <c r="I16" s="678">
        <v>-0.13</v>
      </c>
      <c r="J16" s="678">
        <v>-0.11</v>
      </c>
      <c r="K16" s="678">
        <v>-0.01</v>
      </c>
      <c r="L16" s="678">
        <v>-0.17</v>
      </c>
      <c r="M16" s="678">
        <v>-0.03</v>
      </c>
      <c r="N16" s="678">
        <v>-0.08</v>
      </c>
    </row>
    <row r="17" spans="1:14" x14ac:dyDescent="0.2">
      <c r="A17" s="678">
        <v>1891</v>
      </c>
      <c r="B17" s="678">
        <v>-0.01</v>
      </c>
      <c r="C17" s="678">
        <v>-0.17</v>
      </c>
      <c r="D17" s="678">
        <v>0.1</v>
      </c>
      <c r="E17" s="678">
        <v>0</v>
      </c>
      <c r="F17" s="678">
        <v>0.11</v>
      </c>
      <c r="G17" s="678">
        <v>0.08</v>
      </c>
      <c r="H17" s="678">
        <v>7.0000000000000007E-2</v>
      </c>
      <c r="I17" s="678">
        <v>0.08</v>
      </c>
      <c r="J17" s="678">
        <v>0.09</v>
      </c>
      <c r="K17" s="678">
        <v>0.02</v>
      </c>
      <c r="L17" s="678">
        <v>-0.05</v>
      </c>
      <c r="M17" s="678">
        <v>0.24</v>
      </c>
      <c r="N17" s="678">
        <v>0.05</v>
      </c>
    </row>
    <row r="18" spans="1:14" x14ac:dyDescent="0.2">
      <c r="A18" s="678">
        <v>1892</v>
      </c>
      <c r="B18" s="678">
        <v>0.03</v>
      </c>
      <c r="C18" s="678">
        <v>0.18</v>
      </c>
      <c r="D18" s="678">
        <v>-0.13</v>
      </c>
      <c r="E18" s="678">
        <v>-0.06</v>
      </c>
      <c r="F18" s="678">
        <v>0.04</v>
      </c>
      <c r="G18" s="678">
        <v>7.0000000000000007E-2</v>
      </c>
      <c r="H18" s="678">
        <v>-0.08</v>
      </c>
      <c r="I18" s="678">
        <v>-0.01</v>
      </c>
      <c r="J18" s="678">
        <v>0.08</v>
      </c>
      <c r="K18" s="678">
        <v>0.1</v>
      </c>
      <c r="L18" s="678">
        <v>-0.16</v>
      </c>
      <c r="M18" s="678">
        <v>-0.1</v>
      </c>
      <c r="N18" s="678">
        <v>0</v>
      </c>
    </row>
    <row r="19" spans="1:14" x14ac:dyDescent="0.2">
      <c r="A19" s="678">
        <v>1893</v>
      </c>
      <c r="B19" s="678">
        <v>-0.48</v>
      </c>
      <c r="C19" s="678">
        <v>-0.27</v>
      </c>
      <c r="D19" s="678">
        <v>0.06</v>
      </c>
      <c r="E19" s="678">
        <v>0</v>
      </c>
      <c r="F19" s="678">
        <v>-0.06</v>
      </c>
      <c r="G19" s="678">
        <v>0.04</v>
      </c>
      <c r="H19" s="678">
        <v>0.1</v>
      </c>
      <c r="I19" s="678">
        <v>0.01</v>
      </c>
      <c r="J19" s="678">
        <v>0.03</v>
      </c>
      <c r="K19" s="678">
        <v>0.06</v>
      </c>
      <c r="L19" s="678">
        <v>0.08</v>
      </c>
      <c r="M19" s="678">
        <v>-0.03</v>
      </c>
      <c r="N19" s="678">
        <v>-0.04</v>
      </c>
    </row>
    <row r="20" spans="1:14" x14ac:dyDescent="0.2">
      <c r="A20" s="678">
        <v>1894</v>
      </c>
      <c r="B20" s="678">
        <v>-0.19</v>
      </c>
      <c r="C20" s="678">
        <v>0.01</v>
      </c>
      <c r="D20" s="678">
        <v>0.05</v>
      </c>
      <c r="E20" s="678">
        <v>-0.17</v>
      </c>
      <c r="F20" s="678">
        <v>-0.03</v>
      </c>
      <c r="G20" s="678">
        <v>-0.11</v>
      </c>
      <c r="H20" s="678">
        <v>0.01</v>
      </c>
      <c r="I20" s="678">
        <v>0.02</v>
      </c>
      <c r="J20" s="678">
        <v>-0.03</v>
      </c>
      <c r="K20" s="678">
        <v>0.01</v>
      </c>
      <c r="L20" s="678">
        <v>0.01</v>
      </c>
      <c r="M20" s="678">
        <v>0.08</v>
      </c>
      <c r="N20" s="678">
        <v>-0.03</v>
      </c>
    </row>
    <row r="21" spans="1:14" x14ac:dyDescent="0.2">
      <c r="A21" s="678">
        <v>1895</v>
      </c>
      <c r="B21" s="678">
        <v>-0.08</v>
      </c>
      <c r="C21" s="678">
        <v>-0.13</v>
      </c>
      <c r="D21" s="678">
        <v>-0.05</v>
      </c>
      <c r="E21" s="678">
        <v>0.06</v>
      </c>
      <c r="F21" s="678">
        <v>0.01</v>
      </c>
      <c r="G21" s="678">
        <v>0.08</v>
      </c>
      <c r="H21" s="678">
        <v>0.08</v>
      </c>
      <c r="I21" s="678">
        <v>0.09</v>
      </c>
      <c r="J21" s="678">
        <v>0.12</v>
      </c>
      <c r="K21" s="678">
        <v>0.13</v>
      </c>
      <c r="L21" s="678">
        <v>0.09</v>
      </c>
      <c r="M21" s="678">
        <v>0.15</v>
      </c>
      <c r="N21" s="678">
        <v>0.05</v>
      </c>
    </row>
    <row r="22" spans="1:14" x14ac:dyDescent="0.2">
      <c r="A22" s="678">
        <v>1896</v>
      </c>
      <c r="B22" s="678">
        <v>0.11</v>
      </c>
      <c r="C22" s="678">
        <v>0.17</v>
      </c>
      <c r="D22" s="678">
        <v>0.02</v>
      </c>
      <c r="E22" s="678">
        <v>-0.03</v>
      </c>
      <c r="F22" s="678">
        <v>0.12</v>
      </c>
      <c r="G22" s="678">
        <v>0.18</v>
      </c>
      <c r="H22" s="678">
        <v>0.22</v>
      </c>
      <c r="I22" s="678">
        <v>0.21</v>
      </c>
      <c r="J22" s="678">
        <v>0.18</v>
      </c>
      <c r="K22" s="678">
        <v>0.3</v>
      </c>
      <c r="L22" s="678">
        <v>0.22</v>
      </c>
      <c r="M22" s="678">
        <v>0.24</v>
      </c>
      <c r="N22" s="678">
        <v>0.16</v>
      </c>
    </row>
    <row r="23" spans="1:14" x14ac:dyDescent="0.2">
      <c r="A23" s="678">
        <v>1897</v>
      </c>
      <c r="B23" s="678">
        <v>0.18</v>
      </c>
      <c r="C23" s="678">
        <v>0.13</v>
      </c>
      <c r="D23" s="678">
        <v>0.15</v>
      </c>
      <c r="E23" s="678">
        <v>0.25</v>
      </c>
      <c r="F23" s="678">
        <v>0.26</v>
      </c>
      <c r="G23" s="678">
        <v>0.18</v>
      </c>
      <c r="H23" s="678">
        <v>0.22</v>
      </c>
      <c r="I23" s="678">
        <v>0.16</v>
      </c>
      <c r="J23" s="678">
        <v>0.16</v>
      </c>
      <c r="K23" s="678">
        <v>0.11</v>
      </c>
      <c r="L23" s="678">
        <v>0.08</v>
      </c>
      <c r="M23" s="678">
        <v>0.08</v>
      </c>
      <c r="N23" s="678">
        <v>0.16</v>
      </c>
    </row>
    <row r="24" spans="1:14" x14ac:dyDescent="0.2">
      <c r="A24" s="678">
        <v>1898</v>
      </c>
      <c r="B24" s="678">
        <v>0.3</v>
      </c>
      <c r="C24" s="678">
        <v>-0.01</v>
      </c>
      <c r="D24" s="678">
        <v>-0.23</v>
      </c>
      <c r="E24" s="678">
        <v>-0.03</v>
      </c>
      <c r="F24" s="678">
        <v>-0.03</v>
      </c>
      <c r="G24" s="678">
        <v>0.1</v>
      </c>
      <c r="H24" s="678">
        <v>0.02</v>
      </c>
      <c r="I24" s="678">
        <v>-0.01</v>
      </c>
      <c r="J24" s="678">
        <v>0.03</v>
      </c>
      <c r="K24" s="678">
        <v>-0.11</v>
      </c>
      <c r="L24" s="678">
        <v>-0.12</v>
      </c>
      <c r="M24" s="678">
        <v>0.05</v>
      </c>
      <c r="N24" s="678">
        <v>0</v>
      </c>
    </row>
    <row r="25" spans="1:14" x14ac:dyDescent="0.2">
      <c r="A25" s="678">
        <v>1899</v>
      </c>
      <c r="B25" s="678">
        <v>0.17</v>
      </c>
      <c r="C25" s="678">
        <v>-0.09</v>
      </c>
      <c r="D25" s="678">
        <v>-0.09</v>
      </c>
      <c r="E25" s="678">
        <v>7.0000000000000007E-2</v>
      </c>
      <c r="F25" s="678">
        <v>0.05</v>
      </c>
      <c r="G25" s="678">
        <v>-0.03</v>
      </c>
      <c r="H25" s="678">
        <v>0.09</v>
      </c>
      <c r="I25" s="678">
        <v>0.18</v>
      </c>
      <c r="J25" s="678">
        <v>0.2</v>
      </c>
      <c r="K25" s="678">
        <v>0.2</v>
      </c>
      <c r="L25" s="678">
        <v>0.38</v>
      </c>
      <c r="M25" s="678">
        <v>0.03</v>
      </c>
      <c r="N25" s="678">
        <v>0.1</v>
      </c>
    </row>
    <row r="26" spans="1:14" x14ac:dyDescent="0.2">
      <c r="A26" s="678">
        <v>1900</v>
      </c>
      <c r="B26" s="678">
        <v>-0.03</v>
      </c>
      <c r="C26" s="678">
        <v>0.24</v>
      </c>
      <c r="D26" s="678">
        <v>0.28000000000000003</v>
      </c>
      <c r="E26" s="678">
        <v>0.19</v>
      </c>
      <c r="F26" s="678">
        <v>0.19</v>
      </c>
      <c r="G26" s="678">
        <v>0.19</v>
      </c>
      <c r="H26" s="678">
        <v>0.11</v>
      </c>
      <c r="I26" s="678">
        <v>0.17</v>
      </c>
      <c r="J26" s="678">
        <v>0.2</v>
      </c>
      <c r="K26" s="678">
        <v>0.33</v>
      </c>
      <c r="L26" s="678">
        <v>0.19</v>
      </c>
      <c r="M26" s="678">
        <v>0.22</v>
      </c>
      <c r="N26" s="678">
        <v>0.19</v>
      </c>
    </row>
    <row r="27" spans="1:14" x14ac:dyDescent="0.2">
      <c r="A27" s="678">
        <v>1901</v>
      </c>
      <c r="B27" s="678">
        <v>0.1</v>
      </c>
      <c r="C27" s="678">
        <v>0.19</v>
      </c>
      <c r="D27" s="678">
        <v>0.33</v>
      </c>
      <c r="E27" s="678">
        <v>0.24</v>
      </c>
      <c r="F27" s="678">
        <v>0.13</v>
      </c>
      <c r="G27" s="678">
        <v>0.17</v>
      </c>
      <c r="H27" s="678">
        <v>0.1</v>
      </c>
      <c r="I27" s="678">
        <v>0.05</v>
      </c>
      <c r="J27" s="678">
        <v>0.03</v>
      </c>
      <c r="K27" s="678">
        <v>-0.05</v>
      </c>
      <c r="L27" s="678">
        <v>0.1</v>
      </c>
      <c r="M27" s="678">
        <v>0.02</v>
      </c>
      <c r="N27" s="678">
        <v>0.12</v>
      </c>
    </row>
    <row r="28" spans="1:14" x14ac:dyDescent="0.2">
      <c r="A28" s="678">
        <v>1902</v>
      </c>
      <c r="B28" s="678">
        <v>0.16</v>
      </c>
      <c r="C28" s="678">
        <v>0.21</v>
      </c>
      <c r="D28" s="678">
        <v>0.01</v>
      </c>
      <c r="E28" s="678">
        <v>0</v>
      </c>
      <c r="F28" s="678">
        <v>-0.04</v>
      </c>
      <c r="G28" s="678">
        <v>-0.03</v>
      </c>
      <c r="H28" s="678">
        <v>-0.04</v>
      </c>
      <c r="I28" s="678">
        <v>-0.04</v>
      </c>
      <c r="J28" s="678">
        <v>-0.04</v>
      </c>
      <c r="K28" s="678">
        <v>-7.0000000000000007E-2</v>
      </c>
      <c r="L28" s="678">
        <v>-0.1</v>
      </c>
      <c r="M28" s="678">
        <v>-0.13</v>
      </c>
      <c r="N28" s="678">
        <v>-0.01</v>
      </c>
    </row>
    <row r="29" spans="1:14" x14ac:dyDescent="0.2">
      <c r="A29" s="678">
        <v>1903</v>
      </c>
      <c r="B29" s="678">
        <v>0.09</v>
      </c>
      <c r="C29" s="678">
        <v>0.23</v>
      </c>
      <c r="D29" s="678">
        <v>0.04</v>
      </c>
      <c r="E29" s="678">
        <v>-0.14000000000000001</v>
      </c>
      <c r="F29" s="678">
        <v>-0.12</v>
      </c>
      <c r="G29" s="678">
        <v>-0.13</v>
      </c>
      <c r="H29" s="678">
        <v>-0.1</v>
      </c>
      <c r="I29" s="678">
        <v>-0.2</v>
      </c>
      <c r="J29" s="678">
        <v>-0.24</v>
      </c>
      <c r="K29" s="678">
        <v>-0.23</v>
      </c>
      <c r="L29" s="678">
        <v>-0.16</v>
      </c>
      <c r="M29" s="678">
        <v>-0.22</v>
      </c>
      <c r="N29" s="678">
        <v>-0.1</v>
      </c>
    </row>
    <row r="30" spans="1:14" x14ac:dyDescent="0.2">
      <c r="A30" s="678">
        <v>1904</v>
      </c>
      <c r="B30" s="678">
        <v>-0.3</v>
      </c>
      <c r="C30" s="678">
        <v>-0.28999999999999998</v>
      </c>
      <c r="D30" s="678">
        <v>-0.23</v>
      </c>
      <c r="E30" s="678">
        <v>-0.23</v>
      </c>
      <c r="F30" s="678">
        <v>-0.24</v>
      </c>
      <c r="G30" s="678">
        <v>-0.19</v>
      </c>
      <c r="H30" s="678">
        <v>-0.26</v>
      </c>
      <c r="I30" s="678">
        <v>-0.23</v>
      </c>
      <c r="J30" s="678">
        <v>-0.3</v>
      </c>
      <c r="K30" s="678">
        <v>-0.15</v>
      </c>
      <c r="L30" s="678">
        <v>0.08</v>
      </c>
      <c r="M30" s="678">
        <v>-0.04</v>
      </c>
      <c r="N30" s="678">
        <v>-0.2</v>
      </c>
    </row>
    <row r="31" spans="1:14" x14ac:dyDescent="0.2">
      <c r="A31" s="678">
        <v>1905</v>
      </c>
      <c r="B31" s="678">
        <v>-0.01</v>
      </c>
      <c r="C31" s="678">
        <v>-0.3</v>
      </c>
      <c r="D31" s="678">
        <v>7.0000000000000007E-2</v>
      </c>
      <c r="E31" s="678">
        <v>-0.06</v>
      </c>
      <c r="F31" s="678">
        <v>-0.01</v>
      </c>
      <c r="G31" s="678">
        <v>0.01</v>
      </c>
      <c r="H31" s="678">
        <v>-0.02</v>
      </c>
      <c r="I31" s="678">
        <v>0.05</v>
      </c>
      <c r="J31" s="678">
        <v>0.06</v>
      </c>
      <c r="K31" s="678">
        <v>0</v>
      </c>
      <c r="L31" s="678">
        <v>0.2</v>
      </c>
      <c r="M31" s="678">
        <v>0.17</v>
      </c>
      <c r="N31" s="678">
        <v>0.01</v>
      </c>
    </row>
    <row r="32" spans="1:14" x14ac:dyDescent="0.2">
      <c r="A32" s="678">
        <v>1906</v>
      </c>
      <c r="B32" s="678">
        <v>0.05</v>
      </c>
      <c r="C32" s="678">
        <v>0</v>
      </c>
      <c r="D32" s="678">
        <v>0.1</v>
      </c>
      <c r="E32" s="678">
        <v>0.23</v>
      </c>
      <c r="F32" s="678">
        <v>0.02</v>
      </c>
      <c r="G32" s="678">
        <v>0.1</v>
      </c>
      <c r="H32" s="678">
        <v>0.01</v>
      </c>
      <c r="I32" s="678">
        <v>0.05</v>
      </c>
      <c r="J32" s="678">
        <v>-0.03</v>
      </c>
      <c r="K32" s="678">
        <v>0.04</v>
      </c>
      <c r="L32" s="678">
        <v>-0.11</v>
      </c>
      <c r="M32" s="678">
        <v>0.15</v>
      </c>
      <c r="N32" s="678">
        <v>0.05</v>
      </c>
    </row>
    <row r="33" spans="1:14" x14ac:dyDescent="0.2">
      <c r="A33" s="678">
        <v>1907</v>
      </c>
      <c r="B33" s="678">
        <v>-0.1</v>
      </c>
      <c r="C33" s="678">
        <v>-0.22</v>
      </c>
      <c r="D33" s="678">
        <v>0.01</v>
      </c>
      <c r="E33" s="678">
        <v>-0.1</v>
      </c>
      <c r="F33" s="678">
        <v>-0.19</v>
      </c>
      <c r="G33" s="678">
        <v>-0.12</v>
      </c>
      <c r="H33" s="678">
        <v>-0.1</v>
      </c>
      <c r="I33" s="678">
        <v>-0.08</v>
      </c>
      <c r="J33" s="678">
        <v>-0.09</v>
      </c>
      <c r="K33" s="678">
        <v>0.01</v>
      </c>
      <c r="L33" s="678">
        <v>-0.21</v>
      </c>
      <c r="M33" s="678">
        <v>-0.18</v>
      </c>
      <c r="N33" s="678">
        <v>-0.11</v>
      </c>
    </row>
    <row r="34" spans="1:14" x14ac:dyDescent="0.2">
      <c r="A34" s="678">
        <v>1908</v>
      </c>
      <c r="B34" s="678">
        <v>-0.11</v>
      </c>
      <c r="C34" s="678">
        <v>-0.03</v>
      </c>
      <c r="D34" s="678">
        <v>-0.28000000000000003</v>
      </c>
      <c r="E34" s="678">
        <v>-0.16</v>
      </c>
      <c r="F34" s="678">
        <v>-0.09</v>
      </c>
      <c r="G34" s="678">
        <v>-0.08</v>
      </c>
      <c r="H34" s="678">
        <v>-0.1</v>
      </c>
      <c r="I34" s="678">
        <v>-0.2</v>
      </c>
      <c r="J34" s="678">
        <v>-0.1</v>
      </c>
      <c r="K34" s="678">
        <v>-0.2</v>
      </c>
      <c r="L34" s="678">
        <v>-0.26</v>
      </c>
      <c r="M34" s="678">
        <v>-0.2</v>
      </c>
      <c r="N34" s="678">
        <v>-0.15</v>
      </c>
    </row>
    <row r="35" spans="1:14" x14ac:dyDescent="0.2">
      <c r="A35" s="678">
        <v>1909</v>
      </c>
      <c r="B35" s="678">
        <v>-0.39</v>
      </c>
      <c r="C35" s="678">
        <v>-0.16</v>
      </c>
      <c r="D35" s="678">
        <v>-0.26</v>
      </c>
      <c r="E35" s="678">
        <v>-0.31</v>
      </c>
      <c r="F35" s="678">
        <v>-0.26</v>
      </c>
      <c r="G35" s="678">
        <v>-0.23</v>
      </c>
      <c r="H35" s="678">
        <v>-0.21</v>
      </c>
      <c r="I35" s="678">
        <v>-0.08</v>
      </c>
      <c r="J35" s="678">
        <v>-0.13</v>
      </c>
      <c r="K35" s="678">
        <v>-0.15</v>
      </c>
      <c r="L35" s="678">
        <v>-0.06</v>
      </c>
      <c r="M35" s="678">
        <v>-0.27</v>
      </c>
      <c r="N35" s="678">
        <v>-0.21</v>
      </c>
    </row>
    <row r="36" spans="1:14" x14ac:dyDescent="0.2">
      <c r="A36" s="678">
        <v>1910</v>
      </c>
      <c r="B36" s="678">
        <v>-0.1</v>
      </c>
      <c r="C36" s="678">
        <v>-0.12</v>
      </c>
      <c r="D36" s="678">
        <v>-0.22</v>
      </c>
      <c r="E36" s="678">
        <v>-0.15</v>
      </c>
      <c r="F36" s="678">
        <v>-7.0000000000000007E-2</v>
      </c>
      <c r="G36" s="678">
        <v>-0.09</v>
      </c>
      <c r="H36" s="678">
        <v>-0.1</v>
      </c>
      <c r="I36" s="678">
        <v>-0.11</v>
      </c>
      <c r="J36" s="678">
        <v>-0.14000000000000001</v>
      </c>
      <c r="K36" s="678">
        <v>-0.17</v>
      </c>
      <c r="L36" s="678">
        <v>-0.31</v>
      </c>
      <c r="M36" s="678">
        <v>-0.39</v>
      </c>
      <c r="N36" s="678">
        <v>-0.16</v>
      </c>
    </row>
    <row r="37" spans="1:14" x14ac:dyDescent="0.2">
      <c r="A37" s="678">
        <v>1911</v>
      </c>
      <c r="B37" s="678">
        <v>-0.28999999999999998</v>
      </c>
      <c r="C37" s="678">
        <v>-0.28000000000000003</v>
      </c>
      <c r="D37" s="678">
        <v>-0.33</v>
      </c>
      <c r="E37" s="678">
        <v>-0.27</v>
      </c>
      <c r="F37" s="678">
        <v>-0.24</v>
      </c>
      <c r="G37" s="678">
        <v>-0.22</v>
      </c>
      <c r="H37" s="678">
        <v>-0.18</v>
      </c>
      <c r="I37" s="678">
        <v>-0.18</v>
      </c>
      <c r="J37" s="678">
        <v>-0.16</v>
      </c>
      <c r="K37" s="678">
        <v>-0.03</v>
      </c>
      <c r="L37" s="678">
        <v>0.05</v>
      </c>
      <c r="M37" s="678">
        <v>0.08</v>
      </c>
      <c r="N37" s="678">
        <v>-0.17</v>
      </c>
    </row>
    <row r="38" spans="1:14" x14ac:dyDescent="0.2">
      <c r="A38" s="678">
        <v>1912</v>
      </c>
      <c r="B38" s="678">
        <v>0.08</v>
      </c>
      <c r="C38" s="678">
        <v>0.15</v>
      </c>
      <c r="D38" s="678">
        <v>-0.1</v>
      </c>
      <c r="E38" s="678">
        <v>0.1</v>
      </c>
      <c r="F38" s="678">
        <v>0.06</v>
      </c>
      <c r="G38" s="678">
        <v>0.05</v>
      </c>
      <c r="H38" s="678">
        <v>-0.18</v>
      </c>
      <c r="I38" s="678">
        <v>-0.28999999999999998</v>
      </c>
      <c r="J38" s="678">
        <v>-0.33</v>
      </c>
      <c r="K38" s="678">
        <v>-0.34</v>
      </c>
      <c r="L38" s="678">
        <v>-0.13</v>
      </c>
      <c r="M38" s="678">
        <v>-0.14000000000000001</v>
      </c>
      <c r="N38" s="678">
        <v>-0.09</v>
      </c>
    </row>
    <row r="39" spans="1:14" x14ac:dyDescent="0.2">
      <c r="A39" s="678">
        <v>1913</v>
      </c>
      <c r="B39" s="678">
        <v>-7.0000000000000007E-2</v>
      </c>
      <c r="C39" s="678">
        <v>-0.15</v>
      </c>
      <c r="D39" s="678">
        <v>-0.15</v>
      </c>
      <c r="E39" s="678">
        <v>-0.12</v>
      </c>
      <c r="F39" s="678">
        <v>-0.16</v>
      </c>
      <c r="G39" s="678">
        <v>-0.16</v>
      </c>
      <c r="H39" s="678">
        <v>-0.12</v>
      </c>
      <c r="I39" s="678">
        <v>-7.0000000000000007E-2</v>
      </c>
      <c r="J39" s="678">
        <v>-0.09</v>
      </c>
      <c r="K39" s="678">
        <v>-0.08</v>
      </c>
      <c r="L39" s="678">
        <v>0.06</v>
      </c>
      <c r="M39" s="678">
        <v>0.27</v>
      </c>
      <c r="N39" s="678">
        <v>-7.0000000000000007E-2</v>
      </c>
    </row>
    <row r="40" spans="1:14" x14ac:dyDescent="0.2">
      <c r="A40" s="678">
        <v>1914</v>
      </c>
      <c r="B40" s="678">
        <v>0.38</v>
      </c>
      <c r="C40" s="678">
        <v>0.2</v>
      </c>
      <c r="D40" s="678">
        <v>0.04</v>
      </c>
      <c r="E40" s="678">
        <v>-0.02</v>
      </c>
      <c r="F40" s="678">
        <v>7.0000000000000007E-2</v>
      </c>
      <c r="G40" s="678">
        <v>0.04</v>
      </c>
      <c r="H40" s="678">
        <v>0.01</v>
      </c>
      <c r="I40" s="678">
        <v>0.1</v>
      </c>
      <c r="J40" s="678">
        <v>0.09</v>
      </c>
      <c r="K40" s="678">
        <v>0.21</v>
      </c>
      <c r="L40" s="678">
        <v>0.11</v>
      </c>
      <c r="M40" s="678">
        <v>0.25</v>
      </c>
      <c r="N40" s="678">
        <v>0.12</v>
      </c>
    </row>
    <row r="41" spans="1:14" x14ac:dyDescent="0.2">
      <c r="A41" s="678">
        <v>1915</v>
      </c>
      <c r="B41" s="678">
        <v>0.12</v>
      </c>
      <c r="C41" s="678">
        <v>0.25</v>
      </c>
      <c r="D41" s="678">
        <v>0.19</v>
      </c>
      <c r="E41" s="678">
        <v>0.33</v>
      </c>
      <c r="F41" s="678">
        <v>0.22</v>
      </c>
      <c r="G41" s="678">
        <v>7.0000000000000007E-2</v>
      </c>
      <c r="H41" s="678">
        <v>0.12</v>
      </c>
      <c r="I41" s="678">
        <v>0.04</v>
      </c>
      <c r="J41" s="678">
        <v>0.06</v>
      </c>
      <c r="K41" s="678">
        <v>0</v>
      </c>
      <c r="L41" s="678">
        <v>0.13</v>
      </c>
      <c r="M41" s="678">
        <v>0.08</v>
      </c>
      <c r="N41" s="678">
        <v>0.13</v>
      </c>
    </row>
    <row r="42" spans="1:14" x14ac:dyDescent="0.2">
      <c r="A42" s="678">
        <v>1916</v>
      </c>
      <c r="B42" s="678">
        <v>0.2</v>
      </c>
      <c r="C42" s="678">
        <v>0.15</v>
      </c>
      <c r="D42" s="678">
        <v>0</v>
      </c>
      <c r="E42" s="678">
        <v>-0.03</v>
      </c>
      <c r="F42" s="678">
        <v>-7.0000000000000007E-2</v>
      </c>
      <c r="G42" s="678">
        <v>-0.2</v>
      </c>
      <c r="H42" s="678">
        <v>-0.12</v>
      </c>
      <c r="I42" s="678">
        <v>-0.02</v>
      </c>
      <c r="J42" s="678">
        <v>-0.11</v>
      </c>
      <c r="K42" s="678">
        <v>-0.1</v>
      </c>
      <c r="L42" s="678">
        <v>-0.2</v>
      </c>
      <c r="M42" s="678">
        <v>-0.52</v>
      </c>
      <c r="N42" s="678">
        <v>-0.09</v>
      </c>
    </row>
    <row r="43" spans="1:14" x14ac:dyDescent="0.2">
      <c r="A43" s="678">
        <v>1917</v>
      </c>
      <c r="B43" s="678">
        <v>-0.23</v>
      </c>
      <c r="C43" s="678">
        <v>-0.33</v>
      </c>
      <c r="D43" s="678">
        <v>-0.36</v>
      </c>
      <c r="E43" s="678">
        <v>-0.28000000000000003</v>
      </c>
      <c r="F43" s="678">
        <v>-0.27</v>
      </c>
      <c r="G43" s="678">
        <v>-0.14000000000000001</v>
      </c>
      <c r="H43" s="678">
        <v>-0.01</v>
      </c>
      <c r="I43" s="678">
        <v>0.03</v>
      </c>
      <c r="J43" s="678">
        <v>0.02</v>
      </c>
      <c r="K43" s="678">
        <v>-0.21</v>
      </c>
      <c r="L43" s="678">
        <v>-0.08</v>
      </c>
      <c r="M43" s="678">
        <v>-0.38</v>
      </c>
      <c r="N43" s="678">
        <v>-0.19</v>
      </c>
    </row>
    <row r="44" spans="1:14" x14ac:dyDescent="0.2">
      <c r="A44" s="678">
        <v>1918</v>
      </c>
      <c r="B44" s="678">
        <v>-0.14000000000000001</v>
      </c>
      <c r="C44" s="678">
        <v>-0.06</v>
      </c>
      <c r="D44" s="678">
        <v>0.02</v>
      </c>
      <c r="E44" s="678">
        <v>-0.17</v>
      </c>
      <c r="F44" s="678">
        <v>-0.15</v>
      </c>
      <c r="G44" s="678">
        <v>-7.0000000000000007E-2</v>
      </c>
      <c r="H44" s="678">
        <v>-7.0000000000000007E-2</v>
      </c>
      <c r="I44" s="678">
        <v>-0.06</v>
      </c>
      <c r="J44" s="678">
        <v>7.0000000000000007E-2</v>
      </c>
      <c r="K44" s="678">
        <v>0.18</v>
      </c>
      <c r="L44" s="678">
        <v>0.15</v>
      </c>
      <c r="M44" s="678">
        <v>-0.01</v>
      </c>
      <c r="N44" s="678">
        <v>-0.03</v>
      </c>
    </row>
    <row r="45" spans="1:14" x14ac:dyDescent="0.2">
      <c r="A45" s="678">
        <v>1919</v>
      </c>
      <c r="B45" s="678">
        <v>0.12</v>
      </c>
      <c r="C45" s="678">
        <v>0.06</v>
      </c>
      <c r="D45" s="678">
        <v>7.0000000000000007E-2</v>
      </c>
      <c r="E45" s="678">
        <v>0.15</v>
      </c>
      <c r="F45" s="678">
        <v>-0.01</v>
      </c>
      <c r="G45" s="678">
        <v>-7.0000000000000007E-2</v>
      </c>
      <c r="H45" s="678">
        <v>-0.05</v>
      </c>
      <c r="I45" s="678">
        <v>-0.08</v>
      </c>
      <c r="J45" s="678">
        <v>0</v>
      </c>
      <c r="K45" s="678">
        <v>0.03</v>
      </c>
      <c r="L45" s="678">
        <v>-0.16</v>
      </c>
      <c r="M45" s="678">
        <v>-0.14000000000000001</v>
      </c>
      <c r="N45" s="678">
        <v>-0.01</v>
      </c>
    </row>
    <row r="46" spans="1:14" x14ac:dyDescent="0.2">
      <c r="A46" s="678">
        <v>1920</v>
      </c>
      <c r="B46" s="678">
        <v>0.08</v>
      </c>
      <c r="C46" s="678">
        <v>0.02</v>
      </c>
      <c r="D46" s="678">
        <v>0.15</v>
      </c>
      <c r="E46" s="678">
        <v>0.03</v>
      </c>
      <c r="F46" s="678">
        <v>0.01</v>
      </c>
      <c r="G46" s="678">
        <v>-7.0000000000000007E-2</v>
      </c>
      <c r="H46" s="678">
        <v>-0.06</v>
      </c>
      <c r="I46" s="678">
        <v>-0.01</v>
      </c>
      <c r="J46" s="678">
        <v>0.03</v>
      </c>
      <c r="K46" s="678">
        <v>-0.03</v>
      </c>
      <c r="L46" s="678">
        <v>-0.01</v>
      </c>
      <c r="M46" s="678">
        <v>-0.18</v>
      </c>
      <c r="N46" s="678">
        <v>0</v>
      </c>
    </row>
    <row r="47" spans="1:14" x14ac:dyDescent="0.2">
      <c r="A47" s="678">
        <v>1921</v>
      </c>
      <c r="B47" s="678">
        <v>0.28000000000000003</v>
      </c>
      <c r="C47" s="678">
        <v>0.11</v>
      </c>
      <c r="D47" s="678">
        <v>0.05</v>
      </c>
      <c r="E47" s="678">
        <v>-0.03</v>
      </c>
      <c r="F47" s="678">
        <v>-0.02</v>
      </c>
      <c r="G47" s="678">
        <v>0.02</v>
      </c>
      <c r="H47" s="678">
        <v>0.09</v>
      </c>
      <c r="I47" s="678">
        <v>-0.01</v>
      </c>
      <c r="J47" s="678">
        <v>0.06</v>
      </c>
      <c r="K47" s="678">
        <v>0.21</v>
      </c>
      <c r="L47" s="678">
        <v>0.12</v>
      </c>
      <c r="M47" s="678">
        <v>0.11</v>
      </c>
      <c r="N47" s="678">
        <v>0.08</v>
      </c>
    </row>
    <row r="48" spans="1:14" x14ac:dyDescent="0.2">
      <c r="A48" s="678">
        <v>1922</v>
      </c>
      <c r="B48" s="678">
        <v>-0.01</v>
      </c>
      <c r="C48" s="678">
        <v>-0.15</v>
      </c>
      <c r="D48" s="678">
        <v>0.13</v>
      </c>
      <c r="E48" s="678">
        <v>0.04</v>
      </c>
      <c r="F48" s="678">
        <v>-0.05</v>
      </c>
      <c r="G48" s="678">
        <v>-0.01</v>
      </c>
      <c r="H48" s="678">
        <v>-0.03</v>
      </c>
      <c r="I48" s="678">
        <v>-0.08</v>
      </c>
      <c r="J48" s="678">
        <v>-0.1</v>
      </c>
      <c r="K48" s="678">
        <v>-0.08</v>
      </c>
      <c r="L48" s="678">
        <v>0.12</v>
      </c>
      <c r="M48" s="678">
        <v>0.09</v>
      </c>
      <c r="N48" s="678">
        <v>-0.01</v>
      </c>
    </row>
    <row r="49" spans="1:14" x14ac:dyDescent="0.2">
      <c r="A49" s="678">
        <v>1923</v>
      </c>
      <c r="B49" s="678">
        <v>0.05</v>
      </c>
      <c r="C49" s="678">
        <v>-0.1</v>
      </c>
      <c r="D49" s="678">
        <v>-0.06</v>
      </c>
      <c r="E49" s="678">
        <v>-0.14000000000000001</v>
      </c>
      <c r="F49" s="678">
        <v>-0.06</v>
      </c>
      <c r="G49" s="678">
        <v>0</v>
      </c>
      <c r="H49" s="678">
        <v>-7.0000000000000007E-2</v>
      </c>
      <c r="I49" s="678">
        <v>-0.08</v>
      </c>
      <c r="J49" s="678">
        <v>-0.06</v>
      </c>
      <c r="K49" s="678">
        <v>0.1</v>
      </c>
      <c r="L49" s="678">
        <v>0.23</v>
      </c>
      <c r="M49" s="678">
        <v>0.25</v>
      </c>
      <c r="N49" s="678">
        <v>0.01</v>
      </c>
    </row>
    <row r="50" spans="1:14" x14ac:dyDescent="0.2">
      <c r="A50" s="678">
        <v>1924</v>
      </c>
      <c r="B50" s="678">
        <v>0.1</v>
      </c>
      <c r="C50" s="678">
        <v>0.06</v>
      </c>
      <c r="D50" s="678">
        <v>0.19</v>
      </c>
      <c r="E50" s="678">
        <v>-0.03</v>
      </c>
      <c r="F50" s="678">
        <v>0.09</v>
      </c>
      <c r="G50" s="678">
        <v>0.03</v>
      </c>
      <c r="H50" s="678">
        <v>-0.05</v>
      </c>
      <c r="I50" s="678">
        <v>-0.11</v>
      </c>
      <c r="J50" s="678">
        <v>-7.0000000000000007E-2</v>
      </c>
      <c r="K50" s="678">
        <v>-0.12</v>
      </c>
      <c r="L50" s="678">
        <v>0.05</v>
      </c>
      <c r="M50" s="678">
        <v>-0.14000000000000001</v>
      </c>
      <c r="N50" s="678">
        <v>0</v>
      </c>
    </row>
    <row r="51" spans="1:14" x14ac:dyDescent="0.2">
      <c r="A51" s="678">
        <v>1925</v>
      </c>
      <c r="B51" s="678">
        <v>-0.05</v>
      </c>
      <c r="C51" s="678">
        <v>-0.1</v>
      </c>
      <c r="D51" s="678">
        <v>0</v>
      </c>
      <c r="E51" s="678">
        <v>0.01</v>
      </c>
      <c r="F51" s="678">
        <v>-0.02</v>
      </c>
      <c r="G51" s="678">
        <v>-0.04</v>
      </c>
      <c r="H51" s="678">
        <v>-0.03</v>
      </c>
      <c r="I51" s="678">
        <v>0.05</v>
      </c>
      <c r="J51" s="678">
        <v>0.05</v>
      </c>
      <c r="K51" s="678">
        <v>0.06</v>
      </c>
      <c r="L51" s="678">
        <v>0.31</v>
      </c>
      <c r="M51" s="678">
        <v>0.35</v>
      </c>
      <c r="N51" s="678">
        <v>0.05</v>
      </c>
    </row>
    <row r="52" spans="1:14" x14ac:dyDescent="0.2">
      <c r="A52" s="678">
        <v>1926</v>
      </c>
      <c r="B52" s="678">
        <v>0.54</v>
      </c>
      <c r="C52" s="678">
        <v>0.31</v>
      </c>
      <c r="D52" s="678">
        <v>0.39</v>
      </c>
      <c r="E52" s="678">
        <v>0.14000000000000001</v>
      </c>
      <c r="F52" s="678">
        <v>0.04</v>
      </c>
      <c r="G52" s="678">
        <v>0.02</v>
      </c>
      <c r="H52" s="678">
        <v>-0.04</v>
      </c>
      <c r="I52" s="678">
        <v>0.11</v>
      </c>
      <c r="J52" s="678">
        <v>0.09</v>
      </c>
      <c r="K52" s="678">
        <v>0.11</v>
      </c>
      <c r="L52" s="678">
        <v>0.19</v>
      </c>
      <c r="M52" s="678">
        <v>-0.01</v>
      </c>
      <c r="N52" s="678">
        <v>0.16</v>
      </c>
    </row>
    <row r="53" spans="1:14" x14ac:dyDescent="0.2">
      <c r="A53" s="678">
        <v>1927</v>
      </c>
      <c r="B53" s="678">
        <v>0.05</v>
      </c>
      <c r="C53" s="678">
        <v>0.12</v>
      </c>
      <c r="D53" s="678">
        <v>-0.11</v>
      </c>
      <c r="E53" s="678">
        <v>-0.04</v>
      </c>
      <c r="F53" s="678">
        <v>0.02</v>
      </c>
      <c r="G53" s="678">
        <v>0.01</v>
      </c>
      <c r="H53" s="678">
        <v>0.05</v>
      </c>
      <c r="I53" s="678">
        <v>0.01</v>
      </c>
      <c r="J53" s="678">
        <v>0.12</v>
      </c>
      <c r="K53" s="678">
        <v>0.23</v>
      </c>
      <c r="L53" s="678">
        <v>0.2</v>
      </c>
      <c r="M53" s="678">
        <v>-0.05</v>
      </c>
      <c r="N53" s="678">
        <v>0.05</v>
      </c>
    </row>
    <row r="54" spans="1:14" x14ac:dyDescent="0.2">
      <c r="A54" s="678">
        <v>1928</v>
      </c>
      <c r="B54" s="678">
        <v>0.3</v>
      </c>
      <c r="C54" s="678">
        <v>0.2</v>
      </c>
      <c r="D54" s="678">
        <v>0.02</v>
      </c>
      <c r="E54" s="678">
        <v>-0.02</v>
      </c>
      <c r="F54" s="678">
        <v>-0.02</v>
      </c>
      <c r="G54" s="678">
        <v>-0.1</v>
      </c>
      <c r="H54" s="678">
        <v>0.04</v>
      </c>
      <c r="I54" s="678">
        <v>0.03</v>
      </c>
      <c r="J54" s="678">
        <v>0.03</v>
      </c>
      <c r="K54" s="678">
        <v>0.04</v>
      </c>
      <c r="L54" s="678">
        <v>0.16</v>
      </c>
      <c r="M54" s="678">
        <v>0.12</v>
      </c>
      <c r="N54" s="678">
        <v>7.0000000000000007E-2</v>
      </c>
    </row>
    <row r="55" spans="1:14" x14ac:dyDescent="0.2">
      <c r="A55" s="678">
        <v>1929</v>
      </c>
      <c r="B55" s="678">
        <v>-0.13</v>
      </c>
      <c r="C55" s="678">
        <v>-0.3</v>
      </c>
      <c r="D55" s="678">
        <v>-0.06</v>
      </c>
      <c r="E55" s="678">
        <v>-0.15</v>
      </c>
      <c r="F55" s="678">
        <v>-0.11</v>
      </c>
      <c r="G55" s="678">
        <v>-0.15</v>
      </c>
      <c r="H55" s="678">
        <v>-0.13</v>
      </c>
      <c r="I55" s="678">
        <v>-0.08</v>
      </c>
      <c r="J55" s="678">
        <v>-0.01</v>
      </c>
      <c r="K55" s="678">
        <v>0.08</v>
      </c>
      <c r="L55" s="678">
        <v>0.14000000000000001</v>
      </c>
      <c r="M55" s="678">
        <v>-0.26</v>
      </c>
      <c r="N55" s="678">
        <v>-0.1</v>
      </c>
    </row>
    <row r="56" spans="1:14" x14ac:dyDescent="0.2">
      <c r="A56" s="678">
        <v>1930</v>
      </c>
      <c r="B56" s="678">
        <v>0.02</v>
      </c>
      <c r="C56" s="678">
        <v>0.02</v>
      </c>
      <c r="D56" s="678">
        <v>0.17</v>
      </c>
      <c r="E56" s="678">
        <v>0.02</v>
      </c>
      <c r="F56" s="678">
        <v>0.03</v>
      </c>
      <c r="G56" s="678">
        <v>0.06</v>
      </c>
      <c r="H56" s="678">
        <v>0.02</v>
      </c>
      <c r="I56" s="678">
        <v>0.1</v>
      </c>
      <c r="J56" s="678">
        <v>0.09</v>
      </c>
      <c r="K56" s="678">
        <v>0.12</v>
      </c>
      <c r="L56" s="678">
        <v>0.43</v>
      </c>
      <c r="M56" s="678">
        <v>0.23</v>
      </c>
      <c r="N56" s="678">
        <v>0.11</v>
      </c>
    </row>
    <row r="57" spans="1:14" x14ac:dyDescent="0.2">
      <c r="A57" s="678">
        <v>1931</v>
      </c>
      <c r="B57" s="678">
        <v>0.23</v>
      </c>
      <c r="C57" s="678">
        <v>0.08</v>
      </c>
      <c r="D57" s="678">
        <v>0.17</v>
      </c>
      <c r="E57" s="678">
        <v>0.04</v>
      </c>
      <c r="F57" s="678">
        <v>0.08</v>
      </c>
      <c r="G57" s="678">
        <v>0.2</v>
      </c>
      <c r="H57" s="678">
        <v>0.21</v>
      </c>
      <c r="I57" s="678">
        <v>0.22</v>
      </c>
      <c r="J57" s="678">
        <v>0.18</v>
      </c>
      <c r="K57" s="678">
        <v>0.28999999999999998</v>
      </c>
      <c r="L57" s="678">
        <v>0.2</v>
      </c>
      <c r="M57" s="678">
        <v>0.23</v>
      </c>
      <c r="N57" s="678">
        <v>0.18</v>
      </c>
    </row>
    <row r="58" spans="1:14" x14ac:dyDescent="0.2">
      <c r="A58" s="678">
        <v>1932</v>
      </c>
      <c r="B58" s="678">
        <v>0.48</v>
      </c>
      <c r="C58" s="678">
        <v>0.12</v>
      </c>
      <c r="D58" s="678">
        <v>0.09</v>
      </c>
      <c r="E58" s="678">
        <v>0.21</v>
      </c>
      <c r="F58" s="678">
        <v>0.1</v>
      </c>
      <c r="G58" s="678">
        <v>0</v>
      </c>
      <c r="H58" s="678">
        <v>-0.01</v>
      </c>
      <c r="I58" s="678">
        <v>0.03</v>
      </c>
      <c r="J58" s="678">
        <v>0.14000000000000001</v>
      </c>
      <c r="K58" s="678">
        <v>0.14000000000000001</v>
      </c>
      <c r="L58" s="678">
        <v>-0.02</v>
      </c>
      <c r="M58" s="678">
        <v>0.02</v>
      </c>
      <c r="N58" s="678">
        <v>0.11</v>
      </c>
    </row>
    <row r="59" spans="1:14" x14ac:dyDescent="0.2">
      <c r="A59" s="678">
        <v>1933</v>
      </c>
      <c r="B59" s="678">
        <v>0.09</v>
      </c>
      <c r="C59" s="678">
        <v>0</v>
      </c>
      <c r="D59" s="678">
        <v>-0.02</v>
      </c>
      <c r="E59" s="678">
        <v>0.02</v>
      </c>
      <c r="F59" s="678">
        <v>-0.02</v>
      </c>
      <c r="G59" s="678">
        <v>-0.05</v>
      </c>
      <c r="H59" s="678">
        <v>0.02</v>
      </c>
      <c r="I59" s="678">
        <v>0.02</v>
      </c>
      <c r="J59" s="678">
        <v>-0.05</v>
      </c>
      <c r="K59" s="678">
        <v>-0.02</v>
      </c>
      <c r="L59" s="678">
        <v>-0.05</v>
      </c>
      <c r="M59" s="678">
        <v>-0.16</v>
      </c>
      <c r="N59" s="678">
        <v>-0.02</v>
      </c>
    </row>
    <row r="60" spans="1:14" x14ac:dyDescent="0.2">
      <c r="A60" s="678">
        <v>1934</v>
      </c>
      <c r="B60" s="678">
        <v>0.12</v>
      </c>
      <c r="C60" s="678">
        <v>0.26</v>
      </c>
      <c r="D60" s="678">
        <v>-0.02</v>
      </c>
      <c r="E60" s="678">
        <v>-0.04</v>
      </c>
      <c r="F60" s="678">
        <v>0.18</v>
      </c>
      <c r="G60" s="678">
        <v>0.14000000000000001</v>
      </c>
      <c r="H60" s="678">
        <v>0.13</v>
      </c>
      <c r="I60" s="678">
        <v>0.13</v>
      </c>
      <c r="J60" s="678">
        <v>0.09</v>
      </c>
      <c r="K60" s="678">
        <v>0.17</v>
      </c>
      <c r="L60" s="678">
        <v>0.28999999999999998</v>
      </c>
      <c r="M60" s="678">
        <v>0.26</v>
      </c>
      <c r="N60" s="678">
        <v>0.14000000000000001</v>
      </c>
    </row>
    <row r="61" spans="1:14" x14ac:dyDescent="0.2">
      <c r="A61" s="678">
        <v>1935</v>
      </c>
      <c r="B61" s="678">
        <v>-0.01</v>
      </c>
      <c r="C61" s="678">
        <v>0.43</v>
      </c>
      <c r="D61" s="678">
        <v>0.13</v>
      </c>
      <c r="E61" s="678">
        <v>-0.1</v>
      </c>
      <c r="F61" s="678">
        <v>-0.01</v>
      </c>
      <c r="G61" s="678">
        <v>0.02</v>
      </c>
      <c r="H61" s="678">
        <v>0.03</v>
      </c>
      <c r="I61" s="678">
        <v>0.03</v>
      </c>
      <c r="J61" s="678">
        <v>0.03</v>
      </c>
      <c r="K61" s="678">
        <v>0.17</v>
      </c>
      <c r="L61" s="678">
        <v>0</v>
      </c>
      <c r="M61" s="678">
        <v>0.12</v>
      </c>
      <c r="N61" s="678">
        <v>7.0000000000000007E-2</v>
      </c>
    </row>
    <row r="62" spans="1:14" x14ac:dyDescent="0.2">
      <c r="A62" s="678">
        <v>1936</v>
      </c>
      <c r="B62" s="678">
        <v>0.05</v>
      </c>
      <c r="C62" s="678">
        <v>-0.09</v>
      </c>
      <c r="D62" s="678">
        <v>7.0000000000000007E-2</v>
      </c>
      <c r="E62" s="678">
        <v>7.0000000000000007E-2</v>
      </c>
      <c r="F62" s="678">
        <v>0.11</v>
      </c>
      <c r="G62" s="678">
        <v>7.0000000000000007E-2</v>
      </c>
      <c r="H62" s="678">
        <v>0.14000000000000001</v>
      </c>
      <c r="I62" s="678">
        <v>0.12</v>
      </c>
      <c r="J62" s="678">
        <v>0.16</v>
      </c>
      <c r="K62" s="678">
        <v>0.21</v>
      </c>
      <c r="L62" s="678">
        <v>0.27</v>
      </c>
      <c r="M62" s="678">
        <v>0.28000000000000003</v>
      </c>
      <c r="N62" s="678">
        <v>0.12</v>
      </c>
    </row>
    <row r="63" spans="1:14" x14ac:dyDescent="0.2">
      <c r="A63" s="678">
        <v>1937</v>
      </c>
      <c r="B63" s="678">
        <v>0.25</v>
      </c>
      <c r="C63" s="678">
        <v>0.32</v>
      </c>
      <c r="D63" s="678">
        <v>7.0000000000000007E-2</v>
      </c>
      <c r="E63" s="678">
        <v>0.11</v>
      </c>
      <c r="F63" s="678">
        <v>0.22</v>
      </c>
      <c r="G63" s="678">
        <v>0.24</v>
      </c>
      <c r="H63" s="678">
        <v>0.21</v>
      </c>
      <c r="I63" s="678">
        <v>0.27</v>
      </c>
      <c r="J63" s="678">
        <v>0.34</v>
      </c>
      <c r="K63" s="678">
        <v>0.32</v>
      </c>
      <c r="L63" s="678">
        <v>0.34</v>
      </c>
      <c r="M63" s="678">
        <v>0.21</v>
      </c>
      <c r="N63" s="678">
        <v>0.24</v>
      </c>
    </row>
    <row r="64" spans="1:14" x14ac:dyDescent="0.2">
      <c r="A64" s="678">
        <v>1938</v>
      </c>
      <c r="B64" s="678">
        <v>0.41</v>
      </c>
      <c r="C64" s="678">
        <v>0.33</v>
      </c>
      <c r="D64" s="678">
        <v>0.38</v>
      </c>
      <c r="E64" s="678">
        <v>0.33</v>
      </c>
      <c r="F64" s="678">
        <v>0.18</v>
      </c>
      <c r="G64" s="678">
        <v>0.12</v>
      </c>
      <c r="H64" s="678">
        <v>0.14000000000000001</v>
      </c>
      <c r="I64" s="678">
        <v>0.2</v>
      </c>
      <c r="J64" s="678">
        <v>0.25</v>
      </c>
      <c r="K64" s="678">
        <v>0.38</v>
      </c>
      <c r="L64" s="678">
        <v>0.33</v>
      </c>
      <c r="M64" s="678">
        <v>0.16</v>
      </c>
      <c r="N64" s="678">
        <v>0.27</v>
      </c>
    </row>
    <row r="65" spans="1:14" x14ac:dyDescent="0.2">
      <c r="A65" s="678">
        <v>1939</v>
      </c>
      <c r="B65" s="678">
        <v>0.28000000000000003</v>
      </c>
      <c r="C65" s="678">
        <v>0.23</v>
      </c>
      <c r="D65" s="678">
        <v>0.1</v>
      </c>
      <c r="E65" s="678">
        <v>0.17</v>
      </c>
      <c r="F65" s="678">
        <v>0.23</v>
      </c>
      <c r="G65" s="678">
        <v>0.22</v>
      </c>
      <c r="H65" s="678">
        <v>0.18</v>
      </c>
      <c r="I65" s="678">
        <v>0.19</v>
      </c>
      <c r="J65" s="678">
        <v>0.17</v>
      </c>
      <c r="K65" s="678">
        <v>0.19</v>
      </c>
      <c r="L65" s="678">
        <v>0.33</v>
      </c>
      <c r="M65" s="678">
        <v>0.71</v>
      </c>
      <c r="N65" s="678">
        <v>0.25</v>
      </c>
    </row>
    <row r="66" spans="1:14" x14ac:dyDescent="0.2">
      <c r="A66" s="678">
        <v>1940</v>
      </c>
      <c r="B66" s="678">
        <v>0.32</v>
      </c>
      <c r="C66" s="678">
        <v>0.37</v>
      </c>
      <c r="D66" s="678">
        <v>0.36</v>
      </c>
      <c r="E66" s="678">
        <v>0.44</v>
      </c>
      <c r="F66" s="678">
        <v>0.38</v>
      </c>
      <c r="G66" s="678">
        <v>0.4</v>
      </c>
      <c r="H66" s="678">
        <v>0.36</v>
      </c>
      <c r="I66" s="678">
        <v>0.32</v>
      </c>
      <c r="J66" s="678">
        <v>0.4</v>
      </c>
      <c r="K66" s="678">
        <v>0.34</v>
      </c>
      <c r="L66" s="678">
        <v>0.42</v>
      </c>
      <c r="M66" s="678">
        <v>0.6</v>
      </c>
      <c r="N66" s="678">
        <v>0.39</v>
      </c>
    </row>
    <row r="67" spans="1:14" x14ac:dyDescent="0.2">
      <c r="A67" s="678">
        <v>1941</v>
      </c>
      <c r="B67" s="678">
        <v>0.5</v>
      </c>
      <c r="C67" s="678">
        <v>0.59</v>
      </c>
      <c r="D67" s="678">
        <v>0.37</v>
      </c>
      <c r="E67" s="678">
        <v>0.43</v>
      </c>
      <c r="F67" s="678">
        <v>0.44</v>
      </c>
      <c r="G67" s="678">
        <v>0.41</v>
      </c>
      <c r="H67" s="678">
        <v>0.46</v>
      </c>
      <c r="I67" s="678">
        <v>0.4</v>
      </c>
      <c r="J67" s="678">
        <v>0.27</v>
      </c>
      <c r="K67" s="678">
        <v>0.57999999999999996</v>
      </c>
      <c r="L67" s="678">
        <v>0.48</v>
      </c>
      <c r="M67" s="678">
        <v>0.5</v>
      </c>
      <c r="N67" s="678">
        <v>0.45</v>
      </c>
    </row>
    <row r="68" spans="1:14" x14ac:dyDescent="0.2">
      <c r="A68" s="678">
        <v>1942</v>
      </c>
      <c r="B68" s="678">
        <v>0.61</v>
      </c>
      <c r="C68" s="678">
        <v>0.31</v>
      </c>
      <c r="D68" s="678">
        <v>0.33</v>
      </c>
      <c r="E68" s="678">
        <v>0.36</v>
      </c>
      <c r="F68" s="678">
        <v>0.38</v>
      </c>
      <c r="G68" s="678">
        <v>0.33</v>
      </c>
      <c r="H68" s="678">
        <v>0.24</v>
      </c>
      <c r="I68" s="678">
        <v>0.21</v>
      </c>
      <c r="J68" s="678">
        <v>0.21</v>
      </c>
      <c r="K68" s="678">
        <v>0.25</v>
      </c>
      <c r="L68" s="678">
        <v>0.35</v>
      </c>
      <c r="M68" s="678">
        <v>0.41</v>
      </c>
      <c r="N68" s="678">
        <v>0.33</v>
      </c>
    </row>
    <row r="69" spans="1:14" x14ac:dyDescent="0.2">
      <c r="A69" s="678">
        <v>1943</v>
      </c>
      <c r="B69" s="678">
        <v>0.32</v>
      </c>
      <c r="C69" s="678">
        <v>0.46</v>
      </c>
      <c r="D69" s="678">
        <v>0.24</v>
      </c>
      <c r="E69" s="678">
        <v>0.38</v>
      </c>
      <c r="F69" s="678">
        <v>0.34</v>
      </c>
      <c r="G69" s="678">
        <v>0.24</v>
      </c>
      <c r="H69" s="678">
        <v>0.32</v>
      </c>
      <c r="I69" s="678">
        <v>0.26</v>
      </c>
      <c r="J69" s="678">
        <v>0.3</v>
      </c>
      <c r="K69" s="678">
        <v>0.46</v>
      </c>
      <c r="L69" s="678">
        <v>0.45</v>
      </c>
      <c r="M69" s="678">
        <v>0.52</v>
      </c>
      <c r="N69" s="678">
        <v>0.36</v>
      </c>
    </row>
    <row r="70" spans="1:14" x14ac:dyDescent="0.2">
      <c r="A70" s="678">
        <v>1944</v>
      </c>
      <c r="B70" s="678">
        <v>0.68</v>
      </c>
      <c r="C70" s="678">
        <v>0.53</v>
      </c>
      <c r="D70" s="678">
        <v>0.53</v>
      </c>
      <c r="E70" s="678">
        <v>0.46</v>
      </c>
      <c r="F70" s="678">
        <v>0.47</v>
      </c>
      <c r="G70" s="678">
        <v>0.44</v>
      </c>
      <c r="H70" s="678">
        <v>0.41</v>
      </c>
      <c r="I70" s="678">
        <v>0.43</v>
      </c>
      <c r="J70" s="678">
        <v>0.52</v>
      </c>
      <c r="K70" s="678">
        <v>0.5</v>
      </c>
      <c r="L70" s="678">
        <v>0.37</v>
      </c>
      <c r="M70" s="678">
        <v>0.32</v>
      </c>
      <c r="N70" s="678">
        <v>0.47</v>
      </c>
    </row>
    <row r="71" spans="1:14" x14ac:dyDescent="0.2">
      <c r="A71" s="678">
        <v>1945</v>
      </c>
      <c r="B71" s="678">
        <v>0.43</v>
      </c>
      <c r="C71" s="678">
        <v>0.3</v>
      </c>
      <c r="D71" s="678">
        <v>0.33</v>
      </c>
      <c r="E71" s="678">
        <v>0.46</v>
      </c>
      <c r="F71" s="678">
        <v>0.33</v>
      </c>
      <c r="G71" s="678">
        <v>0.28999999999999998</v>
      </c>
      <c r="H71" s="678">
        <v>0.27</v>
      </c>
      <c r="I71" s="678">
        <v>0.51</v>
      </c>
      <c r="J71" s="678">
        <v>0.45</v>
      </c>
      <c r="K71" s="678">
        <v>0.42</v>
      </c>
      <c r="L71" s="678">
        <v>0.32</v>
      </c>
      <c r="M71" s="678">
        <v>0.21</v>
      </c>
      <c r="N71" s="678">
        <v>0.36</v>
      </c>
    </row>
    <row r="72" spans="1:14" x14ac:dyDescent="0.2">
      <c r="A72" s="678">
        <v>1946</v>
      </c>
      <c r="B72" s="678">
        <v>0.47</v>
      </c>
      <c r="C72" s="678">
        <v>0.31</v>
      </c>
      <c r="D72" s="678">
        <v>0.28999999999999998</v>
      </c>
      <c r="E72" s="678">
        <v>0.32</v>
      </c>
      <c r="F72" s="678">
        <v>0.2</v>
      </c>
      <c r="G72" s="678">
        <v>0.08</v>
      </c>
      <c r="H72" s="678">
        <v>0.12</v>
      </c>
      <c r="I72" s="678">
        <v>0.05</v>
      </c>
      <c r="J72" s="678">
        <v>0.17</v>
      </c>
      <c r="K72" s="678">
        <v>0.16</v>
      </c>
      <c r="L72" s="678">
        <v>0.2</v>
      </c>
      <c r="M72" s="678">
        <v>-0.02</v>
      </c>
      <c r="N72" s="678">
        <v>0.2</v>
      </c>
    </row>
    <row r="73" spans="1:14" x14ac:dyDescent="0.2">
      <c r="A73" s="678">
        <v>1947</v>
      </c>
      <c r="B73" s="678">
        <v>0.26</v>
      </c>
      <c r="C73" s="678">
        <v>0.21</v>
      </c>
      <c r="D73" s="678">
        <v>0.34</v>
      </c>
      <c r="E73" s="678">
        <v>0.33</v>
      </c>
      <c r="F73" s="678">
        <v>0.26</v>
      </c>
      <c r="G73" s="678">
        <v>0.27</v>
      </c>
      <c r="H73" s="678">
        <v>0.19</v>
      </c>
      <c r="I73" s="678">
        <v>0.18</v>
      </c>
      <c r="J73" s="678">
        <v>0.12</v>
      </c>
      <c r="K73" s="678">
        <v>0.3</v>
      </c>
      <c r="L73" s="678">
        <v>0.28000000000000003</v>
      </c>
      <c r="M73" s="678">
        <v>0.15</v>
      </c>
      <c r="N73" s="678">
        <v>0.24</v>
      </c>
    </row>
    <row r="74" spans="1:14" x14ac:dyDescent="0.2">
      <c r="A74" s="678">
        <v>1948</v>
      </c>
      <c r="B74" s="678">
        <v>0.39</v>
      </c>
      <c r="C74" s="678">
        <v>0.14000000000000001</v>
      </c>
      <c r="D74" s="678">
        <v>0.03</v>
      </c>
      <c r="E74" s="678">
        <v>0.15</v>
      </c>
      <c r="F74" s="678">
        <v>0.27</v>
      </c>
      <c r="G74" s="678">
        <v>0.24</v>
      </c>
      <c r="H74" s="678">
        <v>0.13</v>
      </c>
      <c r="I74" s="678">
        <v>0.14000000000000001</v>
      </c>
      <c r="J74" s="678">
        <v>0.1</v>
      </c>
      <c r="K74" s="678">
        <v>0.18</v>
      </c>
      <c r="L74" s="678">
        <v>0.13</v>
      </c>
      <c r="M74" s="678">
        <v>0.05</v>
      </c>
      <c r="N74" s="678">
        <v>0.16</v>
      </c>
    </row>
    <row r="75" spans="1:14" x14ac:dyDescent="0.2">
      <c r="A75" s="678">
        <v>1949</v>
      </c>
      <c r="B75" s="678">
        <v>0.39</v>
      </c>
      <c r="C75" s="678">
        <v>0.15</v>
      </c>
      <c r="D75" s="678">
        <v>0.25</v>
      </c>
      <c r="E75" s="678">
        <v>0.16</v>
      </c>
      <c r="F75" s="678">
        <v>0.17</v>
      </c>
      <c r="G75" s="678">
        <v>0.01</v>
      </c>
      <c r="H75" s="678">
        <v>0.11</v>
      </c>
      <c r="I75" s="678">
        <v>0.12</v>
      </c>
      <c r="J75" s="678">
        <v>0.1</v>
      </c>
      <c r="K75" s="678">
        <v>0.17</v>
      </c>
      <c r="L75" s="678">
        <v>0.15</v>
      </c>
      <c r="M75" s="678">
        <v>0.1</v>
      </c>
      <c r="N75" s="678">
        <v>0.16</v>
      </c>
    </row>
    <row r="76" spans="1:14" x14ac:dyDescent="0.2">
      <c r="A76" s="678">
        <v>1950</v>
      </c>
      <c r="B76" s="678">
        <v>0.06</v>
      </c>
      <c r="C76" s="678">
        <v>0.02</v>
      </c>
      <c r="D76" s="678">
        <v>0.2</v>
      </c>
      <c r="E76" s="678">
        <v>0.06</v>
      </c>
      <c r="F76" s="678">
        <v>0.17</v>
      </c>
      <c r="G76" s="678">
        <v>0.24</v>
      </c>
      <c r="H76" s="678">
        <v>0.15</v>
      </c>
      <c r="I76" s="678">
        <v>0.09</v>
      </c>
      <c r="J76" s="678">
        <v>0.13</v>
      </c>
      <c r="K76" s="678">
        <v>0.03</v>
      </c>
      <c r="L76" s="678">
        <v>-0.08</v>
      </c>
      <c r="M76" s="678">
        <v>7.0000000000000007E-2</v>
      </c>
      <c r="N76" s="678">
        <v>0.09</v>
      </c>
    </row>
    <row r="77" spans="1:14" x14ac:dyDescent="0.2">
      <c r="A77" s="678">
        <v>1951</v>
      </c>
      <c r="B77" s="678">
        <v>-0.02</v>
      </c>
      <c r="C77" s="678">
        <v>-0.13</v>
      </c>
      <c r="D77" s="678">
        <v>7.0000000000000007E-2</v>
      </c>
      <c r="E77" s="678">
        <v>0.13</v>
      </c>
      <c r="F77" s="678">
        <v>0.27</v>
      </c>
      <c r="G77" s="678">
        <v>0.22</v>
      </c>
      <c r="H77" s="678">
        <v>0.23</v>
      </c>
      <c r="I77" s="678">
        <v>0.31</v>
      </c>
      <c r="J77" s="678">
        <v>0.3</v>
      </c>
      <c r="K77" s="678">
        <v>0.31</v>
      </c>
      <c r="L77" s="678">
        <v>0.25</v>
      </c>
      <c r="M77" s="678">
        <v>0.44</v>
      </c>
      <c r="N77" s="678">
        <v>0.2</v>
      </c>
    </row>
    <row r="78" spans="1:14" x14ac:dyDescent="0.2">
      <c r="A78" s="678">
        <v>1952</v>
      </c>
      <c r="B78" s="678">
        <v>0.44</v>
      </c>
      <c r="C78" s="678">
        <v>0.4</v>
      </c>
      <c r="D78" s="678">
        <v>0.19</v>
      </c>
      <c r="E78" s="678">
        <v>0.3</v>
      </c>
      <c r="F78" s="678">
        <v>0.25</v>
      </c>
      <c r="G78" s="678">
        <v>0.26</v>
      </c>
      <c r="H78" s="678">
        <v>0.28000000000000003</v>
      </c>
      <c r="I78" s="678">
        <v>0.3</v>
      </c>
      <c r="J78" s="678">
        <v>0.32</v>
      </c>
      <c r="K78" s="678">
        <v>0.23</v>
      </c>
      <c r="L78" s="678">
        <v>0.13</v>
      </c>
      <c r="M78" s="678">
        <v>0.27</v>
      </c>
      <c r="N78" s="678">
        <v>0.28000000000000003</v>
      </c>
    </row>
    <row r="79" spans="1:14" x14ac:dyDescent="0.2">
      <c r="A79" s="678">
        <v>1953</v>
      </c>
      <c r="B79" s="678">
        <v>0.4</v>
      </c>
      <c r="C79" s="678">
        <v>0.44</v>
      </c>
      <c r="D79" s="678">
        <v>0.38</v>
      </c>
      <c r="E79" s="678">
        <v>0.46</v>
      </c>
      <c r="F79" s="678">
        <v>0.39</v>
      </c>
      <c r="G79" s="678">
        <v>0.4</v>
      </c>
      <c r="H79" s="678">
        <v>0.25</v>
      </c>
      <c r="I79" s="678">
        <v>0.3</v>
      </c>
      <c r="J79" s="678">
        <v>0.28999999999999998</v>
      </c>
      <c r="K79" s="678">
        <v>0.31</v>
      </c>
      <c r="L79" s="678">
        <v>0.23</v>
      </c>
      <c r="M79" s="678">
        <v>0.33</v>
      </c>
      <c r="N79" s="678">
        <v>0.35</v>
      </c>
    </row>
    <row r="80" spans="1:14" x14ac:dyDescent="0.2">
      <c r="A80" s="678">
        <v>1954</v>
      </c>
      <c r="B80" s="678">
        <v>0.08</v>
      </c>
      <c r="C80" s="678">
        <v>0.19</v>
      </c>
      <c r="D80" s="678">
        <v>0.13</v>
      </c>
      <c r="E80" s="678">
        <v>0.13</v>
      </c>
      <c r="F80" s="678">
        <v>0.08</v>
      </c>
      <c r="G80" s="678">
        <v>0.1</v>
      </c>
      <c r="H80" s="678">
        <v>0.05</v>
      </c>
      <c r="I80" s="678">
        <v>0.08</v>
      </c>
      <c r="J80" s="678">
        <v>0.15</v>
      </c>
      <c r="K80" s="678">
        <v>0.22</v>
      </c>
      <c r="L80" s="678">
        <v>0.34</v>
      </c>
      <c r="M80" s="678">
        <v>0.11</v>
      </c>
      <c r="N80" s="678">
        <v>0.14000000000000001</v>
      </c>
    </row>
    <row r="81" spans="1:14" x14ac:dyDescent="0.2">
      <c r="A81" s="678">
        <v>1955</v>
      </c>
      <c r="B81" s="678">
        <v>0.46</v>
      </c>
      <c r="C81" s="678">
        <v>0.13</v>
      </c>
      <c r="D81" s="678">
        <v>-0.05</v>
      </c>
      <c r="E81" s="678">
        <v>0.05</v>
      </c>
      <c r="F81" s="678">
        <v>0.08</v>
      </c>
      <c r="G81" s="678">
        <v>0.15</v>
      </c>
      <c r="H81" s="678">
        <v>0.13</v>
      </c>
      <c r="I81" s="678">
        <v>0.27</v>
      </c>
      <c r="J81" s="678">
        <v>0.14000000000000001</v>
      </c>
      <c r="K81" s="678">
        <v>0.18</v>
      </c>
      <c r="L81" s="678">
        <v>0.01</v>
      </c>
      <c r="M81" s="678">
        <v>0</v>
      </c>
      <c r="N81" s="678">
        <v>0.13</v>
      </c>
    </row>
    <row r="82" spans="1:14" x14ac:dyDescent="0.2">
      <c r="A82" s="678">
        <v>1956</v>
      </c>
      <c r="B82" s="678">
        <v>0.2</v>
      </c>
      <c r="C82" s="678">
        <v>0.05</v>
      </c>
      <c r="D82" s="678">
        <v>0.06</v>
      </c>
      <c r="E82" s="678">
        <v>-0.01</v>
      </c>
      <c r="F82" s="678">
        <v>-0.02</v>
      </c>
      <c r="G82" s="678">
        <v>0.13</v>
      </c>
      <c r="H82" s="678">
        <v>0.15</v>
      </c>
      <c r="I82" s="678">
        <v>0</v>
      </c>
      <c r="J82" s="678">
        <v>0.05</v>
      </c>
      <c r="K82" s="678">
        <v>0</v>
      </c>
      <c r="L82" s="678">
        <v>0.11</v>
      </c>
      <c r="M82" s="678">
        <v>0.22</v>
      </c>
      <c r="N82" s="678">
        <v>0.08</v>
      </c>
    </row>
    <row r="83" spans="1:14" x14ac:dyDescent="0.2">
      <c r="A83" s="678">
        <v>1957</v>
      </c>
      <c r="B83" s="678">
        <v>0.24</v>
      </c>
      <c r="C83" s="678">
        <v>0.26</v>
      </c>
      <c r="D83" s="678">
        <v>0.22</v>
      </c>
      <c r="E83" s="678">
        <v>0.27</v>
      </c>
      <c r="F83" s="678">
        <v>0.36</v>
      </c>
      <c r="G83" s="678">
        <v>0.44</v>
      </c>
      <c r="H83" s="678">
        <v>0.26</v>
      </c>
      <c r="I83" s="678">
        <v>0.4</v>
      </c>
      <c r="J83" s="678">
        <v>0.33</v>
      </c>
      <c r="K83" s="678">
        <v>0.24</v>
      </c>
      <c r="L83" s="678">
        <v>0.33</v>
      </c>
      <c r="M83" s="678">
        <v>0.43</v>
      </c>
      <c r="N83" s="678">
        <v>0.32</v>
      </c>
    </row>
    <row r="84" spans="1:14" x14ac:dyDescent="0.2">
      <c r="A84" s="678">
        <v>1958</v>
      </c>
      <c r="B84" s="678">
        <v>0.71</v>
      </c>
      <c r="C84" s="678">
        <v>0.51</v>
      </c>
      <c r="D84" s="678">
        <v>0.36</v>
      </c>
      <c r="E84" s="678">
        <v>0.28000000000000003</v>
      </c>
      <c r="F84" s="678">
        <v>0.33</v>
      </c>
      <c r="G84" s="678">
        <v>0.2</v>
      </c>
      <c r="H84" s="678">
        <v>0.28999999999999998</v>
      </c>
      <c r="I84" s="678">
        <v>0.21</v>
      </c>
      <c r="J84" s="678">
        <v>0.22</v>
      </c>
      <c r="K84" s="678">
        <v>0.27</v>
      </c>
      <c r="L84" s="678">
        <v>0.28000000000000003</v>
      </c>
      <c r="M84" s="678">
        <v>0.3</v>
      </c>
      <c r="N84" s="678">
        <v>0.33</v>
      </c>
    </row>
    <row r="85" spans="1:14" x14ac:dyDescent="0.2">
      <c r="A85" s="678">
        <v>1959</v>
      </c>
      <c r="B85" s="678">
        <v>0.4</v>
      </c>
      <c r="C85" s="678">
        <v>0.36</v>
      </c>
      <c r="D85" s="678">
        <v>0.45</v>
      </c>
      <c r="E85" s="678">
        <v>0.42</v>
      </c>
      <c r="F85" s="678">
        <v>0.32</v>
      </c>
      <c r="G85" s="678">
        <v>0.32</v>
      </c>
      <c r="H85" s="678">
        <v>0.27</v>
      </c>
      <c r="I85" s="678">
        <v>0.25</v>
      </c>
      <c r="J85" s="678">
        <v>0.18</v>
      </c>
      <c r="K85" s="678">
        <v>0.16</v>
      </c>
      <c r="L85" s="678">
        <v>0.18</v>
      </c>
      <c r="M85" s="678">
        <v>0.28000000000000003</v>
      </c>
      <c r="N85" s="678">
        <v>0.3</v>
      </c>
    </row>
    <row r="86" spans="1:14" x14ac:dyDescent="0.2">
      <c r="A86" s="678">
        <v>1960</v>
      </c>
      <c r="B86" s="678">
        <v>0.32</v>
      </c>
      <c r="C86" s="678">
        <v>0.42</v>
      </c>
      <c r="D86" s="678">
        <v>-7.0000000000000007E-2</v>
      </c>
      <c r="E86" s="678">
        <v>0.12</v>
      </c>
      <c r="F86" s="678">
        <v>0.2</v>
      </c>
      <c r="G86" s="678">
        <v>0.25</v>
      </c>
      <c r="H86" s="678">
        <v>0.2</v>
      </c>
      <c r="I86" s="678">
        <v>0.27</v>
      </c>
      <c r="J86" s="678">
        <v>0.31</v>
      </c>
      <c r="K86" s="678">
        <v>0.28999999999999998</v>
      </c>
      <c r="L86" s="678">
        <v>0.14000000000000001</v>
      </c>
      <c r="M86" s="678">
        <v>0.47</v>
      </c>
      <c r="N86" s="678">
        <v>0.24</v>
      </c>
    </row>
    <row r="87" spans="1:14" x14ac:dyDescent="0.2">
      <c r="A87" s="678">
        <v>1961</v>
      </c>
      <c r="B87" s="678">
        <v>0.4</v>
      </c>
      <c r="C87" s="678">
        <v>0.47</v>
      </c>
      <c r="D87" s="678">
        <v>0.36</v>
      </c>
      <c r="E87" s="678">
        <v>0.4</v>
      </c>
      <c r="F87" s="678">
        <v>0.4</v>
      </c>
      <c r="G87" s="678">
        <v>0.4</v>
      </c>
      <c r="H87" s="678">
        <v>0.25</v>
      </c>
      <c r="I87" s="678">
        <v>0.26</v>
      </c>
      <c r="J87" s="678">
        <v>0.33</v>
      </c>
      <c r="K87" s="678">
        <v>0.23</v>
      </c>
      <c r="L87" s="678">
        <v>0.28999999999999998</v>
      </c>
      <c r="M87" s="678">
        <v>0.12</v>
      </c>
      <c r="N87" s="678">
        <v>0.33</v>
      </c>
    </row>
    <row r="88" spans="1:14" x14ac:dyDescent="0.2">
      <c r="A88" s="678">
        <v>1962</v>
      </c>
      <c r="B88" s="678">
        <v>0.38</v>
      </c>
      <c r="C88" s="678">
        <v>0.43</v>
      </c>
      <c r="D88" s="678">
        <v>0.38</v>
      </c>
      <c r="E88" s="678">
        <v>0.32</v>
      </c>
      <c r="F88" s="678">
        <v>0.21</v>
      </c>
      <c r="G88" s="678">
        <v>0.32</v>
      </c>
      <c r="H88" s="678">
        <v>0.25</v>
      </c>
      <c r="I88" s="678">
        <v>0.24</v>
      </c>
      <c r="J88" s="678">
        <v>0.25</v>
      </c>
      <c r="K88" s="678">
        <v>0.24</v>
      </c>
      <c r="L88" s="678">
        <v>0.32</v>
      </c>
      <c r="M88" s="678">
        <v>0.26</v>
      </c>
      <c r="N88" s="678">
        <v>0.3</v>
      </c>
    </row>
    <row r="89" spans="1:14" x14ac:dyDescent="0.2">
      <c r="A89" s="678">
        <v>1963</v>
      </c>
      <c r="B89" s="678">
        <v>0.28999999999999998</v>
      </c>
      <c r="C89" s="678">
        <v>0.47</v>
      </c>
      <c r="D89" s="678">
        <v>0.14000000000000001</v>
      </c>
      <c r="E89" s="678">
        <v>0.2</v>
      </c>
      <c r="F89" s="678">
        <v>0.22</v>
      </c>
      <c r="G89" s="678">
        <v>0.33</v>
      </c>
      <c r="H89" s="678">
        <v>0.3</v>
      </c>
      <c r="I89" s="678">
        <v>0.48</v>
      </c>
      <c r="J89" s="678">
        <v>0.42</v>
      </c>
      <c r="K89" s="678">
        <v>0.38</v>
      </c>
      <c r="L89" s="678">
        <v>0.4</v>
      </c>
      <c r="M89" s="678">
        <v>0.25</v>
      </c>
      <c r="N89" s="678">
        <v>0.32</v>
      </c>
    </row>
    <row r="90" spans="1:14" x14ac:dyDescent="0.2">
      <c r="A90" s="678">
        <v>1964</v>
      </c>
      <c r="B90" s="678">
        <v>0.24</v>
      </c>
      <c r="C90" s="678">
        <v>0.19</v>
      </c>
      <c r="D90" s="678">
        <v>0.06</v>
      </c>
      <c r="E90" s="678">
        <v>-0.05</v>
      </c>
      <c r="F90" s="678">
        <v>0.03</v>
      </c>
      <c r="G90" s="678">
        <v>0.25</v>
      </c>
      <c r="H90" s="678">
        <v>0.2</v>
      </c>
      <c r="I90" s="678">
        <v>0.03</v>
      </c>
      <c r="J90" s="678">
        <v>-0.05</v>
      </c>
      <c r="K90" s="678">
        <v>-0.08</v>
      </c>
      <c r="L90" s="678">
        <v>0.05</v>
      </c>
      <c r="M90" s="678">
        <v>-0.01</v>
      </c>
      <c r="N90" s="678">
        <v>7.0000000000000007E-2</v>
      </c>
    </row>
    <row r="91" spans="1:14" x14ac:dyDescent="0.2">
      <c r="A91" s="678">
        <v>1965</v>
      </c>
      <c r="B91" s="678">
        <v>0.25</v>
      </c>
      <c r="C91" s="678">
        <v>0.11</v>
      </c>
      <c r="D91" s="678">
        <v>0.15</v>
      </c>
      <c r="E91" s="678">
        <v>0.08</v>
      </c>
      <c r="F91" s="678">
        <v>0.16</v>
      </c>
      <c r="G91" s="678">
        <v>0.21</v>
      </c>
      <c r="H91" s="678">
        <v>0.11</v>
      </c>
      <c r="I91" s="678">
        <v>0.21</v>
      </c>
      <c r="J91" s="678">
        <v>0.09</v>
      </c>
      <c r="K91" s="678">
        <v>0.18</v>
      </c>
      <c r="L91" s="678">
        <v>0.2</v>
      </c>
      <c r="M91" s="678">
        <v>0.21</v>
      </c>
      <c r="N91" s="678">
        <v>0.16</v>
      </c>
    </row>
    <row r="92" spans="1:14" x14ac:dyDescent="0.2">
      <c r="A92" s="678">
        <v>1966</v>
      </c>
      <c r="B92" s="678">
        <v>0.13</v>
      </c>
      <c r="C92" s="678">
        <v>0.24</v>
      </c>
      <c r="D92" s="678">
        <v>0.31</v>
      </c>
      <c r="E92" s="678">
        <v>0.14000000000000001</v>
      </c>
      <c r="F92" s="678">
        <v>0.15</v>
      </c>
      <c r="G92" s="678">
        <v>0.3</v>
      </c>
      <c r="H92" s="678">
        <v>0.32</v>
      </c>
      <c r="I92" s="678">
        <v>0.17</v>
      </c>
      <c r="J92" s="678">
        <v>0.21</v>
      </c>
      <c r="K92" s="678">
        <v>7.0000000000000007E-2</v>
      </c>
      <c r="L92" s="678">
        <v>0.25</v>
      </c>
      <c r="M92" s="678">
        <v>0.26</v>
      </c>
      <c r="N92" s="678">
        <v>0.21</v>
      </c>
    </row>
    <row r="93" spans="1:14" x14ac:dyDescent="0.2">
      <c r="A93" s="678">
        <v>1967</v>
      </c>
      <c r="B93" s="678">
        <v>0.25</v>
      </c>
      <c r="C93" s="678">
        <v>0.08</v>
      </c>
      <c r="D93" s="678">
        <v>0.32</v>
      </c>
      <c r="E93" s="678">
        <v>0.22</v>
      </c>
      <c r="F93" s="678">
        <v>0.4</v>
      </c>
      <c r="G93" s="678">
        <v>0.21</v>
      </c>
      <c r="H93" s="678">
        <v>0.26</v>
      </c>
      <c r="I93" s="678">
        <v>0.26</v>
      </c>
      <c r="J93" s="678">
        <v>0.19</v>
      </c>
      <c r="K93" s="678">
        <v>0.32</v>
      </c>
      <c r="L93" s="678">
        <v>0.21</v>
      </c>
      <c r="M93" s="678">
        <v>0.24</v>
      </c>
      <c r="N93" s="678">
        <v>0.25</v>
      </c>
    </row>
    <row r="94" spans="1:14" x14ac:dyDescent="0.2">
      <c r="A94" s="678">
        <v>1968</v>
      </c>
      <c r="B94" s="678">
        <v>0.06</v>
      </c>
      <c r="C94" s="678">
        <v>0.15</v>
      </c>
      <c r="D94" s="678">
        <v>0.48</v>
      </c>
      <c r="E94" s="678">
        <v>0.21</v>
      </c>
      <c r="F94" s="678">
        <v>0.13</v>
      </c>
      <c r="G94" s="678">
        <v>0.19</v>
      </c>
      <c r="H94" s="678">
        <v>0.11</v>
      </c>
      <c r="I94" s="678">
        <v>0.17</v>
      </c>
      <c r="J94" s="678">
        <v>0.06</v>
      </c>
      <c r="K94" s="678">
        <v>0.32</v>
      </c>
      <c r="L94" s="678">
        <v>0.21</v>
      </c>
      <c r="M94" s="678">
        <v>0.14000000000000001</v>
      </c>
      <c r="N94" s="678">
        <v>0.19</v>
      </c>
    </row>
    <row r="95" spans="1:14" x14ac:dyDescent="0.2">
      <c r="A95" s="678">
        <v>1969</v>
      </c>
      <c r="B95" s="678">
        <v>0.22</v>
      </c>
      <c r="C95" s="678">
        <v>0.11</v>
      </c>
      <c r="D95" s="678">
        <v>0.28000000000000003</v>
      </c>
      <c r="E95" s="678">
        <v>0.44</v>
      </c>
      <c r="F95" s="678">
        <v>0.46</v>
      </c>
      <c r="G95" s="678">
        <v>0.32</v>
      </c>
      <c r="H95" s="678">
        <v>0.2</v>
      </c>
      <c r="I95" s="678">
        <v>0.28999999999999998</v>
      </c>
      <c r="J95" s="678">
        <v>0.33</v>
      </c>
      <c r="K95" s="678">
        <v>0.33</v>
      </c>
      <c r="L95" s="678">
        <v>0.38</v>
      </c>
      <c r="M95" s="678">
        <v>0.53</v>
      </c>
      <c r="N95" s="678">
        <v>0.32</v>
      </c>
    </row>
    <row r="96" spans="1:14" x14ac:dyDescent="0.2">
      <c r="A96" s="678">
        <v>1970</v>
      </c>
      <c r="B96" s="678">
        <v>0.41</v>
      </c>
      <c r="C96" s="678">
        <v>0.51</v>
      </c>
      <c r="D96" s="678">
        <v>0.33</v>
      </c>
      <c r="E96" s="678">
        <v>0.32</v>
      </c>
      <c r="F96" s="678">
        <v>0.24</v>
      </c>
      <c r="G96" s="678">
        <v>0.26</v>
      </c>
      <c r="H96" s="678">
        <v>0.25</v>
      </c>
      <c r="I96" s="678">
        <v>0.15</v>
      </c>
      <c r="J96" s="678">
        <v>0.36</v>
      </c>
      <c r="K96" s="678">
        <v>0.26</v>
      </c>
      <c r="L96" s="678">
        <v>0.27</v>
      </c>
      <c r="M96" s="678">
        <v>0.16</v>
      </c>
      <c r="N96" s="678">
        <v>0.3</v>
      </c>
    </row>
    <row r="97" spans="1:14" x14ac:dyDescent="0.2">
      <c r="A97" s="678">
        <v>1971</v>
      </c>
      <c r="B97" s="678">
        <v>0.3</v>
      </c>
      <c r="C97" s="678">
        <v>0.13</v>
      </c>
      <c r="D97" s="678">
        <v>0.09</v>
      </c>
      <c r="E97" s="678">
        <v>0.2</v>
      </c>
      <c r="F97" s="678">
        <v>0.23</v>
      </c>
      <c r="G97" s="678">
        <v>0.12</v>
      </c>
      <c r="H97" s="678">
        <v>0.16</v>
      </c>
      <c r="I97" s="678">
        <v>0.25</v>
      </c>
      <c r="J97" s="678">
        <v>0.19</v>
      </c>
      <c r="K97" s="678">
        <v>0.19</v>
      </c>
      <c r="L97" s="678">
        <v>0.18</v>
      </c>
      <c r="M97" s="678">
        <v>0.2</v>
      </c>
      <c r="N97" s="678">
        <v>0.19</v>
      </c>
    </row>
    <row r="98" spans="1:14" x14ac:dyDescent="0.2">
      <c r="A98" s="678">
        <v>1972</v>
      </c>
      <c r="B98" s="678">
        <v>0.1</v>
      </c>
      <c r="C98" s="678">
        <v>0.11</v>
      </c>
      <c r="D98" s="678">
        <v>0.3</v>
      </c>
      <c r="E98" s="678">
        <v>0.27</v>
      </c>
      <c r="F98" s="678">
        <v>0.24</v>
      </c>
      <c r="G98" s="678">
        <v>0.33</v>
      </c>
      <c r="H98" s="678">
        <v>0.25</v>
      </c>
      <c r="I98" s="678">
        <v>0.41</v>
      </c>
      <c r="J98" s="678">
        <v>0.26</v>
      </c>
      <c r="K98" s="678">
        <v>0.31</v>
      </c>
      <c r="L98" s="678">
        <v>0.28000000000000003</v>
      </c>
      <c r="M98" s="678">
        <v>0.46</v>
      </c>
      <c r="N98" s="678">
        <v>0.28000000000000003</v>
      </c>
    </row>
    <row r="99" spans="1:14" x14ac:dyDescent="0.2">
      <c r="A99" s="678">
        <v>1973</v>
      </c>
      <c r="B99" s="678">
        <v>0.61</v>
      </c>
      <c r="C99" s="678">
        <v>0.61</v>
      </c>
      <c r="D99" s="678">
        <v>0.56000000000000005</v>
      </c>
      <c r="E99" s="678">
        <v>0.54</v>
      </c>
      <c r="F99" s="678">
        <v>0.5</v>
      </c>
      <c r="G99" s="678">
        <v>0.47</v>
      </c>
      <c r="H99" s="678">
        <v>0.36</v>
      </c>
      <c r="I99" s="678">
        <v>0.3</v>
      </c>
      <c r="J99" s="678">
        <v>0.33</v>
      </c>
      <c r="K99" s="678">
        <v>0.33</v>
      </c>
      <c r="L99" s="678">
        <v>0.3</v>
      </c>
      <c r="M99" s="678">
        <v>0.22</v>
      </c>
      <c r="N99" s="678">
        <v>0.43</v>
      </c>
    </row>
    <row r="100" spans="1:14" x14ac:dyDescent="0.2">
      <c r="A100" s="678">
        <v>1974</v>
      </c>
      <c r="B100" s="678">
        <v>0.23</v>
      </c>
      <c r="C100" s="678">
        <v>0.02</v>
      </c>
      <c r="D100" s="678">
        <v>0.22</v>
      </c>
      <c r="E100" s="678">
        <v>0.15</v>
      </c>
      <c r="F100" s="678">
        <v>0.23</v>
      </c>
      <c r="G100" s="678">
        <v>0.24</v>
      </c>
      <c r="H100" s="678">
        <v>0.21</v>
      </c>
      <c r="I100" s="678">
        <v>0.36</v>
      </c>
      <c r="J100" s="678">
        <v>0.17</v>
      </c>
      <c r="K100" s="678">
        <v>0.18</v>
      </c>
      <c r="L100" s="678">
        <v>0.18</v>
      </c>
      <c r="M100" s="678">
        <v>0.2</v>
      </c>
      <c r="N100" s="678">
        <v>0.2</v>
      </c>
    </row>
    <row r="101" spans="1:14" x14ac:dyDescent="0.2">
      <c r="A101" s="678">
        <v>1975</v>
      </c>
      <c r="B101" s="678">
        <v>0.43</v>
      </c>
      <c r="C101" s="678">
        <v>0.37</v>
      </c>
      <c r="D101" s="678">
        <v>0.4</v>
      </c>
      <c r="E101" s="678">
        <v>0.31</v>
      </c>
      <c r="F101" s="678">
        <v>0.43</v>
      </c>
      <c r="G101" s="678">
        <v>0.28000000000000003</v>
      </c>
      <c r="H101" s="678">
        <v>0.23</v>
      </c>
      <c r="I101" s="678">
        <v>0.08</v>
      </c>
      <c r="J101" s="678">
        <v>0.22</v>
      </c>
      <c r="K101" s="678">
        <v>0.12</v>
      </c>
      <c r="L101" s="678">
        <v>0.09</v>
      </c>
      <c r="M101" s="678">
        <v>0.12</v>
      </c>
      <c r="N101" s="678">
        <v>0.26</v>
      </c>
    </row>
    <row r="102" spans="1:14" x14ac:dyDescent="0.2">
      <c r="A102" s="678">
        <v>1976</v>
      </c>
      <c r="B102" s="678">
        <v>0.3</v>
      </c>
      <c r="C102" s="678">
        <v>0.23</v>
      </c>
      <c r="D102" s="678">
        <v>0.06</v>
      </c>
      <c r="E102" s="678">
        <v>0.2</v>
      </c>
      <c r="F102" s="678">
        <v>7.0000000000000007E-2</v>
      </c>
      <c r="G102" s="678">
        <v>0.16</v>
      </c>
      <c r="H102" s="678">
        <v>0.14000000000000001</v>
      </c>
      <c r="I102" s="678">
        <v>0.13</v>
      </c>
      <c r="J102" s="678">
        <v>0.18</v>
      </c>
      <c r="K102" s="678">
        <v>-0.01</v>
      </c>
      <c r="L102" s="678">
        <v>0.2</v>
      </c>
      <c r="M102" s="678">
        <v>0.39</v>
      </c>
      <c r="N102" s="678">
        <v>0.17</v>
      </c>
    </row>
    <row r="103" spans="1:14" x14ac:dyDescent="0.2">
      <c r="A103" s="678">
        <v>1977</v>
      </c>
      <c r="B103" s="678">
        <v>0.51</v>
      </c>
      <c r="C103" s="678">
        <v>0.51</v>
      </c>
      <c r="D103" s="678">
        <v>0.52</v>
      </c>
      <c r="E103" s="678">
        <v>0.53</v>
      </c>
      <c r="F103" s="678">
        <v>0.6</v>
      </c>
      <c r="G103" s="678">
        <v>0.56000000000000005</v>
      </c>
      <c r="H103" s="678">
        <v>0.44</v>
      </c>
      <c r="I103" s="678">
        <v>0.43</v>
      </c>
      <c r="J103" s="678">
        <v>0.26</v>
      </c>
      <c r="K103" s="678">
        <v>0.27</v>
      </c>
      <c r="L103" s="678">
        <v>0.42</v>
      </c>
      <c r="M103" s="678">
        <v>0.31</v>
      </c>
      <c r="N103" s="678">
        <v>0.45</v>
      </c>
    </row>
    <row r="104" spans="1:14" x14ac:dyDescent="0.2">
      <c r="A104" s="678">
        <v>1978</v>
      </c>
      <c r="B104" s="678">
        <v>0.39</v>
      </c>
      <c r="C104" s="678">
        <v>0.39</v>
      </c>
      <c r="D104" s="678">
        <v>0.46</v>
      </c>
      <c r="E104" s="678">
        <v>0.44</v>
      </c>
      <c r="F104" s="678">
        <v>0.37</v>
      </c>
      <c r="G104" s="678">
        <v>0.27</v>
      </c>
      <c r="H104" s="678">
        <v>0.28000000000000003</v>
      </c>
      <c r="I104" s="678">
        <v>0.12</v>
      </c>
      <c r="J104" s="678">
        <v>0.3</v>
      </c>
      <c r="K104" s="678">
        <v>0.26</v>
      </c>
      <c r="L104" s="678">
        <v>0.39</v>
      </c>
      <c r="M104" s="678">
        <v>0.36</v>
      </c>
      <c r="N104" s="678">
        <v>0.34</v>
      </c>
    </row>
    <row r="105" spans="1:14" x14ac:dyDescent="0.2">
      <c r="A105" s="678">
        <v>1979</v>
      </c>
      <c r="B105" s="678">
        <v>0.41</v>
      </c>
      <c r="C105" s="678">
        <v>0.19</v>
      </c>
      <c r="D105" s="678">
        <v>0.46</v>
      </c>
      <c r="E105" s="678">
        <v>0.42</v>
      </c>
      <c r="F105" s="678">
        <v>0.31</v>
      </c>
      <c r="G105" s="678">
        <v>0.43</v>
      </c>
      <c r="H105" s="678">
        <v>0.27</v>
      </c>
      <c r="I105" s="678">
        <v>0.42</v>
      </c>
      <c r="J105" s="678">
        <v>0.49</v>
      </c>
      <c r="K105" s="678">
        <v>0.49</v>
      </c>
      <c r="L105" s="678">
        <v>0.54</v>
      </c>
      <c r="M105" s="678">
        <v>0.76</v>
      </c>
      <c r="N105" s="678">
        <v>0.43</v>
      </c>
    </row>
    <row r="106" spans="1:14" x14ac:dyDescent="0.2">
      <c r="A106" s="678">
        <v>1980</v>
      </c>
      <c r="B106" s="678">
        <v>0.62</v>
      </c>
      <c r="C106" s="678">
        <v>0.68</v>
      </c>
      <c r="D106" s="678">
        <v>0.56999999999999995</v>
      </c>
      <c r="E106" s="678">
        <v>0.56999999999999995</v>
      </c>
      <c r="F106" s="678">
        <v>0.62</v>
      </c>
      <c r="G106" s="678">
        <v>0.49</v>
      </c>
      <c r="H106" s="678">
        <v>0.46</v>
      </c>
      <c r="I106" s="678">
        <v>0.44</v>
      </c>
      <c r="J106" s="678">
        <v>0.45</v>
      </c>
      <c r="K106" s="678">
        <v>0.36</v>
      </c>
      <c r="L106" s="678">
        <v>0.55000000000000004</v>
      </c>
      <c r="M106" s="678">
        <v>0.5</v>
      </c>
      <c r="N106" s="678">
        <v>0.53</v>
      </c>
    </row>
    <row r="107" spans="1:14" x14ac:dyDescent="0.2">
      <c r="A107" s="678">
        <v>1981</v>
      </c>
      <c r="B107" s="678">
        <v>0.85</v>
      </c>
      <c r="C107" s="678">
        <v>0.71</v>
      </c>
      <c r="D107" s="678">
        <v>0.75</v>
      </c>
      <c r="E107" s="678">
        <v>0.59</v>
      </c>
      <c r="F107" s="678">
        <v>0.52</v>
      </c>
      <c r="G107" s="678">
        <v>0.57999999999999996</v>
      </c>
      <c r="H107" s="678">
        <v>0.56000000000000005</v>
      </c>
      <c r="I107" s="678">
        <v>0.6</v>
      </c>
      <c r="J107" s="678">
        <v>0.39</v>
      </c>
      <c r="K107" s="678">
        <v>0.35</v>
      </c>
      <c r="L107" s="678">
        <v>0.48</v>
      </c>
      <c r="M107" s="678">
        <v>0.69</v>
      </c>
      <c r="N107" s="678">
        <v>0.59</v>
      </c>
    </row>
    <row r="108" spans="1:14" x14ac:dyDescent="0.2">
      <c r="A108" s="678">
        <v>1982</v>
      </c>
      <c r="B108" s="678">
        <v>0.37</v>
      </c>
      <c r="C108" s="678">
        <v>0.44</v>
      </c>
      <c r="D108" s="678">
        <v>0.3</v>
      </c>
      <c r="E108" s="678">
        <v>0.41</v>
      </c>
      <c r="F108" s="678">
        <v>0.45</v>
      </c>
      <c r="G108" s="678">
        <v>0.34</v>
      </c>
      <c r="H108" s="678">
        <v>0.38</v>
      </c>
      <c r="I108" s="678">
        <v>0.28999999999999998</v>
      </c>
      <c r="J108" s="678">
        <v>0.38</v>
      </c>
      <c r="K108" s="678">
        <v>0.36</v>
      </c>
      <c r="L108" s="678">
        <v>0.43</v>
      </c>
      <c r="M108" s="678">
        <v>0.71</v>
      </c>
      <c r="N108" s="678">
        <v>0.41</v>
      </c>
    </row>
    <row r="109" spans="1:14" x14ac:dyDescent="0.2">
      <c r="A109" s="678">
        <v>1983</v>
      </c>
      <c r="B109" s="678">
        <v>0.85</v>
      </c>
      <c r="C109" s="678">
        <v>0.72</v>
      </c>
      <c r="D109" s="678">
        <v>0.69</v>
      </c>
      <c r="E109" s="678">
        <v>0.54</v>
      </c>
      <c r="F109" s="678">
        <v>0.61</v>
      </c>
      <c r="G109" s="678">
        <v>0.51</v>
      </c>
      <c r="H109" s="678">
        <v>0.42</v>
      </c>
      <c r="I109" s="678">
        <v>0.61</v>
      </c>
      <c r="J109" s="678">
        <v>0.62</v>
      </c>
      <c r="K109" s="678">
        <v>0.4</v>
      </c>
      <c r="L109" s="678">
        <v>0.56000000000000005</v>
      </c>
      <c r="M109" s="678">
        <v>0.45</v>
      </c>
      <c r="N109" s="678">
        <v>0.57999999999999996</v>
      </c>
    </row>
    <row r="110" spans="1:14" x14ac:dyDescent="0.2">
      <c r="A110" s="678">
        <v>1984</v>
      </c>
      <c r="B110" s="678">
        <v>0.63</v>
      </c>
      <c r="C110" s="678">
        <v>0.43</v>
      </c>
      <c r="D110" s="678">
        <v>0.54</v>
      </c>
      <c r="E110" s="678">
        <v>0.33</v>
      </c>
      <c r="F110" s="678">
        <v>0.6</v>
      </c>
      <c r="G110" s="678">
        <v>0.31</v>
      </c>
      <c r="H110" s="678">
        <v>0.43</v>
      </c>
      <c r="I110" s="678">
        <v>0.45</v>
      </c>
      <c r="J110" s="678">
        <v>0.45</v>
      </c>
      <c r="K110" s="678">
        <v>0.37</v>
      </c>
      <c r="L110" s="678">
        <v>0.32</v>
      </c>
      <c r="M110" s="678">
        <v>0.24</v>
      </c>
      <c r="N110" s="678">
        <v>0.42</v>
      </c>
    </row>
    <row r="111" spans="1:14" x14ac:dyDescent="0.2">
      <c r="A111" s="678">
        <v>1985</v>
      </c>
      <c r="B111" s="678">
        <v>0.55000000000000004</v>
      </c>
      <c r="C111" s="678">
        <v>0.25</v>
      </c>
      <c r="D111" s="678">
        <v>0.45</v>
      </c>
      <c r="E111" s="678">
        <v>0.39</v>
      </c>
      <c r="F111" s="678">
        <v>0.42</v>
      </c>
      <c r="G111" s="678">
        <v>0.44</v>
      </c>
      <c r="H111" s="678">
        <v>0.28000000000000003</v>
      </c>
      <c r="I111" s="678">
        <v>0.42</v>
      </c>
      <c r="J111" s="678">
        <v>0.37</v>
      </c>
      <c r="K111" s="678">
        <v>0.35</v>
      </c>
      <c r="L111" s="678">
        <v>0.31</v>
      </c>
      <c r="M111" s="678">
        <v>0.42</v>
      </c>
      <c r="N111" s="678">
        <v>0.38</v>
      </c>
    </row>
    <row r="112" spans="1:14" x14ac:dyDescent="0.2">
      <c r="A112" s="678">
        <v>1986</v>
      </c>
      <c r="B112" s="678">
        <v>0.59</v>
      </c>
      <c r="C112" s="678">
        <v>0.65</v>
      </c>
      <c r="D112" s="678">
        <v>0.56999999999999995</v>
      </c>
      <c r="E112" s="678">
        <v>0.49</v>
      </c>
      <c r="F112" s="678">
        <v>0.49</v>
      </c>
      <c r="G112" s="678">
        <v>0.4</v>
      </c>
      <c r="H112" s="678">
        <v>0.35</v>
      </c>
      <c r="I112" s="678">
        <v>0.41</v>
      </c>
      <c r="J112" s="678">
        <v>0.27</v>
      </c>
      <c r="K112" s="678">
        <v>0.39</v>
      </c>
      <c r="L112" s="678">
        <v>0.35</v>
      </c>
      <c r="M112" s="678">
        <v>0.41</v>
      </c>
      <c r="N112" s="678">
        <v>0.45</v>
      </c>
    </row>
    <row r="113" spans="1:14" x14ac:dyDescent="0.2">
      <c r="A113" s="678">
        <v>1987</v>
      </c>
      <c r="B113" s="678">
        <v>0.64</v>
      </c>
      <c r="C113" s="678">
        <v>0.72</v>
      </c>
      <c r="D113" s="678">
        <v>0.46</v>
      </c>
      <c r="E113" s="678">
        <v>0.51</v>
      </c>
      <c r="F113" s="678">
        <v>0.53</v>
      </c>
      <c r="G113" s="678">
        <v>0.63</v>
      </c>
      <c r="H113" s="678">
        <v>0.64</v>
      </c>
      <c r="I113" s="678">
        <v>0.5</v>
      </c>
      <c r="J113" s="678">
        <v>0.59</v>
      </c>
      <c r="K113" s="678">
        <v>0.56000000000000005</v>
      </c>
      <c r="L113" s="678">
        <v>0.54</v>
      </c>
      <c r="M113" s="678">
        <v>0.75</v>
      </c>
      <c r="N113" s="678">
        <v>0.59</v>
      </c>
    </row>
    <row r="114" spans="1:14" x14ac:dyDescent="0.2">
      <c r="A114" s="678">
        <v>1988</v>
      </c>
      <c r="B114" s="678">
        <v>0.89</v>
      </c>
      <c r="C114" s="678">
        <v>0.73</v>
      </c>
      <c r="D114" s="678">
        <v>0.79</v>
      </c>
      <c r="E114" s="678">
        <v>0.69</v>
      </c>
      <c r="F114" s="678">
        <v>0.71</v>
      </c>
      <c r="G114" s="678">
        <v>0.69</v>
      </c>
      <c r="H114" s="678">
        <v>0.56999999999999995</v>
      </c>
      <c r="I114" s="678">
        <v>0.64</v>
      </c>
      <c r="J114" s="678">
        <v>0.61</v>
      </c>
      <c r="K114" s="678">
        <v>0.61</v>
      </c>
      <c r="L114" s="678">
        <v>0.38</v>
      </c>
      <c r="M114" s="678">
        <v>0.57999999999999996</v>
      </c>
      <c r="N114" s="678">
        <v>0.66</v>
      </c>
    </row>
    <row r="115" spans="1:14" x14ac:dyDescent="0.2">
      <c r="A115" s="678">
        <v>1989</v>
      </c>
      <c r="B115" s="678">
        <v>0.45</v>
      </c>
      <c r="C115" s="678">
        <v>0.57999999999999996</v>
      </c>
      <c r="D115" s="678">
        <v>0.63</v>
      </c>
      <c r="E115" s="678">
        <v>0.56000000000000005</v>
      </c>
      <c r="F115" s="678">
        <v>0.45</v>
      </c>
      <c r="G115" s="678">
        <v>0.44</v>
      </c>
      <c r="H115" s="678">
        <v>0.57999999999999996</v>
      </c>
      <c r="I115" s="678">
        <v>0.57999999999999996</v>
      </c>
      <c r="J115" s="678">
        <v>0.59</v>
      </c>
      <c r="K115" s="678">
        <v>0.52</v>
      </c>
      <c r="L115" s="678">
        <v>0.45</v>
      </c>
      <c r="M115" s="678">
        <v>0.66</v>
      </c>
      <c r="N115" s="678">
        <v>0.54</v>
      </c>
    </row>
    <row r="116" spans="1:14" x14ac:dyDescent="0.2">
      <c r="A116" s="678">
        <v>1990</v>
      </c>
      <c r="B116" s="678">
        <v>0.74</v>
      </c>
      <c r="C116" s="678">
        <v>0.72</v>
      </c>
      <c r="D116" s="678">
        <v>1.07</v>
      </c>
      <c r="E116" s="678">
        <v>0.83</v>
      </c>
      <c r="F116" s="678">
        <v>0.73</v>
      </c>
      <c r="G116" s="678">
        <v>0.66</v>
      </c>
      <c r="H116" s="678">
        <v>0.69</v>
      </c>
      <c r="I116" s="678">
        <v>0.59</v>
      </c>
      <c r="J116" s="678">
        <v>0.47</v>
      </c>
      <c r="K116" s="678">
        <v>0.68</v>
      </c>
      <c r="L116" s="678">
        <v>0.72</v>
      </c>
      <c r="M116" s="678">
        <v>0.69</v>
      </c>
      <c r="N116" s="678">
        <v>0.72</v>
      </c>
    </row>
    <row r="117" spans="1:14" x14ac:dyDescent="0.2">
      <c r="A117" s="678">
        <v>1991</v>
      </c>
      <c r="B117" s="678">
        <v>0.75</v>
      </c>
      <c r="C117" s="678">
        <v>0.78</v>
      </c>
      <c r="D117" s="678">
        <v>0.63</v>
      </c>
      <c r="E117" s="678">
        <v>0.78</v>
      </c>
      <c r="F117" s="678">
        <v>0.62</v>
      </c>
      <c r="G117" s="678">
        <v>0.82</v>
      </c>
      <c r="H117" s="678">
        <v>0.71</v>
      </c>
      <c r="I117" s="678">
        <v>0.64</v>
      </c>
      <c r="J117" s="678">
        <v>0.68</v>
      </c>
      <c r="K117" s="678">
        <v>0.52</v>
      </c>
      <c r="L117" s="678">
        <v>0.55000000000000004</v>
      </c>
      <c r="M117" s="678">
        <v>0.6</v>
      </c>
      <c r="N117" s="678">
        <v>0.67</v>
      </c>
    </row>
    <row r="118" spans="1:14" x14ac:dyDescent="0.2">
      <c r="A118" s="678">
        <v>1992</v>
      </c>
      <c r="B118" s="678">
        <v>0.8</v>
      </c>
      <c r="C118" s="678">
        <v>0.69</v>
      </c>
      <c r="D118" s="678">
        <v>0.75</v>
      </c>
      <c r="E118" s="678">
        <v>0.54</v>
      </c>
      <c r="F118" s="678">
        <v>0.59</v>
      </c>
      <c r="G118" s="678">
        <v>0.54</v>
      </c>
      <c r="H118" s="678">
        <v>0.32</v>
      </c>
      <c r="I118" s="678">
        <v>0.33</v>
      </c>
      <c r="J118" s="678">
        <v>0.24</v>
      </c>
      <c r="K118" s="678">
        <v>0.28999999999999998</v>
      </c>
      <c r="L118" s="678">
        <v>0.28000000000000003</v>
      </c>
      <c r="M118" s="678">
        <v>0.5</v>
      </c>
      <c r="N118" s="678">
        <v>0.49</v>
      </c>
    </row>
    <row r="119" spans="1:14" x14ac:dyDescent="0.2">
      <c r="A119" s="678">
        <v>1993</v>
      </c>
      <c r="B119" s="678">
        <v>0.67</v>
      </c>
      <c r="C119" s="678">
        <v>0.65</v>
      </c>
      <c r="D119" s="678">
        <v>0.63</v>
      </c>
      <c r="E119" s="678">
        <v>0.54</v>
      </c>
      <c r="F119" s="678">
        <v>0.56000000000000005</v>
      </c>
      <c r="G119" s="678">
        <v>0.51</v>
      </c>
      <c r="H119" s="678">
        <v>0.49</v>
      </c>
      <c r="I119" s="678">
        <v>0.36</v>
      </c>
      <c r="J119" s="678">
        <v>0.36</v>
      </c>
      <c r="K119" s="678">
        <v>0.46</v>
      </c>
      <c r="L119" s="678">
        <v>0.28999999999999998</v>
      </c>
      <c r="M119" s="678">
        <v>0.46</v>
      </c>
      <c r="N119" s="678">
        <v>0.5</v>
      </c>
    </row>
    <row r="120" spans="1:14" x14ac:dyDescent="0.2">
      <c r="A120" s="678">
        <v>1994</v>
      </c>
      <c r="B120" s="678">
        <v>0.57999999999999996</v>
      </c>
      <c r="C120" s="678">
        <v>0.31</v>
      </c>
      <c r="D120" s="678">
        <v>0.56000000000000005</v>
      </c>
      <c r="E120" s="678">
        <v>0.68</v>
      </c>
      <c r="F120" s="678">
        <v>0.55000000000000004</v>
      </c>
      <c r="G120" s="678">
        <v>0.72</v>
      </c>
      <c r="H120" s="678">
        <v>0.54</v>
      </c>
      <c r="I120" s="678">
        <v>0.47</v>
      </c>
      <c r="J120" s="678">
        <v>0.55000000000000004</v>
      </c>
      <c r="K120" s="678">
        <v>0.65</v>
      </c>
      <c r="L120" s="678">
        <v>0.69</v>
      </c>
      <c r="M120" s="678">
        <v>0.67</v>
      </c>
      <c r="N120" s="678">
        <v>0.57999999999999996</v>
      </c>
    </row>
    <row r="121" spans="1:14" x14ac:dyDescent="0.2">
      <c r="A121" s="678">
        <v>1995</v>
      </c>
      <c r="B121" s="678">
        <v>0.84</v>
      </c>
      <c r="C121" s="678">
        <v>1.08</v>
      </c>
      <c r="D121" s="678">
        <v>0.74</v>
      </c>
      <c r="E121" s="678">
        <v>0.73</v>
      </c>
      <c r="F121" s="678">
        <v>0.55000000000000004</v>
      </c>
      <c r="G121" s="678">
        <v>0.72</v>
      </c>
      <c r="H121" s="678">
        <v>0.69</v>
      </c>
      <c r="I121" s="678">
        <v>0.7</v>
      </c>
      <c r="J121" s="678">
        <v>0.56999999999999995</v>
      </c>
      <c r="K121" s="678">
        <v>0.7</v>
      </c>
      <c r="L121" s="678">
        <v>0.7</v>
      </c>
      <c r="M121" s="678">
        <v>0.54</v>
      </c>
      <c r="N121" s="678">
        <v>0.71</v>
      </c>
    </row>
    <row r="122" spans="1:14" x14ac:dyDescent="0.2">
      <c r="A122" s="678">
        <v>1996</v>
      </c>
      <c r="B122" s="678">
        <v>0.56000000000000005</v>
      </c>
      <c r="C122" s="678">
        <v>0.74</v>
      </c>
      <c r="D122" s="678">
        <v>0.6</v>
      </c>
      <c r="E122" s="678">
        <v>0.6</v>
      </c>
      <c r="F122" s="678">
        <v>0.55000000000000004</v>
      </c>
      <c r="G122" s="678">
        <v>0.56999999999999995</v>
      </c>
      <c r="H122" s="678">
        <v>0.6</v>
      </c>
      <c r="I122" s="678">
        <v>0.74</v>
      </c>
      <c r="J122" s="678">
        <v>0.49</v>
      </c>
      <c r="K122" s="678">
        <v>0.47</v>
      </c>
      <c r="L122" s="678">
        <v>0.64</v>
      </c>
      <c r="M122" s="678">
        <v>0.65</v>
      </c>
      <c r="N122" s="678">
        <v>0.6</v>
      </c>
    </row>
    <row r="123" spans="1:14" x14ac:dyDescent="0.2">
      <c r="A123" s="678">
        <v>1997</v>
      </c>
      <c r="B123" s="678">
        <v>0.66</v>
      </c>
      <c r="C123" s="678">
        <v>0.69</v>
      </c>
      <c r="D123" s="678">
        <v>0.79</v>
      </c>
      <c r="E123" s="678">
        <v>0.6</v>
      </c>
      <c r="F123" s="678">
        <v>0.62</v>
      </c>
      <c r="G123" s="678">
        <v>0.83</v>
      </c>
      <c r="H123" s="678">
        <v>0.56999999999999995</v>
      </c>
      <c r="I123" s="678">
        <v>0.66</v>
      </c>
      <c r="J123" s="678">
        <v>0.76</v>
      </c>
      <c r="K123" s="678">
        <v>0.84</v>
      </c>
      <c r="L123" s="678">
        <v>0.9</v>
      </c>
      <c r="M123" s="678">
        <v>0.87</v>
      </c>
      <c r="N123" s="678">
        <v>0.73</v>
      </c>
    </row>
    <row r="124" spans="1:14" x14ac:dyDescent="0.2">
      <c r="A124" s="678">
        <v>1998</v>
      </c>
      <c r="B124" s="678">
        <v>0.9</v>
      </c>
      <c r="C124" s="678">
        <v>1.1599999999999999</v>
      </c>
      <c r="D124" s="678">
        <v>0.9</v>
      </c>
      <c r="E124" s="678">
        <v>0.9</v>
      </c>
      <c r="F124" s="678">
        <v>0.95</v>
      </c>
      <c r="G124" s="678">
        <v>1.06</v>
      </c>
      <c r="H124" s="678">
        <v>0.89</v>
      </c>
      <c r="I124" s="678">
        <v>0.91</v>
      </c>
      <c r="J124" s="678">
        <v>0.66</v>
      </c>
      <c r="K124" s="678">
        <v>0.64</v>
      </c>
      <c r="L124" s="678">
        <v>0.68</v>
      </c>
      <c r="M124" s="678">
        <v>0.83</v>
      </c>
      <c r="N124" s="678">
        <v>0.87</v>
      </c>
    </row>
    <row r="125" spans="1:14" x14ac:dyDescent="0.2">
      <c r="A125" s="678">
        <v>1999</v>
      </c>
      <c r="B125" s="678">
        <v>0.81</v>
      </c>
      <c r="C125" s="678">
        <v>0.92</v>
      </c>
      <c r="D125" s="678">
        <v>0.59</v>
      </c>
      <c r="E125" s="678">
        <v>0.59</v>
      </c>
      <c r="F125" s="678">
        <v>0.54</v>
      </c>
      <c r="G125" s="678">
        <v>0.65</v>
      </c>
      <c r="H125" s="678">
        <v>0.62</v>
      </c>
      <c r="I125" s="678">
        <v>0.56999999999999995</v>
      </c>
      <c r="J125" s="678">
        <v>0.63</v>
      </c>
      <c r="K125" s="678">
        <v>0.56999999999999995</v>
      </c>
      <c r="L125" s="678">
        <v>0.62</v>
      </c>
      <c r="M125" s="678">
        <v>0.69</v>
      </c>
      <c r="N125" s="678">
        <v>0.65</v>
      </c>
    </row>
    <row r="126" spans="1:14" x14ac:dyDescent="0.2">
      <c r="A126" s="678">
        <v>2000</v>
      </c>
      <c r="B126" s="678">
        <v>0.56999999999999995</v>
      </c>
      <c r="C126" s="678">
        <v>0.84</v>
      </c>
      <c r="D126" s="678">
        <v>0.82</v>
      </c>
      <c r="E126" s="678">
        <v>0.83</v>
      </c>
      <c r="F126" s="678">
        <v>0.63</v>
      </c>
      <c r="G126" s="678">
        <v>0.69</v>
      </c>
      <c r="H126" s="678">
        <v>0.63</v>
      </c>
      <c r="I126" s="678">
        <v>0.68</v>
      </c>
      <c r="J126" s="678">
        <v>0.63</v>
      </c>
      <c r="K126" s="678">
        <v>0.49</v>
      </c>
      <c r="L126" s="678">
        <v>0.56000000000000005</v>
      </c>
      <c r="M126" s="678">
        <v>0.56999999999999995</v>
      </c>
      <c r="N126" s="678">
        <v>0.66</v>
      </c>
    </row>
    <row r="127" spans="1:14" x14ac:dyDescent="0.2">
      <c r="A127" s="678">
        <v>2001</v>
      </c>
      <c r="B127" s="678">
        <v>0.77</v>
      </c>
      <c r="C127" s="678">
        <v>0.72</v>
      </c>
      <c r="D127" s="678">
        <v>0.83</v>
      </c>
      <c r="E127" s="678">
        <v>0.77</v>
      </c>
      <c r="F127" s="678">
        <v>0.85</v>
      </c>
      <c r="G127" s="678">
        <v>0.81</v>
      </c>
      <c r="H127" s="678">
        <v>0.83</v>
      </c>
      <c r="I127" s="678">
        <v>0.74</v>
      </c>
      <c r="J127" s="678">
        <v>0.76</v>
      </c>
      <c r="K127" s="678">
        <v>0.73</v>
      </c>
      <c r="L127" s="678">
        <v>0.97</v>
      </c>
      <c r="M127" s="678">
        <v>0.84</v>
      </c>
      <c r="N127" s="678">
        <v>0.8</v>
      </c>
    </row>
    <row r="128" spans="1:14" x14ac:dyDescent="0.2">
      <c r="A128" s="678">
        <v>2002</v>
      </c>
      <c r="B128" s="678">
        <v>1.0900000000000001</v>
      </c>
      <c r="C128" s="678">
        <v>1.07</v>
      </c>
      <c r="D128" s="678">
        <v>1.1499999999999999</v>
      </c>
      <c r="E128" s="678">
        <v>0.85</v>
      </c>
      <c r="F128" s="678">
        <v>0.92</v>
      </c>
      <c r="G128" s="678">
        <v>0.81</v>
      </c>
      <c r="H128" s="678">
        <v>0.85</v>
      </c>
      <c r="I128" s="678">
        <v>0.78</v>
      </c>
      <c r="J128" s="678">
        <v>0.87</v>
      </c>
      <c r="K128" s="678">
        <v>0.77</v>
      </c>
      <c r="L128" s="678">
        <v>0.84</v>
      </c>
      <c r="M128" s="678">
        <v>0.72</v>
      </c>
      <c r="N128" s="678">
        <v>0.9</v>
      </c>
    </row>
    <row r="129" spans="1:14" x14ac:dyDescent="0.2">
      <c r="A129" s="678">
        <v>2003</v>
      </c>
      <c r="B129" s="678">
        <v>1.07</v>
      </c>
      <c r="C129" s="678">
        <v>0.87</v>
      </c>
      <c r="D129" s="678">
        <v>0.87</v>
      </c>
      <c r="E129" s="678">
        <v>0.82</v>
      </c>
      <c r="F129" s="678">
        <v>0.88</v>
      </c>
      <c r="G129" s="678">
        <v>0.77</v>
      </c>
      <c r="H129" s="678">
        <v>0.82</v>
      </c>
      <c r="I129" s="678">
        <v>0.9</v>
      </c>
      <c r="J129" s="678">
        <v>0.87</v>
      </c>
      <c r="K129" s="678">
        <v>0.96</v>
      </c>
      <c r="L129" s="678">
        <v>0.79</v>
      </c>
      <c r="M129" s="678">
        <v>1.03</v>
      </c>
      <c r="N129" s="678">
        <v>0.89</v>
      </c>
    </row>
    <row r="130" spans="1:14" x14ac:dyDescent="0.2">
      <c r="A130" s="678">
        <v>2004</v>
      </c>
      <c r="B130" s="678">
        <v>0.9</v>
      </c>
      <c r="C130" s="678">
        <v>1.01</v>
      </c>
      <c r="D130" s="678">
        <v>0.9</v>
      </c>
      <c r="E130" s="678">
        <v>0.88</v>
      </c>
      <c r="F130" s="678">
        <v>0.65</v>
      </c>
      <c r="G130" s="678">
        <v>0.73</v>
      </c>
      <c r="H130" s="678">
        <v>0.5</v>
      </c>
      <c r="I130" s="678">
        <v>0.71</v>
      </c>
      <c r="J130" s="678">
        <v>0.74</v>
      </c>
      <c r="K130" s="678">
        <v>0.84</v>
      </c>
      <c r="L130" s="678">
        <v>0.98</v>
      </c>
      <c r="M130" s="678">
        <v>0.79</v>
      </c>
      <c r="N130" s="678">
        <v>0.8</v>
      </c>
    </row>
    <row r="131" spans="1:14" x14ac:dyDescent="0.2">
      <c r="A131" s="678">
        <v>2005</v>
      </c>
      <c r="B131" s="678">
        <v>1.07</v>
      </c>
      <c r="C131" s="678">
        <v>0.88</v>
      </c>
      <c r="D131" s="678">
        <v>1.02</v>
      </c>
      <c r="E131" s="678">
        <v>0.94</v>
      </c>
      <c r="F131" s="678">
        <v>0.9</v>
      </c>
      <c r="G131" s="678">
        <v>0.93</v>
      </c>
      <c r="H131" s="678">
        <v>0.85</v>
      </c>
      <c r="I131" s="678">
        <v>0.85</v>
      </c>
      <c r="J131" s="678">
        <v>0.95</v>
      </c>
      <c r="K131" s="678">
        <v>0.98</v>
      </c>
      <c r="L131" s="678">
        <v>0.99</v>
      </c>
      <c r="M131" s="678">
        <v>0.96</v>
      </c>
      <c r="N131" s="678">
        <v>0.94</v>
      </c>
    </row>
    <row r="132" spans="1:14" x14ac:dyDescent="0.2">
      <c r="A132" s="678">
        <v>2006</v>
      </c>
      <c r="B132" s="678">
        <v>0.88</v>
      </c>
      <c r="C132" s="678">
        <v>1.02</v>
      </c>
      <c r="D132" s="678">
        <v>0.9</v>
      </c>
      <c r="E132" s="678">
        <v>0.74</v>
      </c>
      <c r="F132" s="678">
        <v>0.75</v>
      </c>
      <c r="G132" s="678">
        <v>0.95</v>
      </c>
      <c r="H132" s="678">
        <v>0.78</v>
      </c>
      <c r="I132" s="678">
        <v>0.96</v>
      </c>
      <c r="J132" s="678">
        <v>0.9</v>
      </c>
      <c r="K132" s="678">
        <v>0.93</v>
      </c>
      <c r="L132" s="678">
        <v>0.99</v>
      </c>
      <c r="M132" s="678">
        <v>1.07</v>
      </c>
      <c r="N132" s="678">
        <v>0.91</v>
      </c>
    </row>
    <row r="133" spans="1:14" x14ac:dyDescent="0.2">
      <c r="A133" s="678">
        <v>2007</v>
      </c>
      <c r="B133" s="678">
        <v>1.34</v>
      </c>
      <c r="C133" s="678">
        <v>0.99</v>
      </c>
      <c r="D133" s="678">
        <v>0.99</v>
      </c>
      <c r="E133" s="678">
        <v>1.03</v>
      </c>
      <c r="F133" s="678">
        <v>0.96</v>
      </c>
      <c r="G133" s="678">
        <v>0.9</v>
      </c>
      <c r="H133" s="678">
        <v>0.83</v>
      </c>
      <c r="I133" s="678">
        <v>0.85</v>
      </c>
      <c r="J133" s="678">
        <v>0.84</v>
      </c>
      <c r="K133" s="678">
        <v>0.82</v>
      </c>
      <c r="L133" s="678">
        <v>0.84</v>
      </c>
      <c r="M133" s="678">
        <v>0.78</v>
      </c>
      <c r="N133" s="678">
        <v>0.93</v>
      </c>
    </row>
    <row r="134" spans="1:14" x14ac:dyDescent="0.2">
      <c r="A134" s="678">
        <v>2008</v>
      </c>
      <c r="B134" s="678">
        <v>0.62</v>
      </c>
      <c r="C134" s="678">
        <v>0.66</v>
      </c>
      <c r="D134" s="678">
        <v>1.02</v>
      </c>
      <c r="E134" s="678">
        <v>0.8</v>
      </c>
      <c r="F134" s="678">
        <v>0.77</v>
      </c>
      <c r="G134" s="678">
        <v>0.77</v>
      </c>
      <c r="H134" s="678">
        <v>0.84</v>
      </c>
      <c r="I134" s="678">
        <v>0.71</v>
      </c>
      <c r="J134" s="678">
        <v>0.85</v>
      </c>
      <c r="K134" s="678">
        <v>0.9</v>
      </c>
      <c r="L134" s="678">
        <v>0.94</v>
      </c>
      <c r="M134" s="678">
        <v>0.82</v>
      </c>
      <c r="N134" s="678">
        <v>0.81</v>
      </c>
    </row>
    <row r="135" spans="1:14" x14ac:dyDescent="0.2">
      <c r="A135" s="678">
        <v>2009</v>
      </c>
      <c r="B135" s="678">
        <v>0.97</v>
      </c>
      <c r="C135" s="678">
        <v>0.81</v>
      </c>
      <c r="D135" s="678">
        <v>0.8</v>
      </c>
      <c r="E135" s="678">
        <v>0.88</v>
      </c>
      <c r="F135" s="678">
        <v>0.93</v>
      </c>
      <c r="G135" s="678">
        <v>0.93</v>
      </c>
      <c r="H135" s="678">
        <v>0.97</v>
      </c>
      <c r="I135" s="678">
        <v>0.94</v>
      </c>
      <c r="J135" s="678">
        <v>0.96</v>
      </c>
      <c r="K135" s="678">
        <v>0.89</v>
      </c>
      <c r="L135" s="678">
        <v>1.05</v>
      </c>
      <c r="M135" s="678">
        <v>0.96</v>
      </c>
      <c r="N135" s="678">
        <v>0.92</v>
      </c>
    </row>
    <row r="136" spans="1:14" x14ac:dyDescent="0.2">
      <c r="A136" s="678">
        <v>2010</v>
      </c>
      <c r="B136" s="678">
        <v>1.07</v>
      </c>
      <c r="C136" s="678">
        <v>1.1200000000000001</v>
      </c>
      <c r="D136" s="678">
        <v>1.19</v>
      </c>
      <c r="E136" s="678">
        <v>1.1100000000000001</v>
      </c>
      <c r="F136" s="678">
        <v>1.03</v>
      </c>
      <c r="G136" s="678">
        <v>0.97</v>
      </c>
      <c r="H136" s="678">
        <v>0.87</v>
      </c>
      <c r="I136" s="678">
        <v>0.92</v>
      </c>
      <c r="J136" s="678">
        <v>0.88</v>
      </c>
      <c r="K136" s="678">
        <v>0.94</v>
      </c>
      <c r="L136" s="678">
        <v>1.07</v>
      </c>
      <c r="M136" s="678">
        <v>0.74</v>
      </c>
      <c r="N136" s="678">
        <v>0.99</v>
      </c>
    </row>
    <row r="137" spans="1:14" x14ac:dyDescent="0.2">
      <c r="A137" s="678">
        <v>2011</v>
      </c>
      <c r="B137" s="678">
        <v>0.85</v>
      </c>
      <c r="C137" s="678">
        <v>0.77</v>
      </c>
      <c r="D137" s="678">
        <v>0.93</v>
      </c>
      <c r="E137" s="678">
        <v>0.92</v>
      </c>
      <c r="F137" s="678">
        <v>0.81</v>
      </c>
      <c r="G137" s="678">
        <v>0.91</v>
      </c>
      <c r="H137" s="678">
        <v>0.94</v>
      </c>
      <c r="I137" s="678">
        <v>1</v>
      </c>
      <c r="J137" s="678">
        <v>0.81</v>
      </c>
      <c r="K137" s="678">
        <v>0.89</v>
      </c>
      <c r="L137" s="678">
        <v>0.84</v>
      </c>
      <c r="M137" s="678">
        <v>0.88</v>
      </c>
      <c r="N137" s="678">
        <v>0.88</v>
      </c>
    </row>
    <row r="138" spans="1:14" x14ac:dyDescent="0.2">
      <c r="A138" s="678">
        <v>2012</v>
      </c>
      <c r="B138" s="678">
        <v>0.8</v>
      </c>
      <c r="C138" s="678">
        <v>0.78</v>
      </c>
      <c r="D138" s="678">
        <v>0.84</v>
      </c>
      <c r="E138" s="678">
        <v>1</v>
      </c>
      <c r="F138" s="678">
        <v>1.06</v>
      </c>
      <c r="G138" s="678">
        <v>0.93</v>
      </c>
      <c r="H138" s="678">
        <v>0.82</v>
      </c>
      <c r="I138" s="678">
        <v>0.91</v>
      </c>
      <c r="J138" s="678">
        <v>0.96</v>
      </c>
      <c r="K138" s="678">
        <v>1.03</v>
      </c>
      <c r="L138" s="678">
        <v>1.04</v>
      </c>
      <c r="M138" s="678">
        <v>0.82</v>
      </c>
      <c r="N138" s="678">
        <v>0.92</v>
      </c>
    </row>
    <row r="139" spans="1:14" x14ac:dyDescent="0.2">
      <c r="A139" s="678">
        <v>2013</v>
      </c>
      <c r="B139" s="678">
        <v>1.03</v>
      </c>
      <c r="C139" s="678">
        <v>0.91</v>
      </c>
      <c r="D139" s="678">
        <v>0.94</v>
      </c>
      <c r="E139" s="678">
        <v>0.8</v>
      </c>
      <c r="F139" s="678">
        <v>0.88</v>
      </c>
      <c r="G139" s="678">
        <v>0.98</v>
      </c>
      <c r="H139" s="678">
        <v>0.84</v>
      </c>
      <c r="I139" s="678">
        <v>0.95</v>
      </c>
      <c r="J139" s="678">
        <v>1.01</v>
      </c>
      <c r="K139" s="678">
        <v>0.92</v>
      </c>
      <c r="L139" s="678">
        <v>1.0900000000000001</v>
      </c>
      <c r="M139" s="678">
        <v>0.98</v>
      </c>
      <c r="N139" s="678">
        <v>0.95</v>
      </c>
    </row>
    <row r="140" spans="1:14" x14ac:dyDescent="0.2">
      <c r="A140" s="678">
        <v>2014</v>
      </c>
      <c r="B140" s="678">
        <v>1.0900000000000001</v>
      </c>
      <c r="C140" s="678">
        <v>0.84</v>
      </c>
      <c r="D140" s="678">
        <v>1.05</v>
      </c>
      <c r="E140" s="678">
        <v>1.07</v>
      </c>
      <c r="F140" s="678">
        <v>1.1299999999999999</v>
      </c>
      <c r="G140" s="678">
        <v>0.96</v>
      </c>
      <c r="H140" s="678">
        <v>0.82</v>
      </c>
      <c r="I140" s="678">
        <v>1.08</v>
      </c>
      <c r="J140" s="678">
        <v>1.1100000000000001</v>
      </c>
      <c r="K140" s="678">
        <v>1.04</v>
      </c>
      <c r="L140" s="678">
        <v>0.92</v>
      </c>
      <c r="M140" s="678">
        <v>1.07</v>
      </c>
      <c r="N140" s="678">
        <v>1.01</v>
      </c>
    </row>
    <row r="141" spans="1:14" x14ac:dyDescent="0.2">
      <c r="A141" s="678">
        <v>2015</v>
      </c>
      <c r="B141" s="678">
        <v>1.19</v>
      </c>
      <c r="C141" s="678">
        <v>1.19</v>
      </c>
      <c r="D141" s="678">
        <v>1.23</v>
      </c>
      <c r="E141" s="678">
        <v>1.03</v>
      </c>
      <c r="F141" s="678">
        <v>1.07</v>
      </c>
      <c r="G141" s="678">
        <v>1.1000000000000001</v>
      </c>
      <c r="H141" s="678">
        <v>0.97</v>
      </c>
      <c r="I141" s="678">
        <v>1.05</v>
      </c>
      <c r="J141" s="678">
        <v>1.0900000000000001</v>
      </c>
      <c r="K141" s="678">
        <v>1.32</v>
      </c>
      <c r="L141" s="678">
        <v>1.32</v>
      </c>
      <c r="M141" s="678">
        <v>1.45</v>
      </c>
      <c r="N141" s="678">
        <v>1.17</v>
      </c>
    </row>
    <row r="142" spans="1:14" x14ac:dyDescent="0.2">
      <c r="A142" s="678">
        <v>2016</v>
      </c>
      <c r="B142" s="678">
        <v>1.5</v>
      </c>
      <c r="C142" s="678">
        <v>1.66</v>
      </c>
      <c r="D142" s="678">
        <v>1.62</v>
      </c>
      <c r="E142" s="678">
        <v>1.37</v>
      </c>
      <c r="F142" s="678">
        <v>1.23</v>
      </c>
      <c r="G142" s="678">
        <v>1.08</v>
      </c>
      <c r="H142" s="678">
        <v>1.08</v>
      </c>
      <c r="I142" s="678">
        <v>1.27</v>
      </c>
      <c r="J142" s="678">
        <v>1.1499999999999999</v>
      </c>
      <c r="K142" s="678">
        <v>1.1200000000000001</v>
      </c>
      <c r="L142" s="678">
        <v>1.18</v>
      </c>
      <c r="M142" s="678">
        <v>1.1499999999999999</v>
      </c>
      <c r="N142" s="678">
        <v>1.28</v>
      </c>
    </row>
    <row r="143" spans="1:14" x14ac:dyDescent="0.2">
      <c r="A143" s="678">
        <v>2017</v>
      </c>
      <c r="B143" s="678">
        <v>1.35</v>
      </c>
      <c r="C143" s="678">
        <v>1.43</v>
      </c>
      <c r="D143" s="678">
        <v>1.44</v>
      </c>
      <c r="E143" s="678">
        <v>1.21</v>
      </c>
      <c r="F143" s="678">
        <v>1.19</v>
      </c>
      <c r="G143" s="678">
        <v>1</v>
      </c>
      <c r="H143" s="678">
        <v>1.05</v>
      </c>
      <c r="I143" s="678">
        <v>1.1299999999999999</v>
      </c>
      <c r="J143" s="678">
        <v>1.01</v>
      </c>
      <c r="K143" s="678">
        <v>1.1299999999999999</v>
      </c>
      <c r="L143" s="678">
        <v>1.1399999999999999</v>
      </c>
      <c r="M143" s="678">
        <v>1.22</v>
      </c>
      <c r="N143" s="678">
        <v>1.19</v>
      </c>
    </row>
    <row r="144" spans="1:14" x14ac:dyDescent="0.2">
      <c r="A144" s="678">
        <v>2018</v>
      </c>
      <c r="B144" s="678">
        <v>1.1499999999999999</v>
      </c>
      <c r="C144" s="678">
        <v>1.1299999999999999</v>
      </c>
      <c r="D144" s="678">
        <v>1.1599999999999999</v>
      </c>
      <c r="E144" s="678">
        <v>1.1599999999999999</v>
      </c>
      <c r="F144" s="678">
        <v>1.0900000000000001</v>
      </c>
      <c r="G144" s="678">
        <v>1.05</v>
      </c>
      <c r="H144" s="678">
        <v>1.06</v>
      </c>
      <c r="I144" s="678">
        <v>1.02</v>
      </c>
      <c r="J144" s="678">
        <v>1.05</v>
      </c>
      <c r="K144" s="678">
        <v>1.24</v>
      </c>
      <c r="L144" s="678">
        <v>1.08</v>
      </c>
      <c r="M144" s="678">
        <v>1.2</v>
      </c>
      <c r="N144" s="678">
        <v>1.1200000000000001</v>
      </c>
    </row>
    <row r="145" spans="1:14" x14ac:dyDescent="0.2">
      <c r="A145" s="678">
        <v>2019</v>
      </c>
      <c r="B145" s="678">
        <v>1.26</v>
      </c>
      <c r="C145" s="678">
        <v>1.24</v>
      </c>
      <c r="D145" s="678">
        <v>1.45</v>
      </c>
      <c r="E145" s="678">
        <v>1.28</v>
      </c>
      <c r="F145" s="678">
        <v>1.1299999999999999</v>
      </c>
      <c r="G145" s="678">
        <v>1.19</v>
      </c>
      <c r="H145" s="678">
        <v>1.18</v>
      </c>
      <c r="I145" s="678">
        <v>1.2</v>
      </c>
      <c r="J145" s="678">
        <v>1.17</v>
      </c>
      <c r="K145" s="678">
        <v>1.24</v>
      </c>
      <c r="L145" s="678">
        <v>1.25</v>
      </c>
      <c r="M145" s="678">
        <v>1.38</v>
      </c>
      <c r="N145" s="678">
        <v>1.25</v>
      </c>
    </row>
    <row r="146" spans="1:14" x14ac:dyDescent="0.2">
      <c r="A146" s="678">
        <v>2020</v>
      </c>
      <c r="B146" s="678">
        <v>1.49</v>
      </c>
      <c r="C146" s="678">
        <v>1.53</v>
      </c>
      <c r="D146" s="678">
        <v>1.45</v>
      </c>
      <c r="E146" s="678">
        <v>1.4</v>
      </c>
      <c r="F146" s="678">
        <v>1.29</v>
      </c>
      <c r="G146" s="678">
        <v>1.2</v>
      </c>
      <c r="H146" s="678">
        <v>1.1299999999999999</v>
      </c>
      <c r="I146" s="678">
        <v>1.1200000000000001</v>
      </c>
      <c r="J146" s="678">
        <v>1.23</v>
      </c>
      <c r="K146" s="678">
        <v>1.1100000000000001</v>
      </c>
      <c r="L146" s="678">
        <v>1.36</v>
      </c>
      <c r="M146" s="678">
        <v>1.0900000000000001</v>
      </c>
      <c r="N146" s="678">
        <v>1.28</v>
      </c>
    </row>
    <row r="147" spans="1:14" x14ac:dyDescent="0.2">
      <c r="A147" s="678">
        <v>2021</v>
      </c>
      <c r="B147" s="678">
        <v>1.1399999999999999</v>
      </c>
      <c r="C147" s="678">
        <v>0.93</v>
      </c>
      <c r="D147" s="678">
        <v>1.1599999999999999</v>
      </c>
      <c r="E147" s="678">
        <v>1.02</v>
      </c>
      <c r="F147" s="678">
        <v>1.06</v>
      </c>
      <c r="G147" s="678">
        <v>1.1299999999999999</v>
      </c>
      <c r="H147" s="678">
        <v>1.1599999999999999</v>
      </c>
      <c r="I147" s="678">
        <v>1.07</v>
      </c>
      <c r="J147" s="678">
        <v>1.17</v>
      </c>
      <c r="K147" s="678">
        <v>1.23</v>
      </c>
      <c r="L147" s="678">
        <v>1.19</v>
      </c>
      <c r="M147" s="678">
        <v>1.1499999999999999</v>
      </c>
      <c r="N147" s="678">
        <v>1.1200000000000001</v>
      </c>
    </row>
    <row r="148" spans="1:14" x14ac:dyDescent="0.2">
      <c r="A148" s="678">
        <v>2022</v>
      </c>
      <c r="B148" s="678">
        <v>1.23</v>
      </c>
      <c r="C148" s="678">
        <v>1.18</v>
      </c>
      <c r="D148" s="678">
        <v>1.32</v>
      </c>
      <c r="E148" s="678">
        <v>1.1100000000000001</v>
      </c>
      <c r="F148" s="678">
        <v>1.1200000000000001</v>
      </c>
      <c r="G148" s="678">
        <v>1.21</v>
      </c>
      <c r="H148" s="678">
        <v>1.17</v>
      </c>
      <c r="I148" s="678">
        <v>1.2</v>
      </c>
      <c r="J148" s="678">
        <v>1.1399999999999999</v>
      </c>
      <c r="K148" s="678">
        <v>1.2</v>
      </c>
      <c r="L148" s="678">
        <v>0.98</v>
      </c>
      <c r="M148" s="678">
        <v>1.0900000000000001</v>
      </c>
      <c r="N148" s="678">
        <v>1.1599999999999999</v>
      </c>
    </row>
    <row r="149" spans="1:14" x14ac:dyDescent="0.2">
      <c r="A149" s="678">
        <v>2023</v>
      </c>
      <c r="B149" s="678">
        <v>1.2</v>
      </c>
      <c r="C149" s="678">
        <v>1.27</v>
      </c>
      <c r="D149" s="678">
        <v>1.5</v>
      </c>
      <c r="E149" s="678">
        <v>1.27</v>
      </c>
      <c r="F149" s="678">
        <v>1.21</v>
      </c>
      <c r="G149" s="678">
        <v>1.37</v>
      </c>
      <c r="H149" s="678">
        <v>1.43</v>
      </c>
      <c r="I149" s="678">
        <v>1.45</v>
      </c>
      <c r="J149" s="678">
        <v>1.72</v>
      </c>
      <c r="K149" s="678">
        <v>1.57</v>
      </c>
      <c r="L149" s="678">
        <v>1.68</v>
      </c>
      <c r="M149" s="678">
        <v>1.64</v>
      </c>
      <c r="N149" s="678">
        <v>1.44</v>
      </c>
    </row>
    <row r="150" spans="1:14" x14ac:dyDescent="0.2">
      <c r="A150" s="678" t="s">
        <v>1328</v>
      </c>
    </row>
    <row r="151" spans="1:14" x14ac:dyDescent="0.2">
      <c r="A151" s="678" t="s">
        <v>1312</v>
      </c>
    </row>
    <row r="152" spans="1:14" x14ac:dyDescent="0.2">
      <c r="A152" s="678" t="s">
        <v>1329</v>
      </c>
    </row>
    <row r="153" spans="1:14" x14ac:dyDescent="0.2">
      <c r="A153" s="678" t="s">
        <v>1312</v>
      </c>
    </row>
    <row r="154" spans="1:14" x14ac:dyDescent="0.2">
      <c r="A154" s="678" t="s">
        <v>1330</v>
      </c>
    </row>
    <row r="155" spans="1:14" x14ac:dyDescent="0.2">
      <c r="A155" s="678" t="s">
        <v>1312</v>
      </c>
    </row>
    <row r="157" spans="1:14" x14ac:dyDescent="0.2">
      <c r="A157" s="678" t="s">
        <v>1331</v>
      </c>
    </row>
    <row r="158" spans="1:14" x14ac:dyDescent="0.2">
      <c r="A158" s="678" t="s">
        <v>1332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113" zoomScale="85" zoomScaleNormal="85" workbookViewId="0">
      <selection activeCell="B116" sqref="B116"/>
    </sheetView>
  </sheetViews>
  <sheetFormatPr baseColWidth="10" defaultColWidth="10.5" defaultRowHeight="14.25" customHeight="1" x14ac:dyDescent="0.2"/>
  <cols>
    <col min="1" max="1" width="54" style="309" customWidth="1"/>
    <col min="2" max="2" width="18" style="309" customWidth="1"/>
    <col min="3" max="3" width="9.1640625" style="309" customWidth="1"/>
    <col min="4" max="4" width="10.6640625" style="309" customWidth="1"/>
    <col min="5" max="5" width="10.6640625" style="314" customWidth="1"/>
    <col min="6" max="7" width="10.6640625" style="309" customWidth="1"/>
    <col min="8" max="10" width="10.33203125" style="309" customWidth="1"/>
    <col min="11" max="12" width="7.5" style="309" customWidth="1"/>
    <col min="13" max="14" width="9.5" style="309" customWidth="1"/>
    <col min="15" max="17" width="7.5" style="309" customWidth="1"/>
    <col min="18" max="18" width="7.5" style="303" customWidth="1"/>
    <col min="19" max="20" width="10.5" style="309"/>
    <col min="21" max="16384" width="10.5" style="303"/>
  </cols>
  <sheetData>
    <row r="1" spans="1:34" ht="18.75" customHeight="1" x14ac:dyDescent="0.2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</row>
    <row r="2" spans="1:34" s="306" customFormat="1" ht="18.75" customHeight="1" x14ac:dyDescent="0.25">
      <c r="A2" s="366" t="s">
        <v>943</v>
      </c>
      <c r="B2" s="318" t="s">
        <v>944</v>
      </c>
      <c r="C2" s="318"/>
      <c r="D2" s="318"/>
      <c r="E2" s="318"/>
      <c r="F2" s="318"/>
      <c r="G2" s="318"/>
      <c r="H2" s="318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</row>
    <row r="3" spans="1:34" s="306" customFormat="1" ht="18.75" customHeight="1" x14ac:dyDescent="0.2">
      <c r="A3" s="361"/>
      <c r="B3" s="361" t="s">
        <v>945</v>
      </c>
      <c r="C3" s="361"/>
      <c r="D3" s="361"/>
      <c r="E3" s="361"/>
      <c r="F3" s="361"/>
      <c r="G3" s="361"/>
      <c r="H3" s="361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170"/>
      <c r="AG3" s="170"/>
      <c r="AH3" s="170"/>
    </row>
    <row r="4" spans="1:34" s="306" customFormat="1" ht="3" customHeight="1" x14ac:dyDescent="0.2">
      <c r="A4" s="170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</row>
    <row r="5" spans="1:34" s="306" customFormat="1" ht="3" customHeight="1" x14ac:dyDescent="0.2">
      <c r="A5" s="170"/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0"/>
      <c r="AD5" s="170"/>
      <c r="AE5" s="170"/>
      <c r="AF5" s="170"/>
      <c r="AG5" s="170"/>
      <c r="AH5" s="170"/>
    </row>
    <row r="6" spans="1:34" s="306" customFormat="1" ht="26.25" customHeight="1" x14ac:dyDescent="0.2">
      <c r="A6" s="170"/>
      <c r="B6" s="505" t="s">
        <v>1086</v>
      </c>
      <c r="C6" s="170"/>
      <c r="D6" s="505" t="s">
        <v>1042</v>
      </c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70"/>
      <c r="AF6" s="170"/>
      <c r="AG6" s="170"/>
      <c r="AH6" s="170"/>
    </row>
    <row r="7" spans="1:34" s="306" customFormat="1" ht="14.25" customHeight="1" x14ac:dyDescent="0.2">
      <c r="A7" s="170"/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</row>
    <row r="8" spans="1:34" s="306" customFormat="1" ht="17.25" customHeight="1" x14ac:dyDescent="0.25">
      <c r="A8" s="214" t="s">
        <v>301</v>
      </c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70"/>
      <c r="AC8" s="170"/>
      <c r="AD8" s="170"/>
      <c r="AE8" s="170"/>
      <c r="AF8" s="170"/>
      <c r="AG8" s="170"/>
      <c r="AH8" s="170"/>
    </row>
    <row r="9" spans="1:34" s="306" customFormat="1" ht="17.25" customHeight="1" x14ac:dyDescent="0.2">
      <c r="A9" s="170" t="s">
        <v>66</v>
      </c>
      <c r="B9" s="507">
        <v>1.4999999999999999E-2</v>
      </c>
      <c r="C9" s="170"/>
      <c r="D9" s="170" t="s">
        <v>1043</v>
      </c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70"/>
    </row>
    <row r="10" spans="1:34" s="306" customFormat="1" ht="17.25" customHeight="1" x14ac:dyDescent="0.2">
      <c r="A10" s="170" t="s">
        <v>75</v>
      </c>
      <c r="B10" s="507">
        <v>1.5</v>
      </c>
      <c r="C10" s="170"/>
      <c r="D10" s="170" t="s">
        <v>1043</v>
      </c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</row>
    <row r="11" spans="1:34" s="306" customFormat="1" ht="17.25" customHeight="1" x14ac:dyDescent="0.2">
      <c r="A11" s="170" t="s">
        <v>181</v>
      </c>
      <c r="B11" s="507">
        <v>1.7543801951616089E-3</v>
      </c>
      <c r="C11" s="170"/>
      <c r="D11" s="170" t="s">
        <v>1044</v>
      </c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</row>
    <row r="12" spans="1:34" s="306" customFormat="1" ht="17.25" customHeight="1" x14ac:dyDescent="0.2">
      <c r="A12" s="170" t="s">
        <v>182</v>
      </c>
      <c r="B12" s="507">
        <v>2.2592107531775219E-3</v>
      </c>
      <c r="C12" s="170"/>
      <c r="D12" s="170" t="s">
        <v>1044</v>
      </c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0"/>
      <c r="AE12" s="170"/>
      <c r="AF12" s="170"/>
      <c r="AG12" s="170"/>
      <c r="AH12" s="170"/>
    </row>
    <row r="13" spans="1:34" s="306" customFormat="1" ht="17.25" customHeight="1" x14ac:dyDescent="0.2">
      <c r="A13" s="170" t="s">
        <v>47</v>
      </c>
      <c r="B13" s="507">
        <v>2</v>
      </c>
      <c r="C13" s="170"/>
      <c r="D13" s="170" t="s">
        <v>1044</v>
      </c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</row>
    <row r="14" spans="1:34" s="306" customFormat="1" ht="17.25" customHeight="1" x14ac:dyDescent="0.2">
      <c r="A14" s="170" t="s">
        <v>307</v>
      </c>
      <c r="B14" s="507">
        <v>1.2</v>
      </c>
      <c r="C14" s="170"/>
      <c r="D14" s="170" t="s">
        <v>1045</v>
      </c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</row>
    <row r="15" spans="1:34" s="306" customFormat="1" ht="17.25" customHeight="1" x14ac:dyDescent="0.2">
      <c r="A15" s="170" t="s">
        <v>81</v>
      </c>
      <c r="B15" s="507">
        <v>2.8</v>
      </c>
      <c r="C15" s="170"/>
      <c r="D15" s="170" t="s">
        <v>1045</v>
      </c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</row>
    <row r="16" spans="1:34" s="306" customFormat="1" ht="17.25" customHeight="1" x14ac:dyDescent="0.2">
      <c r="A16" s="170" t="s">
        <v>1046</v>
      </c>
      <c r="B16" s="508">
        <v>2250</v>
      </c>
      <c r="C16" s="170"/>
      <c r="D16" s="170" t="s">
        <v>1047</v>
      </c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</row>
    <row r="17" spans="1:34" s="306" customFormat="1" ht="17.25" customHeight="1" x14ac:dyDescent="0.2">
      <c r="A17" s="170" t="s">
        <v>64</v>
      </c>
      <c r="B17" s="508">
        <v>6000</v>
      </c>
      <c r="C17" s="170"/>
      <c r="D17" s="170" t="s">
        <v>1048</v>
      </c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</row>
    <row r="18" spans="1:34" s="306" customFormat="1" ht="17.25" customHeight="1" x14ac:dyDescent="0.2">
      <c r="A18" s="170" t="s">
        <v>167</v>
      </c>
      <c r="B18" s="507">
        <v>3.2</v>
      </c>
      <c r="C18" s="170"/>
      <c r="D18" s="170" t="s">
        <v>1161</v>
      </c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170"/>
      <c r="AC18" s="170"/>
      <c r="AD18" s="170"/>
      <c r="AE18" s="170"/>
      <c r="AF18" s="170"/>
      <c r="AG18" s="170"/>
      <c r="AH18" s="170"/>
    </row>
    <row r="19" spans="1:34" s="306" customFormat="1" ht="17.25" customHeight="1" x14ac:dyDescent="0.2">
      <c r="A19" s="170" t="s">
        <v>302</v>
      </c>
      <c r="B19" s="507">
        <v>0.1</v>
      </c>
      <c r="C19" s="170"/>
      <c r="D19" s="170" t="s">
        <v>1049</v>
      </c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0"/>
      <c r="AE19" s="170"/>
      <c r="AF19" s="170"/>
      <c r="AG19" s="170"/>
      <c r="AH19" s="170"/>
    </row>
    <row r="20" spans="1:34" s="306" customFormat="1" ht="17.25" customHeight="1" x14ac:dyDescent="0.2">
      <c r="A20" s="170" t="s">
        <v>304</v>
      </c>
      <c r="B20" s="507">
        <v>0.1</v>
      </c>
      <c r="C20" s="170"/>
      <c r="D20" s="170" t="s">
        <v>1049</v>
      </c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</row>
    <row r="21" spans="1:34" s="306" customFormat="1" ht="17.25" customHeight="1" x14ac:dyDescent="0.2">
      <c r="A21" s="170" t="s">
        <v>303</v>
      </c>
      <c r="B21" s="507">
        <v>3.3E-3</v>
      </c>
      <c r="C21" s="170"/>
      <c r="D21" s="170" t="s">
        <v>1050</v>
      </c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</row>
    <row r="22" spans="1:34" s="306" customFormat="1" ht="17.25" customHeight="1" x14ac:dyDescent="0.2">
      <c r="A22" s="170" t="s">
        <v>305</v>
      </c>
      <c r="B22" s="507">
        <v>0.1</v>
      </c>
      <c r="C22" s="170"/>
      <c r="D22" s="170" t="s">
        <v>1052</v>
      </c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</row>
    <row r="23" spans="1:34" s="306" customFormat="1" ht="17.25" customHeight="1" x14ac:dyDescent="0.2">
      <c r="A23" s="170" t="s">
        <v>306</v>
      </c>
      <c r="B23" s="507">
        <v>-2.5000000000000001E-3</v>
      </c>
      <c r="C23" s="170"/>
      <c r="D23" s="170" t="s">
        <v>1052</v>
      </c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</row>
    <row r="24" spans="1:34" s="306" customFormat="1" ht="17.25" customHeight="1" x14ac:dyDescent="0.2">
      <c r="A24" s="170" t="s">
        <v>1104</v>
      </c>
      <c r="B24" s="507">
        <v>0</v>
      </c>
      <c r="C24" s="170"/>
      <c r="D24" s="170" t="s">
        <v>1051</v>
      </c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</row>
    <row r="25" spans="1:34" s="306" customFormat="1" ht="17.25" customHeight="1" x14ac:dyDescent="0.2">
      <c r="A25" s="170" t="s">
        <v>1054</v>
      </c>
      <c r="B25" s="507">
        <v>1</v>
      </c>
      <c r="C25" s="170"/>
      <c r="D25" s="170" t="s">
        <v>1298</v>
      </c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170"/>
      <c r="AD25" s="170"/>
      <c r="AE25" s="170"/>
      <c r="AF25" s="170"/>
      <c r="AG25" s="170"/>
      <c r="AH25" s="170"/>
    </row>
    <row r="26" spans="1:34" s="306" customFormat="1" ht="17.25" customHeight="1" x14ac:dyDescent="0.2">
      <c r="A26" s="170" t="s">
        <v>1105</v>
      </c>
      <c r="B26" s="507">
        <v>0</v>
      </c>
      <c r="C26" s="170"/>
      <c r="D26" s="170" t="s">
        <v>1298</v>
      </c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170"/>
      <c r="AC26" s="170"/>
      <c r="AD26" s="170"/>
      <c r="AE26" s="170"/>
      <c r="AF26" s="170"/>
      <c r="AG26" s="170"/>
      <c r="AH26" s="170"/>
    </row>
    <row r="27" spans="1:34" s="306" customFormat="1" ht="17.25" customHeight="1" x14ac:dyDescent="0.2">
      <c r="A27" s="170" t="s">
        <v>1106</v>
      </c>
      <c r="B27" s="507">
        <v>1</v>
      </c>
      <c r="C27" s="170"/>
      <c r="D27" s="170" t="s">
        <v>1080</v>
      </c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</row>
    <row r="28" spans="1:34" s="306" customFormat="1" ht="17.25" customHeight="1" x14ac:dyDescent="0.2">
      <c r="A28" s="170" t="s">
        <v>1084</v>
      </c>
      <c r="B28" s="507">
        <v>12</v>
      </c>
      <c r="C28" s="170"/>
      <c r="D28" s="170" t="s">
        <v>1155</v>
      </c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170"/>
      <c r="AC28" s="170"/>
      <c r="AD28" s="170"/>
      <c r="AE28" s="170"/>
      <c r="AF28" s="170"/>
      <c r="AG28" s="170"/>
      <c r="AH28" s="170"/>
    </row>
    <row r="29" spans="1:34" s="306" customFormat="1" ht="17.25" customHeight="1" x14ac:dyDescent="0.2">
      <c r="A29" s="170" t="s">
        <v>175</v>
      </c>
      <c r="B29" s="507">
        <v>0</v>
      </c>
      <c r="C29" s="170"/>
      <c r="D29" s="170" t="s">
        <v>1154</v>
      </c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</row>
    <row r="30" spans="1:34" s="306" customFormat="1" ht="17.25" customHeight="1" x14ac:dyDescent="0.2">
      <c r="A30" s="170" t="s">
        <v>1103</v>
      </c>
      <c r="B30" s="507">
        <v>0</v>
      </c>
      <c r="C30" s="170"/>
      <c r="D30" s="170" t="s">
        <v>1297</v>
      </c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</row>
    <row r="31" spans="1:34" s="306" customFormat="1" ht="17.25" customHeight="1" x14ac:dyDescent="0.2">
      <c r="A31" s="170" t="s">
        <v>173</v>
      </c>
      <c r="B31" s="318">
        <v>4</v>
      </c>
      <c r="C31" s="170"/>
      <c r="D31" s="306" t="s">
        <v>1297</v>
      </c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</row>
    <row r="32" spans="1:34" s="306" customFormat="1" ht="17.25" customHeight="1" x14ac:dyDescent="0.2">
      <c r="A32" s="170" t="s">
        <v>174</v>
      </c>
      <c r="B32" s="318">
        <v>6</v>
      </c>
      <c r="C32" s="170"/>
      <c r="D32" s="170" t="s">
        <v>1297</v>
      </c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0"/>
      <c r="AE32" s="170"/>
      <c r="AF32" s="170"/>
      <c r="AG32" s="170"/>
      <c r="AH32" s="170"/>
    </row>
    <row r="33" spans="1:34" s="306" customFormat="1" ht="17.25" customHeight="1" x14ac:dyDescent="0.2">
      <c r="A33" s="170" t="s">
        <v>175</v>
      </c>
      <c r="B33" s="511">
        <f>+A6</f>
        <v>0</v>
      </c>
      <c r="C33" s="170"/>
      <c r="D33" s="170" t="s">
        <v>1297</v>
      </c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70"/>
      <c r="T33" s="170"/>
      <c r="U33" s="170"/>
      <c r="V33" s="170"/>
      <c r="W33" s="170"/>
      <c r="X33" s="170"/>
      <c r="Y33" s="170"/>
      <c r="Z33" s="170"/>
      <c r="AA33" s="170"/>
      <c r="AB33" s="170"/>
      <c r="AC33" s="170"/>
      <c r="AD33" s="170"/>
      <c r="AE33" s="170"/>
      <c r="AF33" s="170"/>
      <c r="AG33" s="170"/>
      <c r="AH33" s="170"/>
    </row>
    <row r="34" spans="1:34" s="317" customFormat="1" ht="28.5" customHeight="1" x14ac:dyDescent="0.25">
      <c r="A34" s="213" t="s">
        <v>292</v>
      </c>
      <c r="B34" s="213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13"/>
      <c r="AA34" s="213"/>
      <c r="AB34" s="213"/>
      <c r="AC34" s="213"/>
      <c r="AD34" s="213"/>
      <c r="AE34" s="213"/>
      <c r="AF34" s="213"/>
      <c r="AG34" s="213"/>
      <c r="AH34" s="213"/>
    </row>
    <row r="35" spans="1:34" s="306" customFormat="1" ht="17.25" customHeight="1" x14ac:dyDescent="0.2">
      <c r="A35" s="170" t="s">
        <v>112</v>
      </c>
      <c r="B35" s="170"/>
      <c r="C35" s="318">
        <v>0.3</v>
      </c>
      <c r="D35" s="170" t="s">
        <v>196</v>
      </c>
      <c r="E35" s="170"/>
      <c r="F35" s="318">
        <v>0.3</v>
      </c>
      <c r="G35" s="318">
        <v>0.3</v>
      </c>
      <c r="H35" s="318">
        <v>0.3</v>
      </c>
      <c r="I35" s="318">
        <v>0.3</v>
      </c>
      <c r="J35" s="318">
        <v>0.3</v>
      </c>
      <c r="K35" s="318">
        <v>0.3</v>
      </c>
      <c r="L35" s="318">
        <v>0.3</v>
      </c>
      <c r="M35" s="318">
        <v>0.3</v>
      </c>
      <c r="N35" s="318">
        <v>0.3</v>
      </c>
      <c r="O35" s="318">
        <v>0.3</v>
      </c>
      <c r="P35" s="318">
        <v>0.3</v>
      </c>
      <c r="Q35" s="318">
        <v>0.3</v>
      </c>
      <c r="R35" s="170" t="s">
        <v>126</v>
      </c>
      <c r="S35" s="170"/>
      <c r="T35" s="170"/>
      <c r="U35" s="170"/>
      <c r="V35" s="170"/>
      <c r="W35" s="170"/>
      <c r="X35" s="170"/>
      <c r="Y35" s="170"/>
      <c r="Z35" s="170"/>
      <c r="AA35" s="170"/>
      <c r="AB35" s="170"/>
      <c r="AC35" s="170"/>
      <c r="AD35" s="170"/>
      <c r="AE35" s="170"/>
      <c r="AF35" s="170"/>
      <c r="AG35" s="170"/>
      <c r="AH35" s="170"/>
    </row>
    <row r="36" spans="1:34" s="306" customFormat="1" ht="17.25" customHeight="1" x14ac:dyDescent="0.2">
      <c r="A36" s="170" t="s">
        <v>108</v>
      </c>
      <c r="B36" s="170"/>
      <c r="C36" s="318">
        <v>0.1</v>
      </c>
      <c r="D36" s="170" t="s">
        <v>196</v>
      </c>
      <c r="E36" s="170"/>
      <c r="F36" s="318">
        <v>0.1</v>
      </c>
      <c r="G36" s="318">
        <v>0.1</v>
      </c>
      <c r="H36" s="318">
        <v>0.1</v>
      </c>
      <c r="I36" s="318">
        <v>0.1</v>
      </c>
      <c r="J36" s="318">
        <v>0.1</v>
      </c>
      <c r="K36" s="318">
        <v>0.1</v>
      </c>
      <c r="L36" s="318">
        <v>0.1</v>
      </c>
      <c r="M36" s="318">
        <v>0.1</v>
      </c>
      <c r="N36" s="318">
        <v>0.1</v>
      </c>
      <c r="O36" s="318">
        <v>0.1</v>
      </c>
      <c r="P36" s="318">
        <v>0.1</v>
      </c>
      <c r="Q36" s="318">
        <v>0.1</v>
      </c>
      <c r="R36" s="170" t="s">
        <v>126</v>
      </c>
      <c r="S36" s="170"/>
      <c r="T36" s="170"/>
      <c r="U36" s="170"/>
      <c r="V36" s="170"/>
      <c r="W36" s="170"/>
      <c r="X36" s="170"/>
      <c r="Y36" s="170"/>
      <c r="Z36" s="170"/>
      <c r="AA36" s="170"/>
      <c r="AB36" s="170"/>
      <c r="AC36" s="170"/>
      <c r="AD36" s="170"/>
      <c r="AE36" s="170"/>
      <c r="AF36" s="170"/>
      <c r="AG36" s="170"/>
      <c r="AH36" s="170"/>
    </row>
    <row r="37" spans="1:34" s="306" customFormat="1" ht="17.25" customHeight="1" x14ac:dyDescent="0.2">
      <c r="A37" s="170" t="s">
        <v>49</v>
      </c>
      <c r="B37" s="170"/>
      <c r="C37" s="318">
        <v>55.34</v>
      </c>
      <c r="D37" s="170" t="s">
        <v>197</v>
      </c>
      <c r="E37" s="170">
        <f>SUM(F37:Q37)</f>
        <v>55.378945693874201</v>
      </c>
      <c r="F37" s="170">
        <f>+Data!C140</f>
        <v>12.397900201983999</v>
      </c>
      <c r="G37" s="170">
        <f>+Data!D140</f>
        <v>13.03105747782735</v>
      </c>
      <c r="H37" s="170">
        <f>+Data!E140</f>
        <v>3.8702837853585201</v>
      </c>
      <c r="I37" s="170">
        <f>+Data!F140</f>
        <v>1.6979566948188101</v>
      </c>
      <c r="J37" s="170">
        <f>+Data!G140</f>
        <v>0.80733505428693619</v>
      </c>
      <c r="K37" s="170">
        <f>+Data!H140</f>
        <v>5.3332327426145003</v>
      </c>
      <c r="L37" s="170">
        <f>+Data!I140</f>
        <v>2.4408315128007598</v>
      </c>
      <c r="M37" s="170">
        <f>+Data!J140</f>
        <v>3.4801033488396897</v>
      </c>
      <c r="N37" s="170">
        <f>+Data!K140</f>
        <v>1.3005301355519889</v>
      </c>
      <c r="O37" s="170">
        <f>+Data!L140</f>
        <v>4.5584762524914142</v>
      </c>
      <c r="P37" s="170">
        <f>+Data!M140</f>
        <v>3.8420497503564541</v>
      </c>
      <c r="Q37" s="170">
        <f>+Data!N140</f>
        <v>2.6191887369437761</v>
      </c>
      <c r="R37" s="170"/>
      <c r="S37" s="170"/>
      <c r="T37" s="170"/>
      <c r="U37" s="170"/>
      <c r="V37" s="170"/>
      <c r="W37" s="170"/>
      <c r="X37" s="170"/>
      <c r="Y37" s="170"/>
      <c r="Z37" s="170"/>
      <c r="AA37" s="170"/>
      <c r="AB37" s="170"/>
      <c r="AC37" s="170"/>
      <c r="AD37" s="170"/>
      <c r="AE37" s="170"/>
      <c r="AF37" s="170"/>
      <c r="AG37" s="170"/>
      <c r="AH37" s="170"/>
    </row>
    <row r="38" spans="1:34" s="306" customFormat="1" ht="17.25" customHeight="1" x14ac:dyDescent="0.2">
      <c r="A38" s="170" t="s">
        <v>25</v>
      </c>
      <c r="B38" s="170"/>
      <c r="C38" s="318">
        <v>0.05</v>
      </c>
      <c r="D38" s="170" t="s">
        <v>198</v>
      </c>
      <c r="E38" s="170"/>
      <c r="F38" s="170">
        <f>+Data!C142</f>
        <v>6.2765473111546274E-2</v>
      </c>
      <c r="G38" s="170">
        <f>+Data!D142</f>
        <v>6.7765473111546279E-2</v>
      </c>
      <c r="H38" s="170">
        <f>+Data!E142</f>
        <v>6.2765473111546274E-2</v>
      </c>
      <c r="I38" s="170">
        <f>+Data!F142</f>
        <v>8.2765473111546278E-2</v>
      </c>
      <c r="J38" s="170">
        <f>+Data!G142</f>
        <v>7.7765473111546274E-2</v>
      </c>
      <c r="K38" s="170">
        <f>+Data!H142</f>
        <v>7.2765473111546269E-2</v>
      </c>
      <c r="L38" s="170">
        <f>+Data!I142</f>
        <v>7.7765473111546274E-2</v>
      </c>
      <c r="M38" s="170">
        <f>+Data!J142</f>
        <v>9.2765473111546273E-2</v>
      </c>
      <c r="N38" s="170">
        <f>+Data!K142</f>
        <v>8.2765473111546278E-2</v>
      </c>
      <c r="O38" s="170">
        <f>+Data!L142</f>
        <v>7.7765473111546274E-2</v>
      </c>
      <c r="P38" s="170">
        <f>+Data!M142</f>
        <v>6.7765473111546279E-2</v>
      </c>
      <c r="Q38" s="170">
        <f>+Data!N142</f>
        <v>7.7765473111546274E-2</v>
      </c>
      <c r="R38" s="170" t="s">
        <v>63</v>
      </c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</row>
    <row r="39" spans="1:34" s="310" customFormat="1" ht="17.25" customHeight="1" x14ac:dyDescent="0.2">
      <c r="A39" s="170" t="s">
        <v>38</v>
      </c>
      <c r="B39" s="170"/>
      <c r="C39" s="318">
        <v>180</v>
      </c>
      <c r="D39" s="170" t="s">
        <v>199</v>
      </c>
      <c r="E39" s="170"/>
      <c r="F39" s="170">
        <f>+Data!C143</f>
        <v>22.851099741812224</v>
      </c>
      <c r="G39" s="170">
        <f>+Data!D143</f>
        <v>23.302275318288661</v>
      </c>
      <c r="H39" s="170">
        <f>+Data!E143</f>
        <v>7.1334854586257519</v>
      </c>
      <c r="I39" s="170">
        <f>+Data!F143</f>
        <v>2.7871074321283404</v>
      </c>
      <c r="J39" s="170">
        <f>+Data!G143</f>
        <v>1.3624722059165122</v>
      </c>
      <c r="K39" s="170">
        <f>+Data!H143</f>
        <v>9.2609350350421433</v>
      </c>
      <c r="L39" s="170">
        <f>+Data!I143</f>
        <v>4.1191882823091737</v>
      </c>
      <c r="M39" s="170">
        <f>+Data!J143</f>
        <v>5.4160684888199055</v>
      </c>
      <c r="N39" s="170">
        <f>+Data!K143</f>
        <v>2.1347524454330222</v>
      </c>
      <c r="O39" s="170">
        <f>+Data!L143</f>
        <v>7.6929611347491704</v>
      </c>
      <c r="P39" s="170">
        <f>+Data!M143</f>
        <v>6.870394150413591</v>
      </c>
      <c r="Q39" s="170">
        <f>+Data!N143</f>
        <v>4.4201869312950182</v>
      </c>
      <c r="R39" s="170" t="s">
        <v>39</v>
      </c>
      <c r="S39" s="170"/>
      <c r="T39" s="170"/>
      <c r="U39" s="170"/>
      <c r="V39" s="170"/>
      <c r="W39" s="170"/>
      <c r="X39" s="170"/>
      <c r="Y39" s="170"/>
      <c r="Z39" s="170"/>
      <c r="AA39" s="170"/>
      <c r="AB39" s="170"/>
      <c r="AC39" s="170"/>
      <c r="AD39" s="170"/>
      <c r="AE39" s="170"/>
      <c r="AF39" s="170"/>
      <c r="AG39" s="170"/>
      <c r="AH39" s="170"/>
    </row>
    <row r="40" spans="1:34" ht="17.25" customHeight="1" x14ac:dyDescent="0.2">
      <c r="A40" s="170" t="s">
        <v>68</v>
      </c>
      <c r="B40" s="170"/>
      <c r="C40" s="170"/>
      <c r="D40" s="170" t="s">
        <v>199</v>
      </c>
      <c r="E40" s="170"/>
      <c r="F40" s="170">
        <f>+Data!C144</f>
        <v>11.347695356481591</v>
      </c>
      <c r="G40" s="170">
        <f>+Data!D144</f>
        <v>8.3478215480070634</v>
      </c>
      <c r="H40" s="170">
        <f>+Data!E144</f>
        <v>9.062435156822831</v>
      </c>
      <c r="I40" s="170">
        <f>+Data!F144</f>
        <v>4.8677307749233343</v>
      </c>
      <c r="J40" s="170">
        <f>+Data!G144</f>
        <v>2.7019694302576234</v>
      </c>
      <c r="K40" s="170">
        <f>+Data!H144</f>
        <v>2.2708227004455939</v>
      </c>
      <c r="L40" s="170">
        <f>+Data!I144</f>
        <v>1.4983739690273445</v>
      </c>
      <c r="M40" s="170">
        <f>+Data!J144</f>
        <v>3.8948608362974033</v>
      </c>
      <c r="N40" s="170">
        <f>+Data!K144</f>
        <v>1.2512595399070259</v>
      </c>
      <c r="O40" s="170">
        <f>+Data!L144</f>
        <v>3.7305977748297967</v>
      </c>
      <c r="P40" s="170">
        <f>+Data!M144</f>
        <v>9.0293442586263488</v>
      </c>
      <c r="Q40" s="170">
        <f>+Data!N144</f>
        <v>1.7549043305648544</v>
      </c>
      <c r="R40" s="170" t="s">
        <v>39</v>
      </c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70"/>
      <c r="AF40" s="170"/>
      <c r="AG40" s="170"/>
      <c r="AH40" s="170"/>
    </row>
    <row r="41" spans="1:34" ht="17.25" customHeight="1" x14ac:dyDescent="0.2">
      <c r="A41" s="170" t="s">
        <v>143</v>
      </c>
      <c r="B41" s="170"/>
      <c r="C41" s="170"/>
      <c r="D41" s="170" t="s">
        <v>199</v>
      </c>
      <c r="E41" s="170"/>
      <c r="F41" s="170">
        <f>+Data!C145</f>
        <v>0.23181397787929239</v>
      </c>
      <c r="G41" s="170">
        <f>+Data!D145</f>
        <v>0.21696963456055093</v>
      </c>
      <c r="H41" s="170">
        <f>+Data!E145</f>
        <v>0.21278717384542739</v>
      </c>
      <c r="I41" s="170">
        <f>+Data!F145</f>
        <v>0.201000206157498</v>
      </c>
      <c r="J41" s="170">
        <f>+Data!G145</f>
        <v>0.2082806322052991</v>
      </c>
      <c r="K41" s="170">
        <f>+Data!H145</f>
        <v>0.31105109729993047</v>
      </c>
      <c r="L41" s="170">
        <f>+Data!I145</f>
        <v>0.27229997512202259</v>
      </c>
      <c r="M41" s="170">
        <f>+Data!J145</f>
        <v>0.22518800116133308</v>
      </c>
      <c r="N41" s="170">
        <f>+Data!K145</f>
        <v>0.26357004644074244</v>
      </c>
      <c r="O41" s="170">
        <f>+Data!L145</f>
        <v>0.24184774983862081</v>
      </c>
      <c r="P41" s="170">
        <f>+Data!M145</f>
        <v>0.22905543234134543</v>
      </c>
      <c r="Q41" s="170">
        <f>+Data!N145</f>
        <v>0.24387582996705415</v>
      </c>
      <c r="R41" s="170"/>
      <c r="S41" s="170"/>
      <c r="T41" s="170"/>
      <c r="U41" s="170"/>
      <c r="V41" s="170"/>
      <c r="W41" s="170"/>
      <c r="X41" s="170"/>
      <c r="Y41" s="170"/>
      <c r="Z41" s="170"/>
      <c r="AA41" s="170"/>
      <c r="AB41" s="170"/>
      <c r="AC41" s="170"/>
      <c r="AD41" s="170"/>
      <c r="AE41" s="170"/>
      <c r="AF41" s="170"/>
      <c r="AG41" s="170"/>
      <c r="AH41" s="170"/>
    </row>
    <row r="42" spans="1:34" s="302" customFormat="1" ht="28.5" customHeight="1" x14ac:dyDescent="0.25">
      <c r="A42" s="213" t="s">
        <v>117</v>
      </c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  <c r="AA42" s="213"/>
      <c r="AB42" s="213"/>
      <c r="AC42" s="213"/>
      <c r="AD42" s="213"/>
      <c r="AE42" s="213"/>
      <c r="AF42" s="213"/>
      <c r="AG42" s="213"/>
      <c r="AH42" s="213"/>
    </row>
    <row r="43" spans="1:34" ht="17.25" customHeight="1" x14ac:dyDescent="0.2">
      <c r="A43" s="170" t="s">
        <v>66</v>
      </c>
      <c r="B43" s="170"/>
      <c r="C43" s="318">
        <v>1.4999999999999999E-2</v>
      </c>
      <c r="D43" s="170" t="s">
        <v>198</v>
      </c>
      <c r="E43" s="170"/>
      <c r="F43" s="170">
        <f>+$C43</f>
        <v>1.4999999999999999E-2</v>
      </c>
      <c r="G43" s="170">
        <f t="shared" ref="G43:Q45" si="0">+$C43</f>
        <v>1.4999999999999999E-2</v>
      </c>
      <c r="H43" s="170">
        <f t="shared" si="0"/>
        <v>1.4999999999999999E-2</v>
      </c>
      <c r="I43" s="170">
        <f t="shared" si="0"/>
        <v>1.4999999999999999E-2</v>
      </c>
      <c r="J43" s="170">
        <f t="shared" si="0"/>
        <v>1.4999999999999999E-2</v>
      </c>
      <c r="K43" s="170">
        <f t="shared" si="0"/>
        <v>1.4999999999999999E-2</v>
      </c>
      <c r="L43" s="170">
        <f t="shared" si="0"/>
        <v>1.4999999999999999E-2</v>
      </c>
      <c r="M43" s="170">
        <f t="shared" si="0"/>
        <v>1.4999999999999999E-2</v>
      </c>
      <c r="N43" s="170">
        <f t="shared" si="0"/>
        <v>1.4999999999999999E-2</v>
      </c>
      <c r="O43" s="170">
        <f t="shared" si="0"/>
        <v>1.4999999999999999E-2</v>
      </c>
      <c r="P43" s="170">
        <f t="shared" si="0"/>
        <v>1.4999999999999999E-2</v>
      </c>
      <c r="Q43" s="170">
        <f t="shared" si="0"/>
        <v>1.4999999999999999E-2</v>
      </c>
      <c r="R43" s="170" t="s">
        <v>67</v>
      </c>
      <c r="S43" s="170"/>
      <c r="T43" s="170"/>
      <c r="U43" s="170"/>
      <c r="V43" s="170"/>
      <c r="W43" s="170"/>
      <c r="X43" s="170"/>
      <c r="Y43" s="170"/>
      <c r="Z43" s="170"/>
      <c r="AA43" s="170"/>
      <c r="AB43" s="170"/>
      <c r="AC43" s="170"/>
      <c r="AD43" s="170"/>
      <c r="AE43" s="170"/>
      <c r="AF43" s="170"/>
      <c r="AG43" s="170"/>
      <c r="AH43" s="170"/>
    </row>
    <row r="44" spans="1:34" ht="17.25" customHeight="1" x14ac:dyDescent="0.2">
      <c r="A44" s="170" t="s">
        <v>109</v>
      </c>
      <c r="B44" s="170"/>
      <c r="C44" s="318">
        <v>0</v>
      </c>
      <c r="D44" s="170" t="s">
        <v>196</v>
      </c>
      <c r="E44" s="170"/>
      <c r="F44" s="170">
        <f>+$C44</f>
        <v>0</v>
      </c>
      <c r="G44" s="170">
        <f t="shared" si="0"/>
        <v>0</v>
      </c>
      <c r="H44" s="170">
        <f t="shared" si="0"/>
        <v>0</v>
      </c>
      <c r="I44" s="170">
        <f t="shared" si="0"/>
        <v>0</v>
      </c>
      <c r="J44" s="170">
        <f t="shared" si="0"/>
        <v>0</v>
      </c>
      <c r="K44" s="170">
        <f t="shared" si="0"/>
        <v>0</v>
      </c>
      <c r="L44" s="170">
        <f t="shared" si="0"/>
        <v>0</v>
      </c>
      <c r="M44" s="170">
        <f t="shared" si="0"/>
        <v>0</v>
      </c>
      <c r="N44" s="170">
        <f t="shared" si="0"/>
        <v>0</v>
      </c>
      <c r="O44" s="170">
        <f t="shared" si="0"/>
        <v>0</v>
      </c>
      <c r="P44" s="170">
        <f t="shared" si="0"/>
        <v>0</v>
      </c>
      <c r="Q44" s="170">
        <f t="shared" si="0"/>
        <v>0</v>
      </c>
      <c r="R44" s="170"/>
      <c r="S44" s="170"/>
      <c r="T44" s="170"/>
      <c r="U44" s="170"/>
      <c r="V44" s="170"/>
      <c r="W44" s="170"/>
      <c r="X44" s="170"/>
      <c r="Y44" s="170"/>
      <c r="Z44" s="170"/>
      <c r="AA44" s="170"/>
      <c r="AB44" s="170"/>
      <c r="AC44" s="170"/>
      <c r="AD44" s="170"/>
      <c r="AE44" s="170"/>
      <c r="AF44" s="170"/>
      <c r="AG44" s="170"/>
      <c r="AH44" s="170"/>
    </row>
    <row r="45" spans="1:34" ht="17.25" customHeight="1" x14ac:dyDescent="0.2">
      <c r="A45" s="170" t="s">
        <v>75</v>
      </c>
      <c r="B45" s="170"/>
      <c r="C45" s="619">
        <f>+B10</f>
        <v>1.5</v>
      </c>
      <c r="D45" s="170" t="s">
        <v>198</v>
      </c>
      <c r="E45" s="170"/>
      <c r="F45" s="170">
        <f>+$C45</f>
        <v>1.5</v>
      </c>
      <c r="G45" s="170">
        <f t="shared" si="0"/>
        <v>1.5</v>
      </c>
      <c r="H45" s="170">
        <f t="shared" si="0"/>
        <v>1.5</v>
      </c>
      <c r="I45" s="170">
        <f t="shared" si="0"/>
        <v>1.5</v>
      </c>
      <c r="J45" s="170">
        <f t="shared" si="0"/>
        <v>1.5</v>
      </c>
      <c r="K45" s="170">
        <f t="shared" si="0"/>
        <v>1.5</v>
      </c>
      <c r="L45" s="170">
        <f t="shared" si="0"/>
        <v>1.5</v>
      </c>
      <c r="M45" s="170">
        <f t="shared" si="0"/>
        <v>1.5</v>
      </c>
      <c r="N45" s="170">
        <f t="shared" si="0"/>
        <v>1.5</v>
      </c>
      <c r="O45" s="170">
        <f t="shared" si="0"/>
        <v>1.5</v>
      </c>
      <c r="P45" s="170">
        <f t="shared" si="0"/>
        <v>1.5</v>
      </c>
      <c r="Q45" s="170">
        <f t="shared" si="0"/>
        <v>1.5</v>
      </c>
      <c r="R45" s="170" t="s">
        <v>26</v>
      </c>
      <c r="S45" s="170"/>
      <c r="T45" s="170"/>
      <c r="U45" s="170"/>
      <c r="V45" s="170"/>
      <c r="W45" s="170"/>
      <c r="X45" s="170"/>
      <c r="Y45" s="170"/>
      <c r="Z45" s="170"/>
      <c r="AA45" s="170"/>
      <c r="AB45" s="170"/>
      <c r="AC45" s="170"/>
      <c r="AD45" s="170"/>
      <c r="AE45" s="170"/>
      <c r="AF45" s="170"/>
      <c r="AG45" s="170"/>
      <c r="AH45" s="170"/>
    </row>
    <row r="46" spans="1:34" ht="17.25" customHeight="1" x14ac:dyDescent="0.2">
      <c r="A46" s="170" t="s">
        <v>103</v>
      </c>
      <c r="B46" s="170"/>
      <c r="C46" s="170"/>
      <c r="D46" s="170" t="s">
        <v>200</v>
      </c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  <c r="AH46" s="170"/>
    </row>
    <row r="47" spans="1:34" ht="17.25" customHeight="1" x14ac:dyDescent="0.2">
      <c r="A47" s="170" t="s">
        <v>44</v>
      </c>
      <c r="B47" s="170"/>
      <c r="C47" s="170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Z47" s="170"/>
      <c r="AA47" s="170"/>
      <c r="AB47" s="170"/>
      <c r="AC47" s="170"/>
      <c r="AD47" s="170"/>
      <c r="AE47" s="170"/>
      <c r="AF47" s="170"/>
      <c r="AG47" s="170"/>
      <c r="AH47" s="170"/>
    </row>
    <row r="48" spans="1:34" ht="17.25" customHeight="1" x14ac:dyDescent="0.2">
      <c r="A48" s="170" t="s">
        <v>41</v>
      </c>
      <c r="B48" s="170"/>
      <c r="C48" s="170"/>
      <c r="D48" s="170" t="s">
        <v>197</v>
      </c>
      <c r="E48" s="170">
        <f>SUM(F48:Q48)</f>
        <v>6410.8916214811798</v>
      </c>
      <c r="F48" s="170">
        <f>+Data!C141</f>
        <v>296.842578</v>
      </c>
      <c r="G48" s="170">
        <f>+Data!D141</f>
        <v>490.08019258719162</v>
      </c>
      <c r="H48" s="170">
        <f>+Data!E141</f>
        <v>127.773</v>
      </c>
      <c r="I48" s="170">
        <f>+Data!F141</f>
        <v>143.15</v>
      </c>
      <c r="J48" s="170">
        <f>+Data!G141</f>
        <v>155.94246849385479</v>
      </c>
      <c r="K48" s="170">
        <f>+Data!H141</f>
        <v>1304.5</v>
      </c>
      <c r="L48" s="170">
        <f>+Data!I141</f>
        <v>1094.5830000000001</v>
      </c>
      <c r="M48" s="170">
        <f>+Data!J141</f>
        <v>412.76900131562951</v>
      </c>
      <c r="N48" s="170">
        <f>+Data!K141</f>
        <v>763.50611154103387</v>
      </c>
      <c r="O48" s="170">
        <f>+Data!L141</f>
        <v>555.38007856447791</v>
      </c>
      <c r="P48" s="170">
        <f>+Data!M141</f>
        <v>129.169624</v>
      </c>
      <c r="Q48" s="170">
        <f>+Data!N141</f>
        <v>937.19556697899202</v>
      </c>
      <c r="R48" s="170" t="s">
        <v>126</v>
      </c>
      <c r="S48" s="170"/>
      <c r="T48" s="170"/>
      <c r="U48" s="170"/>
      <c r="V48" s="170"/>
      <c r="W48" s="170"/>
      <c r="X48" s="170"/>
      <c r="Y48" s="170"/>
      <c r="Z48" s="170"/>
      <c r="AA48" s="170"/>
      <c r="AB48" s="170"/>
      <c r="AC48" s="170"/>
      <c r="AD48" s="170"/>
      <c r="AE48" s="170"/>
      <c r="AF48" s="170"/>
      <c r="AG48" s="170"/>
      <c r="AH48" s="170"/>
    </row>
    <row r="49" spans="1:80" ht="17.25" customHeight="1" x14ac:dyDescent="0.2">
      <c r="A49" s="170"/>
      <c r="B49" s="170"/>
      <c r="C49" s="170" t="s">
        <v>1299</v>
      </c>
      <c r="D49" s="170"/>
      <c r="E49" s="170"/>
      <c r="F49" s="170" t="s">
        <v>104</v>
      </c>
      <c r="G49" s="170" t="s">
        <v>105</v>
      </c>
      <c r="H49" s="170" t="s">
        <v>51</v>
      </c>
      <c r="I49" s="170" t="s">
        <v>52</v>
      </c>
      <c r="J49" s="170" t="s">
        <v>53</v>
      </c>
      <c r="K49" s="170" t="s">
        <v>54</v>
      </c>
      <c r="L49" s="170" t="s">
        <v>55</v>
      </c>
      <c r="M49" s="170" t="s">
        <v>56</v>
      </c>
      <c r="N49" s="170" t="s">
        <v>57</v>
      </c>
      <c r="O49" s="170" t="s">
        <v>58</v>
      </c>
      <c r="P49" s="170" t="s">
        <v>114</v>
      </c>
      <c r="Q49" s="170" t="s">
        <v>32</v>
      </c>
      <c r="R49" s="170"/>
      <c r="S49" s="170"/>
      <c r="T49" s="170"/>
      <c r="U49" s="170"/>
      <c r="V49" s="170"/>
      <c r="W49" s="170"/>
      <c r="X49" s="170"/>
      <c r="Y49" s="170"/>
      <c r="Z49" s="170"/>
      <c r="AA49" s="170"/>
      <c r="AB49" s="170"/>
      <c r="AC49" s="170"/>
      <c r="AD49" s="170"/>
      <c r="AE49" s="170"/>
      <c r="AF49" s="170"/>
      <c r="AG49" s="170"/>
      <c r="AH49" s="170"/>
    </row>
    <row r="50" spans="1:80" ht="22.5" customHeight="1" x14ac:dyDescent="0.25">
      <c r="A50" s="568" t="s">
        <v>111</v>
      </c>
      <c r="B50" s="675" t="s">
        <v>942</v>
      </c>
      <c r="C50" s="318"/>
      <c r="D50" s="318"/>
      <c r="E50" s="318"/>
      <c r="F50" s="318"/>
      <c r="G50" s="318"/>
      <c r="H50" s="318"/>
      <c r="I50" s="318"/>
      <c r="J50" s="676">
        <v>1</v>
      </c>
      <c r="K50" s="313"/>
      <c r="L50" s="313"/>
      <c r="M50" s="313"/>
      <c r="N50" s="313"/>
      <c r="O50" s="313"/>
      <c r="P50" s="313"/>
      <c r="Q50" s="313"/>
      <c r="R50" s="313"/>
      <c r="S50" s="313"/>
      <c r="T50" s="313"/>
      <c r="U50" s="313"/>
      <c r="V50" s="313"/>
      <c r="W50" s="313"/>
      <c r="X50" s="313"/>
      <c r="Y50" s="313"/>
      <c r="Z50" s="313"/>
      <c r="AA50" s="313"/>
      <c r="AB50" s="313"/>
      <c r="AC50" s="313"/>
      <c r="AD50" s="313"/>
      <c r="AE50" s="313"/>
      <c r="AF50" s="313"/>
      <c r="AG50" s="313"/>
      <c r="AH50" s="313"/>
    </row>
    <row r="51" spans="1:80" ht="17.25" customHeight="1" x14ac:dyDescent="0.2">
      <c r="A51" s="170" t="s">
        <v>78</v>
      </c>
      <c r="B51" s="170"/>
      <c r="C51" s="364">
        <f>+B11</f>
        <v>1.7543801951616089E-3</v>
      </c>
      <c r="D51" s="170" t="s">
        <v>201</v>
      </c>
      <c r="E51" s="170"/>
      <c r="F51" s="170">
        <f t="shared" ref="F51:Q51" si="1">IF($J$50=0,$C51,F119)</f>
        <v>0</v>
      </c>
      <c r="G51" s="170">
        <f t="shared" si="1"/>
        <v>0</v>
      </c>
      <c r="H51" s="170">
        <f t="shared" si="1"/>
        <v>0</v>
      </c>
      <c r="I51" s="170">
        <f t="shared" si="1"/>
        <v>0</v>
      </c>
      <c r="J51" s="170">
        <f t="shared" si="1"/>
        <v>0</v>
      </c>
      <c r="K51" s="170">
        <f t="shared" si="1"/>
        <v>7.8458281280446962E-2</v>
      </c>
      <c r="L51" s="170">
        <f t="shared" si="1"/>
        <v>0.43852128250463729</v>
      </c>
      <c r="M51" s="170">
        <f t="shared" si="1"/>
        <v>0.27798926381489875</v>
      </c>
      <c r="N51" s="170">
        <f t="shared" si="1"/>
        <v>0.34097373142773563</v>
      </c>
      <c r="O51" s="170">
        <f t="shared" si="1"/>
        <v>6.0898590598525759E-2</v>
      </c>
      <c r="P51" s="170">
        <f t="shared" si="1"/>
        <v>0</v>
      </c>
      <c r="Q51" s="170">
        <f t="shared" si="1"/>
        <v>0.17551222871918021</v>
      </c>
      <c r="R51" s="170" t="s">
        <v>84</v>
      </c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</row>
    <row r="52" spans="1:80" ht="17.25" customHeight="1" x14ac:dyDescent="0.2">
      <c r="A52" s="170" t="s">
        <v>79</v>
      </c>
      <c r="B52" s="170"/>
      <c r="C52" s="364">
        <f>+B12</f>
        <v>2.2592107531775219E-3</v>
      </c>
      <c r="D52" s="170" t="s">
        <v>201</v>
      </c>
      <c r="E52" s="170"/>
      <c r="F52" s="364">
        <f t="shared" ref="F52:Q52" si="2">IF($J$50=0,$C52,F120)</f>
        <v>0.14141261070848823</v>
      </c>
      <c r="G52" s="364">
        <f t="shared" si="2"/>
        <v>0.15910847073502937</v>
      </c>
      <c r="H52" s="364">
        <f t="shared" si="2"/>
        <v>0.16172343907608619</v>
      </c>
      <c r="I52" s="364">
        <f t="shared" si="2"/>
        <v>0.11505844305760014</v>
      </c>
      <c r="J52" s="364">
        <f t="shared" si="2"/>
        <v>0.13047243886221116</v>
      </c>
      <c r="K52" s="364">
        <f t="shared" si="2"/>
        <v>0.12589302830091467</v>
      </c>
      <c r="L52" s="364">
        <f t="shared" si="2"/>
        <v>0.16887308347047958</v>
      </c>
      <c r="M52" s="364">
        <f t="shared" si="2"/>
        <v>0.15859855711634607</v>
      </c>
      <c r="N52" s="364">
        <f t="shared" si="2"/>
        <v>0.19832036751008103</v>
      </c>
      <c r="O52" s="364">
        <f t="shared" si="2"/>
        <v>0.13454323082344966</v>
      </c>
      <c r="P52" s="364">
        <f t="shared" si="2"/>
        <v>0.15639150161867468</v>
      </c>
      <c r="Q52" s="364">
        <f t="shared" si="2"/>
        <v>0.17344211485103003</v>
      </c>
      <c r="R52" s="170" t="s">
        <v>128</v>
      </c>
      <c r="S52" s="170"/>
      <c r="T52" s="170"/>
      <c r="U52" s="170"/>
      <c r="V52" s="170"/>
      <c r="W52" s="170"/>
      <c r="X52" s="170"/>
      <c r="Y52" s="170"/>
      <c r="Z52" s="170"/>
      <c r="AA52" s="170"/>
      <c r="AB52" s="170"/>
      <c r="AC52" s="170"/>
      <c r="AD52" s="170"/>
      <c r="AE52" s="170"/>
      <c r="AF52" s="170"/>
      <c r="AG52" s="170"/>
      <c r="AH52" s="170"/>
    </row>
    <row r="53" spans="1:80" ht="17.25" customHeight="1" x14ac:dyDescent="0.2">
      <c r="A53" s="170" t="s">
        <v>47</v>
      </c>
      <c r="B53" s="170"/>
      <c r="C53" s="170">
        <f>+B13</f>
        <v>2</v>
      </c>
      <c r="D53" s="170" t="s">
        <v>201</v>
      </c>
      <c r="E53" s="170"/>
      <c r="F53" s="170">
        <f t="shared" ref="F53:Q53" si="3">IF($J$50=0,$C53,F121)</f>
        <v>2</v>
      </c>
      <c r="G53" s="170">
        <f t="shared" si="3"/>
        <v>2</v>
      </c>
      <c r="H53" s="170">
        <f t="shared" si="3"/>
        <v>2</v>
      </c>
      <c r="I53" s="170">
        <f t="shared" si="3"/>
        <v>2</v>
      </c>
      <c r="J53" s="170">
        <f t="shared" si="3"/>
        <v>2</v>
      </c>
      <c r="K53" s="170">
        <f t="shared" si="3"/>
        <v>2</v>
      </c>
      <c r="L53" s="170">
        <f t="shared" si="3"/>
        <v>2</v>
      </c>
      <c r="M53" s="170">
        <f t="shared" si="3"/>
        <v>2</v>
      </c>
      <c r="N53" s="170">
        <f t="shared" si="3"/>
        <v>2</v>
      </c>
      <c r="O53" s="170">
        <f t="shared" si="3"/>
        <v>2</v>
      </c>
      <c r="P53" s="170">
        <f t="shared" si="3"/>
        <v>2</v>
      </c>
      <c r="Q53" s="170">
        <f t="shared" si="3"/>
        <v>2</v>
      </c>
      <c r="R53" s="170" t="s">
        <v>128</v>
      </c>
      <c r="S53" s="170"/>
      <c r="T53" s="170"/>
      <c r="U53" s="170"/>
      <c r="V53" s="170"/>
      <c r="W53" s="170"/>
      <c r="X53" s="170"/>
      <c r="Y53" s="170"/>
      <c r="Z53" s="170"/>
      <c r="AA53" s="170"/>
      <c r="AB53" s="170"/>
      <c r="AC53" s="170"/>
      <c r="AD53" s="170"/>
      <c r="AE53" s="170"/>
      <c r="AF53" s="170"/>
      <c r="AG53" s="170"/>
      <c r="AH53" s="170"/>
    </row>
    <row r="54" spans="1:80" ht="17.25" customHeight="1" x14ac:dyDescent="0.2">
      <c r="A54" s="170" t="s">
        <v>173</v>
      </c>
      <c r="B54" s="170"/>
      <c r="C54" s="170">
        <f>+B31</f>
        <v>4</v>
      </c>
      <c r="D54" s="170" t="s">
        <v>196</v>
      </c>
      <c r="E54" s="170"/>
      <c r="F54" s="170">
        <f t="shared" ref="F54:Q54" si="4">IF($J$50=0,$C54,F122)</f>
        <v>4</v>
      </c>
      <c r="G54" s="170">
        <f t="shared" si="4"/>
        <v>4</v>
      </c>
      <c r="H54" s="170">
        <f t="shared" si="4"/>
        <v>4</v>
      </c>
      <c r="I54" s="170">
        <f t="shared" si="4"/>
        <v>4</v>
      </c>
      <c r="J54" s="170">
        <f t="shared" si="4"/>
        <v>4</v>
      </c>
      <c r="K54" s="170">
        <f t="shared" si="4"/>
        <v>4</v>
      </c>
      <c r="L54" s="170">
        <f t="shared" si="4"/>
        <v>4</v>
      </c>
      <c r="M54" s="170">
        <f t="shared" si="4"/>
        <v>4</v>
      </c>
      <c r="N54" s="170">
        <f t="shared" si="4"/>
        <v>4</v>
      </c>
      <c r="O54" s="170">
        <f t="shared" si="4"/>
        <v>4</v>
      </c>
      <c r="P54" s="170">
        <f t="shared" si="4"/>
        <v>4</v>
      </c>
      <c r="Q54" s="170">
        <f t="shared" si="4"/>
        <v>4</v>
      </c>
      <c r="R54" s="170"/>
      <c r="S54" s="170"/>
      <c r="T54" s="170"/>
      <c r="U54" s="170"/>
      <c r="V54" s="170"/>
      <c r="W54" s="170"/>
      <c r="X54" s="170"/>
      <c r="Y54" s="170"/>
      <c r="Z54" s="170"/>
      <c r="AA54" s="170"/>
      <c r="AB54" s="170"/>
      <c r="AC54" s="170"/>
      <c r="AD54" s="170"/>
      <c r="AE54" s="170"/>
      <c r="AF54" s="170"/>
      <c r="AG54" s="170"/>
      <c r="AH54" s="170"/>
    </row>
    <row r="55" spans="1:80" ht="17.25" customHeight="1" x14ac:dyDescent="0.2">
      <c r="A55" s="170" t="s">
        <v>174</v>
      </c>
      <c r="B55" s="170"/>
      <c r="C55" s="170">
        <f>+B32</f>
        <v>6</v>
      </c>
      <c r="D55" s="170" t="s">
        <v>196</v>
      </c>
      <c r="E55" s="170"/>
      <c r="F55" s="170">
        <f t="shared" ref="F55:Q55" si="5">IF($J$50=0,$C55,F123)</f>
        <v>6</v>
      </c>
      <c r="G55" s="170">
        <f t="shared" si="5"/>
        <v>6</v>
      </c>
      <c r="H55" s="170">
        <f t="shared" si="5"/>
        <v>6</v>
      </c>
      <c r="I55" s="170">
        <f t="shared" si="5"/>
        <v>6</v>
      </c>
      <c r="J55" s="170">
        <f t="shared" si="5"/>
        <v>6</v>
      </c>
      <c r="K55" s="170">
        <f t="shared" si="5"/>
        <v>6</v>
      </c>
      <c r="L55" s="170">
        <f t="shared" si="5"/>
        <v>6</v>
      </c>
      <c r="M55" s="170">
        <f t="shared" si="5"/>
        <v>6</v>
      </c>
      <c r="N55" s="170">
        <f t="shared" si="5"/>
        <v>6</v>
      </c>
      <c r="O55" s="170">
        <f t="shared" si="5"/>
        <v>6</v>
      </c>
      <c r="P55" s="170">
        <f t="shared" si="5"/>
        <v>6</v>
      </c>
      <c r="Q55" s="170">
        <f t="shared" si="5"/>
        <v>6</v>
      </c>
      <c r="R55" s="170"/>
      <c r="S55" s="170"/>
      <c r="T55" s="170"/>
      <c r="U55" s="170"/>
      <c r="V55" s="170"/>
      <c r="W55" s="170"/>
      <c r="X55" s="170"/>
      <c r="Y55" s="170"/>
      <c r="Z55" s="170"/>
      <c r="AA55" s="170"/>
      <c r="AB55" s="170"/>
      <c r="AC55" s="170"/>
      <c r="AD55" s="170"/>
      <c r="AE55" s="170"/>
      <c r="AF55" s="170"/>
      <c r="AG55" s="170"/>
      <c r="AH55" s="170"/>
    </row>
    <row r="56" spans="1:80" ht="17.25" customHeight="1" x14ac:dyDescent="0.2">
      <c r="A56" s="170" t="s">
        <v>175</v>
      </c>
      <c r="B56" s="170" t="s">
        <v>225</v>
      </c>
      <c r="C56" s="170">
        <f>+B33</f>
        <v>0</v>
      </c>
      <c r="D56" s="170" t="s">
        <v>196</v>
      </c>
      <c r="E56" s="170"/>
      <c r="F56" s="170">
        <f t="shared" ref="F56:Q56" si="6">IF($J$50=0,$C56,F124)</f>
        <v>0</v>
      </c>
      <c r="G56" s="170">
        <f t="shared" si="6"/>
        <v>0</v>
      </c>
      <c r="H56" s="170">
        <f t="shared" si="6"/>
        <v>0</v>
      </c>
      <c r="I56" s="170">
        <f t="shared" si="6"/>
        <v>0</v>
      </c>
      <c r="J56" s="170">
        <f t="shared" si="6"/>
        <v>0</v>
      </c>
      <c r="K56" s="170">
        <f t="shared" si="6"/>
        <v>0</v>
      </c>
      <c r="L56" s="170">
        <f t="shared" si="6"/>
        <v>0</v>
      </c>
      <c r="M56" s="170">
        <f t="shared" si="6"/>
        <v>0</v>
      </c>
      <c r="N56" s="170">
        <f t="shared" si="6"/>
        <v>0</v>
      </c>
      <c r="O56" s="170">
        <f t="shared" si="6"/>
        <v>0</v>
      </c>
      <c r="P56" s="170">
        <f t="shared" si="6"/>
        <v>0</v>
      </c>
      <c r="Q56" s="170">
        <f t="shared" si="6"/>
        <v>0</v>
      </c>
      <c r="R56" s="170"/>
      <c r="S56" s="170"/>
      <c r="T56" s="170"/>
      <c r="U56" s="170"/>
      <c r="V56" s="170"/>
      <c r="W56" s="170"/>
      <c r="X56" s="170"/>
      <c r="Y56" s="170"/>
      <c r="Z56" s="170"/>
      <c r="AA56" s="170"/>
      <c r="AB56" s="170"/>
      <c r="AC56" s="170"/>
      <c r="AD56" s="170"/>
      <c r="AE56" s="170"/>
      <c r="AF56" s="170"/>
      <c r="AG56" s="170"/>
      <c r="AH56" s="170"/>
    </row>
    <row r="57" spans="1:80" ht="22.5" customHeight="1" x14ac:dyDescent="0.25">
      <c r="A57" s="213" t="s">
        <v>110</v>
      </c>
      <c r="B57" s="170"/>
      <c r="C57" s="170"/>
      <c r="D57" s="170"/>
      <c r="E57" s="170"/>
      <c r="F57" s="170">
        <f>+Global!B127</f>
        <v>1259.2274620271828</v>
      </c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70"/>
      <c r="R57" s="170"/>
      <c r="S57" s="170"/>
      <c r="T57" s="170"/>
      <c r="U57" s="170"/>
      <c r="V57" s="170"/>
      <c r="W57" s="170"/>
      <c r="X57" s="170"/>
      <c r="Y57" s="170"/>
      <c r="Z57" s="170"/>
      <c r="AA57" s="170"/>
      <c r="AB57" s="170"/>
      <c r="AC57" s="170"/>
      <c r="AD57" s="170"/>
      <c r="AE57" s="170"/>
      <c r="AF57" s="170"/>
      <c r="AG57" s="170"/>
      <c r="AH57" s="170"/>
    </row>
    <row r="58" spans="1:80" s="311" customFormat="1" ht="17.25" customHeight="1" x14ac:dyDescent="0.2">
      <c r="A58" s="170" t="s">
        <v>291</v>
      </c>
      <c r="B58" s="170"/>
      <c r="C58" s="511">
        <v>1.26</v>
      </c>
      <c r="D58" s="170" t="s">
        <v>1213</v>
      </c>
      <c r="E58" s="170"/>
      <c r="F58" s="170">
        <f>+$C$58*F59</f>
        <v>1.1340000000000001</v>
      </c>
      <c r="G58" s="170">
        <f t="shared" ref="G58:Q58" si="7">+$C$58*G59</f>
        <v>1.7639999999999998</v>
      </c>
      <c r="H58" s="170">
        <f t="shared" si="7"/>
        <v>1.7639999999999998</v>
      </c>
      <c r="I58" s="170">
        <f t="shared" si="7"/>
        <v>0.75600000000000001</v>
      </c>
      <c r="J58" s="170">
        <f t="shared" si="7"/>
        <v>0.75600000000000001</v>
      </c>
      <c r="K58" s="170">
        <f t="shared" si="7"/>
        <v>0.8819999999999999</v>
      </c>
      <c r="L58" s="170">
        <f t="shared" si="7"/>
        <v>1.3860000000000001</v>
      </c>
      <c r="M58" s="170">
        <f t="shared" si="7"/>
        <v>1.26</v>
      </c>
      <c r="N58" s="170">
        <f t="shared" si="7"/>
        <v>1.3860000000000001</v>
      </c>
      <c r="O58" s="170">
        <f t="shared" si="7"/>
        <v>1.6380000000000001</v>
      </c>
      <c r="P58" s="170">
        <f t="shared" si="7"/>
        <v>1.3860000000000001</v>
      </c>
      <c r="Q58" s="170">
        <f t="shared" si="7"/>
        <v>1.512</v>
      </c>
      <c r="R58" s="170" t="s">
        <v>85</v>
      </c>
      <c r="S58" s="170"/>
      <c r="T58" s="170"/>
      <c r="U58" s="170"/>
      <c r="V58" s="170"/>
      <c r="W58" s="170"/>
      <c r="X58" s="170"/>
      <c r="Y58" s="170"/>
      <c r="Z58" s="170"/>
      <c r="AA58" s="170"/>
      <c r="AB58" s="170"/>
      <c r="AC58" s="170"/>
      <c r="AD58" s="170"/>
      <c r="AE58" s="170"/>
      <c r="AF58" s="170"/>
      <c r="AG58" s="170"/>
      <c r="AH58" s="170"/>
      <c r="AI58" s="304"/>
      <c r="AJ58" s="304"/>
      <c r="AK58" s="304"/>
      <c r="AL58" s="304"/>
      <c r="AM58" s="304"/>
      <c r="AN58" s="304"/>
      <c r="AO58" s="304"/>
      <c r="AP58" s="304"/>
      <c r="AQ58" s="304"/>
      <c r="AR58" s="304"/>
      <c r="AS58" s="304"/>
      <c r="AT58" s="304"/>
      <c r="AU58" s="304"/>
      <c r="AV58" s="304"/>
      <c r="AW58" s="304"/>
      <c r="AX58" s="304"/>
      <c r="AY58" s="304"/>
      <c r="AZ58" s="304"/>
      <c r="BA58" s="304"/>
      <c r="BB58" s="304"/>
      <c r="BC58" s="304"/>
      <c r="BD58" s="304"/>
      <c r="BE58" s="304"/>
      <c r="BF58" s="304"/>
      <c r="BG58" s="304"/>
      <c r="BH58" s="304"/>
      <c r="BI58" s="304"/>
      <c r="BJ58" s="304"/>
      <c r="BK58" s="304"/>
      <c r="BL58" s="304"/>
      <c r="BM58" s="304"/>
      <c r="BN58" s="304"/>
      <c r="BO58" s="304"/>
      <c r="BP58" s="304"/>
      <c r="BQ58" s="304"/>
      <c r="BR58" s="304"/>
      <c r="BS58" s="304"/>
      <c r="BT58" s="304"/>
      <c r="BU58" s="304"/>
      <c r="BV58" s="304"/>
      <c r="BW58" s="304"/>
      <c r="BX58" s="304"/>
      <c r="BY58" s="304"/>
      <c r="BZ58" s="304"/>
      <c r="CA58" s="304"/>
      <c r="CB58" s="304"/>
    </row>
    <row r="59" spans="1:80" s="311" customFormat="1" ht="17.25" customHeight="1" x14ac:dyDescent="0.2">
      <c r="A59" s="170" t="s">
        <v>1212</v>
      </c>
      <c r="B59" s="170"/>
      <c r="C59" s="318"/>
      <c r="D59" s="170" t="s">
        <v>1213</v>
      </c>
      <c r="E59" s="170"/>
      <c r="F59" s="663">
        <v>0.9</v>
      </c>
      <c r="G59" s="663">
        <v>1.4</v>
      </c>
      <c r="H59" s="663">
        <v>1.4</v>
      </c>
      <c r="I59" s="663">
        <v>0.6</v>
      </c>
      <c r="J59" s="663">
        <v>0.6</v>
      </c>
      <c r="K59" s="663">
        <v>0.7</v>
      </c>
      <c r="L59" s="663">
        <v>1.1000000000000001</v>
      </c>
      <c r="M59" s="663">
        <v>1</v>
      </c>
      <c r="N59" s="663">
        <v>1.1000000000000001</v>
      </c>
      <c r="O59" s="663">
        <v>1.3</v>
      </c>
      <c r="P59" s="663">
        <v>1.1000000000000001</v>
      </c>
      <c r="Q59" s="663">
        <v>1.2</v>
      </c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304"/>
      <c r="AJ59" s="304"/>
      <c r="AK59" s="304"/>
      <c r="AL59" s="304"/>
      <c r="AM59" s="304"/>
      <c r="AN59" s="304"/>
      <c r="AO59" s="304"/>
      <c r="AP59" s="304"/>
      <c r="AQ59" s="304"/>
      <c r="AR59" s="304"/>
      <c r="AS59" s="304"/>
      <c r="AT59" s="304"/>
      <c r="AU59" s="304"/>
      <c r="AV59" s="304"/>
      <c r="AW59" s="304"/>
      <c r="AX59" s="304"/>
      <c r="AY59" s="304"/>
      <c r="AZ59" s="304"/>
      <c r="BA59" s="304"/>
      <c r="BB59" s="304"/>
      <c r="BC59" s="304"/>
      <c r="BD59" s="304"/>
      <c r="BE59" s="304"/>
      <c r="BF59" s="304"/>
      <c r="BG59" s="304"/>
      <c r="BH59" s="304"/>
      <c r="BI59" s="304"/>
      <c r="BJ59" s="304"/>
      <c r="BK59" s="304"/>
      <c r="BL59" s="304"/>
      <c r="BM59" s="304"/>
      <c r="BN59" s="304"/>
      <c r="BO59" s="304"/>
      <c r="BP59" s="304"/>
      <c r="BQ59" s="304"/>
      <c r="BR59" s="304"/>
      <c r="BS59" s="304"/>
      <c r="BT59" s="304"/>
      <c r="BU59" s="304"/>
      <c r="BV59" s="304"/>
      <c r="BW59" s="304"/>
      <c r="BX59" s="304"/>
      <c r="BY59" s="304"/>
      <c r="BZ59" s="304"/>
      <c r="CA59" s="304"/>
      <c r="CB59" s="304"/>
    </row>
    <row r="60" spans="1:80" s="311" customFormat="1" ht="17.25" customHeight="1" x14ac:dyDescent="0.2">
      <c r="A60" s="170" t="s">
        <v>177</v>
      </c>
      <c r="B60" s="170"/>
      <c r="C60" s="318">
        <v>0.1</v>
      </c>
      <c r="D60" s="170" t="s">
        <v>196</v>
      </c>
      <c r="E60" s="170"/>
      <c r="F60" s="170">
        <f>+$C$60</f>
        <v>0.1</v>
      </c>
      <c r="G60" s="170">
        <f t="shared" ref="G60:Q60" si="8">+$C$60</f>
        <v>0.1</v>
      </c>
      <c r="H60" s="170">
        <f t="shared" si="8"/>
        <v>0.1</v>
      </c>
      <c r="I60" s="170">
        <f t="shared" si="8"/>
        <v>0.1</v>
      </c>
      <c r="J60" s="170">
        <f t="shared" si="8"/>
        <v>0.1</v>
      </c>
      <c r="K60" s="170">
        <f t="shared" si="8"/>
        <v>0.1</v>
      </c>
      <c r="L60" s="170">
        <f t="shared" si="8"/>
        <v>0.1</v>
      </c>
      <c r="M60" s="170">
        <f t="shared" si="8"/>
        <v>0.1</v>
      </c>
      <c r="N60" s="170">
        <f t="shared" si="8"/>
        <v>0.1</v>
      </c>
      <c r="O60" s="170">
        <f t="shared" si="8"/>
        <v>0.1</v>
      </c>
      <c r="P60" s="170">
        <f t="shared" si="8"/>
        <v>0.1</v>
      </c>
      <c r="Q60" s="170">
        <f t="shared" si="8"/>
        <v>0.1</v>
      </c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304"/>
      <c r="AJ60" s="304"/>
      <c r="AK60" s="304"/>
      <c r="AL60" s="304"/>
      <c r="AM60" s="304"/>
      <c r="AN60" s="304"/>
      <c r="AO60" s="304"/>
      <c r="AP60" s="304"/>
      <c r="AQ60" s="304"/>
      <c r="AR60" s="304"/>
      <c r="AS60" s="304"/>
      <c r="AT60" s="304"/>
      <c r="AU60" s="304"/>
      <c r="AV60" s="304"/>
      <c r="AW60" s="304"/>
      <c r="AX60" s="304"/>
      <c r="AY60" s="304"/>
      <c r="AZ60" s="304"/>
      <c r="BA60" s="304"/>
      <c r="BB60" s="304"/>
      <c r="BC60" s="304"/>
      <c r="BD60" s="304"/>
      <c r="BE60" s="304"/>
      <c r="BF60" s="304"/>
      <c r="BG60" s="304"/>
      <c r="BH60" s="304"/>
      <c r="BI60" s="304"/>
      <c r="BJ60" s="304"/>
      <c r="BK60" s="304"/>
      <c r="BL60" s="304"/>
      <c r="BM60" s="304"/>
      <c r="BN60" s="304"/>
      <c r="BO60" s="304"/>
      <c r="BP60" s="304"/>
      <c r="BQ60" s="304"/>
      <c r="BR60" s="304"/>
      <c r="BS60" s="304"/>
      <c r="BT60" s="304"/>
      <c r="BU60" s="304"/>
      <c r="BV60" s="304"/>
      <c r="BW60" s="304"/>
      <c r="BX60" s="304"/>
      <c r="BY60" s="304"/>
      <c r="BZ60" s="304"/>
      <c r="CA60" s="304"/>
      <c r="CB60" s="304"/>
    </row>
    <row r="61" spans="1:80" s="311" customFormat="1" ht="17.25" customHeight="1" x14ac:dyDescent="0.2">
      <c r="A61" s="170" t="s">
        <v>178</v>
      </c>
      <c r="B61" s="170"/>
      <c r="C61" s="318">
        <v>0.05</v>
      </c>
      <c r="D61" s="170" t="s">
        <v>196</v>
      </c>
      <c r="E61" s="170"/>
      <c r="F61" s="170">
        <f>+$C$61</f>
        <v>0.05</v>
      </c>
      <c r="G61" s="170">
        <f t="shared" ref="G61:Q61" si="9">+$C$61</f>
        <v>0.05</v>
      </c>
      <c r="H61" s="170">
        <f t="shared" si="9"/>
        <v>0.05</v>
      </c>
      <c r="I61" s="170">
        <f t="shared" si="9"/>
        <v>0.05</v>
      </c>
      <c r="J61" s="170">
        <f t="shared" si="9"/>
        <v>0.05</v>
      </c>
      <c r="K61" s="170">
        <f t="shared" si="9"/>
        <v>0.05</v>
      </c>
      <c r="L61" s="170">
        <f t="shared" si="9"/>
        <v>0.05</v>
      </c>
      <c r="M61" s="170">
        <f t="shared" si="9"/>
        <v>0.05</v>
      </c>
      <c r="N61" s="170">
        <f t="shared" si="9"/>
        <v>0.05</v>
      </c>
      <c r="O61" s="170">
        <f t="shared" si="9"/>
        <v>0.05</v>
      </c>
      <c r="P61" s="170">
        <f t="shared" si="9"/>
        <v>0.05</v>
      </c>
      <c r="Q61" s="170">
        <f t="shared" si="9"/>
        <v>0.05</v>
      </c>
      <c r="R61" s="170" t="s">
        <v>85</v>
      </c>
      <c r="S61" s="170"/>
      <c r="T61" s="170"/>
      <c r="U61" s="170"/>
      <c r="V61" s="170"/>
      <c r="W61" s="170"/>
      <c r="X61" s="170"/>
      <c r="Y61" s="170"/>
      <c r="Z61" s="170"/>
      <c r="AA61" s="170"/>
      <c r="AB61" s="170"/>
      <c r="AC61" s="170"/>
      <c r="AD61" s="170"/>
      <c r="AE61" s="170"/>
      <c r="AF61" s="170"/>
      <c r="AG61" s="170"/>
      <c r="AH61" s="170"/>
      <c r="AI61" s="304"/>
      <c r="AJ61" s="304"/>
      <c r="AK61" s="304"/>
      <c r="AL61" s="304"/>
      <c r="AM61" s="304"/>
      <c r="AN61" s="304"/>
      <c r="AO61" s="304"/>
      <c r="AP61" s="304"/>
      <c r="AQ61" s="304"/>
      <c r="AR61" s="304"/>
      <c r="AS61" s="304"/>
      <c r="AT61" s="304"/>
      <c r="AU61" s="304"/>
      <c r="AV61" s="304"/>
      <c r="AW61" s="304"/>
      <c r="AX61" s="304"/>
      <c r="AY61" s="304"/>
      <c r="AZ61" s="304"/>
      <c r="BA61" s="304"/>
      <c r="BB61" s="304"/>
      <c r="BC61" s="304"/>
      <c r="BD61" s="304"/>
      <c r="BE61" s="304"/>
      <c r="BF61" s="304"/>
      <c r="BG61" s="304"/>
      <c r="BH61" s="304"/>
      <c r="BI61" s="304"/>
      <c r="BJ61" s="304"/>
      <c r="BK61" s="304"/>
      <c r="BL61" s="304"/>
      <c r="BM61" s="304"/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4"/>
      <c r="CB61" s="304"/>
    </row>
    <row r="62" spans="1:80" s="311" customFormat="1" ht="17.25" customHeight="1" x14ac:dyDescent="0.2">
      <c r="A62" s="170"/>
      <c r="B62" s="170"/>
      <c r="C62" s="170"/>
      <c r="D62" s="170"/>
      <c r="E62" s="170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70"/>
      <c r="W62" s="170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</row>
    <row r="63" spans="1:80" s="311" customFormat="1" ht="17.25" customHeight="1" x14ac:dyDescent="0.2">
      <c r="A63" s="170" t="s">
        <v>81</v>
      </c>
      <c r="B63" s="170"/>
      <c r="C63" s="318">
        <v>2.8</v>
      </c>
      <c r="D63" s="170" t="s">
        <v>1300</v>
      </c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 t="s">
        <v>85</v>
      </c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</row>
    <row r="64" spans="1:80" s="311" customFormat="1" ht="17.25" customHeight="1" x14ac:dyDescent="0.2">
      <c r="A64" s="170" t="s">
        <v>73</v>
      </c>
      <c r="B64" s="170"/>
      <c r="C64" s="170">
        <f>+B16</f>
        <v>2250</v>
      </c>
      <c r="D64" s="170" t="s">
        <v>196</v>
      </c>
      <c r="E64" s="170"/>
      <c r="F64" s="170">
        <f>+$C64</f>
        <v>2250</v>
      </c>
      <c r="G64" s="170">
        <f t="shared" ref="G64:Q64" si="10">+$C64</f>
        <v>2250</v>
      </c>
      <c r="H64" s="170">
        <f t="shared" si="10"/>
        <v>2250</v>
      </c>
      <c r="I64" s="170">
        <f t="shared" si="10"/>
        <v>2250</v>
      </c>
      <c r="J64" s="170">
        <f t="shared" si="10"/>
        <v>2250</v>
      </c>
      <c r="K64" s="170">
        <f t="shared" si="10"/>
        <v>2250</v>
      </c>
      <c r="L64" s="170">
        <f t="shared" si="10"/>
        <v>2250</v>
      </c>
      <c r="M64" s="170">
        <f t="shared" si="10"/>
        <v>2250</v>
      </c>
      <c r="N64" s="170">
        <f t="shared" si="10"/>
        <v>2250</v>
      </c>
      <c r="O64" s="170">
        <f t="shared" si="10"/>
        <v>2250</v>
      </c>
      <c r="P64" s="170">
        <f t="shared" si="10"/>
        <v>2250</v>
      </c>
      <c r="Q64" s="170">
        <f t="shared" si="10"/>
        <v>2250</v>
      </c>
      <c r="R64" s="170" t="s">
        <v>59</v>
      </c>
      <c r="S64" s="170"/>
      <c r="T64" s="170"/>
      <c r="U64" s="170"/>
      <c r="V64" s="170"/>
      <c r="W64" s="170"/>
      <c r="X64" s="170"/>
      <c r="Y64" s="170"/>
      <c r="Z64" s="170"/>
      <c r="AA64" s="170"/>
      <c r="AB64" s="170"/>
      <c r="AC64" s="170"/>
      <c r="AD64" s="170"/>
      <c r="AE64" s="170"/>
      <c r="AF64" s="170"/>
      <c r="AG64" s="170"/>
      <c r="AH64" s="170"/>
    </row>
    <row r="65" spans="1:34" s="305" customFormat="1" ht="17.25" customHeight="1" x14ac:dyDescent="0.2">
      <c r="A65" s="170" t="s">
        <v>179</v>
      </c>
      <c r="B65" s="170"/>
      <c r="C65" s="318">
        <v>1</v>
      </c>
      <c r="D65" s="170" t="s">
        <v>196</v>
      </c>
      <c r="E65" s="170"/>
      <c r="F65" s="318">
        <v>1</v>
      </c>
      <c r="G65" s="318">
        <v>1</v>
      </c>
      <c r="H65" s="318">
        <v>1</v>
      </c>
      <c r="I65" s="318">
        <v>1</v>
      </c>
      <c r="J65" s="318">
        <v>1</v>
      </c>
      <c r="K65" s="318">
        <v>1</v>
      </c>
      <c r="L65" s="318">
        <v>1</v>
      </c>
      <c r="M65" s="318">
        <v>1</v>
      </c>
      <c r="N65" s="318">
        <v>1</v>
      </c>
      <c r="O65" s="318">
        <v>1</v>
      </c>
      <c r="P65" s="318">
        <v>1</v>
      </c>
      <c r="Q65" s="318">
        <v>1</v>
      </c>
      <c r="R65" s="170" t="s">
        <v>60</v>
      </c>
      <c r="S65" s="170"/>
      <c r="T65" s="170"/>
      <c r="U65" s="170"/>
      <c r="V65" s="170"/>
      <c r="W65" s="170"/>
      <c r="X65" s="170"/>
      <c r="Y65" s="170"/>
      <c r="Z65" s="170"/>
      <c r="AA65" s="170"/>
      <c r="AB65" s="170"/>
      <c r="AC65" s="170"/>
      <c r="AD65" s="170"/>
      <c r="AE65" s="170"/>
      <c r="AF65" s="170"/>
      <c r="AG65" s="170"/>
      <c r="AH65" s="170"/>
    </row>
    <row r="66" spans="1:34" ht="17.25" customHeight="1" x14ac:dyDescent="0.25">
      <c r="A66" s="213" t="s">
        <v>82</v>
      </c>
      <c r="B66" s="170"/>
      <c r="C66" s="170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  <c r="Z66" s="170"/>
      <c r="AA66" s="170"/>
      <c r="AB66" s="170"/>
      <c r="AC66" s="170"/>
      <c r="AD66" s="170"/>
      <c r="AE66" s="170"/>
      <c r="AF66" s="170"/>
      <c r="AG66" s="170"/>
      <c r="AH66" s="170"/>
    </row>
    <row r="67" spans="1:34" ht="17.25" customHeight="1" x14ac:dyDescent="0.2">
      <c r="A67" s="170" t="s">
        <v>89</v>
      </c>
      <c r="B67" s="170"/>
      <c r="C67" s="318">
        <v>7957.7</v>
      </c>
      <c r="D67" s="170" t="s">
        <v>197</v>
      </c>
      <c r="E67" s="170">
        <f>SUM(F67:Q67)</f>
        <v>7.971000000000001</v>
      </c>
      <c r="F67" s="170">
        <f>+Data!C150/1000</f>
        <v>1.6621334550980105</v>
      </c>
      <c r="G67" s="170">
        <f>+Data!D150/1000</f>
        <v>1.1460506191660518</v>
      </c>
      <c r="H67" s="170">
        <f>+Data!E150/1000</f>
        <v>0.36996592574248299</v>
      </c>
      <c r="I67" s="170">
        <f>+Data!F150/1000</f>
        <v>0.43123618180564</v>
      </c>
      <c r="J67" s="170">
        <f>+Data!G150/1000</f>
        <v>0.25666629327477047</v>
      </c>
      <c r="K67" s="170">
        <f>+Data!H150/1000</f>
        <v>1.6007411280266048</v>
      </c>
      <c r="L67" s="170">
        <f>+Data!I150/1000</f>
        <v>0.40515158969265591</v>
      </c>
      <c r="M67" s="170">
        <f>+Data!J150/1000</f>
        <v>0.5896749604345517</v>
      </c>
      <c r="N67" s="170">
        <f>+Data!K150/1000</f>
        <v>0.19137708401697254</v>
      </c>
      <c r="O67" s="170">
        <f>+Data!L150/1000</f>
        <v>0.41227239850714797</v>
      </c>
      <c r="P67" s="170">
        <f>+Data!M150/1000</f>
        <v>0.54177826149727892</v>
      </c>
      <c r="Q67" s="170">
        <f>+Data!N150/1000</f>
        <v>0.36395210273783346</v>
      </c>
      <c r="R67" s="170" t="s">
        <v>29</v>
      </c>
      <c r="S67" s="170"/>
      <c r="T67" s="170"/>
      <c r="U67" s="170"/>
      <c r="V67" s="170"/>
      <c r="W67" s="170"/>
      <c r="X67" s="170"/>
      <c r="Y67" s="170"/>
      <c r="Z67" s="170"/>
      <c r="AA67" s="170"/>
      <c r="AB67" s="170"/>
      <c r="AC67" s="170"/>
      <c r="AD67" s="170"/>
      <c r="AE67" s="170"/>
      <c r="AF67" s="170"/>
      <c r="AG67" s="170"/>
      <c r="AH67" s="170"/>
    </row>
    <row r="68" spans="1:34" ht="17.25" customHeight="1" x14ac:dyDescent="0.2">
      <c r="A68" s="170" t="s">
        <v>90</v>
      </c>
      <c r="B68" s="170"/>
      <c r="C68" s="318">
        <v>5.0000000000000001E-3</v>
      </c>
      <c r="D68" s="170" t="s">
        <v>197</v>
      </c>
      <c r="E68" s="170"/>
      <c r="F68" s="170"/>
      <c r="G68" s="170"/>
      <c r="H68" s="170"/>
      <c r="I68" s="170"/>
      <c r="J68" s="170"/>
      <c r="K68" s="170"/>
      <c r="L68" s="170"/>
      <c r="M68" s="170"/>
      <c r="N68" s="170"/>
      <c r="O68" s="170"/>
      <c r="P68" s="170"/>
      <c r="Q68" s="170"/>
      <c r="R68" s="170" t="s">
        <v>30</v>
      </c>
      <c r="S68" s="170"/>
      <c r="T68" s="170"/>
      <c r="U68" s="170"/>
      <c r="V68" s="170"/>
      <c r="W68" s="170"/>
      <c r="X68" s="170"/>
      <c r="Y68" s="170"/>
      <c r="Z68" s="170"/>
      <c r="AA68" s="170"/>
      <c r="AB68" s="170"/>
      <c r="AC68" s="170"/>
      <c r="AD68" s="170"/>
      <c r="AE68" s="170"/>
      <c r="AF68" s="170"/>
      <c r="AG68" s="170"/>
      <c r="AH68" s="170"/>
    </row>
    <row r="69" spans="1:34" ht="17.25" customHeight="1" x14ac:dyDescent="0.2">
      <c r="A69" s="170" t="s">
        <v>180</v>
      </c>
      <c r="B69" s="170"/>
      <c r="C69" s="170"/>
      <c r="D69" s="170" t="s">
        <v>197</v>
      </c>
      <c r="E69" s="170"/>
      <c r="F69" s="170">
        <f t="shared" ref="F69:Q69" si="11">+F67/F37</f>
        <v>0.13406572306752593</v>
      </c>
      <c r="G69" s="170">
        <f t="shared" si="11"/>
        <v>8.794762981562193E-2</v>
      </c>
      <c r="H69" s="170">
        <f t="shared" si="11"/>
        <v>9.559142074854636E-2</v>
      </c>
      <c r="I69" s="170">
        <f t="shared" si="11"/>
        <v>0.25397360434546151</v>
      </c>
      <c r="J69" s="170">
        <f t="shared" si="11"/>
        <v>0.3179179349538665</v>
      </c>
      <c r="K69" s="170">
        <f t="shared" si="11"/>
        <v>0.30014462246061224</v>
      </c>
      <c r="L69" s="170">
        <f t="shared" si="11"/>
        <v>0.16598916703912928</v>
      </c>
      <c r="M69" s="170">
        <f t="shared" si="11"/>
        <v>0.16944179563838435</v>
      </c>
      <c r="N69" s="170">
        <f t="shared" si="11"/>
        <v>0.14715313300736829</v>
      </c>
      <c r="O69" s="170">
        <f t="shared" si="11"/>
        <v>9.0440834978974038E-2</v>
      </c>
      <c r="P69" s="170">
        <f t="shared" si="11"/>
        <v>0.14101281781866939</v>
      </c>
      <c r="Q69" s="170">
        <f t="shared" si="11"/>
        <v>0.13895604299311176</v>
      </c>
      <c r="R69" s="170" t="s">
        <v>74</v>
      </c>
      <c r="S69" s="170"/>
      <c r="T69" s="170"/>
      <c r="U69" s="170"/>
      <c r="V69" s="170"/>
      <c r="W69" s="170"/>
      <c r="X69" s="170"/>
      <c r="Y69" s="170"/>
      <c r="Z69" s="170"/>
      <c r="AA69" s="170"/>
      <c r="AB69" s="170"/>
      <c r="AC69" s="170"/>
      <c r="AD69" s="170"/>
      <c r="AE69" s="170"/>
      <c r="AF69" s="170"/>
      <c r="AG69" s="170"/>
      <c r="AH69" s="170"/>
    </row>
    <row r="70" spans="1:34" ht="17.25" customHeight="1" x14ac:dyDescent="0.2">
      <c r="A70" s="170" t="s">
        <v>23</v>
      </c>
      <c r="B70" s="170"/>
      <c r="C70" s="511">
        <f>+SUM(F70:Q70)</f>
        <v>1.5999999999999999</v>
      </c>
      <c r="D70" s="170" t="s">
        <v>197</v>
      </c>
      <c r="E70" s="170"/>
      <c r="F70" s="318">
        <v>0</v>
      </c>
      <c r="G70" s="318">
        <v>0</v>
      </c>
      <c r="H70" s="318">
        <v>0</v>
      </c>
      <c r="I70" s="318">
        <v>0</v>
      </c>
      <c r="J70" s="318">
        <v>0</v>
      </c>
      <c r="K70" s="318">
        <v>0</v>
      </c>
      <c r="L70" s="318">
        <v>0</v>
      </c>
      <c r="M70" s="318">
        <v>0</v>
      </c>
      <c r="N70" s="318">
        <v>0.3</v>
      </c>
      <c r="O70" s="318">
        <v>0.6</v>
      </c>
      <c r="P70" s="318">
        <v>0</v>
      </c>
      <c r="Q70" s="318">
        <v>0.7</v>
      </c>
      <c r="R70" s="170" t="s">
        <v>99</v>
      </c>
      <c r="S70" s="170"/>
      <c r="T70" s="170"/>
      <c r="U70" s="170"/>
      <c r="V70" s="170"/>
      <c r="W70" s="170"/>
      <c r="X70" s="170"/>
      <c r="Y70" s="170"/>
      <c r="Z70" s="170"/>
      <c r="AA70" s="170"/>
      <c r="AB70" s="170"/>
      <c r="AC70" s="170"/>
      <c r="AD70" s="170"/>
      <c r="AE70" s="170"/>
      <c r="AF70" s="170"/>
      <c r="AG70" s="170"/>
      <c r="AH70" s="170"/>
    </row>
    <row r="71" spans="1:34" ht="17.25" customHeight="1" x14ac:dyDescent="0.2">
      <c r="A71" s="170" t="s">
        <v>0</v>
      </c>
      <c r="B71" s="170"/>
      <c r="C71" s="318">
        <v>0.2</v>
      </c>
      <c r="D71" s="170" t="s">
        <v>196</v>
      </c>
      <c r="E71" s="170"/>
      <c r="F71" s="170">
        <f>+$C$71</f>
        <v>0.2</v>
      </c>
      <c r="G71" s="170">
        <f t="shared" ref="G71:Q71" si="12">+$C$71</f>
        <v>0.2</v>
      </c>
      <c r="H71" s="170">
        <f t="shared" si="12"/>
        <v>0.2</v>
      </c>
      <c r="I71" s="170">
        <f t="shared" si="12"/>
        <v>0.2</v>
      </c>
      <c r="J71" s="170">
        <f t="shared" si="12"/>
        <v>0.2</v>
      </c>
      <c r="K71" s="170">
        <f t="shared" si="12"/>
        <v>0.2</v>
      </c>
      <c r="L71" s="170">
        <f t="shared" si="12"/>
        <v>0.2</v>
      </c>
      <c r="M71" s="170">
        <f t="shared" si="12"/>
        <v>0.2</v>
      </c>
      <c r="N71" s="170">
        <f t="shared" si="12"/>
        <v>0.2</v>
      </c>
      <c r="O71" s="170">
        <f t="shared" si="12"/>
        <v>0.2</v>
      </c>
      <c r="P71" s="170">
        <f t="shared" si="12"/>
        <v>0.2</v>
      </c>
      <c r="Q71" s="170">
        <f t="shared" si="12"/>
        <v>0.2</v>
      </c>
      <c r="R71" s="170"/>
      <c r="S71" s="170"/>
      <c r="T71" s="170"/>
      <c r="U71" s="170"/>
      <c r="V71" s="170"/>
      <c r="W71" s="170"/>
      <c r="X71" s="170"/>
      <c r="Y71" s="170"/>
      <c r="Z71" s="170"/>
      <c r="AA71" s="170"/>
      <c r="AB71" s="170"/>
      <c r="AC71" s="170"/>
      <c r="AD71" s="170"/>
      <c r="AE71" s="170"/>
      <c r="AF71" s="170"/>
      <c r="AG71" s="170"/>
      <c r="AH71" s="170"/>
    </row>
    <row r="72" spans="1:34" ht="17.25" customHeight="1" x14ac:dyDescent="0.2">
      <c r="A72" s="170" t="s">
        <v>19</v>
      </c>
      <c r="B72" s="170"/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70"/>
      <c r="AA72" s="170"/>
      <c r="AB72" s="170"/>
      <c r="AC72" s="170"/>
      <c r="AD72" s="170"/>
      <c r="AE72" s="170"/>
      <c r="AF72" s="170"/>
      <c r="AG72" s="170"/>
      <c r="AH72" s="170"/>
    </row>
    <row r="73" spans="1:34" ht="17.25" customHeight="1" x14ac:dyDescent="0.2">
      <c r="A73" s="170" t="s">
        <v>64</v>
      </c>
      <c r="B73" s="170">
        <f>+B17</f>
        <v>6000</v>
      </c>
      <c r="C73" s="170"/>
      <c r="D73" s="170" t="s">
        <v>197</v>
      </c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 t="s">
        <v>183</v>
      </c>
      <c r="S73" s="170"/>
      <c r="T73" s="170"/>
      <c r="U73" s="170"/>
      <c r="V73" s="170"/>
      <c r="W73" s="170"/>
      <c r="X73" s="170"/>
      <c r="Y73" s="170"/>
      <c r="Z73" s="170"/>
      <c r="AA73" s="170"/>
      <c r="AB73" s="170"/>
      <c r="AC73" s="170"/>
      <c r="AD73" s="170"/>
      <c r="AE73" s="170"/>
      <c r="AF73" s="170"/>
      <c r="AG73" s="170"/>
      <c r="AH73" s="170"/>
    </row>
    <row r="74" spans="1:34" ht="17.25" customHeight="1" x14ac:dyDescent="0.25">
      <c r="A74" s="213" t="s">
        <v>24</v>
      </c>
      <c r="B74" s="170"/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70"/>
      <c r="AA74" s="170"/>
      <c r="AB74" s="170"/>
      <c r="AC74" s="170"/>
      <c r="AD74" s="170"/>
      <c r="AE74" s="170"/>
      <c r="AF74" s="170"/>
      <c r="AG74" s="170"/>
      <c r="AH74" s="170"/>
    </row>
    <row r="75" spans="1:34" ht="17.25" customHeight="1" x14ac:dyDescent="0.2">
      <c r="A75" s="170" t="s">
        <v>1304</v>
      </c>
      <c r="B75" s="318">
        <v>787</v>
      </c>
      <c r="C75" s="170"/>
      <c r="D75" s="170" t="s">
        <v>202</v>
      </c>
      <c r="E75" s="170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  <c r="R75" s="170" t="s">
        <v>126</v>
      </c>
      <c r="S75" s="170"/>
      <c r="T75" s="170"/>
      <c r="U75" s="170"/>
      <c r="V75" s="170"/>
      <c r="W75" s="170"/>
      <c r="X75" s="170"/>
      <c r="Y75" s="170"/>
      <c r="Z75" s="170"/>
      <c r="AA75" s="170"/>
      <c r="AB75" s="170"/>
      <c r="AC75" s="170"/>
      <c r="AD75" s="170"/>
      <c r="AE75" s="170"/>
      <c r="AF75" s="170"/>
      <c r="AG75" s="170"/>
      <c r="AH75" s="170"/>
    </row>
    <row r="76" spans="1:34" ht="17.25" customHeight="1" x14ac:dyDescent="0.2">
      <c r="A76" s="170" t="s">
        <v>1305</v>
      </c>
      <c r="B76" s="318">
        <v>829</v>
      </c>
      <c r="C76" s="170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0"/>
      <c r="R76" s="170"/>
      <c r="S76" s="170"/>
      <c r="T76" s="170"/>
      <c r="U76" s="170"/>
      <c r="V76" s="170"/>
      <c r="W76" s="170"/>
      <c r="X76" s="170"/>
      <c r="Y76" s="170"/>
      <c r="Z76" s="170"/>
      <c r="AA76" s="170"/>
      <c r="AB76" s="170"/>
      <c r="AC76" s="170"/>
      <c r="AD76" s="170"/>
      <c r="AE76" s="170"/>
      <c r="AF76" s="170"/>
      <c r="AG76" s="170"/>
      <c r="AH76" s="170"/>
    </row>
    <row r="77" spans="1:34" ht="17.25" customHeight="1" x14ac:dyDescent="0.2">
      <c r="A77" s="170" t="s">
        <v>101</v>
      </c>
      <c r="B77" s="318">
        <v>1600</v>
      </c>
      <c r="C77" s="170"/>
      <c r="D77" s="170" t="s">
        <v>805</v>
      </c>
      <c r="E77" s="170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70"/>
      <c r="R77" s="170" t="s">
        <v>83</v>
      </c>
      <c r="S77" s="170"/>
      <c r="T77" s="170"/>
      <c r="U77" s="170"/>
      <c r="V77" s="170"/>
      <c r="W77" s="170"/>
      <c r="X77" s="170"/>
      <c r="Y77" s="170"/>
      <c r="Z77" s="170"/>
      <c r="AA77" s="170"/>
      <c r="AB77" s="170"/>
      <c r="AC77" s="170"/>
      <c r="AD77" s="170"/>
      <c r="AE77" s="170"/>
      <c r="AF77" s="170"/>
      <c r="AG77" s="170"/>
      <c r="AH77" s="170"/>
    </row>
    <row r="78" spans="1:34" ht="17.25" customHeight="1" x14ac:dyDescent="0.2">
      <c r="A78" s="170" t="s">
        <v>102</v>
      </c>
      <c r="B78" s="318">
        <v>10010</v>
      </c>
      <c r="C78" s="170"/>
      <c r="D78" s="170" t="s">
        <v>805</v>
      </c>
      <c r="E78" s="170"/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P78" s="170"/>
      <c r="Q78" s="170"/>
      <c r="R78" s="170" t="s">
        <v>83</v>
      </c>
      <c r="S78" s="170"/>
      <c r="T78" s="170"/>
      <c r="U78" s="170"/>
      <c r="V78" s="170"/>
      <c r="W78" s="170"/>
      <c r="X78" s="170"/>
      <c r="Y78" s="170"/>
      <c r="Z78" s="170"/>
      <c r="AA78" s="170"/>
      <c r="AB78" s="170"/>
      <c r="AC78" s="170"/>
      <c r="AD78" s="170"/>
      <c r="AE78" s="170"/>
      <c r="AF78" s="170"/>
      <c r="AG78" s="170"/>
      <c r="AH78" s="170"/>
    </row>
    <row r="79" spans="1:34" ht="17.25" customHeight="1" x14ac:dyDescent="0.2">
      <c r="A79" s="170" t="s">
        <v>170</v>
      </c>
      <c r="B79" s="170"/>
      <c r="C79" s="170"/>
      <c r="D79" s="170"/>
      <c r="E79" s="170"/>
      <c r="F79" s="170"/>
      <c r="G79" s="170"/>
      <c r="H79" s="170"/>
      <c r="I79" s="170"/>
      <c r="J79" s="170"/>
      <c r="K79" s="170"/>
      <c r="L79" s="170"/>
      <c r="M79" s="170"/>
      <c r="N79" s="170"/>
      <c r="O79" s="170"/>
      <c r="P79" s="170"/>
      <c r="Q79" s="170"/>
      <c r="R79" s="170"/>
      <c r="S79" s="170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170"/>
      <c r="AH79" s="170"/>
    </row>
    <row r="80" spans="1:34" ht="17.25" customHeight="1" x14ac:dyDescent="0.2">
      <c r="A80" s="170" t="s">
        <v>154</v>
      </c>
      <c r="B80" s="526">
        <f>100-B82</f>
        <v>88</v>
      </c>
      <c r="C80" s="170"/>
      <c r="D80" s="170" t="s">
        <v>199</v>
      </c>
      <c r="E80" s="170"/>
      <c r="H80" s="170"/>
      <c r="I80" s="170"/>
      <c r="J80" s="170"/>
      <c r="K80" s="170"/>
      <c r="L80" s="170"/>
      <c r="M80" s="170"/>
      <c r="N80" s="170"/>
      <c r="O80" s="170"/>
      <c r="P80" s="170"/>
      <c r="Q80" s="170"/>
      <c r="R80" s="170" t="s">
        <v>37</v>
      </c>
      <c r="S80" s="170"/>
      <c r="T80" s="170"/>
      <c r="U80" s="170"/>
      <c r="V80" s="170"/>
      <c r="W80" s="170"/>
      <c r="X80" s="170"/>
      <c r="Y80" s="170"/>
      <c r="Z80" s="170"/>
      <c r="AA80" s="170"/>
      <c r="AB80" s="170"/>
      <c r="AC80" s="170"/>
      <c r="AD80" s="170"/>
      <c r="AE80" s="170"/>
      <c r="AF80" s="170"/>
      <c r="AG80" s="170"/>
      <c r="AH80" s="170"/>
    </row>
    <row r="81" spans="1:34" ht="17.25" customHeight="1" x14ac:dyDescent="0.2">
      <c r="A81" s="170" t="s">
        <v>155</v>
      </c>
      <c r="B81" s="526">
        <f>+B87*B82/B88</f>
        <v>4.7039999999999997</v>
      </c>
      <c r="C81" s="170"/>
      <c r="D81" s="170" t="s">
        <v>199</v>
      </c>
      <c r="E81" s="170"/>
      <c r="G81" s="170">
        <v>2105</v>
      </c>
      <c r="H81" s="170">
        <f>+Global!L48</f>
        <v>52.666167503910259</v>
      </c>
      <c r="I81" s="309">
        <v>349.7368192011574</v>
      </c>
      <c r="J81" s="524">
        <f>+LN(H81/I81)</f>
        <v>-1.8932076599512737</v>
      </c>
      <c r="K81" s="170"/>
      <c r="L81" s="170"/>
      <c r="M81" s="170"/>
      <c r="N81" s="170"/>
      <c r="O81" s="170"/>
      <c r="P81" s="170"/>
      <c r="Q81" s="170"/>
      <c r="R81" s="170" t="s">
        <v>37</v>
      </c>
      <c r="S81" s="170"/>
      <c r="T81" s="170"/>
      <c r="U81" s="170"/>
      <c r="V81" s="170"/>
      <c r="W81" s="170"/>
      <c r="X81" s="170"/>
      <c r="Y81" s="170"/>
      <c r="Z81" s="170"/>
      <c r="AA81" s="170"/>
      <c r="AB81" s="170"/>
      <c r="AC81" s="170"/>
      <c r="AD81" s="170"/>
      <c r="AE81" s="170"/>
      <c r="AF81" s="170"/>
      <c r="AG81" s="170"/>
      <c r="AH81" s="170"/>
    </row>
    <row r="82" spans="1:34" ht="17.25" customHeight="1" x14ac:dyDescent="0.2">
      <c r="A82" s="170" t="s">
        <v>156</v>
      </c>
      <c r="B82" s="527">
        <f>+B28</f>
        <v>12</v>
      </c>
      <c r="C82" s="170"/>
      <c r="D82" s="170" t="s">
        <v>1085</v>
      </c>
      <c r="E82" s="170"/>
      <c r="G82" s="170">
        <v>2305</v>
      </c>
      <c r="H82" s="170">
        <f>+Global!AF48</f>
        <v>95.550747737012358</v>
      </c>
      <c r="I82" s="309">
        <v>1434.2119110086905</v>
      </c>
      <c r="J82" s="524">
        <f>+LN(H82/I82)</f>
        <v>-2.7087132901330131</v>
      </c>
      <c r="K82" s="170"/>
      <c r="L82" s="170"/>
      <c r="M82" s="170"/>
      <c r="N82" s="170"/>
      <c r="O82" s="170"/>
      <c r="P82" s="170"/>
      <c r="Q82" s="170"/>
      <c r="R82" s="170" t="s">
        <v>37</v>
      </c>
      <c r="S82" s="170"/>
      <c r="T82" s="170"/>
      <c r="U82" s="170"/>
      <c r="V82" s="170"/>
      <c r="W82" s="170"/>
      <c r="X82" s="170"/>
      <c r="Y82" s="170"/>
      <c r="Z82" s="170"/>
      <c r="AA82" s="170"/>
      <c r="AB82" s="170"/>
      <c r="AC82" s="170"/>
      <c r="AD82" s="170"/>
      <c r="AE82" s="170"/>
      <c r="AF82" s="170"/>
      <c r="AG82" s="170"/>
      <c r="AH82" s="170"/>
    </row>
    <row r="83" spans="1:34" ht="17.25" customHeight="1" x14ac:dyDescent="0.2">
      <c r="A83" s="170" t="s">
        <v>184</v>
      </c>
      <c r="B83" s="526">
        <f>100-B81-B85</f>
        <v>94.796000000000006</v>
      </c>
      <c r="C83" s="170"/>
      <c r="D83" s="170" t="s">
        <v>199</v>
      </c>
      <c r="E83" s="170"/>
      <c r="F83" s="170"/>
      <c r="G83" s="170">
        <v>2505</v>
      </c>
      <c r="H83" s="170">
        <f>+Global!AZ48</f>
        <v>3431.324680508978</v>
      </c>
      <c r="I83" s="170">
        <v>3204.261904244293</v>
      </c>
      <c r="J83" s="524">
        <f>+LN(H83/I83)</f>
        <v>6.8464622087149804E-2</v>
      </c>
      <c r="K83" s="170"/>
      <c r="L83" s="170"/>
      <c r="M83" s="170"/>
      <c r="N83" s="170"/>
      <c r="O83" s="170"/>
      <c r="P83" s="170"/>
      <c r="Q83" s="170"/>
      <c r="R83" s="170" t="s">
        <v>37</v>
      </c>
      <c r="S83" s="170"/>
      <c r="T83" s="170"/>
      <c r="U83" s="170"/>
      <c r="V83" s="170"/>
      <c r="W83" s="170"/>
      <c r="X83" s="170"/>
      <c r="Y83" s="170"/>
      <c r="Z83" s="170"/>
      <c r="AA83" s="170"/>
      <c r="AB83" s="170"/>
      <c r="AC83" s="170"/>
      <c r="AD83" s="170"/>
      <c r="AE83" s="170"/>
      <c r="AF83" s="170"/>
      <c r="AG83" s="170"/>
      <c r="AH83" s="170"/>
    </row>
    <row r="84" spans="1:34" ht="17.25" customHeight="1" x14ac:dyDescent="0.2">
      <c r="A84" s="170" t="s">
        <v>185</v>
      </c>
      <c r="B84" s="526">
        <f>+B85*B88/B89</f>
        <v>7.4999999999999997E-2</v>
      </c>
      <c r="C84" s="170"/>
      <c r="D84" s="170" t="s">
        <v>199</v>
      </c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0"/>
      <c r="R84" s="170" t="s">
        <v>37</v>
      </c>
      <c r="S84" s="170"/>
      <c r="T84" s="170"/>
      <c r="U84" s="170"/>
      <c r="V84" s="170"/>
      <c r="W84" s="170"/>
      <c r="X84" s="170"/>
      <c r="Y84" s="170"/>
      <c r="Z84" s="170"/>
      <c r="AA84" s="170"/>
      <c r="AB84" s="170"/>
      <c r="AC84" s="170"/>
      <c r="AD84" s="170"/>
      <c r="AE84" s="170"/>
      <c r="AF84" s="170"/>
      <c r="AG84" s="170"/>
      <c r="AH84" s="170"/>
    </row>
    <row r="85" spans="1:34" ht="17.25" customHeight="1" x14ac:dyDescent="0.2">
      <c r="A85" s="170" t="s">
        <v>186</v>
      </c>
      <c r="B85" s="527">
        <v>0.5</v>
      </c>
      <c r="C85" s="170"/>
      <c r="D85" s="170" t="s">
        <v>198</v>
      </c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70"/>
      <c r="R85" s="170" t="s">
        <v>37</v>
      </c>
      <c r="S85" s="170"/>
      <c r="T85" s="170"/>
      <c r="U85" s="170"/>
      <c r="V85" s="170"/>
      <c r="W85" s="170"/>
      <c r="X85" s="170"/>
      <c r="Y85" s="170"/>
      <c r="Z85" s="170"/>
      <c r="AA85" s="170"/>
      <c r="AB85" s="170"/>
      <c r="AC85" s="170"/>
      <c r="AD85" s="170"/>
      <c r="AE85" s="170"/>
      <c r="AF85" s="170"/>
      <c r="AG85" s="170"/>
      <c r="AH85" s="170"/>
    </row>
    <row r="86" spans="1:34" ht="17.25" customHeight="1" x14ac:dyDescent="0.2">
      <c r="A86" s="170" t="s">
        <v>187</v>
      </c>
      <c r="B86" s="526">
        <f>100-B84</f>
        <v>99.924999999999997</v>
      </c>
      <c r="C86" s="170"/>
      <c r="D86" s="170" t="s">
        <v>199</v>
      </c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  <c r="R86" s="170" t="s">
        <v>37</v>
      </c>
      <c r="S86" s="170"/>
      <c r="T86" s="170"/>
      <c r="U86" s="170"/>
      <c r="V86" s="170"/>
      <c r="W86" s="170"/>
      <c r="X86" s="170"/>
      <c r="Y86" s="170"/>
      <c r="Z86" s="170"/>
      <c r="AA86" s="170"/>
      <c r="AB86" s="170"/>
      <c r="AC86" s="170"/>
      <c r="AD86" s="170"/>
      <c r="AE86" s="170"/>
      <c r="AF86" s="170"/>
      <c r="AG86" s="170"/>
      <c r="AH86" s="170"/>
    </row>
    <row r="87" spans="1:34" ht="17.25" customHeight="1" x14ac:dyDescent="0.2">
      <c r="A87" s="525" t="s">
        <v>1081</v>
      </c>
      <c r="B87" s="318">
        <v>588</v>
      </c>
      <c r="C87" s="170"/>
      <c r="D87" s="170" t="s">
        <v>199</v>
      </c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70"/>
      <c r="R87" s="170"/>
      <c r="S87" s="170"/>
      <c r="T87" s="170"/>
      <c r="U87" s="170"/>
      <c r="V87" s="170"/>
      <c r="W87" s="170"/>
      <c r="X87" s="170"/>
      <c r="Y87" s="170"/>
      <c r="Z87" s="170"/>
      <c r="AA87" s="170"/>
      <c r="AB87" s="170"/>
      <c r="AC87" s="170"/>
      <c r="AD87" s="170"/>
      <c r="AE87" s="170"/>
      <c r="AF87" s="170"/>
      <c r="AG87" s="170"/>
      <c r="AH87" s="170"/>
    </row>
    <row r="88" spans="1:34" ht="17.25" customHeight="1" x14ac:dyDescent="0.2">
      <c r="A88" s="525" t="s">
        <v>1082</v>
      </c>
      <c r="B88" s="318">
        <v>1500</v>
      </c>
      <c r="C88" s="170"/>
      <c r="D88" s="170" t="s">
        <v>199</v>
      </c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70"/>
      <c r="T88" s="170"/>
      <c r="U88" s="170"/>
      <c r="V88" s="170"/>
      <c r="W88" s="170"/>
      <c r="X88" s="170"/>
      <c r="Y88" s="170"/>
      <c r="Z88" s="170"/>
      <c r="AA88" s="170"/>
      <c r="AB88" s="170"/>
      <c r="AC88" s="170"/>
      <c r="AD88" s="170"/>
      <c r="AE88" s="170"/>
      <c r="AF88" s="170"/>
      <c r="AG88" s="170"/>
      <c r="AH88" s="170"/>
    </row>
    <row r="89" spans="1:34" ht="17.25" customHeight="1" x14ac:dyDescent="0.2">
      <c r="A89" s="525" t="s">
        <v>1083</v>
      </c>
      <c r="B89" s="318">
        <v>10000</v>
      </c>
      <c r="C89" s="170"/>
      <c r="D89" s="170" t="s">
        <v>199</v>
      </c>
      <c r="E89" s="170"/>
      <c r="F89" s="170"/>
      <c r="G89" s="170"/>
      <c r="H89" s="170"/>
      <c r="I89" s="170"/>
      <c r="J89" s="170"/>
      <c r="K89" s="170"/>
      <c r="L89" s="170"/>
      <c r="M89" s="170"/>
      <c r="N89" s="170"/>
      <c r="O89" s="170"/>
      <c r="P89" s="170"/>
      <c r="Q89" s="170"/>
      <c r="R89" s="170"/>
      <c r="S89" s="170"/>
      <c r="T89" s="170"/>
      <c r="U89" s="170"/>
      <c r="V89" s="170"/>
      <c r="W89" s="170"/>
      <c r="X89" s="170"/>
      <c r="Y89" s="170"/>
      <c r="Z89" s="170"/>
      <c r="AA89" s="170"/>
      <c r="AB89" s="170"/>
      <c r="AC89" s="170"/>
      <c r="AD89" s="170"/>
      <c r="AE89" s="170"/>
      <c r="AF89" s="170"/>
      <c r="AG89" s="170"/>
      <c r="AH89" s="170"/>
    </row>
    <row r="90" spans="1:34" ht="17.25" customHeight="1" x14ac:dyDescent="0.25">
      <c r="A90" s="213" t="s">
        <v>171</v>
      </c>
      <c r="B90" s="170"/>
      <c r="C90" s="170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70"/>
      <c r="R90" s="170"/>
      <c r="S90" s="170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</row>
    <row r="91" spans="1:34" ht="17.25" customHeight="1" x14ac:dyDescent="0.2">
      <c r="A91" s="170" t="s">
        <v>48</v>
      </c>
      <c r="B91" s="318">
        <v>-0.06</v>
      </c>
      <c r="C91" s="170"/>
      <c r="D91" s="170" t="s">
        <v>202</v>
      </c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  <c r="R91" s="170" t="s">
        <v>126</v>
      </c>
      <c r="S91" s="170"/>
      <c r="T91" s="170"/>
      <c r="U91" s="170"/>
      <c r="V91" s="170"/>
      <c r="W91" s="170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</row>
    <row r="92" spans="1:34" ht="17.25" customHeight="1" x14ac:dyDescent="0.2">
      <c r="A92" s="170" t="s">
        <v>91</v>
      </c>
      <c r="B92" s="318">
        <v>0.3</v>
      </c>
      <c r="C92" s="170"/>
      <c r="D92" s="170" t="s">
        <v>202</v>
      </c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70"/>
      <c r="R92" s="170" t="s">
        <v>127</v>
      </c>
      <c r="S92" s="170"/>
      <c r="T92" s="170"/>
      <c r="U92" s="170"/>
      <c r="V92" s="170"/>
      <c r="W92" s="170"/>
      <c r="X92" s="170"/>
      <c r="Y92" s="170"/>
      <c r="Z92" s="170"/>
      <c r="AA92" s="170"/>
      <c r="AB92" s="170"/>
      <c r="AC92" s="170"/>
      <c r="AD92" s="170"/>
      <c r="AE92" s="170"/>
      <c r="AF92" s="170"/>
      <c r="AG92" s="170"/>
      <c r="AH92" s="170"/>
    </row>
    <row r="93" spans="1:34" ht="17.25" customHeight="1" x14ac:dyDescent="0.2">
      <c r="A93" s="170" t="s">
        <v>1308</v>
      </c>
      <c r="B93" s="318">
        <v>0.83</v>
      </c>
      <c r="C93" s="170"/>
      <c r="D93" s="170" t="s">
        <v>197</v>
      </c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  <c r="R93" s="170" t="s">
        <v>126</v>
      </c>
      <c r="S93" s="170"/>
      <c r="T93" s="170"/>
      <c r="U93" s="170"/>
      <c r="V93" s="170"/>
      <c r="W93" s="170"/>
      <c r="X93" s="170"/>
      <c r="Y93" s="170"/>
      <c r="Z93" s="170"/>
      <c r="AA93" s="170"/>
      <c r="AB93" s="170"/>
      <c r="AC93" s="170"/>
      <c r="AD93" s="170"/>
      <c r="AE93" s="170"/>
      <c r="AF93" s="170"/>
      <c r="AG93" s="170"/>
      <c r="AH93" s="170"/>
    </row>
    <row r="94" spans="1:34" ht="17.25" customHeight="1" x14ac:dyDescent="0.2">
      <c r="A94" s="170" t="s">
        <v>1309</v>
      </c>
      <c r="B94" s="318">
        <v>0.98</v>
      </c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170"/>
      <c r="AH94" s="170"/>
    </row>
    <row r="95" spans="1:34" ht="17.25" customHeight="1" x14ac:dyDescent="0.2">
      <c r="A95" s="170" t="s">
        <v>10</v>
      </c>
      <c r="B95" s="318">
        <v>6.7999999999999996E-3</v>
      </c>
      <c r="C95" s="170"/>
      <c r="D95" s="170" t="s">
        <v>198</v>
      </c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170"/>
      <c r="R95" s="170" t="s">
        <v>126</v>
      </c>
      <c r="S95" s="170"/>
      <c r="T95" s="170"/>
      <c r="U95" s="170"/>
      <c r="V95" s="170"/>
      <c r="W95" s="170"/>
      <c r="X95" s="170"/>
      <c r="Y95" s="170"/>
      <c r="Z95" s="170"/>
      <c r="AA95" s="170"/>
      <c r="AB95" s="170"/>
      <c r="AC95" s="170"/>
      <c r="AD95" s="170"/>
      <c r="AE95" s="170"/>
      <c r="AF95" s="170"/>
      <c r="AG95" s="170"/>
      <c r="AH95" s="170"/>
    </row>
    <row r="96" spans="1:34" ht="17.25" customHeight="1" x14ac:dyDescent="0.2">
      <c r="A96" s="170" t="s">
        <v>87</v>
      </c>
      <c r="B96" s="318">
        <v>0.20799999999999999</v>
      </c>
      <c r="C96" s="170"/>
      <c r="D96" s="170" t="s">
        <v>1162</v>
      </c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70"/>
      <c r="R96" s="170" t="s">
        <v>37</v>
      </c>
      <c r="S96" s="170"/>
      <c r="T96" s="170"/>
      <c r="U96" s="170"/>
      <c r="V96" s="170"/>
      <c r="W96" s="170"/>
      <c r="X96" s="170"/>
      <c r="Y96" s="170"/>
      <c r="Z96" s="170"/>
      <c r="AA96" s="170"/>
      <c r="AB96" s="170"/>
      <c r="AC96" s="170"/>
      <c r="AD96" s="170"/>
      <c r="AE96" s="170"/>
      <c r="AF96" s="170"/>
      <c r="AG96" s="170"/>
      <c r="AH96" s="170"/>
    </row>
    <row r="97" spans="1:34" ht="17.25" customHeight="1" x14ac:dyDescent="0.2">
      <c r="A97" s="170" t="s">
        <v>167</v>
      </c>
      <c r="B97" s="624">
        <f>+B18</f>
        <v>3.2</v>
      </c>
      <c r="C97" s="170"/>
      <c r="D97" s="170" t="s">
        <v>1192</v>
      </c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  <c r="R97" s="170" t="s">
        <v>37</v>
      </c>
      <c r="S97" s="170"/>
      <c r="T97" s="170"/>
      <c r="U97" s="170"/>
      <c r="V97" s="170"/>
      <c r="W97" s="170"/>
      <c r="X97" s="170"/>
      <c r="Y97" s="170"/>
      <c r="Z97" s="170"/>
      <c r="AA97" s="170"/>
      <c r="AB97" s="170"/>
      <c r="AC97" s="170"/>
      <c r="AD97" s="170"/>
      <c r="AE97" s="170"/>
      <c r="AF97" s="170"/>
      <c r="AG97" s="170"/>
      <c r="AH97" s="170"/>
    </row>
    <row r="98" spans="1:34" ht="17.25" customHeight="1" x14ac:dyDescent="0.2">
      <c r="A98" s="170" t="s">
        <v>46</v>
      </c>
      <c r="B98" s="318">
        <v>3.8</v>
      </c>
      <c r="C98" s="170"/>
      <c r="D98" s="170" t="s">
        <v>1160</v>
      </c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70"/>
      <c r="R98" s="170" t="s">
        <v>37</v>
      </c>
      <c r="S98" s="170"/>
      <c r="T98" s="170"/>
      <c r="U98" s="170"/>
      <c r="V98" s="170"/>
      <c r="W98" s="170"/>
      <c r="X98" s="170"/>
      <c r="Y98" s="170"/>
      <c r="Z98" s="170"/>
      <c r="AA98" s="170"/>
      <c r="AB98" s="170"/>
      <c r="AC98" s="170"/>
      <c r="AD98" s="170"/>
      <c r="AE98" s="170"/>
      <c r="AF98" s="170"/>
      <c r="AG98" s="170"/>
      <c r="AH98" s="170"/>
    </row>
    <row r="99" spans="1:34" ht="17.25" customHeight="1" x14ac:dyDescent="0.2">
      <c r="A99" s="170" t="s">
        <v>168</v>
      </c>
      <c r="B99" s="318">
        <v>0.31</v>
      </c>
      <c r="C99" s="170"/>
      <c r="D99" s="170" t="s">
        <v>198</v>
      </c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 t="s">
        <v>37</v>
      </c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</row>
    <row r="100" spans="1:34" ht="17.25" customHeight="1" x14ac:dyDescent="0.2">
      <c r="A100" s="170" t="s">
        <v>43</v>
      </c>
      <c r="B100" s="318">
        <v>0.05</v>
      </c>
      <c r="C100" s="170"/>
      <c r="D100" s="170" t="s">
        <v>198</v>
      </c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170"/>
      <c r="R100" s="170" t="s">
        <v>37</v>
      </c>
      <c r="S100" s="170"/>
      <c r="T100" s="170"/>
      <c r="U100" s="170"/>
      <c r="V100" s="170"/>
      <c r="W100" s="170"/>
      <c r="X100" s="170"/>
      <c r="Y100" s="170"/>
      <c r="Z100" s="170"/>
      <c r="AA100" s="170"/>
      <c r="AB100" s="170"/>
      <c r="AC100" s="170"/>
      <c r="AD100" s="170"/>
      <c r="AE100" s="170"/>
      <c r="AF100" s="170"/>
      <c r="AG100" s="170"/>
      <c r="AH100" s="170"/>
    </row>
    <row r="101" spans="1:34" ht="17.25" customHeight="1" x14ac:dyDescent="0.2">
      <c r="A101" s="170" t="s">
        <v>1036</v>
      </c>
      <c r="B101" s="170"/>
      <c r="C101" s="170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  <c r="V101" s="170"/>
      <c r="W101" s="170"/>
      <c r="X101" s="170"/>
      <c r="Y101" s="170"/>
      <c r="Z101" s="170"/>
      <c r="AA101" s="170"/>
      <c r="AB101" s="170"/>
      <c r="AC101" s="170"/>
      <c r="AD101" s="170"/>
      <c r="AE101" s="170"/>
      <c r="AF101" s="170"/>
      <c r="AG101" s="170"/>
      <c r="AH101" s="170"/>
    </row>
    <row r="102" spans="1:34" ht="17.25" customHeight="1" x14ac:dyDescent="0.2">
      <c r="A102" s="21" t="s">
        <v>1035</v>
      </c>
      <c r="B102" s="318">
        <v>100</v>
      </c>
      <c r="C102" s="170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  <c r="V102" s="170"/>
      <c r="W102" s="170"/>
      <c r="X102" s="170"/>
      <c r="Y102" s="170"/>
      <c r="Z102" s="170"/>
      <c r="AA102" s="170"/>
      <c r="AB102" s="170"/>
      <c r="AC102" s="170"/>
      <c r="AD102" s="170"/>
      <c r="AE102" s="170"/>
      <c r="AF102" s="170"/>
      <c r="AG102" s="170"/>
      <c r="AH102" s="170"/>
    </row>
    <row r="103" spans="1:34" ht="17.25" customHeight="1" x14ac:dyDescent="0.2">
      <c r="A103" s="21" t="s">
        <v>267</v>
      </c>
      <c r="B103" s="318">
        <v>12</v>
      </c>
      <c r="C103" s="170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Z103" s="170"/>
      <c r="AA103" s="170"/>
      <c r="AB103" s="170"/>
      <c r="AC103" s="170"/>
      <c r="AD103" s="170"/>
      <c r="AE103" s="170"/>
      <c r="AF103" s="170"/>
      <c r="AG103" s="170"/>
      <c r="AH103" s="170"/>
    </row>
    <row r="104" spans="1:34" ht="17.25" customHeight="1" x14ac:dyDescent="0.2">
      <c r="A104" s="170" t="s">
        <v>1037</v>
      </c>
      <c r="B104" s="170"/>
      <c r="C104" s="170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X104" s="170"/>
      <c r="Y104" s="170"/>
      <c r="Z104" s="170"/>
      <c r="AA104" s="170"/>
      <c r="AB104" s="170"/>
      <c r="AC104" s="170"/>
      <c r="AD104" s="170"/>
      <c r="AE104" s="170"/>
      <c r="AF104" s="170"/>
      <c r="AG104" s="170"/>
      <c r="AH104" s="170"/>
    </row>
    <row r="105" spans="1:34" ht="17.25" customHeight="1" x14ac:dyDescent="0.2">
      <c r="A105" s="170" t="s">
        <v>1038</v>
      </c>
      <c r="B105" s="318">
        <v>0.5</v>
      </c>
      <c r="C105" s="170"/>
      <c r="D105" s="170" t="s">
        <v>276</v>
      </c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70"/>
      <c r="R105" s="170"/>
      <c r="S105" s="170"/>
      <c r="T105" s="170"/>
      <c r="U105" s="170"/>
      <c r="V105" s="170"/>
      <c r="W105" s="170"/>
      <c r="X105" s="170"/>
      <c r="Y105" s="170"/>
      <c r="Z105" s="170"/>
      <c r="AA105" s="170"/>
      <c r="AB105" s="170"/>
      <c r="AC105" s="170"/>
      <c r="AD105" s="170"/>
      <c r="AE105" s="170"/>
      <c r="AF105" s="170"/>
      <c r="AG105" s="170"/>
      <c r="AH105" s="170"/>
    </row>
    <row r="106" spans="1:34" ht="17.25" customHeight="1" x14ac:dyDescent="0.2">
      <c r="A106" s="170"/>
      <c r="B106" s="170"/>
      <c r="C106" s="170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  <c r="R106" s="170"/>
      <c r="S106" s="170"/>
      <c r="T106" s="170"/>
      <c r="U106" s="170"/>
      <c r="V106" s="170"/>
      <c r="W106" s="170"/>
      <c r="X106" s="170"/>
      <c r="Y106" s="170"/>
      <c r="Z106" s="170"/>
      <c r="AA106" s="170"/>
      <c r="AB106" s="170"/>
      <c r="AC106" s="170"/>
      <c r="AD106" s="170"/>
      <c r="AE106" s="170"/>
      <c r="AF106" s="170"/>
      <c r="AG106" s="170"/>
      <c r="AH106" s="170"/>
    </row>
    <row r="107" spans="1:34" ht="17.25" customHeight="1" x14ac:dyDescent="0.2">
      <c r="A107" s="170"/>
      <c r="B107" s="170"/>
      <c r="C107" s="170"/>
      <c r="D107" s="170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170"/>
      <c r="Q107" s="170"/>
      <c r="R107" s="170"/>
      <c r="S107" s="170"/>
      <c r="T107" s="170"/>
      <c r="U107" s="170"/>
      <c r="V107" s="170"/>
      <c r="W107" s="170"/>
      <c r="X107" s="170"/>
      <c r="Y107" s="170"/>
      <c r="Z107" s="170"/>
      <c r="AA107" s="170"/>
      <c r="AB107" s="170"/>
      <c r="AC107" s="170"/>
      <c r="AD107" s="170"/>
      <c r="AE107" s="170"/>
      <c r="AF107" s="170"/>
      <c r="AG107" s="170"/>
      <c r="AH107" s="170"/>
    </row>
    <row r="108" spans="1:34" ht="17.25" customHeight="1" x14ac:dyDescent="0.2">
      <c r="A108" s="485"/>
      <c r="B108" s="313"/>
      <c r="C108" s="313"/>
      <c r="D108" s="313"/>
      <c r="E108" s="313"/>
      <c r="F108" s="313"/>
      <c r="G108" s="313"/>
      <c r="H108" s="313"/>
      <c r="I108" s="313"/>
      <c r="J108" s="313"/>
      <c r="K108" s="313"/>
      <c r="L108" s="313"/>
      <c r="M108" s="313"/>
      <c r="N108" s="313"/>
      <c r="O108" s="313"/>
      <c r="P108" s="313"/>
      <c r="Q108" s="313"/>
      <c r="R108" s="313"/>
      <c r="S108" s="313"/>
      <c r="T108" s="313"/>
      <c r="U108" s="313"/>
      <c r="V108" s="313"/>
      <c r="W108" s="313"/>
      <c r="X108" s="313"/>
      <c r="Y108" s="313"/>
      <c r="Z108" s="313"/>
      <c r="AA108" s="313"/>
      <c r="AB108" s="313"/>
      <c r="AC108" s="313"/>
      <c r="AD108" s="313"/>
      <c r="AE108" s="313"/>
      <c r="AF108" s="313"/>
      <c r="AG108" s="313"/>
      <c r="AH108" s="313"/>
    </row>
    <row r="109" spans="1:34" ht="17.25" customHeight="1" x14ac:dyDescent="0.2">
      <c r="A109" s="313"/>
      <c r="B109" s="313"/>
      <c r="C109" s="313"/>
      <c r="D109" s="313"/>
      <c r="E109" s="313"/>
      <c r="F109" s="313"/>
      <c r="G109" s="313"/>
      <c r="H109" s="313"/>
      <c r="I109" s="313"/>
      <c r="J109" s="313"/>
      <c r="K109" s="313"/>
      <c r="L109" s="313"/>
      <c r="M109" s="313"/>
      <c r="N109" s="313"/>
      <c r="O109" s="313"/>
      <c r="P109" s="313"/>
      <c r="Q109" s="313"/>
      <c r="R109" s="313"/>
      <c r="S109" s="313"/>
      <c r="T109" s="313"/>
      <c r="U109" s="313"/>
      <c r="V109" s="313"/>
      <c r="W109" s="313"/>
      <c r="X109" s="313"/>
      <c r="Y109" s="313"/>
      <c r="Z109" s="313"/>
      <c r="AA109" s="313"/>
      <c r="AB109" s="313"/>
      <c r="AC109" s="313"/>
      <c r="AD109" s="313"/>
      <c r="AE109" s="313"/>
      <c r="AF109" s="313"/>
      <c r="AG109" s="313"/>
      <c r="AH109" s="313"/>
    </row>
    <row r="110" spans="1:34" ht="17.25" customHeight="1" x14ac:dyDescent="0.2">
      <c r="A110" s="313"/>
      <c r="B110" s="313"/>
      <c r="C110" s="313"/>
      <c r="D110" s="313"/>
      <c r="E110" s="313"/>
      <c r="F110" s="313"/>
      <c r="G110" s="313"/>
      <c r="H110" s="313"/>
      <c r="I110" s="313"/>
      <c r="J110" s="313"/>
      <c r="K110" s="313"/>
      <c r="L110" s="313"/>
      <c r="M110" s="313"/>
      <c r="N110" s="313"/>
      <c r="O110" s="313"/>
      <c r="P110" s="313"/>
      <c r="Q110" s="313"/>
      <c r="R110" s="313"/>
      <c r="S110" s="313"/>
      <c r="T110" s="313"/>
      <c r="U110" s="313"/>
      <c r="V110" s="313"/>
      <c r="W110" s="313"/>
      <c r="X110" s="313"/>
      <c r="Y110" s="313"/>
      <c r="Z110" s="313"/>
      <c r="AA110" s="313"/>
      <c r="AB110" s="313"/>
      <c r="AC110" s="313"/>
      <c r="AD110" s="313"/>
      <c r="AE110" s="313"/>
      <c r="AF110" s="313"/>
      <c r="AG110" s="313"/>
      <c r="AH110" s="313"/>
    </row>
    <row r="111" spans="1:34" ht="17.25" customHeight="1" x14ac:dyDescent="0.2">
      <c r="A111" s="313"/>
      <c r="B111" s="313"/>
      <c r="C111" s="313"/>
      <c r="D111" s="313"/>
      <c r="E111" s="313"/>
      <c r="F111" s="313"/>
      <c r="G111" s="313"/>
      <c r="H111" s="313"/>
      <c r="I111" s="313"/>
      <c r="J111" s="313"/>
      <c r="K111" s="313"/>
      <c r="L111" s="313"/>
      <c r="M111" s="313"/>
      <c r="N111" s="313"/>
      <c r="O111" s="313"/>
      <c r="P111" s="313"/>
      <c r="Q111" s="313"/>
      <c r="R111" s="313"/>
      <c r="S111" s="313"/>
      <c r="T111" s="313"/>
      <c r="U111" s="313"/>
      <c r="V111" s="313"/>
      <c r="W111" s="313"/>
      <c r="X111" s="313"/>
      <c r="Y111" s="313"/>
      <c r="Z111" s="313"/>
      <c r="AA111" s="313"/>
      <c r="AB111" s="313"/>
      <c r="AC111" s="313"/>
      <c r="AD111" s="313"/>
      <c r="AE111" s="313"/>
      <c r="AF111" s="313"/>
      <c r="AG111" s="313"/>
      <c r="AH111" s="313"/>
    </row>
    <row r="112" spans="1:34" ht="17.25" customHeight="1" x14ac:dyDescent="0.2">
      <c r="A112" s="313"/>
      <c r="B112" s="313"/>
      <c r="C112" s="313"/>
      <c r="D112" s="313"/>
      <c r="E112" s="313"/>
      <c r="F112" s="313"/>
      <c r="G112" s="313"/>
      <c r="H112" s="313"/>
      <c r="I112" s="313"/>
      <c r="J112" s="313"/>
      <c r="K112" s="313"/>
      <c r="L112" s="313"/>
      <c r="M112" s="313"/>
      <c r="N112" s="313"/>
      <c r="O112" s="313"/>
      <c r="P112" s="313"/>
      <c r="Q112" s="313"/>
      <c r="R112" s="313"/>
      <c r="S112" s="313"/>
      <c r="T112" s="313"/>
      <c r="U112" s="313"/>
      <c r="V112" s="313"/>
      <c r="W112" s="313"/>
      <c r="X112" s="313"/>
      <c r="Y112" s="313"/>
      <c r="Z112" s="313"/>
      <c r="AA112" s="313"/>
      <c r="AB112" s="313"/>
      <c r="AC112" s="313"/>
      <c r="AD112" s="313"/>
      <c r="AE112" s="313"/>
      <c r="AF112" s="313"/>
      <c r="AG112" s="313"/>
      <c r="AH112" s="313"/>
    </row>
    <row r="113" spans="1:34" ht="17.25" customHeight="1" x14ac:dyDescent="0.2">
      <c r="A113" s="313"/>
      <c r="B113" s="313"/>
      <c r="C113" s="313"/>
      <c r="D113" s="313"/>
      <c r="E113" s="313"/>
      <c r="F113" s="313"/>
      <c r="G113" s="313"/>
      <c r="H113" s="313"/>
      <c r="I113" s="313"/>
      <c r="J113" s="313"/>
      <c r="K113" s="313"/>
      <c r="L113" s="313"/>
      <c r="M113" s="313"/>
      <c r="N113" s="313"/>
      <c r="O113" s="313"/>
      <c r="P113" s="313"/>
      <c r="Q113" s="313"/>
      <c r="R113" s="313"/>
      <c r="S113" s="313"/>
      <c r="T113" s="313"/>
      <c r="U113" s="313"/>
      <c r="V113" s="313"/>
      <c r="W113" s="313"/>
      <c r="X113" s="313"/>
      <c r="Y113" s="313"/>
      <c r="Z113" s="313"/>
      <c r="AA113" s="313"/>
      <c r="AB113" s="313"/>
      <c r="AC113" s="313"/>
      <c r="AD113" s="313"/>
      <c r="AE113" s="313"/>
      <c r="AF113" s="313"/>
      <c r="AG113" s="313"/>
      <c r="AH113" s="313"/>
    </row>
    <row r="114" spans="1:34" ht="17.25" customHeight="1" x14ac:dyDescent="0.2">
      <c r="A114" s="313"/>
      <c r="B114" s="313"/>
      <c r="C114" s="313"/>
      <c r="D114" s="313"/>
      <c r="E114" s="313"/>
      <c r="F114" s="313"/>
      <c r="G114" s="313"/>
      <c r="H114" s="313"/>
      <c r="I114" s="313"/>
      <c r="J114" s="313"/>
      <c r="K114" s="313"/>
      <c r="L114" s="313"/>
      <c r="M114" s="313"/>
      <c r="N114" s="313"/>
      <c r="O114" s="313"/>
      <c r="P114" s="313"/>
      <c r="Q114" s="313"/>
      <c r="R114" s="313"/>
      <c r="S114" s="313"/>
      <c r="T114" s="313"/>
      <c r="U114" s="313"/>
      <c r="V114" s="313"/>
      <c r="W114" s="313"/>
      <c r="X114" s="313"/>
      <c r="Y114" s="313"/>
      <c r="Z114" s="313"/>
      <c r="AA114" s="313"/>
      <c r="AB114" s="313"/>
      <c r="AC114" s="313"/>
      <c r="AD114" s="313"/>
      <c r="AE114" s="313"/>
      <c r="AF114" s="313"/>
      <c r="AG114" s="313"/>
      <c r="AH114" s="313"/>
    </row>
    <row r="115" spans="1:34" ht="17.25" customHeight="1" x14ac:dyDescent="0.2">
      <c r="A115" s="170"/>
      <c r="B115" s="170"/>
      <c r="C115" s="170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70"/>
      <c r="V115" s="170"/>
      <c r="W115" s="170"/>
      <c r="X115" s="170"/>
      <c r="Y115" s="170"/>
      <c r="Z115" s="170"/>
      <c r="AA115" s="170"/>
      <c r="AB115" s="170"/>
      <c r="AC115" s="170"/>
      <c r="AD115" s="170"/>
      <c r="AE115" s="170"/>
      <c r="AF115" s="170"/>
      <c r="AG115" s="170"/>
      <c r="AH115" s="170"/>
    </row>
    <row r="116" spans="1:34" ht="17.25" customHeight="1" x14ac:dyDescent="0.25">
      <c r="A116" s="215" t="s">
        <v>852</v>
      </c>
      <c r="B116" s="367">
        <v>1</v>
      </c>
      <c r="C116" s="170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70"/>
      <c r="T116" s="170"/>
      <c r="U116" s="170"/>
      <c r="V116" s="170"/>
      <c r="W116" s="170"/>
      <c r="X116" s="170"/>
      <c r="Y116" s="170"/>
      <c r="Z116" s="170"/>
      <c r="AA116" s="170"/>
      <c r="AB116" s="170"/>
      <c r="AC116" s="170"/>
      <c r="AD116" s="170"/>
      <c r="AE116" s="170"/>
      <c r="AF116" s="170"/>
      <c r="AG116" s="170"/>
      <c r="AH116" s="170"/>
    </row>
    <row r="117" spans="1:34" ht="17.25" customHeight="1" x14ac:dyDescent="0.2">
      <c r="A117" s="170"/>
      <c r="B117" s="170"/>
      <c r="C117" s="170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  <c r="Z117" s="170"/>
      <c r="AA117" s="170"/>
      <c r="AB117" s="170"/>
      <c r="AC117" s="170"/>
      <c r="AD117" s="170"/>
      <c r="AE117" s="170"/>
      <c r="AF117" s="170"/>
      <c r="AG117" s="170"/>
      <c r="AH117" s="170"/>
    </row>
    <row r="118" spans="1:34" ht="22.5" customHeight="1" x14ac:dyDescent="0.25">
      <c r="A118" s="213" t="s">
        <v>111</v>
      </c>
      <c r="B118" s="170"/>
      <c r="C118" s="170"/>
      <c r="D118" s="170"/>
      <c r="E118" s="170"/>
      <c r="F118" s="170" t="s">
        <v>104</v>
      </c>
      <c r="G118" s="170" t="s">
        <v>105</v>
      </c>
      <c r="H118" s="170" t="s">
        <v>51</v>
      </c>
      <c r="I118" s="170" t="s">
        <v>52</v>
      </c>
      <c r="J118" s="170" t="s">
        <v>53</v>
      </c>
      <c r="K118" s="170" t="s">
        <v>54</v>
      </c>
      <c r="L118" s="170" t="s">
        <v>55</v>
      </c>
      <c r="M118" s="170" t="s">
        <v>56</v>
      </c>
      <c r="N118" s="170" t="s">
        <v>57</v>
      </c>
      <c r="O118" s="170" t="s">
        <v>58</v>
      </c>
      <c r="P118" s="170" t="s">
        <v>114</v>
      </c>
      <c r="Q118" s="170" t="s">
        <v>32</v>
      </c>
      <c r="R118" s="170"/>
      <c r="S118" s="170"/>
      <c r="T118" s="170"/>
      <c r="U118" s="170"/>
      <c r="V118" s="170"/>
      <c r="W118" s="170"/>
      <c r="X118" s="170"/>
      <c r="Y118" s="170"/>
      <c r="Z118" s="170"/>
      <c r="AA118" s="170"/>
      <c r="AB118" s="170"/>
      <c r="AC118" s="170"/>
      <c r="AD118" s="170"/>
      <c r="AE118" s="170"/>
      <c r="AF118" s="170"/>
      <c r="AG118" s="170"/>
      <c r="AH118" s="170"/>
    </row>
    <row r="119" spans="1:34" ht="17.25" customHeight="1" x14ac:dyDescent="0.2">
      <c r="A119" s="170" t="s">
        <v>78</v>
      </c>
      <c r="B119" s="170"/>
      <c r="C119" s="170"/>
      <c r="D119" s="170"/>
      <c r="E119" s="170"/>
      <c r="F119" s="365">
        <f t="shared" ref="F119:Q120" si="13">+B146</f>
        <v>0</v>
      </c>
      <c r="G119" s="365">
        <f t="shared" si="13"/>
        <v>0</v>
      </c>
      <c r="H119" s="365">
        <f t="shared" si="13"/>
        <v>0</v>
      </c>
      <c r="I119" s="365">
        <f t="shared" si="13"/>
        <v>0</v>
      </c>
      <c r="J119" s="365">
        <f t="shared" si="13"/>
        <v>0</v>
      </c>
      <c r="K119" s="365">
        <f t="shared" si="13"/>
        <v>7.8458281280446962E-2</v>
      </c>
      <c r="L119" s="365">
        <f t="shared" si="13"/>
        <v>0.43852128250463729</v>
      </c>
      <c r="M119" s="365">
        <f t="shared" si="13"/>
        <v>0.27798926381489875</v>
      </c>
      <c r="N119" s="365">
        <f t="shared" si="13"/>
        <v>0.34097373142773563</v>
      </c>
      <c r="O119" s="365">
        <f t="shared" si="13"/>
        <v>6.0898590598525759E-2</v>
      </c>
      <c r="P119" s="365">
        <f t="shared" si="13"/>
        <v>0</v>
      </c>
      <c r="Q119" s="365">
        <f t="shared" si="13"/>
        <v>0.17551222871918021</v>
      </c>
      <c r="R119" s="170" t="s">
        <v>84</v>
      </c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</row>
    <row r="120" spans="1:34" ht="17.25" customHeight="1" x14ac:dyDescent="0.2">
      <c r="A120" s="170" t="s">
        <v>79</v>
      </c>
      <c r="B120" s="170"/>
      <c r="C120" s="170"/>
      <c r="D120" s="170"/>
      <c r="E120" s="170"/>
      <c r="F120" s="365">
        <f t="shared" si="13"/>
        <v>0.14141261070848823</v>
      </c>
      <c r="G120" s="365">
        <f t="shared" si="13"/>
        <v>0.15910847073502937</v>
      </c>
      <c r="H120" s="365">
        <f t="shared" si="13"/>
        <v>0.16172343907608619</v>
      </c>
      <c r="I120" s="365">
        <f t="shared" si="13"/>
        <v>0.11505844305760014</v>
      </c>
      <c r="J120" s="365">
        <f t="shared" si="13"/>
        <v>0.13047243886221116</v>
      </c>
      <c r="K120" s="365">
        <f t="shared" si="13"/>
        <v>0.12589302830091467</v>
      </c>
      <c r="L120" s="365">
        <f t="shared" si="13"/>
        <v>0.16887308347047958</v>
      </c>
      <c r="M120" s="365">
        <f t="shared" si="13"/>
        <v>0.15859855711634607</v>
      </c>
      <c r="N120" s="365">
        <f t="shared" si="13"/>
        <v>0.19832036751008103</v>
      </c>
      <c r="O120" s="365">
        <f t="shared" si="13"/>
        <v>0.13454323082344966</v>
      </c>
      <c r="P120" s="365">
        <f t="shared" si="13"/>
        <v>0.15639150161867468</v>
      </c>
      <c r="Q120" s="365">
        <f t="shared" si="13"/>
        <v>0.17344211485103003</v>
      </c>
      <c r="R120" s="170" t="s">
        <v>128</v>
      </c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</row>
    <row r="121" spans="1:34" ht="17.25" customHeight="1" x14ac:dyDescent="0.2">
      <c r="A121" s="170" t="s">
        <v>47</v>
      </c>
      <c r="B121" s="170"/>
      <c r="C121" s="170"/>
      <c r="D121" s="170"/>
      <c r="E121" s="170"/>
      <c r="F121" s="170">
        <v>2</v>
      </c>
      <c r="G121" s="170">
        <v>2</v>
      </c>
      <c r="H121" s="170">
        <v>2</v>
      </c>
      <c r="I121" s="170">
        <v>2</v>
      </c>
      <c r="J121" s="170">
        <v>2</v>
      </c>
      <c r="K121" s="170">
        <v>2</v>
      </c>
      <c r="L121" s="170">
        <v>2</v>
      </c>
      <c r="M121" s="170">
        <v>2</v>
      </c>
      <c r="N121" s="170">
        <v>2</v>
      </c>
      <c r="O121" s="170">
        <v>2</v>
      </c>
      <c r="P121" s="170">
        <v>2</v>
      </c>
      <c r="Q121" s="170">
        <v>2</v>
      </c>
      <c r="R121" s="170" t="s">
        <v>128</v>
      </c>
      <c r="S121" s="170"/>
      <c r="T121" s="170"/>
      <c r="U121" s="170"/>
      <c r="V121" s="170"/>
      <c r="W121" s="170"/>
      <c r="X121" s="170"/>
      <c r="Y121" s="170"/>
      <c r="Z121" s="170"/>
      <c r="AA121" s="170"/>
      <c r="AB121" s="170"/>
      <c r="AC121" s="170"/>
      <c r="AD121" s="170"/>
      <c r="AE121" s="170"/>
      <c r="AF121" s="170"/>
      <c r="AG121" s="170"/>
      <c r="AH121" s="170"/>
    </row>
    <row r="122" spans="1:34" ht="17.25" customHeight="1" x14ac:dyDescent="0.2">
      <c r="A122" s="170" t="s">
        <v>173</v>
      </c>
      <c r="B122" s="170"/>
      <c r="C122" s="170"/>
      <c r="D122" s="170"/>
      <c r="E122" s="170"/>
      <c r="F122" s="170">
        <v>4</v>
      </c>
      <c r="G122" s="170">
        <v>4</v>
      </c>
      <c r="H122" s="170">
        <v>4</v>
      </c>
      <c r="I122" s="170">
        <v>4</v>
      </c>
      <c r="J122" s="170">
        <v>4</v>
      </c>
      <c r="K122" s="170">
        <v>4</v>
      </c>
      <c r="L122" s="170">
        <v>4</v>
      </c>
      <c r="M122" s="170">
        <v>4</v>
      </c>
      <c r="N122" s="170">
        <v>4</v>
      </c>
      <c r="O122" s="170">
        <v>4</v>
      </c>
      <c r="P122" s="170">
        <v>4</v>
      </c>
      <c r="Q122" s="170">
        <v>4</v>
      </c>
      <c r="R122" s="170"/>
      <c r="S122" s="170"/>
      <c r="T122" s="170"/>
      <c r="U122" s="170"/>
      <c r="V122" s="170"/>
      <c r="W122" s="170"/>
      <c r="X122" s="170"/>
      <c r="Y122" s="170"/>
      <c r="Z122" s="170"/>
      <c r="AA122" s="170"/>
      <c r="AB122" s="170"/>
      <c r="AC122" s="170"/>
      <c r="AD122" s="170"/>
      <c r="AE122" s="170"/>
      <c r="AF122" s="170"/>
      <c r="AG122" s="170"/>
      <c r="AH122" s="170"/>
    </row>
    <row r="123" spans="1:34" ht="17.25" customHeight="1" x14ac:dyDescent="0.2">
      <c r="A123" s="170" t="s">
        <v>174</v>
      </c>
      <c r="B123" s="170"/>
      <c r="C123" s="170"/>
      <c r="D123" s="170"/>
      <c r="E123" s="170"/>
      <c r="F123" s="170">
        <v>6</v>
      </c>
      <c r="G123" s="170">
        <v>6</v>
      </c>
      <c r="H123" s="170">
        <v>6</v>
      </c>
      <c r="I123" s="170">
        <v>6</v>
      </c>
      <c r="J123" s="170">
        <v>6</v>
      </c>
      <c r="K123" s="170">
        <v>6</v>
      </c>
      <c r="L123" s="170">
        <v>6</v>
      </c>
      <c r="M123" s="170">
        <v>6</v>
      </c>
      <c r="N123" s="170">
        <v>6</v>
      </c>
      <c r="O123" s="170">
        <v>6</v>
      </c>
      <c r="P123" s="170">
        <v>6</v>
      </c>
      <c r="Q123" s="170">
        <v>6</v>
      </c>
      <c r="R123" s="170"/>
      <c r="S123" s="170"/>
      <c r="T123" s="170"/>
      <c r="U123" s="170"/>
      <c r="V123" s="170"/>
      <c r="W123" s="170"/>
      <c r="X123" s="170"/>
      <c r="Y123" s="170"/>
      <c r="Z123" s="170"/>
      <c r="AA123" s="170"/>
      <c r="AB123" s="170"/>
      <c r="AC123" s="170"/>
      <c r="AD123" s="170"/>
      <c r="AE123" s="170"/>
      <c r="AF123" s="170"/>
      <c r="AG123" s="170"/>
      <c r="AH123" s="170"/>
    </row>
    <row r="124" spans="1:34" ht="17.25" customHeight="1" x14ac:dyDescent="0.2">
      <c r="A124" s="170" t="s">
        <v>175</v>
      </c>
      <c r="B124" s="170" t="s">
        <v>225</v>
      </c>
      <c r="C124" s="170"/>
      <c r="D124" s="170"/>
      <c r="E124" s="170"/>
      <c r="F124" s="554">
        <f>+$C$56</f>
        <v>0</v>
      </c>
      <c r="G124" s="554">
        <f t="shared" ref="G124:Q124" si="14">+$C$56</f>
        <v>0</v>
      </c>
      <c r="H124" s="554">
        <f t="shared" si="14"/>
        <v>0</v>
      </c>
      <c r="I124" s="554">
        <f t="shared" si="14"/>
        <v>0</v>
      </c>
      <c r="J124" s="554">
        <f t="shared" si="14"/>
        <v>0</v>
      </c>
      <c r="K124" s="554">
        <f t="shared" si="14"/>
        <v>0</v>
      </c>
      <c r="L124" s="554">
        <f t="shared" si="14"/>
        <v>0</v>
      </c>
      <c r="M124" s="554">
        <f t="shared" si="14"/>
        <v>0</v>
      </c>
      <c r="N124" s="554">
        <f t="shared" si="14"/>
        <v>0</v>
      </c>
      <c r="O124" s="554">
        <f t="shared" si="14"/>
        <v>0</v>
      </c>
      <c r="P124" s="554">
        <f t="shared" si="14"/>
        <v>0</v>
      </c>
      <c r="Q124" s="554">
        <f t="shared" si="14"/>
        <v>0</v>
      </c>
      <c r="R124" s="170"/>
      <c r="S124" s="170"/>
      <c r="T124" s="170"/>
      <c r="U124" s="170"/>
      <c r="V124" s="170"/>
      <c r="W124" s="170"/>
      <c r="X124" s="170"/>
      <c r="Y124" s="170"/>
      <c r="Z124" s="170"/>
      <c r="AA124" s="170"/>
      <c r="AB124" s="170"/>
      <c r="AC124" s="170"/>
      <c r="AD124" s="170"/>
      <c r="AE124" s="170"/>
      <c r="AF124" s="170"/>
      <c r="AG124" s="170"/>
      <c r="AH124" s="170"/>
    </row>
    <row r="125" spans="1:34" ht="17.25" customHeight="1" x14ac:dyDescent="0.2">
      <c r="A125" s="170" t="s">
        <v>1138</v>
      </c>
      <c r="B125" s="170">
        <v>10</v>
      </c>
      <c r="C125" s="170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</row>
    <row r="126" spans="1:34" ht="17.25" customHeight="1" x14ac:dyDescent="0.25">
      <c r="A126" s="213" t="s">
        <v>1127</v>
      </c>
      <c r="B126" s="170"/>
      <c r="C126" s="170"/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  <c r="Z126" s="170"/>
      <c r="AA126" s="170"/>
      <c r="AB126" s="170"/>
      <c r="AC126" s="170"/>
      <c r="AD126" s="170"/>
      <c r="AE126" s="170"/>
      <c r="AF126" s="170"/>
      <c r="AG126" s="170"/>
      <c r="AH126" s="170"/>
    </row>
    <row r="127" spans="1:34" ht="17.25" customHeight="1" x14ac:dyDescent="0.25">
      <c r="A127" s="213" t="s">
        <v>1137</v>
      </c>
      <c r="B127" s="260">
        <f>1/[1]Impacts!$H$154</f>
        <v>4</v>
      </c>
      <c r="C127" s="170"/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</row>
    <row r="128" spans="1:34" ht="17.25" customHeight="1" x14ac:dyDescent="0.2">
      <c r="A128" s="556" t="s">
        <v>1131</v>
      </c>
      <c r="B128" s="29">
        <f>+[1]Impacts!$E$121</f>
        <v>2</v>
      </c>
      <c r="C128" s="170"/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70"/>
      <c r="T128" s="170"/>
      <c r="U128" s="170"/>
      <c r="V128" s="170"/>
      <c r="W128" s="170"/>
      <c r="X128" s="170"/>
      <c r="Y128" s="170"/>
      <c r="Z128" s="170"/>
      <c r="AA128" s="170"/>
      <c r="AB128" s="170"/>
      <c r="AC128" s="170"/>
      <c r="AD128" s="170"/>
      <c r="AE128" s="170"/>
      <c r="AF128" s="170"/>
      <c r="AG128" s="170"/>
      <c r="AH128" s="170"/>
    </row>
    <row r="129" spans="1:34" ht="14.25" customHeight="1" x14ac:dyDescent="0.2">
      <c r="A129" s="170"/>
      <c r="B129" s="170"/>
      <c r="C129" s="170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70"/>
      <c r="V129" s="170"/>
      <c r="W129" s="170"/>
      <c r="X129" s="170"/>
      <c r="Y129" s="170"/>
      <c r="Z129" s="170"/>
      <c r="AA129" s="170"/>
      <c r="AB129" s="170"/>
      <c r="AC129" s="170"/>
      <c r="AD129" s="170"/>
      <c r="AE129" s="170"/>
      <c r="AF129" s="170"/>
      <c r="AG129" s="170"/>
      <c r="AH129" s="170"/>
    </row>
    <row r="130" spans="1:34" ht="14.25" customHeight="1" x14ac:dyDescent="0.25">
      <c r="A130" s="562" t="s">
        <v>1135</v>
      </c>
      <c r="C130" s="170" t="s">
        <v>1139</v>
      </c>
      <c r="D130" s="170" t="s">
        <v>1140</v>
      </c>
      <c r="E130" s="170" t="s">
        <v>1141</v>
      </c>
      <c r="F130" s="170" t="s">
        <v>1142</v>
      </c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70"/>
      <c r="V130" s="170"/>
      <c r="W130" s="170"/>
      <c r="X130" s="170"/>
      <c r="Y130" s="170"/>
      <c r="Z130" s="170"/>
      <c r="AA130" s="170"/>
      <c r="AB130" s="170"/>
      <c r="AC130" s="170"/>
      <c r="AD130" s="170"/>
      <c r="AE130" s="170"/>
      <c r="AF130" s="170"/>
      <c r="AG130" s="170"/>
      <c r="AH130" s="170"/>
    </row>
    <row r="131" spans="1:34" ht="14.25" customHeight="1" x14ac:dyDescent="0.2">
      <c r="B131" s="170" t="s">
        <v>104</v>
      </c>
      <c r="C131" s="170">
        <f>+G131</f>
        <v>0</v>
      </c>
      <c r="D131" s="561">
        <f>+[2]Impacts!I123</f>
        <v>0</v>
      </c>
      <c r="E131" s="561">
        <f>+[2]Impacts!J123</f>
        <v>2.5548816659947429E-4</v>
      </c>
      <c r="F131" s="170"/>
      <c r="G131" s="170"/>
      <c r="H131" s="558"/>
      <c r="I131" s="558"/>
      <c r="J131" s="170"/>
      <c r="O131" s="170"/>
      <c r="P131" s="170"/>
      <c r="Q131" s="170"/>
      <c r="R131" s="170"/>
      <c r="S131" s="170"/>
      <c r="T131" s="170"/>
      <c r="U131" s="170"/>
      <c r="V131" s="170"/>
      <c r="W131" s="170"/>
      <c r="X131" s="170"/>
      <c r="Y131" s="170"/>
      <c r="Z131" s="170"/>
      <c r="AA131" s="170"/>
      <c r="AB131" s="170"/>
      <c r="AC131" s="170"/>
      <c r="AD131" s="170"/>
      <c r="AE131" s="170"/>
      <c r="AF131" s="170"/>
      <c r="AG131" s="170"/>
      <c r="AH131" s="170"/>
    </row>
    <row r="132" spans="1:34" ht="14.25" customHeight="1" x14ac:dyDescent="0.2">
      <c r="B132" s="170" t="s">
        <v>105</v>
      </c>
      <c r="C132" s="170">
        <f>+G132</f>
        <v>0</v>
      </c>
      <c r="D132" s="561">
        <f>+[2]Impacts!I124</f>
        <v>4.517451143770594E-3</v>
      </c>
      <c r="E132" s="561">
        <f>+[2]Impacts!J124</f>
        <v>0</v>
      </c>
      <c r="F132" s="170"/>
      <c r="G132" s="170"/>
      <c r="H132" s="558"/>
      <c r="I132" s="558"/>
      <c r="J132" s="170"/>
      <c r="O132" s="170"/>
      <c r="P132" s="170"/>
      <c r="Q132" s="170"/>
      <c r="R132" s="170"/>
      <c r="S132" s="170"/>
      <c r="T132" s="170"/>
      <c r="U132" s="170"/>
      <c r="V132" s="170"/>
      <c r="W132" s="170"/>
      <c r="X132" s="170"/>
      <c r="Y132" s="170"/>
      <c r="Z132" s="170"/>
      <c r="AA132" s="170"/>
      <c r="AB132" s="170"/>
      <c r="AC132" s="170"/>
      <c r="AD132" s="170"/>
      <c r="AE132" s="170"/>
      <c r="AF132" s="170"/>
      <c r="AG132" s="170"/>
      <c r="AH132" s="170"/>
    </row>
    <row r="133" spans="1:34" ht="14.25" customHeight="1" x14ac:dyDescent="0.2">
      <c r="A133" s="170"/>
      <c r="B133" s="170" t="s">
        <v>51</v>
      </c>
      <c r="C133" s="170">
        <f>+G136</f>
        <v>0</v>
      </c>
      <c r="D133" s="561">
        <f>+[2]Impacts!I125</f>
        <v>5.3038910337227215E-4</v>
      </c>
      <c r="E133" s="561">
        <f>+[2]Impacts!J125</f>
        <v>5.2901468538739823E-5</v>
      </c>
      <c r="F133" s="170"/>
      <c r="G133" s="170"/>
      <c r="H133" s="558"/>
      <c r="I133" s="558"/>
      <c r="J133" s="170"/>
      <c r="O133" s="170"/>
      <c r="P133" s="170"/>
      <c r="Q133" s="170"/>
      <c r="R133" s="170"/>
      <c r="S133" s="170"/>
      <c r="T133" s="170"/>
      <c r="U133" s="170"/>
      <c r="V133" s="170"/>
      <c r="W133" s="170"/>
      <c r="X133" s="170"/>
      <c r="Y133" s="170"/>
      <c r="Z133" s="170"/>
      <c r="AA133" s="170"/>
      <c r="AB133" s="170"/>
      <c r="AC133" s="170"/>
      <c r="AD133" s="170"/>
      <c r="AE133" s="170"/>
      <c r="AF133" s="170"/>
      <c r="AG133" s="170"/>
      <c r="AH133" s="170"/>
    </row>
    <row r="134" spans="1:34" ht="14.25" customHeight="1" x14ac:dyDescent="0.2">
      <c r="A134" s="170"/>
      <c r="B134" s="170" t="s">
        <v>52</v>
      </c>
      <c r="C134" s="170">
        <f>+G134</f>
        <v>0</v>
      </c>
      <c r="D134" s="561">
        <f>+[2]Impacts!I126</f>
        <v>0</v>
      </c>
      <c r="E134" s="561">
        <f>+[2]Impacts!J126</f>
        <v>4.240403499744141E-5</v>
      </c>
      <c r="F134" s="170"/>
      <c r="G134" s="170"/>
      <c r="H134" s="558"/>
      <c r="I134" s="558"/>
      <c r="J134" s="170"/>
      <c r="O134" s="170"/>
      <c r="P134" s="170"/>
      <c r="Q134" s="170"/>
      <c r="R134" s="170"/>
      <c r="S134" s="170"/>
      <c r="T134" s="170"/>
      <c r="U134" s="170"/>
      <c r="V134" s="170"/>
      <c r="W134" s="170"/>
      <c r="X134" s="170"/>
      <c r="Y134" s="170"/>
      <c r="Z134" s="170"/>
      <c r="AA134" s="170"/>
      <c r="AB134" s="170"/>
      <c r="AC134" s="170"/>
      <c r="AD134" s="170"/>
      <c r="AE134" s="170"/>
      <c r="AF134" s="170"/>
      <c r="AG134" s="170"/>
      <c r="AH134" s="170"/>
    </row>
    <row r="135" spans="1:34" ht="14.25" customHeight="1" x14ac:dyDescent="0.2">
      <c r="B135" s="170" t="s">
        <v>53</v>
      </c>
      <c r="C135" s="170">
        <f>+G135</f>
        <v>0</v>
      </c>
      <c r="D135" s="561">
        <f>+[2]Impacts!I127</f>
        <v>1.110010173036769E-4</v>
      </c>
      <c r="E135" s="561">
        <f>+[2]Impacts!J127</f>
        <v>0</v>
      </c>
      <c r="F135" s="170"/>
      <c r="G135" s="170"/>
      <c r="H135" s="558"/>
      <c r="I135" s="558"/>
      <c r="J135" s="170"/>
      <c r="O135" s="170"/>
      <c r="P135" s="170"/>
      <c r="Q135" s="170"/>
      <c r="R135" s="170"/>
      <c r="S135" s="170"/>
      <c r="T135" s="170"/>
      <c r="U135" s="170"/>
      <c r="V135" s="170"/>
      <c r="W135" s="170"/>
      <c r="X135" s="170"/>
      <c r="Y135" s="170"/>
      <c r="Z135" s="170"/>
      <c r="AA135" s="170"/>
      <c r="AB135" s="170"/>
      <c r="AC135" s="170"/>
      <c r="AD135" s="170"/>
      <c r="AE135" s="170"/>
      <c r="AF135" s="170"/>
      <c r="AG135" s="170"/>
      <c r="AH135" s="170"/>
    </row>
    <row r="136" spans="1:34" ht="14.25" customHeight="1" x14ac:dyDescent="0.2">
      <c r="B136" s="170" t="s">
        <v>54</v>
      </c>
      <c r="C136" s="170">
        <f>+G137</f>
        <v>0</v>
      </c>
      <c r="D136" s="561">
        <f>+[2]Impacts!I128</f>
        <v>1.1718037733455092E-2</v>
      </c>
      <c r="E136" s="561">
        <f>+[2]Impacts!J128</f>
        <v>6.4042260888583457E-7</v>
      </c>
      <c r="F136" s="170"/>
      <c r="G136" s="170"/>
      <c r="H136" s="558"/>
      <c r="I136" s="558"/>
      <c r="J136" s="170"/>
      <c r="O136" s="170"/>
      <c r="P136" s="170"/>
      <c r="Q136" s="170"/>
      <c r="R136" s="170"/>
      <c r="S136" s="170"/>
      <c r="T136" s="170"/>
      <c r="U136" s="170"/>
      <c r="V136" s="170"/>
      <c r="W136" s="170"/>
      <c r="X136" s="170"/>
      <c r="Y136" s="170"/>
      <c r="Z136" s="170"/>
      <c r="AA136" s="170"/>
      <c r="AB136" s="170"/>
      <c r="AC136" s="170"/>
      <c r="AD136" s="170"/>
      <c r="AE136" s="170"/>
      <c r="AF136" s="170"/>
      <c r="AG136" s="170"/>
      <c r="AH136" s="170"/>
    </row>
    <row r="137" spans="1:34" ht="14.25" customHeight="1" x14ac:dyDescent="0.2">
      <c r="B137" s="170" t="s">
        <v>55</v>
      </c>
      <c r="C137" s="170">
        <f>+G138</f>
        <v>0</v>
      </c>
      <c r="D137" s="561">
        <f>+[2]Impacts!I129</f>
        <v>0</v>
      </c>
      <c r="E137" s="561">
        <f>+[2]Impacts!J129</f>
        <v>2.5482628812210326E-4</v>
      </c>
      <c r="F137" s="170"/>
      <c r="G137" s="170"/>
      <c r="H137" s="558"/>
      <c r="I137" s="558"/>
      <c r="J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</row>
    <row r="138" spans="1:34" ht="14.25" customHeight="1" x14ac:dyDescent="0.2">
      <c r="A138" s="170"/>
      <c r="B138" s="170" t="s">
        <v>56</v>
      </c>
      <c r="C138" s="170">
        <f>+G139</f>
        <v>0</v>
      </c>
      <c r="D138" s="561">
        <f>+[2]Impacts!I130</f>
        <v>1.3812294738709933E-3</v>
      </c>
      <c r="E138" s="561">
        <f>+[2]Impacts!J130</f>
        <v>3.9709910587940799E-7</v>
      </c>
      <c r="F138" s="170"/>
      <c r="G138" s="170"/>
      <c r="H138" s="558"/>
      <c r="I138" s="558"/>
      <c r="J138" s="170"/>
      <c r="O138" s="170"/>
      <c r="P138" s="170"/>
      <c r="Q138" s="170"/>
      <c r="R138" s="170"/>
      <c r="S138" s="170"/>
      <c r="T138" s="170"/>
      <c r="U138" s="170"/>
      <c r="V138" s="170"/>
      <c r="W138" s="170"/>
      <c r="X138" s="170"/>
      <c r="Y138" s="170"/>
      <c r="Z138" s="170"/>
      <c r="AA138" s="170"/>
      <c r="AB138" s="170"/>
      <c r="AC138" s="170"/>
      <c r="AD138" s="170"/>
      <c r="AE138" s="170"/>
      <c r="AF138" s="170"/>
      <c r="AG138" s="170"/>
      <c r="AH138" s="170"/>
    </row>
    <row r="139" spans="1:34" ht="14.25" customHeight="1" x14ac:dyDescent="0.2">
      <c r="A139" s="170"/>
      <c r="B139" s="170" t="s">
        <v>57</v>
      </c>
      <c r="C139" s="170">
        <f>+G140</f>
        <v>0</v>
      </c>
      <c r="D139" s="561">
        <f>+[2]Impacts!I131</f>
        <v>3.508949502502255E-3</v>
      </c>
      <c r="E139" s="561">
        <f>+[2]Impacts!J131</f>
        <v>0</v>
      </c>
      <c r="F139" s="170"/>
      <c r="G139" s="170"/>
      <c r="H139" s="558"/>
      <c r="I139" s="558"/>
      <c r="J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  <c r="Z139" s="170"/>
      <c r="AA139" s="170"/>
      <c r="AB139" s="170"/>
      <c r="AC139" s="170"/>
      <c r="AD139" s="170"/>
      <c r="AE139" s="170"/>
      <c r="AF139" s="170"/>
      <c r="AG139" s="170"/>
      <c r="AH139" s="170"/>
    </row>
    <row r="140" spans="1:34" ht="14.25" customHeight="1" x14ac:dyDescent="0.2">
      <c r="A140" s="170"/>
      <c r="B140" s="170" t="s">
        <v>58</v>
      </c>
      <c r="C140" s="170">
        <f>+G141</f>
        <v>0</v>
      </c>
      <c r="D140" s="561">
        <f>+[2]Impacts!I132</f>
        <v>0</v>
      </c>
      <c r="E140" s="561">
        <f>+[2]Impacts!J132</f>
        <v>7.0879006555949966E-5</v>
      </c>
      <c r="F140" s="170"/>
      <c r="G140" s="170"/>
      <c r="H140" s="558"/>
      <c r="I140" s="558"/>
      <c r="J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  <c r="Z140" s="170"/>
      <c r="AA140" s="170"/>
      <c r="AB140" s="170"/>
      <c r="AC140" s="170"/>
      <c r="AD140" s="170"/>
      <c r="AE140" s="170"/>
      <c r="AF140" s="170"/>
      <c r="AG140" s="170"/>
      <c r="AH140" s="170"/>
    </row>
    <row r="141" spans="1:34" ht="14.25" customHeight="1" x14ac:dyDescent="0.2">
      <c r="A141" s="170"/>
      <c r="B141" s="170" t="s">
        <v>114</v>
      </c>
      <c r="C141" s="170">
        <f>+G133</f>
        <v>0</v>
      </c>
      <c r="D141" s="561">
        <f>+[2]Impacts!I133</f>
        <v>6.1616117463153767E-3</v>
      </c>
      <c r="E141" s="561">
        <f>+[2]Impacts!J133</f>
        <v>0</v>
      </c>
      <c r="F141" s="170"/>
      <c r="G141" s="170"/>
      <c r="H141" s="558"/>
      <c r="I141" s="558"/>
      <c r="J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</row>
    <row r="142" spans="1:34" ht="14.25" customHeight="1" x14ac:dyDescent="0.2">
      <c r="A142" s="170"/>
      <c r="B142" s="170" t="s">
        <v>32</v>
      </c>
      <c r="C142" s="170">
        <f>+G142</f>
        <v>0</v>
      </c>
      <c r="D142" s="561">
        <f>+[2]Impacts!I134</f>
        <v>0</v>
      </c>
      <c r="E142" s="561">
        <f>+[2]Impacts!J134</f>
        <v>1.2385723440254664E-3</v>
      </c>
      <c r="F142" s="170"/>
      <c r="G142" s="170"/>
      <c r="H142" s="558"/>
      <c r="I142" s="558"/>
      <c r="J142" s="170"/>
      <c r="O142" s="170"/>
      <c r="P142" s="170"/>
      <c r="Q142" s="170"/>
      <c r="R142" s="170"/>
      <c r="S142" s="170"/>
      <c r="T142" s="170"/>
      <c r="U142" s="170"/>
      <c r="V142" s="170"/>
      <c r="W142" s="170"/>
      <c r="X142" s="170"/>
      <c r="Y142" s="170"/>
      <c r="Z142" s="170"/>
      <c r="AA142" s="170"/>
      <c r="AB142" s="170"/>
      <c r="AC142" s="170"/>
      <c r="AD142" s="170"/>
      <c r="AE142" s="170"/>
      <c r="AF142" s="170"/>
      <c r="AG142" s="170"/>
      <c r="AH142" s="170"/>
    </row>
    <row r="143" spans="1:34" ht="14.25" customHeight="1" x14ac:dyDescent="0.2">
      <c r="A143" s="170"/>
      <c r="B143" s="170"/>
      <c r="C143" s="170"/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X143" s="170"/>
      <c r="Y143" s="170"/>
      <c r="Z143" s="170"/>
      <c r="AA143" s="170"/>
      <c r="AB143" s="170"/>
      <c r="AC143" s="170"/>
      <c r="AD143" s="170"/>
      <c r="AE143" s="170"/>
      <c r="AF143" s="170"/>
      <c r="AG143" s="170"/>
      <c r="AH143" s="170"/>
    </row>
    <row r="144" spans="1:34" ht="14.25" customHeight="1" x14ac:dyDescent="0.25">
      <c r="A144" s="213" t="s">
        <v>1136</v>
      </c>
      <c r="B144" s="170"/>
      <c r="C144" s="170"/>
      <c r="D144" s="170"/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  <c r="Z144" s="170"/>
      <c r="AA144" s="170"/>
      <c r="AB144" s="170"/>
      <c r="AC144" s="170"/>
      <c r="AD144" s="170"/>
      <c r="AE144" s="170"/>
      <c r="AF144" s="170"/>
      <c r="AG144" s="170"/>
      <c r="AH144" s="170"/>
    </row>
    <row r="145" spans="1:34" ht="14.25" customHeight="1" x14ac:dyDescent="0.2">
      <c r="A145" s="170"/>
      <c r="B145" s="260" t="str">
        <f>+B152</f>
        <v>US</v>
      </c>
      <c r="C145" s="260" t="str">
        <f>+B153</f>
        <v>EU</v>
      </c>
      <c r="D145" s="260" t="str">
        <f>+B154</f>
        <v>Japan</v>
      </c>
      <c r="E145" s="260" t="str">
        <f>+B155</f>
        <v>Russia</v>
      </c>
      <c r="F145" s="260" t="str">
        <f>+B156</f>
        <v>Eurasia</v>
      </c>
      <c r="G145" s="260" t="str">
        <f>+B157</f>
        <v>China</v>
      </c>
      <c r="H145" s="260" t="str">
        <f>+B158</f>
        <v>India</v>
      </c>
      <c r="I145" s="260" t="str">
        <f>+B159</f>
        <v>Middle East</v>
      </c>
      <c r="J145" s="260" t="str">
        <f>+B160</f>
        <v>Africa</v>
      </c>
      <c r="K145" s="260" t="str">
        <f>+B161</f>
        <v>Latin America</v>
      </c>
      <c r="L145" s="260" t="str">
        <f>+B162</f>
        <v>OHI</v>
      </c>
      <c r="M145" s="260" t="str">
        <f>+B163</f>
        <v>Other</v>
      </c>
      <c r="U145" s="260">
        <f>+R155</f>
        <v>0</v>
      </c>
      <c r="AH145" s="170"/>
    </row>
    <row r="146" spans="1:34" ht="14.25" customHeight="1" x14ac:dyDescent="0.2">
      <c r="A146" s="170"/>
      <c r="B146" s="363">
        <f>+C152</f>
        <v>0</v>
      </c>
      <c r="C146" s="363">
        <f>+C153</f>
        <v>0</v>
      </c>
      <c r="D146" s="363">
        <f>+C154</f>
        <v>0</v>
      </c>
      <c r="E146" s="363">
        <f>+C155</f>
        <v>0</v>
      </c>
      <c r="F146" s="363">
        <f>+C156</f>
        <v>0</v>
      </c>
      <c r="G146" s="363">
        <f>+C157</f>
        <v>7.8458281280446962E-2</v>
      </c>
      <c r="H146" s="363">
        <f>+C158</f>
        <v>0.43852128250463729</v>
      </c>
      <c r="I146" s="363">
        <f>+C159</f>
        <v>0.27798926381489875</v>
      </c>
      <c r="J146" s="363">
        <f>+C160</f>
        <v>0.34097373142773563</v>
      </c>
      <c r="K146" s="363">
        <f>+C161</f>
        <v>6.0898590598525759E-2</v>
      </c>
      <c r="L146" s="363">
        <f>+C162</f>
        <v>0</v>
      </c>
      <c r="M146" s="363">
        <f>+C163</f>
        <v>0.17551222871918021</v>
      </c>
      <c r="U146" s="260">
        <f>+R155</f>
        <v>0</v>
      </c>
      <c r="V146" s="260">
        <f>+S155</f>
        <v>0</v>
      </c>
      <c r="W146" s="260">
        <f>+T155</f>
        <v>0</v>
      </c>
      <c r="X146" s="260">
        <f>+S157</f>
        <v>0</v>
      </c>
      <c r="Y146" s="260">
        <f>+S158</f>
        <v>0</v>
      </c>
      <c r="Z146" s="260">
        <f>+S159</f>
        <v>0</v>
      </c>
      <c r="AA146" s="260">
        <f>+S160</f>
        <v>0</v>
      </c>
      <c r="AB146" s="260">
        <f>+S161</f>
        <v>0</v>
      </c>
      <c r="AC146" s="260">
        <f>+S162</f>
        <v>0</v>
      </c>
      <c r="AD146" s="260">
        <f>+S163</f>
        <v>0</v>
      </c>
      <c r="AE146" s="260">
        <f>+S164</f>
        <v>0</v>
      </c>
      <c r="AF146" s="260">
        <f>+S165</f>
        <v>0</v>
      </c>
      <c r="AG146" s="260">
        <f>+S166</f>
        <v>0</v>
      </c>
      <c r="AH146" s="170"/>
    </row>
    <row r="147" spans="1:34" ht="14.25" customHeight="1" x14ac:dyDescent="0.2">
      <c r="A147" s="170"/>
      <c r="B147" s="363">
        <f>+D152</f>
        <v>0.14141261070848823</v>
      </c>
      <c r="C147" s="363">
        <f>+D153</f>
        <v>0.15910847073502937</v>
      </c>
      <c r="D147" s="363">
        <f>+D154</f>
        <v>0.16172343907608619</v>
      </c>
      <c r="E147" s="363">
        <f>+D155</f>
        <v>0.11505844305760014</v>
      </c>
      <c r="F147" s="363">
        <f>+D156</f>
        <v>0.13047243886221116</v>
      </c>
      <c r="G147" s="363">
        <f>+D157</f>
        <v>0.12589302830091467</v>
      </c>
      <c r="H147" s="363">
        <f>+D158</f>
        <v>0.16887308347047958</v>
      </c>
      <c r="I147" s="363">
        <f>+D159</f>
        <v>0.15859855711634607</v>
      </c>
      <c r="J147" s="363">
        <f>+D160</f>
        <v>0.19832036751008103</v>
      </c>
      <c r="K147" s="363">
        <f>+D161</f>
        <v>0.13454323082344966</v>
      </c>
      <c r="L147" s="363">
        <f>+D162</f>
        <v>0.15639150161867468</v>
      </c>
      <c r="M147" s="363">
        <f>+D163</f>
        <v>0.17344211485103003</v>
      </c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</row>
    <row r="148" spans="1:34" ht="14.25" customHeight="1" x14ac:dyDescent="0.2">
      <c r="A148" s="170"/>
      <c r="B148" s="170"/>
      <c r="C148" s="170"/>
      <c r="D148" s="170"/>
      <c r="E148" s="170"/>
      <c r="F148" s="170"/>
      <c r="G148" s="170"/>
      <c r="H148" s="170"/>
      <c r="I148" s="363"/>
      <c r="K148" s="363"/>
      <c r="L148" s="363"/>
      <c r="M148" s="363"/>
      <c r="P148" s="363"/>
      <c r="T148" s="363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</row>
    <row r="149" spans="1:34" ht="14.25" customHeight="1" x14ac:dyDescent="0.2">
      <c r="A149" s="170"/>
      <c r="B149" s="170"/>
      <c r="C149" s="170" t="s">
        <v>1134</v>
      </c>
      <c r="D149" s="170"/>
      <c r="E149" s="170"/>
      <c r="F149" s="170"/>
      <c r="G149" s="170"/>
      <c r="H149" s="170"/>
      <c r="K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</row>
    <row r="150" spans="1:34" ht="14.25" customHeight="1" x14ac:dyDescent="0.2">
      <c r="A150" s="170"/>
      <c r="B150" s="170"/>
      <c r="C150" s="170">
        <f>+[3]Notes_Sources!O44</f>
        <v>0</v>
      </c>
      <c r="D150" s="170">
        <f>+[3]Notes_Sources!P44</f>
        <v>0</v>
      </c>
      <c r="E150" s="170"/>
      <c r="F150" s="170"/>
      <c r="G150" s="170"/>
      <c r="H150" s="170"/>
      <c r="K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</row>
    <row r="151" spans="1:34" ht="14.25" customHeight="1" x14ac:dyDescent="0.2">
      <c r="A151" s="170"/>
      <c r="B151" s="260">
        <f>+[4]Impacts!A275</f>
        <v>0</v>
      </c>
      <c r="C151" s="260" t="str">
        <f>+[4]Impacts!B275</f>
        <v xml:space="preserve">linear </v>
      </c>
      <c r="D151" s="260" t="str">
        <f>+[4]Impacts!C275</f>
        <v>quad</v>
      </c>
      <c r="E151" s="170"/>
      <c r="F151" s="170">
        <v>0</v>
      </c>
      <c r="G151" s="170">
        <v>1</v>
      </c>
      <c r="H151" s="170">
        <v>2</v>
      </c>
      <c r="I151" s="309">
        <v>3</v>
      </c>
      <c r="J151" s="309">
        <v>4</v>
      </c>
      <c r="K151" s="170">
        <v>6</v>
      </c>
      <c r="L151" s="309">
        <v>8</v>
      </c>
      <c r="M151" s="309">
        <v>10</v>
      </c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</row>
    <row r="152" spans="1:34" ht="14.25" customHeight="1" x14ac:dyDescent="0.2">
      <c r="A152" s="170"/>
      <c r="B152" s="260" t="str">
        <f>+[4]Impacts!A276</f>
        <v>US</v>
      </c>
      <c r="C152" s="560">
        <f>+[2]Impacts!B298</f>
        <v>0</v>
      </c>
      <c r="D152" s="560">
        <f>+[2]Impacts!C298</f>
        <v>0.14141261070848823</v>
      </c>
      <c r="E152" s="170"/>
      <c r="F152" s="566">
        <f t="shared" ref="F152:M152" si="15">+F$151+$D152*F$151^2</f>
        <v>0</v>
      </c>
      <c r="G152" s="566">
        <f t="shared" si="15"/>
        <v>1.1414126107084883</v>
      </c>
      <c r="H152" s="566">
        <f t="shared" si="15"/>
        <v>2.5656504428339528</v>
      </c>
      <c r="I152" s="566">
        <f t="shared" si="15"/>
        <v>4.2727134963763937</v>
      </c>
      <c r="J152" s="566">
        <f t="shared" si="15"/>
        <v>6.2626017713358113</v>
      </c>
      <c r="K152" s="566">
        <f t="shared" si="15"/>
        <v>11.090853985505577</v>
      </c>
      <c r="L152" s="566">
        <f t="shared" si="15"/>
        <v>17.050407085343245</v>
      </c>
      <c r="M152" s="566">
        <f t="shared" si="15"/>
        <v>24.141261070848824</v>
      </c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</row>
    <row r="153" spans="1:34" ht="14.25" customHeight="1" x14ac:dyDescent="0.2">
      <c r="A153" s="170"/>
      <c r="B153" s="260" t="str">
        <f>+[4]Impacts!A277</f>
        <v>EU</v>
      </c>
      <c r="C153" s="560">
        <f>+[2]Impacts!B299</f>
        <v>0</v>
      </c>
      <c r="D153" s="560">
        <f>+[2]Impacts!C299</f>
        <v>0.15910847073502937</v>
      </c>
      <c r="E153" s="170"/>
      <c r="F153" s="566">
        <f t="shared" ref="F153:F163" si="16">+$C153*F$151+$D153*F$151^2</f>
        <v>0</v>
      </c>
      <c r="G153" s="566">
        <f t="shared" ref="G153:M163" si="17">+$C153*G$151+$D153*G$151^2</f>
        <v>0.15910847073502937</v>
      </c>
      <c r="H153" s="566">
        <f t="shared" si="17"/>
        <v>0.63643388294011749</v>
      </c>
      <c r="I153" s="566">
        <f t="shared" si="17"/>
        <v>1.4319762366152644</v>
      </c>
      <c r="J153" s="566">
        <f t="shared" si="17"/>
        <v>2.54573553176047</v>
      </c>
      <c r="K153" s="566">
        <f t="shared" si="17"/>
        <v>5.7279049464610576</v>
      </c>
      <c r="L153" s="566">
        <f t="shared" si="17"/>
        <v>10.18294212704188</v>
      </c>
      <c r="M153" s="566">
        <f t="shared" si="17"/>
        <v>15.910847073502937</v>
      </c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  <c r="Z153" s="170"/>
      <c r="AA153" s="170"/>
      <c r="AB153" s="170"/>
      <c r="AC153" s="170"/>
      <c r="AD153" s="170"/>
      <c r="AE153" s="170"/>
      <c r="AF153" s="170"/>
      <c r="AG153" s="170"/>
      <c r="AH153" s="170"/>
    </row>
    <row r="154" spans="1:34" ht="14.25" customHeight="1" x14ac:dyDescent="0.2">
      <c r="A154" s="170"/>
      <c r="B154" s="260" t="str">
        <f>+[4]Impacts!A278</f>
        <v>Japan</v>
      </c>
      <c r="C154" s="560">
        <f>+[2]Impacts!B300</f>
        <v>0</v>
      </c>
      <c r="D154" s="560">
        <f>+[2]Impacts!C300</f>
        <v>0.16172343907608619</v>
      </c>
      <c r="E154" s="170"/>
      <c r="F154" s="566">
        <f t="shared" si="16"/>
        <v>0</v>
      </c>
      <c r="G154" s="566">
        <f t="shared" si="17"/>
        <v>0.16172343907608619</v>
      </c>
      <c r="H154" s="566">
        <f t="shared" si="17"/>
        <v>0.64689375630434476</v>
      </c>
      <c r="I154" s="566">
        <f t="shared" si="17"/>
        <v>1.4555109516847757</v>
      </c>
      <c r="J154" s="566">
        <f t="shared" si="17"/>
        <v>2.587575025217379</v>
      </c>
      <c r="K154" s="566">
        <f t="shared" si="17"/>
        <v>5.8220438067391029</v>
      </c>
      <c r="L154" s="566">
        <f t="shared" si="17"/>
        <v>10.350300100869516</v>
      </c>
      <c r="M154" s="566">
        <f t="shared" si="17"/>
        <v>16.172343907608617</v>
      </c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  <c r="Z154" s="170"/>
      <c r="AA154" s="170"/>
      <c r="AB154" s="170"/>
      <c r="AC154" s="170"/>
      <c r="AD154" s="170"/>
      <c r="AE154" s="170"/>
      <c r="AF154" s="170"/>
      <c r="AG154" s="170"/>
      <c r="AH154" s="170"/>
    </row>
    <row r="155" spans="1:34" ht="14.25" customHeight="1" x14ac:dyDescent="0.2">
      <c r="A155" s="170"/>
      <c r="B155" s="260" t="str">
        <f>+[4]Impacts!A279</f>
        <v>Russia</v>
      </c>
      <c r="C155" s="560">
        <f>+[2]Impacts!B301</f>
        <v>0</v>
      </c>
      <c r="D155" s="560">
        <f>+[2]Impacts!C301</f>
        <v>0.11505844305760014</v>
      </c>
      <c r="E155" s="170"/>
      <c r="F155" s="566">
        <f t="shared" si="16"/>
        <v>0</v>
      </c>
      <c r="G155" s="566">
        <f t="shared" si="17"/>
        <v>0.11505844305760014</v>
      </c>
      <c r="H155" s="566">
        <f t="shared" si="17"/>
        <v>0.46023377223040057</v>
      </c>
      <c r="I155" s="566">
        <f t="shared" si="17"/>
        <v>1.0355259875184013</v>
      </c>
      <c r="J155" s="566">
        <f t="shared" si="17"/>
        <v>1.8409350889216023</v>
      </c>
      <c r="K155" s="566">
        <f t="shared" si="17"/>
        <v>4.1421039500736052</v>
      </c>
      <c r="L155" s="566">
        <f t="shared" si="17"/>
        <v>7.3637403556864092</v>
      </c>
      <c r="M155" s="566">
        <f t="shared" si="17"/>
        <v>11.505844305760014</v>
      </c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</row>
    <row r="156" spans="1:34" ht="14.25" customHeight="1" x14ac:dyDescent="0.2">
      <c r="A156" s="170"/>
      <c r="B156" s="260" t="str">
        <f>+[4]Impacts!A280</f>
        <v>Eurasia</v>
      </c>
      <c r="C156" s="560">
        <f>+[2]Impacts!B302</f>
        <v>0</v>
      </c>
      <c r="D156" s="560">
        <f>+[2]Impacts!C302</f>
        <v>0.13047243886221116</v>
      </c>
      <c r="E156" s="170"/>
      <c r="F156" s="566">
        <f t="shared" si="16"/>
        <v>0</v>
      </c>
      <c r="G156" s="566">
        <f t="shared" si="17"/>
        <v>0.13047243886221116</v>
      </c>
      <c r="H156" s="566">
        <f t="shared" si="17"/>
        <v>0.52188975544884464</v>
      </c>
      <c r="I156" s="566">
        <f t="shared" si="17"/>
        <v>1.1742519497599004</v>
      </c>
      <c r="J156" s="566">
        <f t="shared" si="17"/>
        <v>2.0875590217953786</v>
      </c>
      <c r="K156" s="566">
        <f t="shared" si="17"/>
        <v>4.6970077990396017</v>
      </c>
      <c r="L156" s="566">
        <f t="shared" si="17"/>
        <v>8.3502360871815142</v>
      </c>
      <c r="M156" s="566">
        <f t="shared" si="17"/>
        <v>13.047243886221116</v>
      </c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Z156" s="170"/>
      <c r="AA156" s="170"/>
      <c r="AB156" s="170"/>
      <c r="AC156" s="170"/>
      <c r="AD156" s="170"/>
      <c r="AE156" s="170"/>
      <c r="AF156" s="170"/>
      <c r="AG156" s="170"/>
      <c r="AH156" s="170"/>
    </row>
    <row r="157" spans="1:34" ht="14.25" customHeight="1" x14ac:dyDescent="0.2">
      <c r="A157" s="170"/>
      <c r="B157" s="260" t="str">
        <f>+[4]Impacts!A281</f>
        <v>China</v>
      </c>
      <c r="C157" s="560">
        <f>+[2]Impacts!B303</f>
        <v>7.8458281280446962E-2</v>
      </c>
      <c r="D157" s="560">
        <f>+[2]Impacts!C303</f>
        <v>0.12589302830091467</v>
      </c>
      <c r="E157" s="170"/>
      <c r="F157" s="566">
        <f t="shared" si="16"/>
        <v>0</v>
      </c>
      <c r="G157" s="566">
        <f t="shared" si="17"/>
        <v>0.20435130958136163</v>
      </c>
      <c r="H157" s="566">
        <f t="shared" si="17"/>
        <v>0.66048867576455261</v>
      </c>
      <c r="I157" s="566">
        <f t="shared" si="17"/>
        <v>1.3684120985495731</v>
      </c>
      <c r="J157" s="566">
        <f t="shared" si="17"/>
        <v>2.3281215779364226</v>
      </c>
      <c r="K157" s="566">
        <f t="shared" si="17"/>
        <v>5.0028987065156105</v>
      </c>
      <c r="L157" s="566">
        <f t="shared" si="17"/>
        <v>8.6848200615021156</v>
      </c>
      <c r="M157" s="566">
        <f t="shared" si="17"/>
        <v>13.373885642895937</v>
      </c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</row>
    <row r="158" spans="1:34" ht="14.25" customHeight="1" x14ac:dyDescent="0.2">
      <c r="A158" s="170"/>
      <c r="B158" s="260" t="str">
        <f>+[4]Impacts!A282</f>
        <v>India</v>
      </c>
      <c r="C158" s="560">
        <f>+[2]Impacts!B304</f>
        <v>0.43852128250463729</v>
      </c>
      <c r="D158" s="560">
        <f>+[2]Impacts!C304</f>
        <v>0.16887308347047958</v>
      </c>
      <c r="E158" s="170"/>
      <c r="F158" s="566">
        <f t="shared" si="16"/>
        <v>0</v>
      </c>
      <c r="G158" s="566">
        <f t="shared" si="17"/>
        <v>0.60739436597511687</v>
      </c>
      <c r="H158" s="566">
        <f t="shared" si="17"/>
        <v>1.5525348988911929</v>
      </c>
      <c r="I158" s="566">
        <f t="shared" si="17"/>
        <v>2.8354215987482281</v>
      </c>
      <c r="J158" s="566">
        <f t="shared" si="17"/>
        <v>4.456054465546222</v>
      </c>
      <c r="K158" s="566">
        <f t="shared" si="17"/>
        <v>8.7105586999650875</v>
      </c>
      <c r="L158" s="566">
        <f t="shared" si="17"/>
        <v>14.31604760214779</v>
      </c>
      <c r="M158" s="566">
        <f t="shared" si="17"/>
        <v>21.272521172094333</v>
      </c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</row>
    <row r="159" spans="1:34" ht="14.25" customHeight="1" x14ac:dyDescent="0.2">
      <c r="A159" s="170"/>
      <c r="B159" s="260" t="str">
        <f>+[4]Impacts!A283</f>
        <v>Middle East</v>
      </c>
      <c r="C159" s="560">
        <f>+[2]Impacts!B305</f>
        <v>0.27798926381489875</v>
      </c>
      <c r="D159" s="560">
        <f>+[2]Impacts!C305</f>
        <v>0.15859855711634607</v>
      </c>
      <c r="E159" s="170"/>
      <c r="F159" s="566">
        <f t="shared" si="16"/>
        <v>0</v>
      </c>
      <c r="G159" s="566">
        <f t="shared" si="17"/>
        <v>0.43658782093124482</v>
      </c>
      <c r="H159" s="566">
        <f t="shared" si="17"/>
        <v>1.1903727560951818</v>
      </c>
      <c r="I159" s="566">
        <f t="shared" si="17"/>
        <v>2.2613548054918109</v>
      </c>
      <c r="J159" s="566">
        <f t="shared" si="17"/>
        <v>3.6495339691211321</v>
      </c>
      <c r="K159" s="566">
        <f t="shared" si="17"/>
        <v>7.3774836390778509</v>
      </c>
      <c r="L159" s="566">
        <f t="shared" si="17"/>
        <v>12.374221765965338</v>
      </c>
      <c r="M159" s="566">
        <f t="shared" si="17"/>
        <v>18.639748349783595</v>
      </c>
      <c r="N159" s="170"/>
      <c r="O159" s="170"/>
      <c r="P159" s="170"/>
      <c r="Q159" s="170"/>
      <c r="R159" s="170"/>
      <c r="S159" s="170"/>
      <c r="T159" s="170"/>
      <c r="U159" s="170"/>
      <c r="V159" s="170"/>
      <c r="W159" s="170"/>
      <c r="X159" s="170"/>
      <c r="Y159" s="170"/>
      <c r="Z159" s="170"/>
      <c r="AA159" s="170"/>
      <c r="AB159" s="170"/>
      <c r="AC159" s="170"/>
      <c r="AD159" s="170"/>
      <c r="AE159" s="170"/>
      <c r="AF159" s="170"/>
      <c r="AG159" s="170"/>
      <c r="AH159" s="170"/>
    </row>
    <row r="160" spans="1:34" ht="14.25" customHeight="1" x14ac:dyDescent="0.2">
      <c r="A160" s="170"/>
      <c r="B160" s="260" t="str">
        <f>+[4]Impacts!A284</f>
        <v>Africa</v>
      </c>
      <c r="C160" s="560">
        <f>+[2]Impacts!B306</f>
        <v>0.34097373142773563</v>
      </c>
      <c r="D160" s="560">
        <f>+[2]Impacts!C306</f>
        <v>0.19832036751008103</v>
      </c>
      <c r="E160" s="170"/>
      <c r="F160" s="566">
        <f t="shared" si="16"/>
        <v>0</v>
      </c>
      <c r="G160" s="566">
        <f t="shared" si="17"/>
        <v>0.53929409893781666</v>
      </c>
      <c r="H160" s="566">
        <f t="shared" si="17"/>
        <v>1.4752289328957953</v>
      </c>
      <c r="I160" s="566">
        <f t="shared" si="17"/>
        <v>2.8078045018739362</v>
      </c>
      <c r="J160" s="566">
        <f t="shared" si="17"/>
        <v>4.5370208058722392</v>
      </c>
      <c r="K160" s="566">
        <f t="shared" si="17"/>
        <v>9.1853756189293314</v>
      </c>
      <c r="L160" s="566">
        <f t="shared" si="17"/>
        <v>15.420293372067071</v>
      </c>
      <c r="M160" s="566">
        <f t="shared" si="17"/>
        <v>23.241774065285462</v>
      </c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  <c r="Z160" s="170"/>
      <c r="AA160" s="170"/>
      <c r="AB160" s="170"/>
      <c r="AC160" s="170"/>
      <c r="AD160" s="170"/>
      <c r="AE160" s="170"/>
      <c r="AF160" s="170"/>
      <c r="AG160" s="170"/>
      <c r="AH160" s="170"/>
    </row>
    <row r="161" spans="1:80" ht="14.25" customHeight="1" x14ac:dyDescent="0.2">
      <c r="A161" s="170"/>
      <c r="B161" s="260" t="str">
        <f>+[4]Impacts!A285</f>
        <v>Latin America</v>
      </c>
      <c r="C161" s="560">
        <f>+[2]Impacts!B307</f>
        <v>6.0898590598525759E-2</v>
      </c>
      <c r="D161" s="560">
        <f>+[2]Impacts!C307</f>
        <v>0.13454323082344966</v>
      </c>
      <c r="E161" s="170"/>
      <c r="F161" s="566">
        <f t="shared" si="16"/>
        <v>0</v>
      </c>
      <c r="G161" s="566">
        <f t="shared" si="17"/>
        <v>0.19544182142197541</v>
      </c>
      <c r="H161" s="566">
        <f t="shared" si="17"/>
        <v>0.65997010449085014</v>
      </c>
      <c r="I161" s="566">
        <f t="shared" si="17"/>
        <v>1.3935848492066241</v>
      </c>
      <c r="J161" s="566">
        <f t="shared" si="17"/>
        <v>2.3962860555692975</v>
      </c>
      <c r="K161" s="566">
        <f t="shared" si="17"/>
        <v>5.2089478532353422</v>
      </c>
      <c r="L161" s="566">
        <f t="shared" si="17"/>
        <v>9.097955497488984</v>
      </c>
      <c r="M161" s="566">
        <f t="shared" si="17"/>
        <v>14.063308988330222</v>
      </c>
      <c r="N161" s="170"/>
      <c r="O161" s="170"/>
      <c r="P161" s="170"/>
      <c r="Q161" s="170"/>
      <c r="R161" s="170"/>
      <c r="S161" s="170"/>
      <c r="T161" s="170"/>
      <c r="U161" s="170"/>
      <c r="V161" s="170"/>
      <c r="W161" s="170"/>
      <c r="X161" s="170"/>
      <c r="Y161" s="170"/>
      <c r="Z161" s="170"/>
      <c r="AA161" s="170"/>
      <c r="AB161" s="170"/>
      <c r="AC161" s="170"/>
      <c r="AD161" s="170"/>
      <c r="AE161" s="170"/>
      <c r="AF161" s="170"/>
      <c r="AG161" s="170"/>
      <c r="AH161" s="170"/>
    </row>
    <row r="162" spans="1:80" ht="14.25" customHeight="1" x14ac:dyDescent="0.2">
      <c r="A162" s="170"/>
      <c r="B162" s="260" t="str">
        <f>+[4]Impacts!A286</f>
        <v>OHI</v>
      </c>
      <c r="C162" s="560">
        <f>+[2]Impacts!B308</f>
        <v>0</v>
      </c>
      <c r="D162" s="560">
        <f>+[2]Impacts!C308</f>
        <v>0.15639150161867468</v>
      </c>
      <c r="E162" s="170"/>
      <c r="F162" s="566">
        <f t="shared" si="16"/>
        <v>0</v>
      </c>
      <c r="G162" s="566">
        <f t="shared" si="17"/>
        <v>0.15639150161867468</v>
      </c>
      <c r="H162" s="566">
        <f t="shared" si="17"/>
        <v>0.62556600647469873</v>
      </c>
      <c r="I162" s="566">
        <f t="shared" si="17"/>
        <v>1.4075235145680722</v>
      </c>
      <c r="J162" s="566">
        <f t="shared" si="17"/>
        <v>2.5022640258987949</v>
      </c>
      <c r="K162" s="566">
        <f t="shared" si="17"/>
        <v>5.6300940582722889</v>
      </c>
      <c r="L162" s="566">
        <f t="shared" si="17"/>
        <v>10.00905610359518</v>
      </c>
      <c r="M162" s="566">
        <f t="shared" si="17"/>
        <v>15.639150161867468</v>
      </c>
      <c r="N162" s="170"/>
      <c r="O162" s="170"/>
      <c r="P162" s="170"/>
      <c r="Q162" s="170"/>
      <c r="R162" s="170"/>
      <c r="S162" s="170"/>
      <c r="T162" s="170"/>
      <c r="U162" s="170"/>
      <c r="V162" s="170"/>
      <c r="W162" s="170"/>
      <c r="X162" s="170"/>
      <c r="Y162" s="170"/>
      <c r="Z162" s="170"/>
      <c r="AA162" s="170"/>
      <c r="AB162" s="170"/>
      <c r="AC162" s="170"/>
      <c r="AD162" s="170"/>
      <c r="AE162" s="170"/>
      <c r="AF162" s="170"/>
      <c r="AG162" s="170"/>
      <c r="AH162" s="170"/>
    </row>
    <row r="163" spans="1:80" ht="14.25" customHeight="1" x14ac:dyDescent="0.2">
      <c r="A163" s="170"/>
      <c r="B163" s="260" t="str">
        <f>+[4]Impacts!A287</f>
        <v>Other</v>
      </c>
      <c r="C163" s="560">
        <f>+[2]Impacts!B309</f>
        <v>0.17551222871918021</v>
      </c>
      <c r="D163" s="560">
        <f>+[2]Impacts!C309</f>
        <v>0.17344211485103003</v>
      </c>
      <c r="E163" s="170"/>
      <c r="F163" s="566">
        <f t="shared" si="16"/>
        <v>0</v>
      </c>
      <c r="G163" s="566">
        <f t="shared" si="17"/>
        <v>0.34895434357021027</v>
      </c>
      <c r="H163" s="566">
        <f t="shared" si="17"/>
        <v>1.0447929168424805</v>
      </c>
      <c r="I163" s="566">
        <f t="shared" si="17"/>
        <v>2.0875157198168113</v>
      </c>
      <c r="J163" s="566">
        <f t="shared" si="17"/>
        <v>3.4771227524932016</v>
      </c>
      <c r="K163" s="566">
        <f t="shared" si="17"/>
        <v>7.2969895069521629</v>
      </c>
      <c r="L163" s="566">
        <f t="shared" si="17"/>
        <v>12.504393180219363</v>
      </c>
      <c r="M163" s="566">
        <f t="shared" si="17"/>
        <v>19.099333772294806</v>
      </c>
      <c r="N163" s="170"/>
      <c r="O163" s="170"/>
      <c r="P163" s="170"/>
      <c r="Q163" s="170"/>
      <c r="R163" s="170"/>
      <c r="S163" s="170"/>
      <c r="T163" s="170"/>
      <c r="U163" s="170"/>
      <c r="V163" s="170"/>
      <c r="W163" s="170"/>
      <c r="X163" s="170"/>
      <c r="Y163" s="170"/>
      <c r="Z163" s="170"/>
      <c r="AA163" s="170"/>
      <c r="AB163" s="170"/>
      <c r="AC163" s="170"/>
      <c r="AD163" s="170"/>
      <c r="AE163" s="170"/>
      <c r="AF163" s="170"/>
      <c r="AG163" s="170"/>
      <c r="AH163" s="170"/>
    </row>
    <row r="164" spans="1:80" ht="14.25" customHeight="1" x14ac:dyDescent="0.2">
      <c r="A164" s="170"/>
      <c r="B164" s="170"/>
      <c r="C164" s="170"/>
      <c r="D164" s="170"/>
      <c r="E164" s="170"/>
      <c r="I164" s="260"/>
      <c r="J164" s="170"/>
      <c r="K164" s="170"/>
      <c r="L164" s="170"/>
      <c r="M164" s="170"/>
      <c r="N164" s="170"/>
      <c r="O164" s="170"/>
      <c r="P164" s="170"/>
      <c r="Q164" s="170"/>
      <c r="R164" s="170"/>
      <c r="S164" s="170"/>
      <c r="T164" s="170"/>
      <c r="U164" s="170"/>
      <c r="V164" s="170"/>
      <c r="W164" s="170"/>
      <c r="X164" s="170"/>
      <c r="Y164" s="170"/>
      <c r="Z164" s="170"/>
      <c r="AA164" s="170"/>
      <c r="AB164" s="170"/>
      <c r="AC164" s="170"/>
      <c r="AD164" s="170"/>
      <c r="AE164" s="170"/>
      <c r="AF164" s="170"/>
      <c r="AG164" s="170"/>
      <c r="AH164" s="170"/>
    </row>
    <row r="165" spans="1:80" ht="14.25" customHeight="1" x14ac:dyDescent="0.2">
      <c r="A165" s="170"/>
      <c r="B165" s="170"/>
      <c r="C165" s="170"/>
      <c r="D165" s="170"/>
      <c r="E165" s="170"/>
      <c r="I165" s="260"/>
      <c r="J165" s="170"/>
      <c r="K165" s="170"/>
      <c r="L165" s="170"/>
      <c r="M165" s="170"/>
      <c r="N165" s="170"/>
      <c r="O165" s="170"/>
      <c r="P165" s="170"/>
      <c r="Q165" s="170"/>
      <c r="R165" s="170"/>
      <c r="S165" s="170"/>
      <c r="T165" s="170"/>
      <c r="U165" s="170"/>
      <c r="V165" s="170"/>
      <c r="W165" s="170"/>
      <c r="X165" s="170"/>
      <c r="Y165" s="170"/>
      <c r="Z165" s="170"/>
      <c r="AA165" s="170"/>
      <c r="AB165" s="170"/>
      <c r="AC165" s="170"/>
      <c r="AD165" s="170"/>
      <c r="AE165" s="170"/>
      <c r="AF165" s="170"/>
      <c r="AG165" s="170"/>
      <c r="AH165" s="170"/>
    </row>
    <row r="166" spans="1:80" ht="14.25" customHeight="1" x14ac:dyDescent="0.2">
      <c r="A166" s="170"/>
      <c r="B166" s="170"/>
      <c r="C166" s="170"/>
      <c r="D166" s="170"/>
      <c r="E166" s="170"/>
      <c r="I166" s="260"/>
      <c r="J166" s="170"/>
      <c r="K166" s="170"/>
      <c r="L166" s="170"/>
      <c r="M166" s="170"/>
      <c r="N166" s="170"/>
      <c r="O166" s="170"/>
      <c r="P166" s="170"/>
      <c r="Q166" s="170"/>
      <c r="R166" s="170"/>
      <c r="S166" s="170"/>
      <c r="T166" s="170"/>
      <c r="U166" s="170"/>
      <c r="V166" s="170"/>
      <c r="W166" s="170"/>
      <c r="X166" s="170"/>
      <c r="Y166" s="170"/>
      <c r="Z166" s="170"/>
      <c r="AA166" s="170"/>
      <c r="AB166" s="170"/>
      <c r="AC166" s="170"/>
      <c r="AD166" s="170"/>
      <c r="AE166" s="170"/>
      <c r="AF166" s="170"/>
      <c r="AG166" s="170"/>
      <c r="AH166" s="170"/>
    </row>
    <row r="167" spans="1:80" s="308" customFormat="1" ht="14.25" customHeight="1" x14ac:dyDescent="0.2">
      <c r="A167" s="170"/>
      <c r="B167" s="170"/>
      <c r="C167" s="170"/>
      <c r="D167" s="170"/>
      <c r="E167" s="170"/>
      <c r="F167" s="260"/>
      <c r="G167" s="260"/>
      <c r="H167" s="260"/>
      <c r="I167" s="260"/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312"/>
      <c r="AJ167" s="312"/>
      <c r="AK167" s="312"/>
      <c r="AL167" s="312"/>
      <c r="AM167" s="312"/>
      <c r="AN167" s="312"/>
      <c r="AO167" s="312"/>
      <c r="AP167" s="312"/>
      <c r="AQ167" s="312"/>
      <c r="AR167" s="312"/>
      <c r="AS167" s="312"/>
      <c r="AT167" s="312"/>
      <c r="AU167" s="312"/>
      <c r="AV167" s="312"/>
      <c r="AW167" s="312"/>
      <c r="AX167" s="312"/>
      <c r="AY167" s="312"/>
      <c r="AZ167" s="312"/>
      <c r="BA167" s="312"/>
      <c r="BB167" s="312"/>
      <c r="BC167" s="312"/>
      <c r="BD167" s="312"/>
      <c r="BE167" s="312"/>
      <c r="BF167" s="312"/>
      <c r="BG167" s="312"/>
      <c r="BH167" s="312"/>
      <c r="BI167" s="312"/>
      <c r="BJ167" s="312"/>
      <c r="BK167" s="312"/>
      <c r="BL167" s="312"/>
      <c r="BM167" s="312"/>
      <c r="BN167" s="312"/>
      <c r="BO167" s="312"/>
      <c r="BP167" s="312"/>
      <c r="BQ167" s="312"/>
      <c r="BR167" s="312"/>
      <c r="BS167" s="312"/>
      <c r="BT167" s="312"/>
      <c r="BU167" s="312"/>
      <c r="BV167" s="312"/>
      <c r="BW167" s="312"/>
      <c r="BX167" s="312"/>
      <c r="BY167" s="312"/>
      <c r="BZ167" s="312"/>
      <c r="CA167" s="312"/>
      <c r="CB167" s="312"/>
    </row>
    <row r="168" spans="1:80" s="308" customFormat="1" ht="14.25" customHeight="1" x14ac:dyDescent="0.2">
      <c r="A168" s="170"/>
      <c r="B168" s="170"/>
      <c r="C168" s="170"/>
      <c r="D168" s="170"/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70"/>
      <c r="T168" s="170"/>
      <c r="U168" s="170"/>
      <c r="V168" s="170"/>
      <c r="W168" s="170"/>
      <c r="X168" s="170"/>
      <c r="Y168" s="170"/>
      <c r="Z168" s="170"/>
      <c r="AA168" s="170"/>
      <c r="AB168" s="170"/>
      <c r="AC168" s="170"/>
      <c r="AD168" s="170"/>
      <c r="AE168" s="170"/>
      <c r="AF168" s="170"/>
      <c r="AG168" s="170"/>
      <c r="AH168" s="170"/>
      <c r="AI168" s="312"/>
      <c r="AJ168" s="312"/>
      <c r="AK168" s="312"/>
      <c r="AL168" s="312"/>
      <c r="AM168" s="312"/>
      <c r="AN168" s="312"/>
      <c r="AO168" s="312"/>
      <c r="AP168" s="312"/>
      <c r="AQ168" s="312"/>
      <c r="AR168" s="312"/>
      <c r="AS168" s="312"/>
      <c r="AT168" s="312"/>
      <c r="AU168" s="312"/>
      <c r="AV168" s="312"/>
      <c r="AW168" s="312"/>
      <c r="AX168" s="312"/>
      <c r="AY168" s="312"/>
      <c r="AZ168" s="312"/>
      <c r="BA168" s="312"/>
      <c r="BB168" s="312"/>
      <c r="BC168" s="312"/>
      <c r="BD168" s="312"/>
      <c r="BE168" s="312"/>
      <c r="BF168" s="312"/>
      <c r="BG168" s="312"/>
      <c r="BH168" s="312"/>
      <c r="BI168" s="312"/>
      <c r="BJ168" s="312"/>
      <c r="BK168" s="312"/>
      <c r="BL168" s="312"/>
      <c r="BM168" s="312"/>
      <c r="BN168" s="312"/>
      <c r="BO168" s="312"/>
      <c r="BP168" s="312"/>
      <c r="BQ168" s="312"/>
      <c r="BR168" s="312"/>
      <c r="BS168" s="312"/>
      <c r="BT168" s="312"/>
      <c r="BU168" s="312"/>
      <c r="BV168" s="312"/>
      <c r="BW168" s="312"/>
      <c r="BX168" s="312"/>
      <c r="BY168" s="312"/>
      <c r="BZ168" s="312"/>
      <c r="CA168" s="312"/>
      <c r="CB168" s="312"/>
    </row>
    <row r="169" spans="1:80" ht="14.25" customHeight="1" x14ac:dyDescent="0.2">
      <c r="A169" s="170"/>
      <c r="B169" s="170"/>
      <c r="C169" s="170"/>
      <c r="D169" s="17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</row>
    <row r="170" spans="1:80" ht="14.25" customHeight="1" x14ac:dyDescent="0.2">
      <c r="A170" s="170"/>
      <c r="B170" s="170"/>
      <c r="C170" s="170"/>
      <c r="D170" s="170"/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  <c r="Z170" s="170"/>
      <c r="AA170" s="170"/>
      <c r="AB170" s="170"/>
      <c r="AC170" s="170"/>
      <c r="AD170" s="170"/>
      <c r="AE170" s="170"/>
      <c r="AF170" s="170"/>
      <c r="AG170" s="170"/>
      <c r="AH170" s="170"/>
      <c r="AI170" s="313"/>
      <c r="AJ170" s="313"/>
      <c r="AK170" s="313"/>
      <c r="AL170" s="313"/>
      <c r="AM170" s="313"/>
      <c r="AN170" s="313"/>
      <c r="AO170" s="313"/>
      <c r="AP170" s="313"/>
      <c r="AQ170" s="313"/>
      <c r="AR170" s="313"/>
      <c r="AS170" s="313"/>
      <c r="AT170" s="313"/>
      <c r="AU170" s="313"/>
      <c r="AV170" s="313"/>
      <c r="AW170" s="313"/>
      <c r="AX170" s="313"/>
      <c r="AY170" s="313"/>
      <c r="AZ170" s="313"/>
      <c r="BA170" s="313"/>
      <c r="BB170" s="313"/>
      <c r="BC170" s="313"/>
      <c r="BD170" s="313"/>
      <c r="BE170" s="313"/>
      <c r="BF170" s="313"/>
      <c r="BG170" s="313"/>
      <c r="BH170" s="313"/>
      <c r="BI170" s="313"/>
      <c r="BJ170" s="313"/>
      <c r="BK170" s="313"/>
      <c r="BL170" s="313"/>
      <c r="BM170" s="313"/>
      <c r="BN170" s="313"/>
      <c r="BO170" s="313"/>
      <c r="BP170" s="313"/>
      <c r="BQ170" s="313"/>
      <c r="BR170" s="313"/>
      <c r="BS170" s="313"/>
      <c r="BT170" s="313"/>
      <c r="BU170" s="313"/>
      <c r="BV170" s="313"/>
      <c r="BW170" s="313"/>
      <c r="BX170" s="313"/>
      <c r="BY170" s="313"/>
      <c r="BZ170" s="313"/>
      <c r="CA170" s="313"/>
      <c r="CB170" s="313"/>
    </row>
    <row r="171" spans="1:80" ht="14.25" customHeight="1" x14ac:dyDescent="0.2">
      <c r="A171" s="170"/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  <c r="Z171" s="170"/>
      <c r="AA171" s="170"/>
      <c r="AB171" s="170"/>
      <c r="AC171" s="170"/>
      <c r="AD171" s="170"/>
      <c r="AE171" s="170"/>
      <c r="AF171" s="170"/>
      <c r="AG171" s="170"/>
      <c r="AH171" s="170"/>
    </row>
    <row r="172" spans="1:80" ht="14.25" customHeight="1" x14ac:dyDescent="0.2">
      <c r="A172" s="170"/>
      <c r="B172" s="170"/>
      <c r="C172" s="170"/>
      <c r="D172" s="170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70"/>
      <c r="T172" s="170"/>
      <c r="U172" s="170"/>
      <c r="V172" s="170"/>
      <c r="W172" s="170"/>
      <c r="X172" s="170"/>
      <c r="Y172" s="170"/>
      <c r="Z172" s="170"/>
      <c r="AA172" s="170"/>
      <c r="AB172" s="170"/>
      <c r="AC172" s="170"/>
      <c r="AD172" s="170"/>
      <c r="AE172" s="170"/>
      <c r="AF172" s="170"/>
      <c r="AG172" s="170"/>
      <c r="AH172" s="170"/>
    </row>
    <row r="173" spans="1:80" ht="14.25" customHeight="1" x14ac:dyDescent="0.2">
      <c r="A173" s="170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70"/>
      <c r="T173" s="170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</row>
    <row r="174" spans="1:80" ht="14.25" customHeight="1" x14ac:dyDescent="0.2">
      <c r="A174" s="170"/>
      <c r="B174" s="170"/>
      <c r="C174" s="170"/>
      <c r="D174" s="170"/>
      <c r="E174" s="170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  <c r="Z174" s="170"/>
      <c r="AA174" s="170"/>
      <c r="AB174" s="170"/>
      <c r="AC174" s="170"/>
      <c r="AD174" s="170"/>
      <c r="AE174" s="170"/>
      <c r="AF174" s="170"/>
      <c r="AG174" s="170"/>
      <c r="AH174" s="170"/>
    </row>
    <row r="175" spans="1:80" ht="14.25" customHeight="1" x14ac:dyDescent="0.2">
      <c r="A175" s="170"/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70"/>
      <c r="V175" s="170"/>
      <c r="W175" s="170"/>
      <c r="X175" s="170"/>
      <c r="Y175" s="170"/>
      <c r="Z175" s="170"/>
      <c r="AA175" s="170"/>
      <c r="AB175" s="170"/>
      <c r="AC175" s="170"/>
      <c r="AD175" s="170"/>
      <c r="AE175" s="170"/>
      <c r="AF175" s="170"/>
      <c r="AG175" s="170"/>
      <c r="AH175" s="170"/>
    </row>
    <row r="176" spans="1:80" ht="14.25" customHeight="1" x14ac:dyDescent="0.2">
      <c r="A176" s="170"/>
      <c r="B176" s="170"/>
      <c r="C176" s="170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70"/>
      <c r="T176" s="170"/>
      <c r="U176" s="170"/>
      <c r="V176" s="170"/>
      <c r="W176" s="170"/>
      <c r="X176" s="170"/>
      <c r="Y176" s="170"/>
      <c r="Z176" s="170"/>
      <c r="AA176" s="170"/>
      <c r="AB176" s="170"/>
      <c r="AC176" s="170"/>
      <c r="AD176" s="170"/>
      <c r="AE176" s="170"/>
      <c r="AF176" s="170"/>
      <c r="AG176" s="170"/>
      <c r="AH176" s="170"/>
    </row>
    <row r="177" spans="1:80" ht="14.25" customHeight="1" x14ac:dyDescent="0.2">
      <c r="A177" s="170"/>
      <c r="B177" s="170"/>
      <c r="C177" s="170"/>
      <c r="D177" s="170"/>
      <c r="E177" s="170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70"/>
      <c r="T177" s="170"/>
      <c r="U177" s="170"/>
      <c r="V177" s="170"/>
      <c r="W177" s="170"/>
      <c r="X177" s="170"/>
      <c r="Y177" s="170"/>
      <c r="Z177" s="170"/>
      <c r="AA177" s="170"/>
      <c r="AB177" s="170"/>
      <c r="AC177" s="170"/>
      <c r="AD177" s="170"/>
      <c r="AE177" s="170"/>
      <c r="AF177" s="170"/>
      <c r="AG177" s="170"/>
      <c r="AH177" s="170"/>
    </row>
    <row r="178" spans="1:80" ht="14.25" customHeight="1" x14ac:dyDescent="0.2">
      <c r="A178" s="170"/>
      <c r="B178" s="170"/>
      <c r="C178" s="170"/>
      <c r="D178" s="170"/>
      <c r="E178" s="170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70"/>
      <c r="T178" s="170"/>
      <c r="U178" s="170"/>
      <c r="V178" s="170"/>
      <c r="W178" s="170"/>
      <c r="X178" s="170"/>
      <c r="Y178" s="170"/>
      <c r="Z178" s="170"/>
      <c r="AA178" s="170"/>
      <c r="AB178" s="170"/>
      <c r="AC178" s="170"/>
      <c r="AD178" s="170"/>
      <c r="AE178" s="170"/>
      <c r="AF178" s="170"/>
      <c r="AG178" s="170"/>
      <c r="AH178" s="170"/>
      <c r="AI178" s="311"/>
      <c r="AJ178" s="311"/>
      <c r="AK178" s="311"/>
      <c r="AL178" s="311"/>
      <c r="AM178" s="311"/>
      <c r="AN178" s="311"/>
      <c r="AO178" s="311"/>
      <c r="AP178" s="311"/>
      <c r="AQ178" s="311"/>
      <c r="AR178" s="311"/>
      <c r="AS178" s="311"/>
      <c r="AT178" s="311"/>
      <c r="AU178" s="311"/>
      <c r="AV178" s="311"/>
      <c r="AW178" s="311"/>
      <c r="AX178" s="311"/>
      <c r="AY178" s="311"/>
      <c r="AZ178" s="311"/>
      <c r="BA178" s="311"/>
      <c r="BB178" s="311"/>
      <c r="BC178" s="311"/>
      <c r="BD178" s="311"/>
      <c r="BE178" s="311"/>
      <c r="BF178" s="311"/>
      <c r="BG178" s="311"/>
      <c r="BH178" s="311"/>
      <c r="BI178" s="311"/>
      <c r="BJ178" s="311"/>
      <c r="BK178" s="311"/>
      <c r="BL178" s="311"/>
      <c r="BM178" s="311"/>
      <c r="BN178" s="311"/>
      <c r="BO178" s="311"/>
      <c r="BP178" s="311"/>
      <c r="BQ178" s="311"/>
      <c r="BR178" s="311"/>
      <c r="BS178" s="311"/>
      <c r="BT178" s="311"/>
      <c r="BU178" s="311"/>
      <c r="BV178" s="311"/>
      <c r="BW178" s="311"/>
      <c r="BX178" s="311"/>
      <c r="BY178" s="311"/>
      <c r="BZ178" s="311"/>
      <c r="CA178" s="311"/>
      <c r="CB178" s="311"/>
    </row>
    <row r="179" spans="1:80" ht="14.25" customHeight="1" x14ac:dyDescent="0.2">
      <c r="A179" s="170"/>
      <c r="B179" s="170"/>
      <c r="C179" s="170"/>
      <c r="D179" s="170"/>
      <c r="E179" s="170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70"/>
      <c r="T179" s="170"/>
      <c r="U179" s="170"/>
      <c r="V179" s="170"/>
      <c r="W179" s="170"/>
      <c r="X179" s="170"/>
      <c r="Y179" s="170"/>
      <c r="Z179" s="170"/>
      <c r="AA179" s="170"/>
      <c r="AB179" s="170"/>
      <c r="AC179" s="170"/>
      <c r="AD179" s="170"/>
      <c r="AE179" s="170"/>
      <c r="AF179" s="170"/>
      <c r="AG179" s="170"/>
      <c r="AH179" s="170"/>
    </row>
    <row r="180" spans="1:80" ht="14.25" customHeight="1" x14ac:dyDescent="0.2">
      <c r="A180" s="170"/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70"/>
      <c r="T180" s="170"/>
      <c r="U180" s="170"/>
      <c r="V180" s="170"/>
      <c r="W180" s="170"/>
      <c r="X180" s="170"/>
      <c r="Y180" s="170"/>
      <c r="Z180" s="170"/>
      <c r="AA180" s="170"/>
      <c r="AB180" s="170"/>
      <c r="AC180" s="170"/>
      <c r="AD180" s="170"/>
      <c r="AE180" s="170"/>
      <c r="AF180" s="170"/>
      <c r="AG180" s="170"/>
      <c r="AH180" s="170"/>
    </row>
    <row r="181" spans="1:80" ht="14.25" customHeight="1" x14ac:dyDescent="0.2">
      <c r="A181" s="170"/>
      <c r="B181" s="170"/>
      <c r="C181" s="170"/>
      <c r="D181" s="170"/>
      <c r="E181" s="170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70"/>
      <c r="T181" s="170"/>
      <c r="U181" s="170"/>
      <c r="V181" s="170"/>
      <c r="W181" s="170"/>
      <c r="X181" s="170"/>
      <c r="Y181" s="170"/>
      <c r="Z181" s="170"/>
      <c r="AA181" s="170"/>
      <c r="AB181" s="170"/>
      <c r="AC181" s="170"/>
      <c r="AD181" s="170"/>
      <c r="AE181" s="170"/>
      <c r="AF181" s="170"/>
      <c r="AG181" s="170"/>
      <c r="AH181" s="170"/>
    </row>
    <row r="182" spans="1:80" ht="14.25" customHeight="1" x14ac:dyDescent="0.2">
      <c r="A182" s="170"/>
      <c r="B182" s="170"/>
      <c r="C182" s="170"/>
      <c r="D182" s="170"/>
      <c r="E182" s="170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70"/>
      <c r="T182" s="170"/>
      <c r="U182" s="170"/>
      <c r="V182" s="170"/>
      <c r="W182" s="170"/>
      <c r="X182" s="170"/>
      <c r="Y182" s="170"/>
      <c r="Z182" s="170"/>
      <c r="AA182" s="170"/>
      <c r="AB182" s="170"/>
      <c r="AC182" s="170"/>
      <c r="AD182" s="170"/>
      <c r="AE182" s="170"/>
      <c r="AF182" s="170"/>
      <c r="AG182" s="170"/>
      <c r="AH182" s="170"/>
    </row>
    <row r="183" spans="1:80" ht="14.25" customHeight="1" x14ac:dyDescent="0.2">
      <c r="A183" s="170"/>
      <c r="B183" s="170"/>
      <c r="C183" s="170"/>
      <c r="D183" s="17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</row>
    <row r="184" spans="1:80" ht="14.25" customHeight="1" x14ac:dyDescent="0.2">
      <c r="A184" s="170"/>
      <c r="B184" s="170"/>
      <c r="C184" s="170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70"/>
      <c r="T184" s="170"/>
      <c r="U184" s="170"/>
      <c r="V184" s="170"/>
      <c r="W184" s="170"/>
      <c r="X184" s="170"/>
      <c r="Y184" s="170"/>
      <c r="Z184" s="170"/>
      <c r="AA184" s="170"/>
      <c r="AB184" s="170"/>
      <c r="AC184" s="170"/>
      <c r="AD184" s="170"/>
      <c r="AE184" s="170"/>
      <c r="AF184" s="170"/>
      <c r="AG184" s="170"/>
      <c r="AH184" s="170"/>
    </row>
    <row r="185" spans="1:80" ht="14.25" customHeight="1" x14ac:dyDescent="0.2">
      <c r="A185" s="170"/>
      <c r="B185" s="170"/>
      <c r="C185" s="170"/>
      <c r="D185" s="170"/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70"/>
      <c r="T185" s="170"/>
      <c r="U185" s="170"/>
      <c r="V185" s="170"/>
      <c r="W185" s="170"/>
      <c r="X185" s="170"/>
      <c r="Y185" s="170"/>
      <c r="Z185" s="170"/>
      <c r="AA185" s="170"/>
      <c r="AB185" s="170"/>
      <c r="AC185" s="170"/>
      <c r="AD185" s="170"/>
      <c r="AE185" s="170"/>
      <c r="AF185" s="170"/>
      <c r="AG185" s="170"/>
      <c r="AH185" s="170"/>
    </row>
    <row r="186" spans="1:80" ht="14.25" customHeight="1" x14ac:dyDescent="0.2">
      <c r="A186" s="170"/>
      <c r="B186" s="170"/>
      <c r="C186" s="170"/>
      <c r="D186" s="170"/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  <c r="Z186" s="170"/>
      <c r="AA186" s="170"/>
      <c r="AB186" s="170"/>
      <c r="AC186" s="170"/>
      <c r="AD186" s="170"/>
      <c r="AE186" s="170"/>
      <c r="AF186" s="170"/>
      <c r="AG186" s="170"/>
      <c r="AH186" s="170"/>
    </row>
    <row r="187" spans="1:80" ht="14.25" customHeight="1" x14ac:dyDescent="0.2">
      <c r="A187" s="170"/>
      <c r="B187" s="170"/>
      <c r="C187" s="170"/>
      <c r="D187" s="170"/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70"/>
      <c r="T187" s="170"/>
      <c r="U187" s="170"/>
      <c r="V187" s="170"/>
      <c r="W187" s="170"/>
      <c r="X187" s="170"/>
      <c r="Y187" s="170"/>
      <c r="Z187" s="170"/>
      <c r="AA187" s="170"/>
      <c r="AB187" s="170"/>
      <c r="AC187" s="170"/>
      <c r="AD187" s="170"/>
      <c r="AE187" s="170"/>
      <c r="AF187" s="170"/>
      <c r="AG187" s="170"/>
      <c r="AH187" s="170"/>
    </row>
    <row r="188" spans="1:80" ht="14.25" customHeight="1" x14ac:dyDescent="0.2">
      <c r="A188" s="170"/>
      <c r="B188" s="170"/>
      <c r="C188" s="170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Z188" s="170"/>
      <c r="AA188" s="170"/>
      <c r="AB188" s="170"/>
      <c r="AC188" s="170"/>
      <c r="AD188" s="170"/>
      <c r="AE188" s="170"/>
      <c r="AF188" s="170"/>
      <c r="AG188" s="170"/>
      <c r="AH188" s="170"/>
    </row>
    <row r="189" spans="1:80" ht="14.25" customHeight="1" x14ac:dyDescent="0.2">
      <c r="A189" s="170"/>
      <c r="B189" s="170"/>
      <c r="C189" s="170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0"/>
      <c r="Y189" s="170"/>
      <c r="Z189" s="170"/>
      <c r="AA189" s="170"/>
      <c r="AB189" s="170"/>
      <c r="AC189" s="170"/>
      <c r="AD189" s="170"/>
      <c r="AE189" s="170"/>
      <c r="AF189" s="170"/>
      <c r="AG189" s="170"/>
      <c r="AH189" s="170"/>
    </row>
    <row r="190" spans="1:80" ht="14.25" customHeight="1" x14ac:dyDescent="0.2">
      <c r="A190" s="170"/>
      <c r="B190" s="170"/>
      <c r="C190" s="170"/>
      <c r="D190" s="170"/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/>
      <c r="W190" s="170"/>
      <c r="X190" s="170"/>
      <c r="Y190" s="170"/>
      <c r="Z190" s="170"/>
      <c r="AA190" s="170"/>
      <c r="AB190" s="170"/>
      <c r="AC190" s="170"/>
      <c r="AD190" s="170"/>
      <c r="AE190" s="170"/>
      <c r="AF190" s="170"/>
      <c r="AG190" s="170"/>
      <c r="AH190" s="170"/>
    </row>
    <row r="191" spans="1:80" ht="14.25" customHeight="1" x14ac:dyDescent="0.2">
      <c r="A191" s="170"/>
      <c r="B191" s="170"/>
      <c r="C191" s="170"/>
      <c r="D191" s="170"/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Z191" s="170"/>
      <c r="AA191" s="170"/>
      <c r="AB191" s="170"/>
      <c r="AC191" s="170"/>
      <c r="AD191" s="170"/>
      <c r="AE191" s="170"/>
      <c r="AF191" s="170"/>
      <c r="AG191" s="170"/>
      <c r="AH191" s="170"/>
    </row>
    <row r="192" spans="1:80" ht="14.25" customHeight="1" x14ac:dyDescent="0.2">
      <c r="A192" s="170"/>
      <c r="B192" s="170"/>
      <c r="C192" s="170"/>
      <c r="D192" s="170"/>
      <c r="E192" s="170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/>
      <c r="Y192" s="170"/>
      <c r="Z192" s="170"/>
      <c r="AA192" s="170"/>
      <c r="AB192" s="170"/>
      <c r="AC192" s="170"/>
      <c r="AD192" s="170"/>
      <c r="AE192" s="170"/>
      <c r="AF192" s="170"/>
      <c r="AG192" s="170"/>
      <c r="AH192" s="170"/>
    </row>
    <row r="193" spans="1:34" ht="14.25" customHeight="1" x14ac:dyDescent="0.2">
      <c r="A193" s="170"/>
      <c r="B193" s="170"/>
      <c r="C193" s="170"/>
      <c r="D193" s="170"/>
      <c r="E193" s="170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70"/>
      <c r="T193" s="170"/>
      <c r="U193" s="170"/>
      <c r="V193" s="170"/>
      <c r="W193" s="170"/>
      <c r="X193" s="170"/>
      <c r="Y193" s="170"/>
      <c r="Z193" s="170"/>
      <c r="AA193" s="170"/>
      <c r="AB193" s="170"/>
      <c r="AC193" s="170"/>
      <c r="AD193" s="170"/>
      <c r="AE193" s="170"/>
      <c r="AF193" s="170"/>
      <c r="AG193" s="170"/>
      <c r="AH193" s="170"/>
    </row>
    <row r="194" spans="1:34" ht="14.25" customHeight="1" x14ac:dyDescent="0.2">
      <c r="A194" s="170"/>
      <c r="B194" s="170"/>
      <c r="C194" s="170"/>
      <c r="D194" s="170"/>
      <c r="E194" s="170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70"/>
      <c r="V194" s="170"/>
      <c r="W194" s="170"/>
      <c r="X194" s="170"/>
      <c r="Y194" s="170"/>
      <c r="Z194" s="170"/>
      <c r="AA194" s="170"/>
      <c r="AB194" s="170"/>
      <c r="AC194" s="170"/>
      <c r="AD194" s="170"/>
      <c r="AE194" s="170"/>
      <c r="AF194" s="170"/>
      <c r="AG194" s="170"/>
      <c r="AH194" s="170"/>
    </row>
    <row r="195" spans="1:34" s="315" customFormat="1" ht="14.25" customHeight="1" x14ac:dyDescent="0.2">
      <c r="A195" s="170"/>
      <c r="B195" s="170"/>
      <c r="C195" s="170"/>
      <c r="D195" s="170"/>
      <c r="E195" s="170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70"/>
      <c r="T195" s="170"/>
      <c r="U195" s="170"/>
      <c r="V195" s="170"/>
      <c r="W195" s="170"/>
      <c r="X195" s="170"/>
      <c r="Y195" s="170"/>
      <c r="Z195" s="170"/>
      <c r="AA195" s="170"/>
      <c r="AB195" s="170"/>
      <c r="AC195" s="170"/>
      <c r="AD195" s="170"/>
      <c r="AE195" s="170"/>
      <c r="AF195" s="170"/>
      <c r="AG195" s="170"/>
      <c r="AH195" s="170"/>
    </row>
    <row r="196" spans="1:34" s="307" customFormat="1" ht="14.25" customHeight="1" x14ac:dyDescent="0.2">
      <c r="A196" s="170"/>
      <c r="B196" s="170"/>
      <c r="C196" s="170"/>
      <c r="D196" s="170"/>
      <c r="E196" s="170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70"/>
      <c r="T196" s="170"/>
      <c r="U196" s="170"/>
      <c r="V196" s="170"/>
      <c r="W196" s="170"/>
      <c r="X196" s="170"/>
      <c r="Y196" s="170"/>
      <c r="Z196" s="170"/>
      <c r="AA196" s="170"/>
      <c r="AB196" s="170"/>
      <c r="AC196" s="170"/>
      <c r="AD196" s="170"/>
      <c r="AE196" s="170"/>
      <c r="AF196" s="170"/>
      <c r="AG196" s="170"/>
      <c r="AH196" s="170"/>
    </row>
    <row r="197" spans="1:34" s="307" customFormat="1" ht="14.25" customHeight="1" x14ac:dyDescent="0.2">
      <c r="A197" s="170"/>
      <c r="B197" s="170"/>
      <c r="C197" s="170"/>
      <c r="D197" s="17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</row>
    <row r="198" spans="1:34" s="307" customFormat="1" ht="14.25" customHeight="1" x14ac:dyDescent="0.2">
      <c r="A198" s="170"/>
      <c r="B198" s="170"/>
      <c r="C198" s="170"/>
      <c r="D198" s="170"/>
      <c r="E198" s="170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70"/>
      <c r="T198" s="170"/>
      <c r="U198" s="170"/>
      <c r="V198" s="170"/>
      <c r="W198" s="170"/>
      <c r="X198" s="170"/>
      <c r="Y198" s="170"/>
      <c r="Z198" s="170"/>
      <c r="AA198" s="170"/>
      <c r="AB198" s="170"/>
      <c r="AC198" s="170"/>
      <c r="AD198" s="170"/>
      <c r="AE198" s="170"/>
      <c r="AF198" s="170"/>
      <c r="AG198" s="170"/>
      <c r="AH198" s="170"/>
    </row>
    <row r="199" spans="1:34" s="307" customFormat="1" ht="14.25" customHeight="1" x14ac:dyDescent="0.2">
      <c r="A199" s="170"/>
      <c r="B199" s="170"/>
      <c r="C199" s="170"/>
      <c r="D199" s="170"/>
      <c r="E199" s="170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70"/>
      <c r="T199" s="170"/>
      <c r="U199" s="170"/>
      <c r="V199" s="170"/>
      <c r="W199" s="170"/>
      <c r="X199" s="170"/>
      <c r="Y199" s="170"/>
      <c r="Z199" s="170"/>
      <c r="AA199" s="170"/>
      <c r="AB199" s="170"/>
      <c r="AC199" s="170"/>
      <c r="AD199" s="170"/>
      <c r="AE199" s="170"/>
      <c r="AF199" s="170"/>
      <c r="AG199" s="170"/>
      <c r="AH199" s="170"/>
    </row>
    <row r="200" spans="1:34" s="307" customFormat="1" ht="14.25" customHeight="1" x14ac:dyDescent="0.2">
      <c r="A200" s="316"/>
      <c r="B200" s="316"/>
      <c r="C200" s="309"/>
      <c r="D200" s="309"/>
      <c r="E200" s="314"/>
      <c r="F200" s="309"/>
      <c r="G200" s="309"/>
      <c r="H200" s="309"/>
      <c r="I200" s="309"/>
      <c r="J200" s="309"/>
      <c r="K200" s="309"/>
      <c r="L200" s="309"/>
      <c r="M200" s="309"/>
      <c r="N200" s="309"/>
      <c r="O200" s="309"/>
      <c r="P200" s="309"/>
      <c r="Q200" s="316"/>
      <c r="S200" s="316"/>
      <c r="T200" s="316"/>
    </row>
    <row r="201" spans="1:34" ht="14.25" customHeight="1" x14ac:dyDescent="0.2">
      <c r="A201" s="316"/>
      <c r="B201" s="316"/>
    </row>
    <row r="202" spans="1:34" ht="14.25" customHeight="1" x14ac:dyDescent="0.2">
      <c r="A202" s="316"/>
      <c r="B202" s="316"/>
    </row>
    <row r="203" spans="1:34" ht="14.25" customHeight="1" x14ac:dyDescent="0.2">
      <c r="A203" s="316"/>
    </row>
  </sheetData>
  <phoneticPr fontId="13"/>
  <pageMargins left="0.7" right="0.7" top="0.75" bottom="0.75" header="0.3" footer="0.3"/>
  <pageSetup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opLeftCell="K159" zoomScale="85" zoomScaleNormal="85" workbookViewId="0">
      <selection activeCell="Q169" sqref="Q169:Q180"/>
    </sheetView>
  </sheetViews>
  <sheetFormatPr baseColWidth="10" defaultColWidth="8.83203125" defaultRowHeight="13" x14ac:dyDescent="0.15"/>
  <cols>
    <col min="1" max="1" width="14.5" customWidth="1"/>
    <col min="2" max="2" width="10.6640625" customWidth="1"/>
    <col min="3" max="3" width="10.83203125" customWidth="1"/>
    <col min="4" max="4" width="12" customWidth="1"/>
    <col min="5" max="5" width="11.1640625" customWidth="1"/>
    <col min="6" max="6" width="11.6640625" customWidth="1"/>
    <col min="7" max="7" width="12.1640625" customWidth="1"/>
    <col min="8" max="8" width="11.5" customWidth="1"/>
    <col min="9" max="9" width="11.1640625" customWidth="1"/>
    <col min="10" max="10" width="11.5" customWidth="1"/>
    <col min="11" max="11" width="11.6640625" customWidth="1"/>
    <col min="12" max="12" width="14.6640625" customWidth="1"/>
    <col min="13" max="13" width="11.5" customWidth="1"/>
    <col min="14" max="14" width="10.5" customWidth="1"/>
    <col min="15" max="15" width="15.6640625" customWidth="1"/>
    <col min="16" max="16" width="14.5" customWidth="1"/>
    <col min="17" max="45" width="14.6640625" bestFit="1" customWidth="1"/>
    <col min="46" max="61" width="15.83203125" bestFit="1" customWidth="1"/>
    <col min="122" max="122" width="9.33203125" bestFit="1" customWidth="1"/>
  </cols>
  <sheetData>
    <row r="1" spans="3:78" x14ac:dyDescent="0.15">
      <c r="F1" s="140">
        <f>+E4</f>
        <v>1.5093183403803685E-2</v>
      </c>
      <c r="G1" s="140">
        <f>+F4</f>
        <v>0</v>
      </c>
      <c r="I1" s="140">
        <f>+Parameters!B19</f>
        <v>0.1</v>
      </c>
      <c r="L1" s="140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 x14ac:dyDescent="0.15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75" customFormat="1" x14ac:dyDescent="0.15">
      <c r="E3" s="175" t="s">
        <v>247</v>
      </c>
      <c r="F3" s="175" t="s">
        <v>238</v>
      </c>
      <c r="G3" s="175" t="s">
        <v>248</v>
      </c>
      <c r="H3" s="175" t="s">
        <v>249</v>
      </c>
      <c r="I3" s="175" t="s">
        <v>250</v>
      </c>
      <c r="J3" s="175" t="s">
        <v>251</v>
      </c>
      <c r="K3" s="175" t="s">
        <v>252</v>
      </c>
      <c r="L3" s="175" t="s">
        <v>253</v>
      </c>
      <c r="M3" s="175">
        <v>2005</v>
      </c>
      <c r="N3" s="175">
        <f>+M3+10</f>
        <v>2015</v>
      </c>
      <c r="O3" s="175">
        <f t="shared" ref="O3:BT3" si="1">+N3+10</f>
        <v>2025</v>
      </c>
      <c r="P3" s="175">
        <f t="shared" si="1"/>
        <v>2035</v>
      </c>
      <c r="Q3" s="175">
        <f t="shared" si="1"/>
        <v>2045</v>
      </c>
      <c r="R3" s="175">
        <f t="shared" si="1"/>
        <v>2055</v>
      </c>
      <c r="S3" s="175">
        <f t="shared" si="1"/>
        <v>2065</v>
      </c>
      <c r="T3" s="175">
        <f t="shared" si="1"/>
        <v>2075</v>
      </c>
      <c r="U3" s="175">
        <f t="shared" si="1"/>
        <v>2085</v>
      </c>
      <c r="V3" s="175">
        <f t="shared" si="1"/>
        <v>2095</v>
      </c>
      <c r="W3" s="175">
        <f t="shared" si="1"/>
        <v>2105</v>
      </c>
      <c r="X3" s="175">
        <f t="shared" si="1"/>
        <v>2115</v>
      </c>
      <c r="Y3" s="175">
        <f t="shared" si="1"/>
        <v>2125</v>
      </c>
      <c r="Z3" s="175">
        <f t="shared" si="1"/>
        <v>2135</v>
      </c>
      <c r="AA3" s="175">
        <f t="shared" si="1"/>
        <v>2145</v>
      </c>
      <c r="AB3" s="175">
        <f t="shared" si="1"/>
        <v>2155</v>
      </c>
      <c r="AC3" s="175">
        <f t="shared" si="1"/>
        <v>2165</v>
      </c>
      <c r="AD3" s="175">
        <f t="shared" si="1"/>
        <v>2175</v>
      </c>
      <c r="AE3" s="175">
        <f t="shared" si="1"/>
        <v>2185</v>
      </c>
      <c r="AF3" s="175">
        <f t="shared" si="1"/>
        <v>2195</v>
      </c>
      <c r="AG3" s="175">
        <f t="shared" si="1"/>
        <v>2205</v>
      </c>
      <c r="AH3" s="176">
        <f t="shared" si="1"/>
        <v>2215</v>
      </c>
      <c r="AI3" s="176">
        <f t="shared" si="1"/>
        <v>2225</v>
      </c>
      <c r="AJ3" s="176">
        <f t="shared" si="1"/>
        <v>2235</v>
      </c>
      <c r="AK3" s="176">
        <f t="shared" si="1"/>
        <v>2245</v>
      </c>
      <c r="AL3" s="176">
        <f t="shared" si="1"/>
        <v>2255</v>
      </c>
      <c r="AM3" s="176">
        <f t="shared" si="1"/>
        <v>2265</v>
      </c>
      <c r="AN3" s="176">
        <f t="shared" si="1"/>
        <v>2275</v>
      </c>
      <c r="AO3" s="176">
        <f t="shared" si="1"/>
        <v>2285</v>
      </c>
      <c r="AP3" s="176">
        <f t="shared" si="1"/>
        <v>2295</v>
      </c>
      <c r="AQ3" s="176">
        <f t="shared" si="1"/>
        <v>2305</v>
      </c>
      <c r="AR3" s="176">
        <f t="shared" si="1"/>
        <v>2315</v>
      </c>
      <c r="AS3" s="176">
        <f t="shared" si="1"/>
        <v>2325</v>
      </c>
      <c r="AT3" s="176">
        <f t="shared" si="1"/>
        <v>2335</v>
      </c>
      <c r="AU3" s="176">
        <f t="shared" si="1"/>
        <v>2345</v>
      </c>
      <c r="AV3" s="176">
        <f t="shared" si="1"/>
        <v>2355</v>
      </c>
      <c r="AW3" s="176">
        <f t="shared" si="1"/>
        <v>2365</v>
      </c>
      <c r="AX3" s="176">
        <f t="shared" si="1"/>
        <v>2375</v>
      </c>
      <c r="AY3" s="176">
        <f t="shared" si="1"/>
        <v>2385</v>
      </c>
      <c r="AZ3" s="176">
        <f t="shared" si="1"/>
        <v>2395</v>
      </c>
      <c r="BA3" s="176">
        <f t="shared" si="1"/>
        <v>2405</v>
      </c>
      <c r="BB3" s="176">
        <f t="shared" si="1"/>
        <v>2415</v>
      </c>
      <c r="BC3" s="176">
        <f t="shared" si="1"/>
        <v>2425</v>
      </c>
      <c r="BD3" s="176">
        <f t="shared" si="1"/>
        <v>2435</v>
      </c>
      <c r="BE3" s="176">
        <f t="shared" si="1"/>
        <v>2445</v>
      </c>
      <c r="BF3" s="176">
        <f t="shared" si="1"/>
        <v>2455</v>
      </c>
      <c r="BG3" s="176">
        <f t="shared" si="1"/>
        <v>2465</v>
      </c>
      <c r="BH3" s="176">
        <f t="shared" si="1"/>
        <v>2475</v>
      </c>
      <c r="BI3" s="176">
        <f t="shared" si="1"/>
        <v>2485</v>
      </c>
      <c r="BJ3" s="176">
        <f t="shared" si="1"/>
        <v>2495</v>
      </c>
      <c r="BK3" s="176">
        <f t="shared" si="1"/>
        <v>2505</v>
      </c>
      <c r="BL3" s="176">
        <f t="shared" si="1"/>
        <v>2515</v>
      </c>
      <c r="BM3" s="176">
        <f t="shared" si="1"/>
        <v>2525</v>
      </c>
      <c r="BN3" s="176">
        <f t="shared" si="1"/>
        <v>2535</v>
      </c>
      <c r="BO3" s="176">
        <f t="shared" si="1"/>
        <v>2545</v>
      </c>
      <c r="BP3" s="176">
        <f t="shared" si="1"/>
        <v>2555</v>
      </c>
      <c r="BQ3" s="176">
        <f t="shared" si="1"/>
        <v>2565</v>
      </c>
      <c r="BR3" s="176">
        <f t="shared" si="1"/>
        <v>2575</v>
      </c>
      <c r="BS3" s="176">
        <f t="shared" si="1"/>
        <v>2585</v>
      </c>
      <c r="BT3" s="176">
        <f t="shared" si="1"/>
        <v>2595</v>
      </c>
    </row>
    <row r="4" spans="3:78" x14ac:dyDescent="0.15">
      <c r="C4" s="175" t="s">
        <v>104</v>
      </c>
      <c r="E4" s="14">
        <f t="shared" ref="E4:E15" si="2">+AVERAGE(E21:F21)</f>
        <v>1.5093183403803685E-2</v>
      </c>
      <c r="F4" s="261">
        <f>+Parameters!B24</f>
        <v>0</v>
      </c>
      <c r="G4" s="140">
        <f>+E4+F4</f>
        <v>1.5093183403803685E-2</v>
      </c>
      <c r="H4" s="140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77">
        <f t="shared" ref="BU4:BU15" si="5">+M4/M$4</f>
        <v>1</v>
      </c>
      <c r="BV4" s="177">
        <f t="shared" ref="BV4:BV15" si="6">+V4/V$4</f>
        <v>1</v>
      </c>
      <c r="BW4" s="177">
        <f t="shared" ref="BW4:BW15" si="7">+AG4/AG$4</f>
        <v>1</v>
      </c>
      <c r="BX4" s="177">
        <f t="shared" ref="BX4:BX15" si="8">+AQ4/AQ$4</f>
        <v>1</v>
      </c>
      <c r="BY4" s="177"/>
      <c r="BZ4" s="175">
        <f t="shared" ref="BZ4:BZ15" si="9">+J4</f>
        <v>0</v>
      </c>
    </row>
    <row r="5" spans="3:78" x14ac:dyDescent="0.15">
      <c r="C5" t="s">
        <v>31</v>
      </c>
      <c r="E5" s="14">
        <f t="shared" si="2"/>
        <v>1.4299541439382682E-2</v>
      </c>
      <c r="F5" s="261">
        <v>2E-3</v>
      </c>
      <c r="G5" s="140">
        <f t="shared" ref="G5:G15" si="10">+E5+F5</f>
        <v>1.6299541439382684E-2</v>
      </c>
      <c r="H5" s="140">
        <f t="shared" ref="H5:H15" si="11">+G5-L5</f>
        <v>1.2999541439382683E-2</v>
      </c>
      <c r="I5" s="14"/>
      <c r="J5" s="530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77">
        <f t="shared" si="5"/>
        <v>0.63663508478259268</v>
      </c>
      <c r="BV5" s="177">
        <f t="shared" si="6"/>
        <v>0.77942837064130688</v>
      </c>
      <c r="BW5" s="177">
        <f t="shared" si="7"/>
        <v>0.86028019069142825</v>
      </c>
      <c r="BX5" s="177">
        <f t="shared" si="8"/>
        <v>0.88594652714413058</v>
      </c>
      <c r="BY5" s="177"/>
      <c r="BZ5" s="177">
        <f t="shared" si="9"/>
        <v>0.9</v>
      </c>
    </row>
    <row r="6" spans="3:78" x14ac:dyDescent="0.15">
      <c r="C6" t="s">
        <v>51</v>
      </c>
      <c r="E6" s="14">
        <f t="shared" si="2"/>
        <v>1.0784143099648206E-2</v>
      </c>
      <c r="F6" s="261">
        <v>3.0000000000000001E-3</v>
      </c>
      <c r="G6" s="140">
        <f t="shared" si="10"/>
        <v>1.3784143099648205E-2</v>
      </c>
      <c r="H6" s="140">
        <f t="shared" si="11"/>
        <v>1.0484143099648204E-2</v>
      </c>
      <c r="I6" s="14"/>
      <c r="J6" s="530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77">
        <f t="shared" si="5"/>
        <v>0.72524004675314435</v>
      </c>
      <c r="BV6" s="177">
        <f t="shared" si="6"/>
        <v>0.81551948856859524</v>
      </c>
      <c r="BW6" s="177">
        <f t="shared" si="7"/>
        <v>0.87258723107771274</v>
      </c>
      <c r="BX6" s="177">
        <f t="shared" si="8"/>
        <v>0.89034532618317974</v>
      </c>
      <c r="BY6" s="177"/>
      <c r="BZ6" s="177">
        <f t="shared" si="9"/>
        <v>0.9</v>
      </c>
    </row>
    <row r="7" spans="3:78" x14ac:dyDescent="0.15">
      <c r="C7" t="s">
        <v>52</v>
      </c>
      <c r="E7" s="14">
        <f t="shared" si="2"/>
        <v>4.0982312872819823E-2</v>
      </c>
      <c r="F7" s="261">
        <v>-1.4999999999999999E-2</v>
      </c>
      <c r="G7" s="140">
        <f t="shared" si="10"/>
        <v>2.5982312872819824E-2</v>
      </c>
      <c r="H7" s="140">
        <f t="shared" si="11"/>
        <v>2.2682312872819823E-2</v>
      </c>
      <c r="I7" s="14"/>
      <c r="J7" s="530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77">
        <f t="shared" si="5"/>
        <v>0.28399671452414443</v>
      </c>
      <c r="BV7" s="177">
        <f t="shared" si="6"/>
        <v>0.4556971870906048</v>
      </c>
      <c r="BW7" s="177">
        <f t="shared" si="7"/>
        <v>0.55037507795953444</v>
      </c>
      <c r="BX7" s="177">
        <f t="shared" si="8"/>
        <v>0.58220834670335242</v>
      </c>
      <c r="BY7" s="177"/>
      <c r="BZ7" s="177">
        <f t="shared" si="9"/>
        <v>0.6</v>
      </c>
    </row>
    <row r="8" spans="3:78" x14ac:dyDescent="0.15">
      <c r="C8" t="s">
        <v>254</v>
      </c>
      <c r="E8" s="14">
        <f t="shared" si="2"/>
        <v>3.9698219696993955E-2</v>
      </c>
      <c r="F8" s="261">
        <v>-1.4999999999999999E-2</v>
      </c>
      <c r="G8" s="140">
        <f t="shared" si="10"/>
        <v>2.4698219696993956E-2</v>
      </c>
      <c r="H8" s="140">
        <f t="shared" si="11"/>
        <v>2.1398219696993955E-2</v>
      </c>
      <c r="I8" s="14"/>
      <c r="J8" s="530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77">
        <f t="shared" si="5"/>
        <v>0.12395597444050867</v>
      </c>
      <c r="BV8" s="177">
        <f t="shared" si="6"/>
        <v>0.31716686404418881</v>
      </c>
      <c r="BW8" s="177">
        <f t="shared" si="7"/>
        <v>0.4912115484185885</v>
      </c>
      <c r="BX8" s="177">
        <f t="shared" si="8"/>
        <v>0.55957349124083389</v>
      </c>
      <c r="BY8" s="177"/>
      <c r="BZ8" s="177">
        <f t="shared" si="9"/>
        <v>0.6</v>
      </c>
    </row>
    <row r="9" spans="3:78" x14ac:dyDescent="0.15">
      <c r="C9" t="s">
        <v>54</v>
      </c>
      <c r="E9" s="14">
        <f t="shared" si="2"/>
        <v>8.1398792147585844E-2</v>
      </c>
      <c r="F9" s="261">
        <v>-0.01</v>
      </c>
      <c r="G9" s="140">
        <f t="shared" si="10"/>
        <v>7.1398792147585849E-2</v>
      </c>
      <c r="H9" s="140">
        <f t="shared" si="11"/>
        <v>6.8098792147585852E-2</v>
      </c>
      <c r="I9" s="14"/>
      <c r="J9" s="530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77">
        <f t="shared" si="5"/>
        <v>9.7886885769414039E-2</v>
      </c>
      <c r="BV9" s="177">
        <f t="shared" si="6"/>
        <v>0.3503103205190588</v>
      </c>
      <c r="BW9" s="177">
        <f t="shared" si="7"/>
        <v>0.50677390260928667</v>
      </c>
      <c r="BX9" s="177">
        <f t="shared" si="8"/>
        <v>0.56569223400677793</v>
      </c>
      <c r="BY9" s="177"/>
      <c r="BZ9" s="177">
        <f t="shared" si="9"/>
        <v>0.6</v>
      </c>
    </row>
    <row r="10" spans="3:78" x14ac:dyDescent="0.15">
      <c r="C10" t="s">
        <v>55</v>
      </c>
      <c r="E10" s="14">
        <f t="shared" si="2"/>
        <v>5.0495487566615635E-2</v>
      </c>
      <c r="F10" s="261">
        <v>-5.0000000000000001E-3</v>
      </c>
      <c r="G10" s="140">
        <f t="shared" si="10"/>
        <v>4.5495487566615637E-2</v>
      </c>
      <c r="H10" s="140">
        <f t="shared" si="11"/>
        <v>4.219548756661564E-2</v>
      </c>
      <c r="I10" s="14"/>
      <c r="J10" s="530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77">
        <f t="shared" si="5"/>
        <v>5.339089012604397E-2</v>
      </c>
      <c r="BV10" s="177">
        <f t="shared" si="6"/>
        <v>0.21757392778708265</v>
      </c>
      <c r="BW10" s="177">
        <f t="shared" si="7"/>
        <v>0.38509725068830331</v>
      </c>
      <c r="BX10" s="177">
        <f t="shared" si="8"/>
        <v>0.45648868117776109</v>
      </c>
      <c r="BY10" s="177"/>
      <c r="BZ10" s="177">
        <f t="shared" si="9"/>
        <v>0.5</v>
      </c>
    </row>
    <row r="11" spans="3:78" x14ac:dyDescent="0.15">
      <c r="C11" t="s">
        <v>56</v>
      </c>
      <c r="E11" s="14">
        <f t="shared" si="2"/>
        <v>2.353379739247316E-2</v>
      </c>
      <c r="F11" s="261">
        <v>0</v>
      </c>
      <c r="G11" s="140">
        <f t="shared" si="10"/>
        <v>2.353379739247316E-2</v>
      </c>
      <c r="H11" s="140">
        <f t="shared" si="11"/>
        <v>2.0233797392473159E-2</v>
      </c>
      <c r="I11" s="14"/>
      <c r="J11" s="530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77">
        <f t="shared" si="5"/>
        <v>0.20186597574587012</v>
      </c>
      <c r="BV11" s="177">
        <f t="shared" si="6"/>
        <v>0.35090188212948115</v>
      </c>
      <c r="BW11" s="177">
        <f t="shared" si="7"/>
        <v>0.44741532890147079</v>
      </c>
      <c r="BX11" s="177">
        <f t="shared" si="8"/>
        <v>0.48099778999030318</v>
      </c>
      <c r="BY11" s="177"/>
      <c r="BZ11" s="177">
        <f t="shared" si="9"/>
        <v>0.5</v>
      </c>
    </row>
    <row r="12" spans="3:78" x14ac:dyDescent="0.15">
      <c r="C12" t="s">
        <v>57</v>
      </c>
      <c r="E12" s="14">
        <f t="shared" si="2"/>
        <v>2.6482695228487542E-2</v>
      </c>
      <c r="F12" s="261">
        <v>0.01</v>
      </c>
      <c r="G12" s="140">
        <f t="shared" si="10"/>
        <v>3.6482695228487544E-2</v>
      </c>
      <c r="H12" s="140">
        <f t="shared" si="11"/>
        <v>3.3182695228487546E-2</v>
      </c>
      <c r="I12" s="14"/>
      <c r="J12" s="530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77">
        <f t="shared" si="5"/>
        <v>4.0783637764605862E-2</v>
      </c>
      <c r="BV12" s="177">
        <f t="shared" si="6"/>
        <v>0.16413737271808693</v>
      </c>
      <c r="BW12" s="177">
        <f t="shared" si="7"/>
        <v>0.30245556062018858</v>
      </c>
      <c r="BX12" s="177">
        <f t="shared" si="8"/>
        <v>0.3628532190946761</v>
      </c>
      <c r="BY12" s="177"/>
      <c r="BZ12" s="177">
        <f t="shared" si="9"/>
        <v>0.4</v>
      </c>
    </row>
    <row r="13" spans="3:78" x14ac:dyDescent="0.15">
      <c r="C13" t="s">
        <v>58</v>
      </c>
      <c r="E13" s="14">
        <f t="shared" si="2"/>
        <v>1.926661009086492E-2</v>
      </c>
      <c r="F13" s="261">
        <v>0.01</v>
      </c>
      <c r="G13" s="140">
        <f t="shared" si="10"/>
        <v>2.9266610090864918E-2</v>
      </c>
      <c r="H13" s="140">
        <f t="shared" si="11"/>
        <v>2.5966610090864917E-2</v>
      </c>
      <c r="I13" s="14"/>
      <c r="J13" s="530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77">
        <f t="shared" si="5"/>
        <v>0.19652031772666581</v>
      </c>
      <c r="BV13" s="177">
        <f t="shared" si="6"/>
        <v>0.43063615519785087</v>
      </c>
      <c r="BW13" s="177">
        <f t="shared" si="7"/>
        <v>0.60101859785989065</v>
      </c>
      <c r="BX13" s="177">
        <f t="shared" si="8"/>
        <v>0.66376140368008751</v>
      </c>
      <c r="BY13" s="177"/>
      <c r="BZ13" s="177">
        <f t="shared" si="9"/>
        <v>0.7</v>
      </c>
    </row>
    <row r="14" spans="3:78" x14ac:dyDescent="0.15">
      <c r="C14" t="s">
        <v>114</v>
      </c>
      <c r="E14" s="14">
        <f t="shared" si="2"/>
        <v>2.3825929457759708E-2</v>
      </c>
      <c r="F14" s="261">
        <v>-5.0000000000000001E-3</v>
      </c>
      <c r="G14" s="140">
        <f t="shared" si="10"/>
        <v>1.8825929457759707E-2</v>
      </c>
      <c r="H14" s="140">
        <f t="shared" si="11"/>
        <v>1.5525929457759706E-2</v>
      </c>
      <c r="I14" s="14"/>
      <c r="J14" s="530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77">
        <f t="shared" si="5"/>
        <v>0.71216503489171734</v>
      </c>
      <c r="BV14" s="177">
        <f t="shared" si="6"/>
        <v>0.82691098756780479</v>
      </c>
      <c r="BW14" s="177">
        <f t="shared" si="7"/>
        <v>0.87639396835100236</v>
      </c>
      <c r="BX14" s="177">
        <f t="shared" si="8"/>
        <v>0.89169774640884381</v>
      </c>
      <c r="BY14" s="177"/>
      <c r="BZ14" s="177">
        <f t="shared" si="9"/>
        <v>0.9</v>
      </c>
    </row>
    <row r="15" spans="3:78" x14ac:dyDescent="0.15">
      <c r="C15" t="s">
        <v>32</v>
      </c>
      <c r="E15" s="14">
        <f t="shared" si="2"/>
        <v>2.7948054705052162E-2</v>
      </c>
      <c r="F15" s="261">
        <v>0</v>
      </c>
      <c r="G15" s="140">
        <f t="shared" si="10"/>
        <v>2.7948054705052162E-2</v>
      </c>
      <c r="H15" s="140">
        <f t="shared" si="11"/>
        <v>2.4648054705052162E-2</v>
      </c>
      <c r="I15" s="14"/>
      <c r="J15" s="530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77">
        <f t="shared" si="5"/>
        <v>6.6913635668744392E-2</v>
      </c>
      <c r="BV15" s="177">
        <f t="shared" si="6"/>
        <v>0.24666330322547247</v>
      </c>
      <c r="BW15" s="177">
        <f t="shared" si="7"/>
        <v>0.45394757774885353</v>
      </c>
      <c r="BX15" s="177">
        <f t="shared" si="8"/>
        <v>0.54439033963409544</v>
      </c>
      <c r="BY15" s="177"/>
      <c r="BZ15" s="177">
        <f t="shared" si="9"/>
        <v>0.6</v>
      </c>
    </row>
    <row r="16" spans="3:78" x14ac:dyDescent="0.15">
      <c r="C16" s="1" t="s">
        <v>255</v>
      </c>
      <c r="E16" s="14"/>
      <c r="G16" s="140"/>
      <c r="J16" s="529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 x14ac:dyDescent="0.15">
      <c r="J17" s="529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 x14ac:dyDescent="0.15">
      <c r="E18" t="s">
        <v>1159</v>
      </c>
      <c r="M18" t="s">
        <v>256</v>
      </c>
    </row>
    <row r="19" spans="1:106" x14ac:dyDescent="0.15">
      <c r="E19" s="1" t="s">
        <v>285</v>
      </c>
    </row>
    <row r="20" spans="1:106" x14ac:dyDescent="0.15">
      <c r="A20" s="1" t="s">
        <v>286</v>
      </c>
      <c r="E20" s="140" t="s">
        <v>983</v>
      </c>
      <c r="F20" s="140" t="s">
        <v>984</v>
      </c>
      <c r="N20" t="s">
        <v>257</v>
      </c>
      <c r="O20" t="s">
        <v>258</v>
      </c>
    </row>
    <row r="21" spans="1:106" x14ac:dyDescent="0.15">
      <c r="A21" s="262">
        <f>+[5]sum_newregion!AF17/1000000</f>
        <v>296.842578</v>
      </c>
      <c r="C21" s="175" t="s">
        <v>104</v>
      </c>
      <c r="E21" s="261">
        <v>2.1372936709409068E-2</v>
      </c>
      <c r="F21" s="261">
        <v>8.8134300981983008E-3</v>
      </c>
      <c r="M21" s="175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8"/>
      <c r="AP21" s="178"/>
      <c r="AQ21" s="178"/>
      <c r="AR21" s="178"/>
      <c r="AS21" s="178"/>
      <c r="AT21" s="178"/>
      <c r="AU21" s="178"/>
      <c r="AV21" s="178"/>
      <c r="AW21" s="178"/>
      <c r="AX21" s="178"/>
      <c r="AY21" s="178"/>
      <c r="AZ21" s="178"/>
      <c r="BA21" s="178"/>
      <c r="BB21" s="178"/>
      <c r="BC21" s="178"/>
      <c r="BD21" s="178"/>
      <c r="BE21" s="178"/>
      <c r="BF21" s="178"/>
      <c r="BG21" s="178"/>
      <c r="BH21" s="178"/>
      <c r="BI21" s="178"/>
      <c r="BJ21" s="178"/>
      <c r="BK21" s="178"/>
      <c r="BL21" s="178"/>
      <c r="BM21" s="178"/>
      <c r="BN21" s="178"/>
      <c r="BO21" s="178"/>
      <c r="BP21" s="178"/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  <c r="CB21" s="178"/>
      <c r="CC21" s="178"/>
      <c r="CD21" s="178"/>
      <c r="CE21" s="178"/>
      <c r="CF21" s="178"/>
      <c r="CG21" s="178"/>
      <c r="CH21" s="178"/>
      <c r="CI21" s="178"/>
      <c r="CJ21" s="178"/>
      <c r="CK21" s="178"/>
      <c r="CL21" s="178"/>
      <c r="CM21" s="178"/>
      <c r="CN21" s="178"/>
      <c r="CO21" s="178"/>
      <c r="CP21" s="178"/>
      <c r="CQ21" s="178"/>
      <c r="CR21" s="178"/>
      <c r="CS21" s="178"/>
      <c r="CT21" s="178"/>
      <c r="CU21" s="178"/>
      <c r="CV21" s="178"/>
      <c r="CW21" s="178"/>
      <c r="CX21" s="178"/>
      <c r="CY21" s="178"/>
      <c r="CZ21" s="178"/>
      <c r="DA21" s="178"/>
      <c r="DB21" s="178"/>
    </row>
    <row r="22" spans="1:106" x14ac:dyDescent="0.15">
      <c r="A22" s="262">
        <f>+[5]sum_newregion!AF18/1000000</f>
        <v>490.08019258719162</v>
      </c>
      <c r="C22" t="s">
        <v>31</v>
      </c>
      <c r="E22" s="261">
        <v>1.9405918692944939E-2</v>
      </c>
      <c r="F22" s="261">
        <v>9.1931641858204235E-3</v>
      </c>
      <c r="J22" s="261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  <c r="AC22" s="178"/>
      <c r="AD22" s="178"/>
      <c r="AE22" s="178"/>
      <c r="AF22" s="178"/>
      <c r="AG22" s="178"/>
      <c r="AH22" s="178"/>
      <c r="AI22" s="178"/>
      <c r="AJ22" s="178"/>
      <c r="AK22" s="178"/>
      <c r="AL22" s="178"/>
      <c r="AM22" s="178"/>
      <c r="AN22" s="178"/>
      <c r="AO22" s="178"/>
      <c r="AP22" s="178"/>
      <c r="AQ22" s="178"/>
      <c r="AR22" s="178"/>
      <c r="AS22" s="178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78"/>
      <c r="BP22" s="178"/>
      <c r="BQ22" s="178"/>
      <c r="BR22" s="178"/>
      <c r="BS22" s="178"/>
      <c r="BT22" s="178"/>
      <c r="BU22" s="178"/>
      <c r="BV22" s="178"/>
      <c r="BW22" s="178"/>
      <c r="BX22" s="178"/>
      <c r="BY22" s="178"/>
      <c r="BZ22" s="178"/>
      <c r="CA22" s="178"/>
      <c r="CB22" s="178"/>
      <c r="CC22" s="178"/>
      <c r="CD22" s="178"/>
      <c r="CE22" s="178"/>
      <c r="CF22" s="178"/>
      <c r="CG22" s="178"/>
      <c r="CH22" s="178"/>
      <c r="CI22" s="178"/>
      <c r="CJ22" s="178"/>
      <c r="CK22" s="178"/>
      <c r="CL22" s="178"/>
      <c r="CM22" s="178"/>
      <c r="CN22" s="178"/>
      <c r="CO22" s="178"/>
      <c r="CP22" s="178"/>
      <c r="CQ22" s="178"/>
      <c r="CR22" s="178"/>
      <c r="CS22" s="178"/>
      <c r="CT22" s="178"/>
      <c r="CU22" s="178"/>
      <c r="CV22" s="178"/>
      <c r="CW22" s="178"/>
      <c r="CX22" s="178"/>
      <c r="CY22" s="178"/>
      <c r="CZ22" s="178"/>
      <c r="DA22" s="178"/>
      <c r="DB22" s="178"/>
    </row>
    <row r="23" spans="1:106" x14ac:dyDescent="0.15">
      <c r="A23" s="262">
        <f>+[5]sum_newregion!AF19/1000000</f>
        <v>127.773</v>
      </c>
      <c r="C23" t="s">
        <v>51</v>
      </c>
      <c r="E23" s="261">
        <v>9.4777508624843288E-3</v>
      </c>
      <c r="F23" s="261">
        <v>1.2090535336812081E-2</v>
      </c>
      <c r="J23" s="261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/>
      <c r="AQ23" s="178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8"/>
      <c r="BE23" s="178"/>
      <c r="BF23" s="178"/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  <c r="CB23" s="178"/>
      <c r="CC23" s="178"/>
      <c r="CD23" s="178"/>
      <c r="CE23" s="178"/>
      <c r="CF23" s="178"/>
      <c r="CG23" s="178"/>
      <c r="CH23" s="178"/>
      <c r="CI23" s="178"/>
      <c r="CJ23" s="178"/>
      <c r="CK23" s="178"/>
      <c r="CL23" s="178"/>
      <c r="CM23" s="178"/>
      <c r="CN23" s="178"/>
      <c r="CO23" s="178"/>
      <c r="CP23" s="178"/>
      <c r="CQ23" s="178"/>
      <c r="CR23" s="178"/>
      <c r="CS23" s="178"/>
      <c r="CT23" s="178"/>
      <c r="CU23" s="178"/>
      <c r="CV23" s="178"/>
      <c r="CW23" s="178"/>
      <c r="CX23" s="178"/>
      <c r="CY23" s="178"/>
      <c r="CZ23" s="178"/>
      <c r="DA23" s="178"/>
      <c r="DB23" s="178"/>
    </row>
    <row r="24" spans="1:106" x14ac:dyDescent="0.15">
      <c r="A24" s="262">
        <f>+[5]sum_newregion!AF20/1000000</f>
        <v>143.15</v>
      </c>
      <c r="C24" t="s">
        <v>52</v>
      </c>
      <c r="E24" s="261">
        <v>4.1235271490353345E-2</v>
      </c>
      <c r="F24" s="261">
        <v>4.0729354255286301E-2</v>
      </c>
      <c r="J24" s="261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</row>
    <row r="25" spans="1:106" x14ac:dyDescent="0.15">
      <c r="A25" s="262">
        <f>+[5]sum_newregion!AF21/1000000</f>
        <v>155.94246849385479</v>
      </c>
      <c r="C25" t="s">
        <v>254</v>
      </c>
      <c r="E25" s="261">
        <v>3.8240844402048495E-2</v>
      </c>
      <c r="F25" s="261">
        <v>4.1155594991939416E-2</v>
      </c>
      <c r="J25" s="261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8"/>
      <c r="AP25" s="178"/>
      <c r="AQ25" s="178"/>
      <c r="AR25" s="178"/>
      <c r="AS25" s="178"/>
      <c r="AT25" s="178"/>
      <c r="AU25" s="178"/>
      <c r="AV25" s="178"/>
      <c r="AW25" s="178"/>
      <c r="AX25" s="178"/>
      <c r="AY25" s="178"/>
      <c r="AZ25" s="178"/>
      <c r="BA25" s="178"/>
      <c r="BB25" s="178"/>
      <c r="BC25" s="178"/>
      <c r="BD25" s="178"/>
      <c r="BE25" s="178"/>
      <c r="BF25" s="178"/>
      <c r="BG25" s="178"/>
      <c r="BH25" s="178"/>
      <c r="BI25" s="178"/>
      <c r="BJ25" s="178"/>
      <c r="BK25" s="178"/>
      <c r="BL25" s="178"/>
      <c r="BM25" s="178"/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  <c r="CB25" s="178"/>
      <c r="CC25" s="178"/>
      <c r="CD25" s="178"/>
      <c r="CE25" s="178"/>
      <c r="CF25" s="178"/>
      <c r="CG25" s="178"/>
      <c r="CH25" s="178"/>
      <c r="CI25" s="178"/>
      <c r="CJ25" s="178"/>
      <c r="CK25" s="178"/>
      <c r="CL25" s="178"/>
      <c r="CM25" s="178"/>
      <c r="CN25" s="178"/>
      <c r="CO25" s="178"/>
      <c r="CP25" s="178"/>
      <c r="CQ25" s="178"/>
      <c r="CR25" s="178"/>
      <c r="CS25" s="178"/>
      <c r="CT25" s="178"/>
      <c r="CU25" s="178"/>
      <c r="CV25" s="178"/>
      <c r="CW25" s="178"/>
      <c r="CX25" s="178"/>
      <c r="CY25" s="178"/>
      <c r="CZ25" s="178"/>
      <c r="DA25" s="178"/>
      <c r="DB25" s="178"/>
    </row>
    <row r="26" spans="1:106" x14ac:dyDescent="0.15">
      <c r="A26" s="262">
        <f>+[5]sum_newregion!AF22/1000000</f>
        <v>1304.5</v>
      </c>
      <c r="C26" t="s">
        <v>54</v>
      </c>
      <c r="E26" s="261">
        <v>7.9109032327296408E-2</v>
      </c>
      <c r="F26" s="261">
        <v>8.368855196787528E-2</v>
      </c>
      <c r="J26" s="261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CD26" s="178"/>
      <c r="CE26" s="178"/>
      <c r="CF26" s="178"/>
      <c r="CG26" s="178"/>
      <c r="CH26" s="178"/>
      <c r="CI26" s="178"/>
      <c r="CJ26" s="178"/>
      <c r="CK26" s="178"/>
      <c r="CL26" s="178"/>
      <c r="CM26" s="178"/>
      <c r="CN26" s="178"/>
      <c r="CO26" s="178"/>
      <c r="CP26" s="178"/>
      <c r="CQ26" s="178"/>
      <c r="CR26" s="178"/>
      <c r="CS26" s="178"/>
      <c r="CT26" s="178"/>
      <c r="CU26" s="178"/>
      <c r="CV26" s="178"/>
      <c r="CW26" s="178"/>
      <c r="CX26" s="178"/>
      <c r="CY26" s="178"/>
      <c r="CZ26" s="178"/>
      <c r="DA26" s="178"/>
      <c r="DB26" s="178"/>
    </row>
    <row r="27" spans="1:106" x14ac:dyDescent="0.15">
      <c r="A27" s="262">
        <f>+[5]sum_newregion!AF23/1000000</f>
        <v>1094.5830000000001</v>
      </c>
      <c r="C27" t="s">
        <v>55</v>
      </c>
      <c r="E27" s="261">
        <v>4.5898349817007841E-2</v>
      </c>
      <c r="F27" s="261">
        <v>5.5092625316223429E-2</v>
      </c>
      <c r="J27" s="261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CD27" s="178"/>
      <c r="CE27" s="178"/>
      <c r="CF27" s="178"/>
      <c r="CG27" s="178"/>
      <c r="CH27" s="178"/>
      <c r="CI27" s="178"/>
      <c r="CJ27" s="178"/>
      <c r="CK27" s="178"/>
      <c r="CL27" s="178"/>
      <c r="CM27" s="178"/>
      <c r="CN27" s="178"/>
      <c r="CO27" s="178"/>
      <c r="CP27" s="178"/>
      <c r="CQ27" s="178"/>
      <c r="CR27" s="178"/>
      <c r="CS27" s="178"/>
      <c r="CT27" s="178"/>
      <c r="CU27" s="178"/>
      <c r="CV27" s="178"/>
      <c r="CW27" s="178"/>
      <c r="CX27" s="178"/>
      <c r="CY27" s="178"/>
      <c r="CZ27" s="178"/>
      <c r="DA27" s="178"/>
      <c r="DB27" s="178"/>
    </row>
    <row r="28" spans="1:106" x14ac:dyDescent="0.15">
      <c r="A28" s="262">
        <f>+[5]sum_newregion!AF24/1000000</f>
        <v>412.76900131562951</v>
      </c>
      <c r="C28" t="s">
        <v>56</v>
      </c>
      <c r="E28" s="261">
        <v>2.1206491581115958E-2</v>
      </c>
      <c r="F28" s="261">
        <v>2.5861103203830359E-2</v>
      </c>
      <c r="J28" s="261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78"/>
      <c r="R28" s="178"/>
      <c r="S28" s="178"/>
      <c r="T28" s="178"/>
      <c r="U28" s="178"/>
      <c r="V28" s="178"/>
      <c r="W28" s="178"/>
      <c r="X28" s="178"/>
      <c r="Y28" s="178"/>
      <c r="Z28" s="178"/>
      <c r="AA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  <c r="AQ28" s="178"/>
      <c r="AR28" s="178"/>
      <c r="AS28" s="178"/>
      <c r="AT28" s="178"/>
      <c r="AU28" s="178"/>
      <c r="AV28" s="178"/>
      <c r="AW28" s="178"/>
      <c r="AX28" s="178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</row>
    <row r="29" spans="1:106" x14ac:dyDescent="0.15">
      <c r="A29" s="262">
        <f>+[5]sum_newregion!AF25/1000000</f>
        <v>763.50611154103387</v>
      </c>
      <c r="C29" t="s">
        <v>57</v>
      </c>
      <c r="E29" s="261">
        <v>2.1621116102774684E-2</v>
      </c>
      <c r="F29" s="261">
        <v>3.1344274354200403E-2</v>
      </c>
      <c r="J29" s="261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78"/>
      <c r="R29" s="178"/>
      <c r="S29" s="178"/>
      <c r="T29" s="178"/>
      <c r="U29" s="178"/>
      <c r="V29" s="178"/>
      <c r="W29" s="178"/>
      <c r="X29" s="178"/>
      <c r="Y29" s="178"/>
      <c r="Z29" s="178"/>
      <c r="AA29" s="178"/>
      <c r="AB29" s="178"/>
      <c r="AC29" s="178"/>
      <c r="AD29" s="178"/>
      <c r="AE29" s="178"/>
      <c r="AF29" s="178"/>
      <c r="AG29" s="178"/>
      <c r="AH29" s="178"/>
      <c r="AI29" s="178"/>
      <c r="AJ29" s="178"/>
      <c r="AK29" s="178"/>
      <c r="AL29" s="178"/>
      <c r="AM29" s="178"/>
      <c r="AN29" s="178"/>
      <c r="AO29" s="178"/>
      <c r="AP29" s="178"/>
      <c r="AQ29" s="178"/>
      <c r="AR29" s="178"/>
      <c r="AS29" s="178"/>
      <c r="AT29" s="178"/>
      <c r="AU29" s="178"/>
      <c r="AV29" s="178"/>
      <c r="AW29" s="178"/>
      <c r="AX29" s="178"/>
      <c r="AY29" s="178"/>
      <c r="AZ29" s="178"/>
      <c r="BA29" s="178"/>
      <c r="BB29" s="178"/>
      <c r="BC29" s="178"/>
      <c r="BD29" s="178"/>
      <c r="BE29" s="178"/>
      <c r="BF29" s="178"/>
      <c r="BG29" s="178"/>
      <c r="BH29" s="178"/>
      <c r="BI29" s="178"/>
      <c r="BJ29" s="178"/>
      <c r="BK29" s="178"/>
      <c r="BL29" s="178"/>
      <c r="BM29" s="178"/>
      <c r="BN29" s="178"/>
      <c r="BO29" s="178"/>
      <c r="BP29" s="178"/>
      <c r="BQ29" s="178"/>
      <c r="BR29" s="178"/>
      <c r="BS29" s="178"/>
      <c r="BT29" s="178"/>
      <c r="BU29" s="178"/>
      <c r="BV29" s="178"/>
      <c r="BW29" s="178"/>
      <c r="BX29" s="178"/>
      <c r="BY29" s="178"/>
      <c r="BZ29" s="178"/>
      <c r="CA29" s="178"/>
      <c r="CB29" s="178"/>
      <c r="CC29" s="178"/>
      <c r="CD29" s="178"/>
      <c r="CE29" s="178"/>
      <c r="CF29" s="178"/>
      <c r="CG29" s="178"/>
      <c r="CH29" s="178"/>
      <c r="CI29" s="178"/>
      <c r="CJ29" s="178"/>
      <c r="CK29" s="178"/>
      <c r="CL29" s="178"/>
      <c r="CM29" s="178"/>
      <c r="CN29" s="178"/>
      <c r="CO29" s="178"/>
      <c r="CP29" s="178"/>
      <c r="CQ29" s="178"/>
      <c r="CR29" s="178"/>
      <c r="CS29" s="178"/>
      <c r="CT29" s="178"/>
      <c r="CU29" s="178"/>
      <c r="CV29" s="178"/>
      <c r="CW29" s="178"/>
      <c r="CX29" s="178"/>
      <c r="CY29" s="178"/>
      <c r="CZ29" s="178"/>
      <c r="DA29" s="178"/>
      <c r="DB29" s="178"/>
    </row>
    <row r="30" spans="1:106" x14ac:dyDescent="0.15">
      <c r="A30" s="262">
        <f>+[5]sum_newregion!AF26/1000000</f>
        <v>555.38007856447791</v>
      </c>
      <c r="C30" t="s">
        <v>58</v>
      </c>
      <c r="E30" s="261">
        <v>1.3704363870838393E-2</v>
      </c>
      <c r="F30" s="261">
        <v>2.4828856310891448E-2</v>
      </c>
      <c r="J30" s="261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  <c r="AQ30" s="178"/>
      <c r="AR30" s="178"/>
      <c r="AS30" s="178"/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8"/>
      <c r="BE30" s="178"/>
      <c r="BF30" s="178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8"/>
      <c r="CD30" s="178"/>
      <c r="CE30" s="178"/>
      <c r="CF30" s="178"/>
      <c r="CG30" s="178"/>
      <c r="CH30" s="178"/>
      <c r="CI30" s="178"/>
      <c r="CJ30" s="178"/>
      <c r="CK30" s="178"/>
      <c r="CL30" s="178"/>
      <c r="CM30" s="178"/>
      <c r="CN30" s="178"/>
      <c r="CO30" s="178"/>
      <c r="CP30" s="178"/>
      <c r="CQ30" s="178"/>
      <c r="CR30" s="178"/>
      <c r="CS30" s="178"/>
      <c r="CT30" s="178"/>
      <c r="CU30" s="178"/>
      <c r="CV30" s="178"/>
      <c r="CW30" s="178"/>
      <c r="CX30" s="178"/>
      <c r="CY30" s="178"/>
      <c r="CZ30" s="178"/>
      <c r="DA30" s="178"/>
      <c r="DB30" s="178"/>
    </row>
    <row r="31" spans="1:106" x14ac:dyDescent="0.15">
      <c r="A31" s="262">
        <f>+[5]sum_newregion!AF27/1000000</f>
        <v>129.169624</v>
      </c>
      <c r="C31" t="s">
        <v>114</v>
      </c>
      <c r="E31" s="261">
        <v>2.8315552989219717E-2</v>
      </c>
      <c r="F31" s="261">
        <v>1.9336305926299695E-2</v>
      </c>
      <c r="J31" s="261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78"/>
      <c r="R31" s="178"/>
      <c r="S31" s="178"/>
      <c r="T31" s="178"/>
      <c r="U31" s="178"/>
      <c r="V31" s="178"/>
      <c r="W31" s="178"/>
      <c r="X31" s="178"/>
      <c r="Y31" s="178"/>
      <c r="Z31" s="178"/>
      <c r="AA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/>
      <c r="AO31" s="178"/>
      <c r="AP31" s="178"/>
      <c r="AQ31" s="178"/>
      <c r="AR31" s="178"/>
      <c r="AS31" s="178"/>
      <c r="AT31" s="178"/>
      <c r="AU31" s="178"/>
      <c r="AV31" s="178"/>
      <c r="AW31" s="178"/>
      <c r="AX31" s="178"/>
      <c r="AY31" s="178"/>
      <c r="AZ31" s="178"/>
      <c r="BA31" s="178"/>
      <c r="BB31" s="178"/>
      <c r="BC31" s="178"/>
      <c r="BD31" s="178"/>
      <c r="BE31" s="178"/>
      <c r="BF31" s="178"/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  <c r="CB31" s="178"/>
      <c r="CC31" s="178"/>
      <c r="CD31" s="178"/>
      <c r="CE31" s="178"/>
      <c r="CF31" s="178"/>
      <c r="CG31" s="178"/>
      <c r="CH31" s="178"/>
      <c r="CI31" s="178"/>
      <c r="CJ31" s="178"/>
      <c r="CK31" s="178"/>
      <c r="CL31" s="178"/>
      <c r="CM31" s="178"/>
      <c r="CN31" s="178"/>
      <c r="CO31" s="178"/>
      <c r="CP31" s="178"/>
      <c r="CQ31" s="178"/>
      <c r="CR31" s="178"/>
      <c r="CS31" s="178"/>
      <c r="CT31" s="178"/>
      <c r="CU31" s="178"/>
      <c r="CV31" s="178"/>
      <c r="CW31" s="178"/>
      <c r="CX31" s="178"/>
      <c r="CY31" s="178"/>
      <c r="CZ31" s="178"/>
      <c r="DA31" s="178"/>
      <c r="DB31" s="178"/>
    </row>
    <row r="32" spans="1:106" x14ac:dyDescent="0.15">
      <c r="A32" s="262">
        <f>+[5]sum_newregion!AF28/1000000</f>
        <v>937.19556697899202</v>
      </c>
      <c r="C32" t="s">
        <v>32</v>
      </c>
      <c r="E32" s="261">
        <v>2.0751458282108549E-2</v>
      </c>
      <c r="F32" s="261">
        <v>3.514465112799578E-2</v>
      </c>
      <c r="J32" s="261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78"/>
      <c r="BC32" s="178"/>
      <c r="BD32" s="178"/>
      <c r="BE32" s="178"/>
      <c r="BF32" s="178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  <c r="CB32" s="178"/>
      <c r="CC32" s="178"/>
      <c r="CD32" s="178"/>
      <c r="CE32" s="178"/>
      <c r="CF32" s="178"/>
      <c r="CG32" s="178"/>
      <c r="CH32" s="178"/>
      <c r="CI32" s="178"/>
      <c r="CJ32" s="178"/>
      <c r="CK32" s="178"/>
      <c r="CL32" s="178"/>
      <c r="CM32" s="178"/>
      <c r="CN32" s="178"/>
      <c r="CO32" s="178"/>
      <c r="CP32" s="178"/>
      <c r="CQ32" s="178"/>
      <c r="CR32" s="178"/>
      <c r="CS32" s="178"/>
      <c r="CT32" s="178"/>
      <c r="CU32" s="178"/>
      <c r="CV32" s="178"/>
      <c r="CW32" s="178"/>
      <c r="CX32" s="178"/>
      <c r="CY32" s="178"/>
      <c r="CZ32" s="178"/>
      <c r="DA32" s="178"/>
      <c r="DB32" s="178"/>
    </row>
    <row r="33" spans="1:42" x14ac:dyDescent="0.15">
      <c r="A33" s="262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78"/>
      <c r="AP33" s="178"/>
    </row>
    <row r="34" spans="1:42" x14ac:dyDescent="0.15">
      <c r="D34">
        <f>+LN(Parameters!B27)/20</f>
        <v>0</v>
      </c>
      <c r="E34">
        <f>+LN(Parameters!B27)</f>
        <v>0</v>
      </c>
    </row>
    <row r="35" spans="1:42" s="12" customFormat="1" x14ac:dyDescent="0.15">
      <c r="A35" s="184"/>
      <c r="AF35" s="208"/>
    </row>
    <row r="36" spans="1:42" s="209" customFormat="1" x14ac:dyDescent="0.15">
      <c r="A36" s="1" t="s">
        <v>1207</v>
      </c>
    </row>
    <row r="37" spans="1:42" s="209" customFormat="1" x14ac:dyDescent="0.15">
      <c r="A37" s="207" t="s">
        <v>289</v>
      </c>
      <c r="B37" s="208">
        <v>2015</v>
      </c>
      <c r="C37" s="208">
        <v>2025</v>
      </c>
      <c r="D37" s="208">
        <v>2035</v>
      </c>
      <c r="E37" s="208">
        <v>2045</v>
      </c>
      <c r="F37" s="208">
        <v>2055</v>
      </c>
      <c r="G37" s="208">
        <v>2065</v>
      </c>
      <c r="H37" s="208">
        <v>2075</v>
      </c>
      <c r="I37" s="208">
        <v>2085</v>
      </c>
      <c r="J37" s="208">
        <v>2095</v>
      </c>
      <c r="K37" s="208">
        <v>2105</v>
      </c>
      <c r="L37" s="208">
        <v>2115</v>
      </c>
      <c r="M37" s="208">
        <v>2125</v>
      </c>
      <c r="N37" s="208">
        <v>2135</v>
      </c>
      <c r="O37" s="208">
        <v>2145</v>
      </c>
      <c r="P37" s="208">
        <v>2155</v>
      </c>
      <c r="Q37" s="208">
        <v>2165</v>
      </c>
      <c r="R37" s="208">
        <v>2175</v>
      </c>
      <c r="S37" s="208">
        <v>2185</v>
      </c>
      <c r="T37" s="208">
        <v>2195</v>
      </c>
      <c r="U37" s="208">
        <v>2205</v>
      </c>
      <c r="V37" s="208">
        <v>2215</v>
      </c>
      <c r="W37" s="208">
        <v>2225</v>
      </c>
      <c r="X37" s="208">
        <v>2235</v>
      </c>
      <c r="Y37" s="208">
        <v>2245</v>
      </c>
      <c r="Z37" s="208">
        <v>2255</v>
      </c>
      <c r="AA37" s="208">
        <v>2265</v>
      </c>
      <c r="AB37" s="208">
        <v>2275</v>
      </c>
      <c r="AC37" s="208">
        <v>2285</v>
      </c>
      <c r="AD37" s="208">
        <v>2295</v>
      </c>
      <c r="AE37" s="208">
        <v>2305</v>
      </c>
    </row>
    <row r="38" spans="1:42" s="518" customFormat="1" x14ac:dyDescent="0.15">
      <c r="A38" s="518" t="s">
        <v>104</v>
      </c>
      <c r="B38" s="519">
        <f>+B375</f>
        <v>9.3279313555020352E-3</v>
      </c>
      <c r="C38" s="519">
        <f>+C375+LN(Parameters!$B$27)/200</f>
        <v>7.6456914107725076E-3</v>
      </c>
      <c r="D38" s="519">
        <f>+D375+LN(Parameters!$B$27)/200</f>
        <v>5.7596483440908825E-3</v>
      </c>
      <c r="E38" s="519">
        <f>+E375+LN(Parameters!$B$27)/200</f>
        <v>4.3177913415189213E-3</v>
      </c>
      <c r="F38" s="519">
        <f>+F375+LN(Parameters!$B$27)/200</f>
        <v>2.4627299464364846E-3</v>
      </c>
      <c r="G38" s="519">
        <f>+G375+LN(Parameters!$B$27)/200</f>
        <v>1.3456354717457325E-3</v>
      </c>
      <c r="H38" s="519">
        <f>+H375+LN(Parameters!$B$27)/200</f>
        <v>1.3456354717457325E-3</v>
      </c>
      <c r="I38" s="519">
        <f>+I375+LN(Parameters!$B$27)/200</f>
        <v>1.3456354717457325E-3</v>
      </c>
      <c r="J38" s="519">
        <f>+J375+LN(Parameters!$B$27)/200</f>
        <v>1.3456354717457325E-3</v>
      </c>
      <c r="K38" s="519">
        <f>+K375+LN(Parameters!$B$27)/200</f>
        <v>1.0349976295224235E-3</v>
      </c>
      <c r="L38" s="519">
        <f>+L375+LN(Parameters!$B$27)/200</f>
        <v>7.2435978729911473E-4</v>
      </c>
      <c r="M38" s="519">
        <f>+M375+LN(Parameters!$B$27)/200</f>
        <v>7.2435978729911473E-4</v>
      </c>
      <c r="N38" s="519">
        <f>+N375+LN(Parameters!$B$27)/200</f>
        <v>7.2435978729911473E-4</v>
      </c>
      <c r="O38" s="519">
        <f>+O375+LN(Parameters!$B$27)/200</f>
        <v>7.2435978729911473E-4</v>
      </c>
      <c r="P38" s="519">
        <f>+P375+LN(Parameters!$B$27)/200</f>
        <v>7.2435978729911473E-4</v>
      </c>
      <c r="Q38" s="519">
        <f>+Q375+LN(Parameters!$B$27)/200</f>
        <v>7.2435978729911473E-4</v>
      </c>
      <c r="R38" s="519">
        <f>+R375+LN(Parameters!$B$27)/200</f>
        <v>7.2435978729911473E-4</v>
      </c>
      <c r="S38" s="519">
        <f>+S375+LN(Parameters!$B$27)/200</f>
        <v>7.2435978729911473E-4</v>
      </c>
      <c r="T38" s="519">
        <f>+T375+LN(Parameters!$B$27)/200</f>
        <v>7.2435978729911473E-4</v>
      </c>
      <c r="U38" s="519">
        <f>+U375+LN(Parameters!$B$27)/200</f>
        <v>6.0103040758818316E-4</v>
      </c>
      <c r="V38" s="519">
        <f>+V375+LN(Parameters!$B$27)/200</f>
        <v>4.7770102787725164E-4</v>
      </c>
      <c r="W38" s="519">
        <v>4.7770102787725164E-4</v>
      </c>
      <c r="X38" s="519">
        <v>4.7770102787725164E-4</v>
      </c>
      <c r="Y38" s="519">
        <v>4.7770102787725164E-4</v>
      </c>
      <c r="Z38" s="519">
        <v>4.7770102787725164E-4</v>
      </c>
      <c r="AA38" s="519">
        <v>4.7770102787725164E-4</v>
      </c>
      <c r="AB38" s="519">
        <v>4.7770102787725164E-4</v>
      </c>
      <c r="AC38" s="519">
        <v>4.7770102787725164E-4</v>
      </c>
      <c r="AD38" s="519">
        <v>4.7770102787725164E-4</v>
      </c>
      <c r="AE38" s="519">
        <v>2.3885051393862582E-4</v>
      </c>
    </row>
    <row r="39" spans="1:42" s="518" customFormat="1" x14ac:dyDescent="0.15">
      <c r="A39" s="518" t="s">
        <v>31</v>
      </c>
      <c r="B39" s="519">
        <f t="shared" ref="B39:B47" si="24">+B376</f>
        <v>4.345714857604566E-3</v>
      </c>
      <c r="C39" s="519">
        <f>+C376+LN(Parameters!$B$27)/200</f>
        <v>2.3580395709591803E-3</v>
      </c>
      <c r="D39" s="519">
        <f>+D376+LN(Parameters!$B$27)/200</f>
        <v>9.6646885779169776E-4</v>
      </c>
      <c r="E39" s="519">
        <f>+E376+LN(Parameters!$B$27)/200</f>
        <v>-1.0403662089125842E-6</v>
      </c>
      <c r="F39" s="519">
        <f>+F376+LN(Parameters!$B$27)/200</f>
        <v>-1.5505729685358206E-3</v>
      </c>
      <c r="G39" s="519">
        <f>+G376+LN(Parameters!$B$27)/200</f>
        <v>-2.3819981331415466E-3</v>
      </c>
      <c r="H39" s="519">
        <f>+H376+LN(Parameters!$B$27)/200</f>
        <v>-2.3819981331415466E-3</v>
      </c>
      <c r="I39" s="519">
        <f>+I376+LN(Parameters!$B$27)/200</f>
        <v>-2.3819981331415466E-3</v>
      </c>
      <c r="J39" s="519">
        <f>+J376+LN(Parameters!$B$27)/200</f>
        <v>-2.3819981331415466E-3</v>
      </c>
      <c r="K39" s="519">
        <f>+K376+LN(Parameters!$B$27)/200</f>
        <v>-9.7103792999540871E-4</v>
      </c>
      <c r="L39" s="519">
        <f>+L376+LN(Parameters!$B$27)/200</f>
        <v>4.3992227315072885E-4</v>
      </c>
      <c r="M39" s="519">
        <f>+M376+LN(Parameters!$B$27)/200</f>
        <v>4.3992227315072885E-4</v>
      </c>
      <c r="N39" s="519">
        <f>+N376+LN(Parameters!$B$27)/200</f>
        <v>4.3992227315072885E-4</v>
      </c>
      <c r="O39" s="519">
        <f>+O376+LN(Parameters!$B$27)/200</f>
        <v>4.3992227315072885E-4</v>
      </c>
      <c r="P39" s="519">
        <f>+P376+LN(Parameters!$B$27)/200</f>
        <v>4.3992227315072885E-4</v>
      </c>
      <c r="Q39" s="519">
        <f>+Q376+LN(Parameters!$B$27)/200</f>
        <v>4.3992227315072885E-4</v>
      </c>
      <c r="R39" s="519">
        <f>+R376+LN(Parameters!$B$27)/200</f>
        <v>4.3992227315072885E-4</v>
      </c>
      <c r="S39" s="519">
        <f>+S376+LN(Parameters!$B$27)/200</f>
        <v>4.3992227315072885E-4</v>
      </c>
      <c r="T39" s="519">
        <f>+T376+LN(Parameters!$B$27)/200</f>
        <v>4.3992227315072885E-4</v>
      </c>
      <c r="U39" s="519">
        <f>+U376+LN(Parameters!$B$27)/200</f>
        <v>5.3392836847632999E-4</v>
      </c>
      <c r="V39" s="519">
        <f>+V376+LN(Parameters!$B$27)/200</f>
        <v>6.2793446380193113E-4</v>
      </c>
      <c r="W39" s="519">
        <v>6.2793446380193113E-4</v>
      </c>
      <c r="X39" s="519">
        <v>6.2793446380193113E-4</v>
      </c>
      <c r="Y39" s="519">
        <v>6.2793446380193113E-4</v>
      </c>
      <c r="Z39" s="519">
        <v>6.2793446380193113E-4</v>
      </c>
      <c r="AA39" s="519">
        <v>6.2793446380193113E-4</v>
      </c>
      <c r="AB39" s="519">
        <v>6.2793446380193113E-4</v>
      </c>
      <c r="AC39" s="519">
        <v>6.2793446380193113E-4</v>
      </c>
      <c r="AD39" s="519">
        <v>6.2793446380193113E-4</v>
      </c>
      <c r="AE39" s="519">
        <v>3.1396723190096556E-4</v>
      </c>
    </row>
    <row r="40" spans="1:42" s="518" customFormat="1" x14ac:dyDescent="0.15">
      <c r="A40" s="518" t="s">
        <v>51</v>
      </c>
      <c r="B40" s="519">
        <f t="shared" si="24"/>
        <v>-1.3094485000426947E-3</v>
      </c>
      <c r="C40" s="519">
        <f>+C377+LN(Parameters!$B$27)/200</f>
        <v>-4.054346277486051E-3</v>
      </c>
      <c r="D40" s="519">
        <f>+D377+LN(Parameters!$B$27)/200</f>
        <v>-6.0224740689090502E-3</v>
      </c>
      <c r="E40" s="519">
        <f>+E377+LN(Parameters!$B$27)/200</f>
        <v>-7.2870345305459036E-3</v>
      </c>
      <c r="F40" s="519">
        <f>+F377+LN(Parameters!$B$27)/200</f>
        <v>-5.9300060291662213E-3</v>
      </c>
      <c r="G40" s="519">
        <f>+G377+LN(Parameters!$B$27)/200</f>
        <v>-3.9881769488259652E-3</v>
      </c>
      <c r="H40" s="519">
        <f>+H377+LN(Parameters!$B$27)/200</f>
        <v>-3.9881769488259652E-3</v>
      </c>
      <c r="I40" s="519">
        <f>+I377+LN(Parameters!$B$27)/200</f>
        <v>-3.9881769488259652E-3</v>
      </c>
      <c r="J40" s="519">
        <f>+J377+LN(Parameters!$B$27)/200</f>
        <v>-3.9881769488259652E-3</v>
      </c>
      <c r="K40" s="519">
        <f>+K377+LN(Parameters!$B$27)/200</f>
        <v>-1.7413351781274886E-3</v>
      </c>
      <c r="L40" s="519">
        <f>+L377+LN(Parameters!$B$27)/200</f>
        <v>5.0550659257098812E-4</v>
      </c>
      <c r="M40" s="519">
        <f>+M377+LN(Parameters!$B$27)/200</f>
        <v>5.0550659257098812E-4</v>
      </c>
      <c r="N40" s="519">
        <f>+N377+LN(Parameters!$B$27)/200</f>
        <v>5.0550659257098812E-4</v>
      </c>
      <c r="O40" s="519">
        <f>+O377+LN(Parameters!$B$27)/200</f>
        <v>5.0550659257098812E-4</v>
      </c>
      <c r="P40" s="519">
        <f>+P377+LN(Parameters!$B$27)/200</f>
        <v>5.0550659257098812E-4</v>
      </c>
      <c r="Q40" s="519">
        <f>+Q377+LN(Parameters!$B$27)/200</f>
        <v>5.0550659257098812E-4</v>
      </c>
      <c r="R40" s="519">
        <f>+R377+LN(Parameters!$B$27)/200</f>
        <v>5.0550659257098812E-4</v>
      </c>
      <c r="S40" s="519">
        <f>+S377+LN(Parameters!$B$27)/200</f>
        <v>5.0550659257098812E-4</v>
      </c>
      <c r="T40" s="519">
        <f>+T377+LN(Parameters!$B$27)/200</f>
        <v>5.0550659257098812E-4</v>
      </c>
      <c r="U40" s="519">
        <f>+U377+LN(Parameters!$B$27)/200</f>
        <v>5.6115662277203603E-4</v>
      </c>
      <c r="V40" s="519">
        <f>+V377+LN(Parameters!$B$27)/200</f>
        <v>6.1680665297308393E-4</v>
      </c>
      <c r="W40" s="519">
        <v>6.1680665297308393E-4</v>
      </c>
      <c r="X40" s="519">
        <v>6.1680665297308393E-4</v>
      </c>
      <c r="Y40" s="519">
        <v>6.1680665297308393E-4</v>
      </c>
      <c r="Z40" s="519">
        <v>6.1680665297308393E-4</v>
      </c>
      <c r="AA40" s="519">
        <v>6.1680665297308393E-4</v>
      </c>
      <c r="AB40" s="519">
        <v>6.1680665297308393E-4</v>
      </c>
      <c r="AC40" s="519">
        <v>6.1680665297308393E-4</v>
      </c>
      <c r="AD40" s="519">
        <v>6.1680665297308393E-4</v>
      </c>
      <c r="AE40" s="519">
        <v>3.0840332648654197E-4</v>
      </c>
    </row>
    <row r="41" spans="1:42" s="518" customFormat="1" x14ac:dyDescent="0.15">
      <c r="A41" s="518" t="s">
        <v>52</v>
      </c>
      <c r="B41" s="519">
        <f t="shared" si="24"/>
        <v>-3.6902246209143319E-3</v>
      </c>
      <c r="C41" s="519">
        <f>+C378+LN(Parameters!$B$27)/200</f>
        <v>-4.1718339820915069E-3</v>
      </c>
      <c r="D41" s="519">
        <f>+D378+LN(Parameters!$B$27)/200</f>
        <v>-5.4007194778846034E-3</v>
      </c>
      <c r="E41" s="519">
        <f>+E378+LN(Parameters!$B$27)/200</f>
        <v>-5.145827095432578E-3</v>
      </c>
      <c r="F41" s="519">
        <f>+F378+LN(Parameters!$B$27)/200</f>
        <v>-4.9860705512785961E-3</v>
      </c>
      <c r="G41" s="519">
        <f>+G378+LN(Parameters!$B$27)/200</f>
        <v>-4.8680140960981923E-3</v>
      </c>
      <c r="H41" s="519">
        <f>+H378+LN(Parameters!$B$27)/200</f>
        <v>-4.8680140960981923E-3</v>
      </c>
      <c r="I41" s="519">
        <f>+I378+LN(Parameters!$B$27)/200</f>
        <v>-4.8680140960981923E-3</v>
      </c>
      <c r="J41" s="519">
        <f>+J378+LN(Parameters!$B$27)/200</f>
        <v>-4.8680140960981923E-3</v>
      </c>
      <c r="K41" s="519">
        <f>+K378+LN(Parameters!$B$27)/200</f>
        <v>-2.0003461034451284E-3</v>
      </c>
      <c r="L41" s="519">
        <f>+L378+LN(Parameters!$B$27)/200</f>
        <v>8.6732188920793569E-4</v>
      </c>
      <c r="M41" s="519">
        <f>+M378+LN(Parameters!$B$27)/200</f>
        <v>8.6732188920793569E-4</v>
      </c>
      <c r="N41" s="519">
        <f>+N378+LN(Parameters!$B$27)/200</f>
        <v>8.6732188920793569E-4</v>
      </c>
      <c r="O41" s="519">
        <f>+O378+LN(Parameters!$B$27)/200</f>
        <v>8.6732188920793569E-4</v>
      </c>
      <c r="P41" s="519">
        <f>+P378+LN(Parameters!$B$27)/200</f>
        <v>8.6732188920793569E-4</v>
      </c>
      <c r="Q41" s="519">
        <f>+Q378+LN(Parameters!$B$27)/200</f>
        <v>8.6732188920793569E-4</v>
      </c>
      <c r="R41" s="519">
        <f>+R378+LN(Parameters!$B$27)/200</f>
        <v>8.6732188920793569E-4</v>
      </c>
      <c r="S41" s="519">
        <f>+S378+LN(Parameters!$B$27)/200</f>
        <v>8.6732188920793569E-4</v>
      </c>
      <c r="T41" s="519">
        <f>+T378+LN(Parameters!$B$27)/200</f>
        <v>8.6732188920793569E-4</v>
      </c>
      <c r="U41" s="519">
        <f>+U378+LN(Parameters!$B$27)/200</f>
        <v>7.0860637129338837E-4</v>
      </c>
      <c r="V41" s="519">
        <f>+V378+LN(Parameters!$B$27)/200</f>
        <v>5.4989085337884094E-4</v>
      </c>
      <c r="W41" s="519">
        <v>5.4989085337884094E-4</v>
      </c>
      <c r="X41" s="519">
        <v>5.4989085337884094E-4</v>
      </c>
      <c r="Y41" s="519">
        <v>5.4989085337884094E-4</v>
      </c>
      <c r="Z41" s="519">
        <v>5.4989085337884094E-4</v>
      </c>
      <c r="AA41" s="519">
        <v>5.4989085337884094E-4</v>
      </c>
      <c r="AB41" s="519">
        <v>5.4989085337884094E-4</v>
      </c>
      <c r="AC41" s="519">
        <v>5.4989085337884094E-4</v>
      </c>
      <c r="AD41" s="519">
        <v>5.4989085337884094E-4</v>
      </c>
      <c r="AE41" s="519">
        <v>2.7494542668942047E-4</v>
      </c>
    </row>
    <row r="42" spans="1:42" s="518" customFormat="1" x14ac:dyDescent="0.15">
      <c r="A42" s="518" t="s">
        <v>254</v>
      </c>
      <c r="B42" s="519">
        <f t="shared" si="24"/>
        <v>1.1403127329362235E-3</v>
      </c>
      <c r="C42" s="519">
        <f>+C379+LN(Parameters!$B$27)/200</f>
        <v>9.4506994247554551E-4</v>
      </c>
      <c r="D42" s="519">
        <f>+D379+LN(Parameters!$B$27)/200</f>
        <v>-9.0942424029197689E-4</v>
      </c>
      <c r="E42" s="519">
        <f>+E379+LN(Parameters!$B$27)/200</f>
        <v>-1.8225700651584489E-3</v>
      </c>
      <c r="F42" s="519">
        <f>+F379+LN(Parameters!$B$27)/200</f>
        <v>-2.9607996654239951E-3</v>
      </c>
      <c r="G42" s="519">
        <f>+G379+LN(Parameters!$B$27)/200</f>
        <v>-3.2973624479236859E-3</v>
      </c>
      <c r="H42" s="519">
        <f>+H379+LN(Parameters!$B$27)/200</f>
        <v>-3.2973624479236859E-3</v>
      </c>
      <c r="I42" s="519">
        <f>+I379+LN(Parameters!$B$27)/200</f>
        <v>-3.2973624479236859E-3</v>
      </c>
      <c r="J42" s="519">
        <f>+J379+LN(Parameters!$B$27)/200</f>
        <v>-3.2973624479236859E-3</v>
      </c>
      <c r="K42" s="519">
        <f>+K379+LN(Parameters!$B$27)/200</f>
        <v>-1.6486397604340622E-3</v>
      </c>
      <c r="L42" s="519">
        <f>+L379+LN(Parameters!$B$27)/200</f>
        <v>8.2927055561628782E-8</v>
      </c>
      <c r="M42" s="519">
        <f>+M379+LN(Parameters!$B$27)/200</f>
        <v>8.2927055561628782E-8</v>
      </c>
      <c r="N42" s="519">
        <f>+N379+LN(Parameters!$B$27)/200</f>
        <v>8.2927055561628782E-8</v>
      </c>
      <c r="O42" s="519">
        <f>+O379+LN(Parameters!$B$27)/200</f>
        <v>8.2927055561628782E-8</v>
      </c>
      <c r="P42" s="519">
        <f>+P379+LN(Parameters!$B$27)/200</f>
        <v>8.2927055561628782E-8</v>
      </c>
      <c r="Q42" s="519">
        <f>+Q379+LN(Parameters!$B$27)/200</f>
        <v>8.2927055561628782E-8</v>
      </c>
      <c r="R42" s="519">
        <f>+R379+LN(Parameters!$B$27)/200</f>
        <v>8.2927055561628782E-8</v>
      </c>
      <c r="S42" s="519">
        <f>+S379+LN(Parameters!$B$27)/200</f>
        <v>8.2927055561628782E-8</v>
      </c>
      <c r="T42" s="519">
        <f>+T379+LN(Parameters!$B$27)/200</f>
        <v>8.2927055561628782E-8</v>
      </c>
      <c r="U42" s="519">
        <f>+U379+LN(Parameters!$B$27)/200</f>
        <v>2.6716978256804448E-4</v>
      </c>
      <c r="V42" s="519">
        <f>+V379+LN(Parameters!$B$27)/200</f>
        <v>5.3425663808052731E-4</v>
      </c>
      <c r="W42" s="519">
        <v>5.3425663808052731E-4</v>
      </c>
      <c r="X42" s="519">
        <v>5.3425663808052731E-4</v>
      </c>
      <c r="Y42" s="519">
        <v>5.3425663808052731E-4</v>
      </c>
      <c r="Z42" s="519">
        <v>5.3425663808052731E-4</v>
      </c>
      <c r="AA42" s="519">
        <v>5.3425663808052731E-4</v>
      </c>
      <c r="AB42" s="519">
        <v>5.3425663808052731E-4</v>
      </c>
      <c r="AC42" s="519">
        <v>5.3425663808052731E-4</v>
      </c>
      <c r="AD42" s="519">
        <v>5.3425663808052731E-4</v>
      </c>
      <c r="AE42" s="519">
        <v>2.6712831904026366E-4</v>
      </c>
    </row>
    <row r="43" spans="1:42" s="518" customFormat="1" x14ac:dyDescent="0.15">
      <c r="A43" s="518" t="s">
        <v>54</v>
      </c>
      <c r="B43" s="519">
        <f t="shared" si="24"/>
        <v>6.1864064376996406E-3</v>
      </c>
      <c r="C43" s="519">
        <f>+C380+LN(Parameters!$B$27)/200</f>
        <v>4.0117160646553863E-3</v>
      </c>
      <c r="D43" s="519">
        <f>+D380+LN(Parameters!$B$27)/200</f>
        <v>6.3186822708878035E-4</v>
      </c>
      <c r="E43" s="519">
        <f>+E380+LN(Parameters!$B$27)/200</f>
        <v>-1.5201626695921916E-3</v>
      </c>
      <c r="F43" s="519">
        <f>+F380+LN(Parameters!$B$27)/200</f>
        <v>-3.289442290029311E-3</v>
      </c>
      <c r="G43" s="519">
        <f>+G380+LN(Parameters!$B$27)/200</f>
        <v>-3.3248704884521153E-3</v>
      </c>
      <c r="H43" s="519">
        <f>+H380+LN(Parameters!$B$27)/200</f>
        <v>-3.3248704884521153E-3</v>
      </c>
      <c r="I43" s="519">
        <f>+I380+LN(Parameters!$B$27)/200</f>
        <v>-3.3248704884521153E-3</v>
      </c>
      <c r="J43" s="519">
        <f>+J380+LN(Parameters!$B$27)/200</f>
        <v>-3.3248704884521153E-3</v>
      </c>
      <c r="K43" s="519">
        <f>+K380+LN(Parameters!$B$27)/200</f>
        <v>-1.5817120474196089E-3</v>
      </c>
      <c r="L43" s="519">
        <f>+L380+LN(Parameters!$B$27)/200</f>
        <v>1.6144639361289706E-4</v>
      </c>
      <c r="M43" s="519">
        <f>+M380+LN(Parameters!$B$27)/200</f>
        <v>1.6144639361289706E-4</v>
      </c>
      <c r="N43" s="519">
        <f>+N380+LN(Parameters!$B$27)/200</f>
        <v>1.6144639361289706E-4</v>
      </c>
      <c r="O43" s="519">
        <f>+O380+LN(Parameters!$B$27)/200</f>
        <v>1.6144639361289706E-4</v>
      </c>
      <c r="P43" s="519">
        <f>+P380+LN(Parameters!$B$27)/200</f>
        <v>1.6144639361289706E-4</v>
      </c>
      <c r="Q43" s="519">
        <f>+Q380+LN(Parameters!$B$27)/200</f>
        <v>1.6144639361289706E-4</v>
      </c>
      <c r="R43" s="519">
        <f>+R380+LN(Parameters!$B$27)/200</f>
        <v>1.6144639361289706E-4</v>
      </c>
      <c r="S43" s="519">
        <f>+S380+LN(Parameters!$B$27)/200</f>
        <v>1.6144639361289706E-4</v>
      </c>
      <c r="T43" s="519">
        <f>+T380+LN(Parameters!$B$27)/200</f>
        <v>1.6144639361289706E-4</v>
      </c>
      <c r="U43" s="519">
        <f>+U380+LN(Parameters!$B$27)/200</f>
        <v>4.2081210936156061E-4</v>
      </c>
      <c r="V43" s="519">
        <f>+V380+LN(Parameters!$B$27)/200</f>
        <v>6.8017782511022419E-4</v>
      </c>
      <c r="W43" s="519">
        <v>6.8017782511022419E-4</v>
      </c>
      <c r="X43" s="519">
        <v>6.8017782511022419E-4</v>
      </c>
      <c r="Y43" s="519">
        <v>6.8017782511022419E-4</v>
      </c>
      <c r="Z43" s="519">
        <v>6.8017782511022419E-4</v>
      </c>
      <c r="AA43" s="519">
        <v>6.8017782511022419E-4</v>
      </c>
      <c r="AB43" s="519">
        <v>6.8017782511022419E-4</v>
      </c>
      <c r="AC43" s="519">
        <v>6.8017782511022419E-4</v>
      </c>
      <c r="AD43" s="519">
        <v>6.8017782511022419E-4</v>
      </c>
      <c r="AE43" s="519">
        <v>3.400889125551121E-4</v>
      </c>
    </row>
    <row r="44" spans="1:42" s="518" customFormat="1" x14ac:dyDescent="0.15">
      <c r="A44" s="518" t="s">
        <v>505</v>
      </c>
      <c r="B44" s="519">
        <f t="shared" si="24"/>
        <v>1.3512217631474144E-2</v>
      </c>
      <c r="C44" s="519">
        <f>+C381+LN(Parameters!$B$27)/200</f>
        <v>1.0067699718421138E-2</v>
      </c>
      <c r="D44" s="519">
        <f>+D381+LN(Parameters!$B$27)/200</f>
        <v>6.5316939745763327E-3</v>
      </c>
      <c r="E44" s="519">
        <f>+E381+LN(Parameters!$B$27)/200</f>
        <v>4.2273228749606763E-3</v>
      </c>
      <c r="F44" s="519">
        <f>+F381+LN(Parameters!$B$27)/200</f>
        <v>7.5484079541995321E-4</v>
      </c>
      <c r="G44" s="519">
        <f>+G381+LN(Parameters!$B$27)/200</f>
        <v>-9.7790212027657744E-4</v>
      </c>
      <c r="H44" s="519">
        <f>+H381+LN(Parameters!$B$27)/200</f>
        <v>-9.7790212027657744E-4</v>
      </c>
      <c r="I44" s="519">
        <f>+I381+LN(Parameters!$B$27)/200</f>
        <v>-9.7790212027657744E-4</v>
      </c>
      <c r="J44" s="519">
        <f>+J381+LN(Parameters!$B$27)/200</f>
        <v>-9.7790212027657744E-4</v>
      </c>
      <c r="K44" s="519">
        <f>+K381+LN(Parameters!$B$27)/200</f>
        <v>-1.046280847078637E-3</v>
      </c>
      <c r="L44" s="519">
        <f>+L381+LN(Parameters!$B$27)/200</f>
        <v>-1.1146595738806967E-3</v>
      </c>
      <c r="M44" s="519">
        <f>+M381+LN(Parameters!$B$27)/200</f>
        <v>-1.1146595738806967E-3</v>
      </c>
      <c r="N44" s="519">
        <f>+N381+LN(Parameters!$B$27)/200</f>
        <v>-1.1146595738806967E-3</v>
      </c>
      <c r="O44" s="519">
        <f>+O381+LN(Parameters!$B$27)/200</f>
        <v>-1.1146595738806967E-3</v>
      </c>
      <c r="P44" s="519">
        <f>+P381+LN(Parameters!$B$27)/200</f>
        <v>-1.1146595738806967E-3</v>
      </c>
      <c r="Q44" s="519">
        <f>+Q381+LN(Parameters!$B$27)/200</f>
        <v>-1.1146595738806967E-3</v>
      </c>
      <c r="R44" s="519">
        <f>+R381+LN(Parameters!$B$27)/200</f>
        <v>-1.1146595738806967E-3</v>
      </c>
      <c r="S44" s="519">
        <f>+S381+LN(Parameters!$B$27)/200</f>
        <v>-1.1146595738806967E-3</v>
      </c>
      <c r="T44" s="519">
        <f>+T381+LN(Parameters!$B$27)/200</f>
        <v>-1.1146595738806967E-3</v>
      </c>
      <c r="U44" s="519">
        <f>+U381+LN(Parameters!$B$27)/200</f>
        <v>-3.0627355789420005E-4</v>
      </c>
      <c r="V44" s="519">
        <f>+V381+LN(Parameters!$B$27)/200</f>
        <v>5.0211245809229661E-4</v>
      </c>
      <c r="W44" s="519">
        <v>5.0211245809229661E-4</v>
      </c>
      <c r="X44" s="519">
        <v>5.0211245809229661E-4</v>
      </c>
      <c r="Y44" s="519">
        <v>5.0211245809229661E-4</v>
      </c>
      <c r="Z44" s="519">
        <v>5.0211245809229661E-4</v>
      </c>
      <c r="AA44" s="519">
        <v>5.0211245809229661E-4</v>
      </c>
      <c r="AB44" s="519">
        <v>5.0211245809229661E-4</v>
      </c>
      <c r="AC44" s="519">
        <v>5.0211245809229661E-4</v>
      </c>
      <c r="AD44" s="519">
        <v>5.0211245809229661E-4</v>
      </c>
      <c r="AE44" s="519">
        <v>2.510562290461483E-4</v>
      </c>
    </row>
    <row r="45" spans="1:42" s="518" customFormat="1" x14ac:dyDescent="0.15">
      <c r="A45" s="518" t="s">
        <v>56</v>
      </c>
      <c r="B45" s="519">
        <f t="shared" si="24"/>
        <v>1.9035212254373903E-2</v>
      </c>
      <c r="C45" s="519">
        <f>+C382+LN(Parameters!$B$27)/200</f>
        <v>1.5401213969369184E-2</v>
      </c>
      <c r="D45" s="519">
        <f>+D382+LN(Parameters!$B$27)/200</f>
        <v>1.1886692955409537E-2</v>
      </c>
      <c r="E45" s="519">
        <f>+E382+LN(Parameters!$B$27)/200</f>
        <v>9.1450617987396277E-3</v>
      </c>
      <c r="F45" s="519">
        <f>+F382+LN(Parameters!$B$27)/200</f>
        <v>5.2092300348727085E-3</v>
      </c>
      <c r="G45" s="519">
        <f>+G382+LN(Parameters!$B$27)/200</f>
        <v>3.4676112907548033E-3</v>
      </c>
      <c r="H45" s="519">
        <f>+H382+LN(Parameters!$B$27)/200</f>
        <v>3.4676112907548033E-3</v>
      </c>
      <c r="I45" s="519">
        <f>+I382+LN(Parameters!$B$27)/200</f>
        <v>3.4676112907548033E-3</v>
      </c>
      <c r="J45" s="519">
        <f>+J382+LN(Parameters!$B$27)/200</f>
        <v>3.4676112907548033E-3</v>
      </c>
      <c r="K45" s="519">
        <f>+K382+LN(Parameters!$B$27)/200</f>
        <v>1.2118836713273565E-3</v>
      </c>
      <c r="L45" s="519">
        <f>+L382+LN(Parameters!$B$27)/200</f>
        <v>-1.0438439481000904E-3</v>
      </c>
      <c r="M45" s="519">
        <f>+M382+LN(Parameters!$B$27)/200</f>
        <v>-1.0438439481000904E-3</v>
      </c>
      <c r="N45" s="519">
        <f>+N382+LN(Parameters!$B$27)/200</f>
        <v>-1.0438439481000904E-3</v>
      </c>
      <c r="O45" s="519">
        <f>+O382+LN(Parameters!$B$27)/200</f>
        <v>-1.0438439481000904E-3</v>
      </c>
      <c r="P45" s="519">
        <f>+P382+LN(Parameters!$B$27)/200</f>
        <v>-1.0438439481000904E-3</v>
      </c>
      <c r="Q45" s="519">
        <f>+Q382+LN(Parameters!$B$27)/200</f>
        <v>-1.0438439481000904E-3</v>
      </c>
      <c r="R45" s="519">
        <f>+R382+LN(Parameters!$B$27)/200</f>
        <v>-1.0438439481000904E-3</v>
      </c>
      <c r="S45" s="519">
        <f>+S382+LN(Parameters!$B$27)/200</f>
        <v>-1.0438439481000904E-3</v>
      </c>
      <c r="T45" s="519">
        <f>+T382+LN(Parameters!$B$27)/200</f>
        <v>-1.0438439481000904E-3</v>
      </c>
      <c r="U45" s="519">
        <f>+U382+LN(Parameters!$B$27)/200</f>
        <v>-2.9007363605174118E-4</v>
      </c>
      <c r="V45" s="519">
        <f>+V382+LN(Parameters!$B$27)/200</f>
        <v>4.6369667599660818E-4</v>
      </c>
      <c r="W45" s="519">
        <v>4.6369667599660818E-4</v>
      </c>
      <c r="X45" s="519">
        <v>4.6369667599660818E-4</v>
      </c>
      <c r="Y45" s="519">
        <v>4.6369667599660818E-4</v>
      </c>
      <c r="Z45" s="519">
        <v>4.6369667599660818E-4</v>
      </c>
      <c r="AA45" s="519">
        <v>4.6369667599660818E-4</v>
      </c>
      <c r="AB45" s="519">
        <v>4.6369667599660818E-4</v>
      </c>
      <c r="AC45" s="519">
        <v>4.6369667599660818E-4</v>
      </c>
      <c r="AD45" s="519">
        <v>4.6369667599660818E-4</v>
      </c>
      <c r="AE45" s="519">
        <v>2.3184833799830409E-4</v>
      </c>
    </row>
    <row r="46" spans="1:42" s="518" customFormat="1" x14ac:dyDescent="0.15">
      <c r="A46" s="518" t="s">
        <v>57</v>
      </c>
      <c r="B46" s="519">
        <f t="shared" si="24"/>
        <v>2.1463178909745046E-2</v>
      </c>
      <c r="C46" s="519">
        <f>+C383+LN(Parameters!$B$27)/200</f>
        <v>1.8421025792865871E-2</v>
      </c>
      <c r="D46" s="519">
        <f>+D383+LN(Parameters!$B$27)/200</f>
        <v>1.5283677903762269E-2</v>
      </c>
      <c r="E46" s="519">
        <f>+E383+LN(Parameters!$B$27)/200</f>
        <v>1.2573476542533851E-2</v>
      </c>
      <c r="F46" s="519">
        <f>+F383+LN(Parameters!$B$27)/200</f>
        <v>6.9549830775917617E-3</v>
      </c>
      <c r="G46" s="519">
        <f>+G383+LN(Parameters!$B$27)/200</f>
        <v>3.4642864150270123E-3</v>
      </c>
      <c r="H46" s="519">
        <f>+H383+LN(Parameters!$B$27)/200</f>
        <v>3.4642864150270123E-3</v>
      </c>
      <c r="I46" s="519">
        <f>+I383+LN(Parameters!$B$27)/200</f>
        <v>3.4642864150270123E-3</v>
      </c>
      <c r="J46" s="519">
        <f>+J383+LN(Parameters!$B$27)/200</f>
        <v>3.4642864150270123E-3</v>
      </c>
      <c r="K46" s="519">
        <f>+K383+LN(Parameters!$B$27)/200</f>
        <v>6.5413524623984332E-4</v>
      </c>
      <c r="L46" s="519">
        <f>+L383+LN(Parameters!$B$27)/200</f>
        <v>-2.1560159225473253E-3</v>
      </c>
      <c r="M46" s="519">
        <f>+M383+LN(Parameters!$B$27)/200</f>
        <v>-2.1560159225473253E-3</v>
      </c>
      <c r="N46" s="519">
        <f>+N383+LN(Parameters!$B$27)/200</f>
        <v>-2.1560159225473253E-3</v>
      </c>
      <c r="O46" s="519">
        <f>+O383+LN(Parameters!$B$27)/200</f>
        <v>-2.1560159225473253E-3</v>
      </c>
      <c r="P46" s="519">
        <f>+P383+LN(Parameters!$B$27)/200</f>
        <v>-2.1560159225473253E-3</v>
      </c>
      <c r="Q46" s="519">
        <f>+Q383+LN(Parameters!$B$27)/200</f>
        <v>-2.1560159225473253E-3</v>
      </c>
      <c r="R46" s="519">
        <f>+R383+LN(Parameters!$B$27)/200</f>
        <v>-2.1560159225473253E-3</v>
      </c>
      <c r="S46" s="519">
        <f>+S383+LN(Parameters!$B$27)/200</f>
        <v>-2.1560159225473253E-3</v>
      </c>
      <c r="T46" s="519">
        <f>+T383+LN(Parameters!$B$27)/200</f>
        <v>-2.1560159225473253E-3</v>
      </c>
      <c r="U46" s="519">
        <f>+U383+LN(Parameters!$B$27)/200</f>
        <v>-1.3243145878072803E-3</v>
      </c>
      <c r="V46" s="519">
        <f>+V383+LN(Parameters!$B$27)/200</f>
        <v>-4.9261325306723539E-4</v>
      </c>
      <c r="W46" s="519">
        <v>5.0738674693276463E-4</v>
      </c>
      <c r="X46" s="519">
        <v>5.0738674693276463E-4</v>
      </c>
      <c r="Y46" s="519">
        <v>5.0738674693276463E-4</v>
      </c>
      <c r="Z46" s="519">
        <v>5.0738674693276463E-4</v>
      </c>
      <c r="AA46" s="519">
        <v>5.0738674693276463E-4</v>
      </c>
      <c r="AB46" s="519">
        <v>5.0738674693276463E-4</v>
      </c>
      <c r="AC46" s="519">
        <v>5.0738674693276463E-4</v>
      </c>
      <c r="AD46" s="519">
        <v>5.0738674693276463E-4</v>
      </c>
      <c r="AE46" s="519">
        <v>2.5369337346638232E-4</v>
      </c>
    </row>
    <row r="47" spans="1:42" s="518" customFormat="1" x14ac:dyDescent="0.15">
      <c r="A47" s="518" t="s">
        <v>58</v>
      </c>
      <c r="B47" s="519">
        <f t="shared" si="24"/>
        <v>1.0561602408186887E-2</v>
      </c>
      <c r="C47" s="519">
        <f>+C384+LN(Parameters!$B$27)/200</f>
        <v>7.9330626449506721E-3</v>
      </c>
      <c r="D47" s="519">
        <f>+D384+LN(Parameters!$B$27)/200</f>
        <v>5.3270953220981663E-3</v>
      </c>
      <c r="E47" s="519">
        <f>+E384+LN(Parameters!$B$27)/200</f>
        <v>2.7395642009361929E-3</v>
      </c>
      <c r="F47" s="519">
        <f>+F384+LN(Parameters!$B$27)/200</f>
        <v>4.3227802735918383E-6</v>
      </c>
      <c r="G47" s="519">
        <f>+G384+LN(Parameters!$B$27)/200</f>
        <v>-9.3967138859383636E-4</v>
      </c>
      <c r="H47" s="519">
        <f>+H384+LN(Parameters!$B$27)/200</f>
        <v>-9.3967138859383636E-4</v>
      </c>
      <c r="I47" s="519">
        <f>+I384+LN(Parameters!$B$27)/200</f>
        <v>-9.3967138859383636E-4</v>
      </c>
      <c r="J47" s="519">
        <f>+J384+LN(Parameters!$B$27)/200</f>
        <v>-9.3967138859383636E-4</v>
      </c>
      <c r="K47" s="519">
        <f>+K384+LN(Parameters!$B$27)/200</f>
        <v>-8.3687180507177519E-4</v>
      </c>
      <c r="L47" s="519">
        <f>+L384+LN(Parameters!$B$27)/200</f>
        <v>-7.3407222154971391E-4</v>
      </c>
      <c r="M47" s="519">
        <f>+M384+LN(Parameters!$B$27)/200</f>
        <v>-7.3407222154971391E-4</v>
      </c>
      <c r="N47" s="519">
        <f>+N384+LN(Parameters!$B$27)/200</f>
        <v>-7.3407222154971391E-4</v>
      </c>
      <c r="O47" s="519">
        <f>+O384+LN(Parameters!$B$27)/200</f>
        <v>-7.3407222154971391E-4</v>
      </c>
      <c r="P47" s="519">
        <f>+P384+LN(Parameters!$B$27)/200</f>
        <v>-7.3407222154971391E-4</v>
      </c>
      <c r="Q47" s="519">
        <f>+Q384+LN(Parameters!$B$27)/200</f>
        <v>-7.3407222154971391E-4</v>
      </c>
      <c r="R47" s="519">
        <f>+R384+LN(Parameters!$B$27)/200</f>
        <v>-7.3407222154971391E-4</v>
      </c>
      <c r="S47" s="519">
        <f>+S384+LN(Parameters!$B$27)/200</f>
        <v>-7.3407222154971391E-4</v>
      </c>
      <c r="T47" s="519">
        <f>+T384+LN(Parameters!$B$27)/200</f>
        <v>-7.3407222154971391E-4</v>
      </c>
      <c r="U47" s="519">
        <f>+U384+LN(Parameters!$B$27)/200</f>
        <v>-6.8399827976049112E-5</v>
      </c>
      <c r="V47" s="519">
        <f>+V384+LN(Parameters!$B$27)/200</f>
        <v>5.9727256559761565E-4</v>
      </c>
      <c r="W47" s="519">
        <v>5.9727256559761565E-4</v>
      </c>
      <c r="X47" s="519">
        <v>5.9727256559761565E-4</v>
      </c>
      <c r="Y47" s="519">
        <v>5.9727256559761565E-4</v>
      </c>
      <c r="Z47" s="519">
        <v>5.9727256559761565E-4</v>
      </c>
      <c r="AA47" s="519">
        <v>5.9727256559761565E-4</v>
      </c>
      <c r="AB47" s="519">
        <v>5.9727256559761565E-4</v>
      </c>
      <c r="AC47" s="519">
        <v>5.9727256559761565E-4</v>
      </c>
      <c r="AD47" s="519">
        <v>5.9727256559761565E-4</v>
      </c>
      <c r="AE47" s="519">
        <v>2.9863628279880783E-4</v>
      </c>
    </row>
    <row r="48" spans="1:42" s="520" customFormat="1" x14ac:dyDescent="0.15">
      <c r="A48" s="518" t="s">
        <v>114</v>
      </c>
      <c r="B48" s="519">
        <v>7.2735310330082183E-3</v>
      </c>
      <c r="C48" s="519">
        <v>5.3378559601259274E-3</v>
      </c>
      <c r="D48" s="519">
        <v>3.1516690413397443E-3</v>
      </c>
      <c r="E48" s="519">
        <v>9.2338789546880036E-4</v>
      </c>
      <c r="F48" s="519">
        <v>-1.342972225334763E-3</v>
      </c>
      <c r="G48" s="519">
        <f>+G385+LN(Parameters!$B$27)/200</f>
        <v>-2.5633551865262534E-3</v>
      </c>
      <c r="H48" s="519">
        <f>+H385+LN(Parameters!$B$27)/200</f>
        <v>-2.5633551865262534E-3</v>
      </c>
      <c r="I48" s="519">
        <f>+I385+LN(Parameters!$B$27)/200</f>
        <v>-2.5633551865262534E-3</v>
      </c>
      <c r="J48" s="519">
        <f>+J385+LN(Parameters!$B$27)/200</f>
        <v>-2.5633551865262534E-3</v>
      </c>
      <c r="K48" s="519">
        <f>+K385+LN(Parameters!$B$27)/200</f>
        <v>-1.0205071447542142E-3</v>
      </c>
      <c r="L48" s="519">
        <f>+L385+LN(Parameters!$B$27)/200</f>
        <v>5.2234089701782465E-4</v>
      </c>
      <c r="M48" s="519">
        <f>+M385+LN(Parameters!$B$27)/200</f>
        <v>5.2234089701782465E-4</v>
      </c>
      <c r="N48" s="519">
        <f>+N385+LN(Parameters!$B$27)/200</f>
        <v>5.2234089701782465E-4</v>
      </c>
      <c r="O48" s="519">
        <f>+O385+LN(Parameters!$B$27)/200</f>
        <v>5.2234089701782465E-4</v>
      </c>
      <c r="P48" s="519">
        <f>+P385+LN(Parameters!$B$27)/200</f>
        <v>5.2234089701782465E-4</v>
      </c>
      <c r="Q48" s="519">
        <f>+Q385+LN(Parameters!$B$27)/200</f>
        <v>5.2234089701782465E-4</v>
      </c>
      <c r="R48" s="519">
        <f>+R385+LN(Parameters!$B$27)/200</f>
        <v>5.2234089701782465E-4</v>
      </c>
      <c r="S48" s="519">
        <f>+S385+LN(Parameters!$B$27)/200</f>
        <v>5.2234089701782465E-4</v>
      </c>
      <c r="T48" s="519">
        <f>+T385+LN(Parameters!$B$27)/200</f>
        <v>5.2234089701782465E-4</v>
      </c>
      <c r="U48" s="519">
        <f>+U385+LN(Parameters!$B$27)/200</f>
        <v>5.6284392576038127E-4</v>
      </c>
      <c r="V48" s="519">
        <f>+V385+LN(Parameters!$B$27)/200</f>
        <v>6.0334695450293778E-4</v>
      </c>
      <c r="W48" s="519">
        <v>6.0334695450293778E-4</v>
      </c>
      <c r="X48" s="519">
        <v>6.0334695450293778E-4</v>
      </c>
      <c r="Y48" s="519">
        <v>6.0334695450293778E-4</v>
      </c>
      <c r="Z48" s="519">
        <v>6.0334695450293778E-4</v>
      </c>
      <c r="AA48" s="519">
        <v>6.0334695450293778E-4</v>
      </c>
      <c r="AB48" s="519">
        <v>6.0334695450293778E-4</v>
      </c>
      <c r="AC48" s="519">
        <v>6.0334695450293778E-4</v>
      </c>
      <c r="AD48" s="519">
        <v>6.0334695450293778E-4</v>
      </c>
      <c r="AE48" s="519">
        <v>3.0167347725146889E-4</v>
      </c>
    </row>
    <row r="49" spans="1:61" s="520" customFormat="1" x14ac:dyDescent="0.15">
      <c r="A49" s="518" t="s">
        <v>32</v>
      </c>
      <c r="B49" s="519">
        <v>1.4276192989357461E-2</v>
      </c>
      <c r="C49" s="519">
        <v>1.1656207940794016E-2</v>
      </c>
      <c r="D49" s="519">
        <v>8.9367234613343793E-3</v>
      </c>
      <c r="E49" s="519">
        <v>6.4426526819549345E-3</v>
      </c>
      <c r="F49" s="519">
        <v>2.6853765187099788E-3</v>
      </c>
      <c r="G49" s="519">
        <f>+G386+LN(Parameters!$B$27)/200</f>
        <v>7.4677571723251457E-4</v>
      </c>
      <c r="H49" s="519">
        <f>+H386+LN(Parameters!$B$27)/200</f>
        <v>7.4677571723251457E-4</v>
      </c>
      <c r="I49" s="519">
        <f>+I386+LN(Parameters!$B$27)/200</f>
        <v>7.4677571723251457E-4</v>
      </c>
      <c r="J49" s="519">
        <f>+J386+LN(Parameters!$B$27)/200</f>
        <v>7.4677571723251457E-4</v>
      </c>
      <c r="K49" s="519">
        <f>+K386+LN(Parameters!$B$27)/200</f>
        <v>-1.4462911875713505E-4</v>
      </c>
      <c r="L49" s="519">
        <f>+L386+LN(Parameters!$B$27)/200</f>
        <v>-1.0360339547467847E-3</v>
      </c>
      <c r="M49" s="519">
        <f>+M386+LN(Parameters!$B$27)/200</f>
        <v>-1.0360339547467847E-3</v>
      </c>
      <c r="N49" s="519">
        <f>+N386+LN(Parameters!$B$27)/200</f>
        <v>-1.0360339547467847E-3</v>
      </c>
      <c r="O49" s="519">
        <f>+O386+LN(Parameters!$B$27)/200</f>
        <v>-1.0360339547467847E-3</v>
      </c>
      <c r="P49" s="519">
        <f>+P386+LN(Parameters!$B$27)/200</f>
        <v>-1.0360339547467847E-3</v>
      </c>
      <c r="Q49" s="519">
        <f>+Q386+LN(Parameters!$B$27)/200</f>
        <v>-1.0360339547467847E-3</v>
      </c>
      <c r="R49" s="519">
        <f>+R386+LN(Parameters!$B$27)/200</f>
        <v>-1.0360339547467847E-3</v>
      </c>
      <c r="S49" s="519">
        <f>+S386+LN(Parameters!$B$27)/200</f>
        <v>-1.0360339547467847E-3</v>
      </c>
      <c r="T49" s="519">
        <f>+T386+LN(Parameters!$B$27)/200</f>
        <v>-1.0360339547467847E-3</v>
      </c>
      <c r="U49" s="519">
        <f>+U386+LN(Parameters!$B$27)/200</f>
        <v>-2.7212723119892528E-4</v>
      </c>
      <c r="V49" s="519">
        <f>+V386+LN(Parameters!$B$27)/200</f>
        <v>4.9177949234893411E-4</v>
      </c>
      <c r="W49" s="519">
        <v>4.9177949234893411E-4</v>
      </c>
      <c r="X49" s="519">
        <v>4.9177949234893411E-4</v>
      </c>
      <c r="Y49" s="519">
        <v>4.9177949234893411E-4</v>
      </c>
      <c r="Z49" s="519">
        <v>4.9177949234893411E-4</v>
      </c>
      <c r="AA49" s="519">
        <v>4.9177949234893411E-4</v>
      </c>
      <c r="AB49" s="519">
        <v>4.9177949234893411E-4</v>
      </c>
      <c r="AC49" s="519">
        <v>4.9177949234893411E-4</v>
      </c>
      <c r="AD49" s="519">
        <v>4.9177949234893411E-4</v>
      </c>
      <c r="AE49" s="519">
        <v>2.4588974617446705E-4</v>
      </c>
    </row>
    <row r="53" spans="1:61" ht="18" x14ac:dyDescent="0.2">
      <c r="A53" s="204" t="s">
        <v>130</v>
      </c>
    </row>
    <row r="54" spans="1:61" s="14" customFormat="1" x14ac:dyDescent="0.15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 x14ac:dyDescent="0.15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 x14ac:dyDescent="0.15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 x14ac:dyDescent="0.15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 x14ac:dyDescent="0.15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 x14ac:dyDescent="0.15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 x14ac:dyDescent="0.15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 x14ac:dyDescent="0.15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 x14ac:dyDescent="0.15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 x14ac:dyDescent="0.15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 x14ac:dyDescent="0.15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 x14ac:dyDescent="0.15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 x14ac:dyDescent="0.15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8" x14ac:dyDescent="0.2">
      <c r="A70" s="204" t="s">
        <v>284</v>
      </c>
      <c r="B70" s="1"/>
    </row>
    <row r="71" spans="1:66" ht="42" x14ac:dyDescent="0.15">
      <c r="A71" t="s">
        <v>260</v>
      </c>
      <c r="B71" s="179" t="s">
        <v>266</v>
      </c>
      <c r="C71" s="179" t="s">
        <v>238</v>
      </c>
      <c r="D71" s="179" t="s">
        <v>261</v>
      </c>
      <c r="E71" s="179" t="s">
        <v>262</v>
      </c>
      <c r="F71" s="179" t="s">
        <v>263</v>
      </c>
      <c r="G71" s="263" t="s">
        <v>264</v>
      </c>
      <c r="H71" s="179">
        <v>2015</v>
      </c>
      <c r="I71" s="179">
        <f t="shared" ref="I71:S71" si="26">+H71+10</f>
        <v>2025</v>
      </c>
      <c r="J71" s="179">
        <f t="shared" si="26"/>
        <v>2035</v>
      </c>
      <c r="K71" s="179">
        <f t="shared" si="26"/>
        <v>2045</v>
      </c>
      <c r="L71" s="179">
        <f t="shared" si="26"/>
        <v>2055</v>
      </c>
      <c r="M71" s="179">
        <f t="shared" si="26"/>
        <v>2065</v>
      </c>
      <c r="N71" s="179">
        <f t="shared" si="26"/>
        <v>2075</v>
      </c>
      <c r="O71" s="179">
        <f t="shared" si="26"/>
        <v>2085</v>
      </c>
      <c r="P71" s="179">
        <f t="shared" si="26"/>
        <v>2095</v>
      </c>
      <c r="Q71" s="179">
        <f t="shared" si="26"/>
        <v>2105</v>
      </c>
      <c r="R71" s="179">
        <f t="shared" si="26"/>
        <v>2115</v>
      </c>
      <c r="S71" s="179">
        <f t="shared" si="26"/>
        <v>2125</v>
      </c>
    </row>
    <row r="72" spans="1:66" x14ac:dyDescent="0.15">
      <c r="A72" t="s">
        <v>104</v>
      </c>
      <c r="B72" s="261">
        <v>-2.2475676584755785E-2</v>
      </c>
      <c r="C72" s="261">
        <v>5.0000000000000001E-3</v>
      </c>
      <c r="D72" s="140">
        <f>+B72+C72</f>
        <v>-1.7475676584755784E-2</v>
      </c>
      <c r="E72" s="180">
        <f>+Parameters!B22</f>
        <v>0.1</v>
      </c>
      <c r="F72" s="14">
        <f>+Parameters!B23</f>
        <v>-2.5000000000000001E-3</v>
      </c>
      <c r="G72" s="264">
        <f>+B72</f>
        <v>-2.2475676584755785E-2</v>
      </c>
      <c r="H72" s="181">
        <f t="shared" ref="H72:H83" si="27">+$F72+($D72-$F72)</f>
        <v>-1.7475676584755784E-2</v>
      </c>
      <c r="I72" s="181">
        <f t="shared" ref="I72:X83" si="28">+$F72+(H72-$F72)*(1-$E72)</f>
        <v>-1.5978108926280207E-2</v>
      </c>
      <c r="J72" s="140">
        <f t="shared" si="28"/>
        <v>-1.4630298033652187E-2</v>
      </c>
      <c r="K72" s="140">
        <f t="shared" si="28"/>
        <v>-1.3417268230286968E-2</v>
      </c>
      <c r="L72" s="140">
        <f t="shared" si="28"/>
        <v>-1.2325541407258271E-2</v>
      </c>
      <c r="M72" s="140">
        <f t="shared" si="28"/>
        <v>-1.1342987266532444E-2</v>
      </c>
      <c r="N72" s="140">
        <f t="shared" si="28"/>
        <v>-1.0458688539879199E-2</v>
      </c>
      <c r="O72" s="140">
        <f t="shared" si="28"/>
        <v>-9.6628196858912791E-3</v>
      </c>
      <c r="P72" s="140">
        <f t="shared" si="28"/>
        <v>-8.9465377173021509E-3</v>
      </c>
      <c r="Q72" s="140">
        <f t="shared" si="28"/>
        <v>-8.3018839455719362E-3</v>
      </c>
      <c r="R72" s="140">
        <f t="shared" si="28"/>
        <v>-7.7216955510147432E-3</v>
      </c>
      <c r="S72" s="140">
        <f t="shared" si="28"/>
        <v>-7.1995259959132685E-3</v>
      </c>
      <c r="T72" s="140">
        <f t="shared" si="28"/>
        <v>-6.7295733963219414E-3</v>
      </c>
      <c r="U72" s="140">
        <f t="shared" si="28"/>
        <v>-6.3066160566897468E-3</v>
      </c>
      <c r="V72" s="140">
        <f t="shared" si="28"/>
        <v>-5.9259544510207717E-3</v>
      </c>
      <c r="W72" s="140">
        <f t="shared" si="28"/>
        <v>-5.5833590059186948E-3</v>
      </c>
      <c r="X72" s="140">
        <f t="shared" si="28"/>
        <v>-5.2750231053268256E-3</v>
      </c>
      <c r="Y72" s="140">
        <f t="shared" ref="Y72:AC78" si="29">+$F72+(X72-$F72)*(1-$E72)</f>
        <v>-4.9975207947941429E-3</v>
      </c>
      <c r="Z72" s="140">
        <f t="shared" si="29"/>
        <v>-4.7477687153147288E-3</v>
      </c>
      <c r="AA72" s="140">
        <f t="shared" si="29"/>
        <v>-4.5229918437832556E-3</v>
      </c>
      <c r="AB72" s="140">
        <f t="shared" si="29"/>
        <v>-4.3206926594049301E-3</v>
      </c>
      <c r="AC72" s="140">
        <f t="shared" si="29"/>
        <v>-4.1386233934644374E-3</v>
      </c>
      <c r="AD72" s="140">
        <f t="shared" ref="AD72:BN72" si="30">+$F72+(AC72-$F72)*(1-$E72)</f>
        <v>-3.9747610541179933E-3</v>
      </c>
      <c r="AE72" s="140">
        <f t="shared" si="30"/>
        <v>-3.8272849487061941E-3</v>
      </c>
      <c r="AF72" s="140">
        <f t="shared" si="30"/>
        <v>-3.6945564538355749E-3</v>
      </c>
      <c r="AG72" s="140">
        <f t="shared" si="30"/>
        <v>-3.5751008084520175E-3</v>
      </c>
      <c r="AH72" s="140">
        <f t="shared" si="30"/>
        <v>-3.4675907276068155E-3</v>
      </c>
      <c r="AI72" s="140">
        <f t="shared" si="30"/>
        <v>-3.3708316548461338E-3</v>
      </c>
      <c r="AJ72" s="140">
        <f t="shared" si="30"/>
        <v>-3.2837484893615205E-3</v>
      </c>
      <c r="AK72" s="140">
        <f t="shared" si="30"/>
        <v>-3.2053736404253682E-3</v>
      </c>
      <c r="AL72" s="140">
        <f t="shared" si="30"/>
        <v>-3.1348362763828313E-3</v>
      </c>
      <c r="AM72" s="140">
        <f t="shared" si="30"/>
        <v>-3.0713526487445484E-3</v>
      </c>
      <c r="AN72" s="140">
        <f t="shared" si="30"/>
        <v>-3.0142173838700937E-3</v>
      </c>
      <c r="AO72" s="140">
        <f t="shared" si="30"/>
        <v>-2.9627956454830844E-3</v>
      </c>
      <c r="AP72" s="140">
        <f t="shared" si="30"/>
        <v>-2.9165160809347759E-3</v>
      </c>
      <c r="AQ72" s="140">
        <f t="shared" si="30"/>
        <v>-2.8748644728412982E-3</v>
      </c>
      <c r="AR72" s="140">
        <f t="shared" si="30"/>
        <v>-2.8373780255571686E-3</v>
      </c>
      <c r="AS72" s="140">
        <f t="shared" si="30"/>
        <v>-2.8036402230014515E-3</v>
      </c>
      <c r="AT72" s="140">
        <f t="shared" si="30"/>
        <v>-2.7732762007013066E-3</v>
      </c>
      <c r="AU72" s="140">
        <f t="shared" si="30"/>
        <v>-2.7459485806311757E-3</v>
      </c>
      <c r="AV72" s="140">
        <f t="shared" si="30"/>
        <v>-2.721353722568058E-3</v>
      </c>
      <c r="AW72" s="140">
        <f t="shared" si="30"/>
        <v>-2.6992183503112524E-3</v>
      </c>
      <c r="AX72" s="140">
        <f t="shared" si="30"/>
        <v>-2.679296515280127E-3</v>
      </c>
      <c r="AY72" s="140">
        <f t="shared" si="30"/>
        <v>-2.6613668637521142E-3</v>
      </c>
      <c r="AZ72" s="140">
        <f t="shared" si="30"/>
        <v>-2.6452301773769028E-3</v>
      </c>
      <c r="BA72" s="140">
        <f t="shared" si="30"/>
        <v>-2.6307071596392124E-3</v>
      </c>
      <c r="BB72" s="140">
        <f t="shared" si="30"/>
        <v>-2.617636443675291E-3</v>
      </c>
      <c r="BC72" s="140">
        <f t="shared" si="30"/>
        <v>-2.6058727993077619E-3</v>
      </c>
      <c r="BD72" s="140">
        <f t="shared" si="30"/>
        <v>-2.5952855193769856E-3</v>
      </c>
      <c r="BE72" s="140">
        <f t="shared" si="30"/>
        <v>-2.5857569674392869E-3</v>
      </c>
      <c r="BF72" s="140">
        <f t="shared" si="30"/>
        <v>-2.5771812706953581E-3</v>
      </c>
      <c r="BG72" s="140">
        <f t="shared" si="30"/>
        <v>-2.5694631436258223E-3</v>
      </c>
      <c r="BH72" s="140">
        <f t="shared" si="30"/>
        <v>-2.56251682926324E-3</v>
      </c>
      <c r="BI72" s="140">
        <f t="shared" si="30"/>
        <v>-2.5562651463369159E-3</v>
      </c>
      <c r="BJ72" s="140">
        <f t="shared" si="30"/>
        <v>-2.5506386317032245E-3</v>
      </c>
      <c r="BK72" s="140">
        <f t="shared" si="30"/>
        <v>-2.5455747685329019E-3</v>
      </c>
      <c r="BL72" s="140">
        <f t="shared" si="30"/>
        <v>-2.5410172916796119E-3</v>
      </c>
      <c r="BM72" s="140">
        <f t="shared" si="30"/>
        <v>-2.5369155625116508E-3</v>
      </c>
      <c r="BN72" s="140">
        <f t="shared" si="30"/>
        <v>-2.5332240062604858E-3</v>
      </c>
    </row>
    <row r="73" spans="1:66" x14ac:dyDescent="0.15">
      <c r="A73" s="1" t="s">
        <v>1196</v>
      </c>
      <c r="B73" s="261">
        <v>-1.6957232450682921E-2</v>
      </c>
      <c r="C73" s="261">
        <v>2.5000000000000001E-3</v>
      </c>
      <c r="D73" s="140">
        <f t="shared" ref="D73:D83" si="31">+B73+C73</f>
        <v>-1.445723245068292E-2</v>
      </c>
      <c r="E73" s="180">
        <f>+E72</f>
        <v>0.1</v>
      </c>
      <c r="F73" s="14">
        <f>+F72</f>
        <v>-2.5000000000000001E-3</v>
      </c>
      <c r="G73" s="264">
        <f t="shared" ref="G73:G83" si="32">+B73</f>
        <v>-1.6957232450682921E-2</v>
      </c>
      <c r="H73" s="181">
        <f t="shared" si="27"/>
        <v>-1.445723245068292E-2</v>
      </c>
      <c r="I73" s="181">
        <f t="shared" si="28"/>
        <v>-1.3261509205614629E-2</v>
      </c>
      <c r="J73" s="140">
        <f t="shared" si="28"/>
        <v>-1.2185358285053167E-2</v>
      </c>
      <c r="K73" s="140">
        <f t="shared" si="28"/>
        <v>-1.1216822456547851E-2</v>
      </c>
      <c r="L73" s="140">
        <f t="shared" si="28"/>
        <v>-1.0345140210893066E-2</v>
      </c>
      <c r="M73" s="140">
        <f t="shared" si="28"/>
        <v>-9.5606261898037587E-3</v>
      </c>
      <c r="N73" s="140">
        <f t="shared" si="28"/>
        <v>-8.8545635708233827E-3</v>
      </c>
      <c r="O73" s="140">
        <f t="shared" si="28"/>
        <v>-8.2191072137410438E-3</v>
      </c>
      <c r="P73" s="140">
        <f t="shared" si="28"/>
        <v>-7.6471964923669391E-3</v>
      </c>
      <c r="Q73" s="140">
        <f t="shared" si="28"/>
        <v>-7.1324768431302449E-3</v>
      </c>
      <c r="R73" s="140">
        <f t="shared" si="28"/>
        <v>-6.6692291588172203E-3</v>
      </c>
      <c r="S73" s="140">
        <f t="shared" si="28"/>
        <v>-6.2523062429354981E-3</v>
      </c>
      <c r="T73" s="140">
        <f t="shared" si="28"/>
        <v>-5.8770756186419483E-3</v>
      </c>
      <c r="U73" s="140">
        <f t="shared" si="28"/>
        <v>-5.5393680567777537E-3</v>
      </c>
      <c r="V73" s="140">
        <f t="shared" si="28"/>
        <v>-5.2354312510999781E-3</v>
      </c>
      <c r="W73" s="140">
        <f t="shared" si="28"/>
        <v>-4.96188812598998E-3</v>
      </c>
      <c r="X73" s="140">
        <f t="shared" si="28"/>
        <v>-4.7156993133909818E-3</v>
      </c>
      <c r="Y73" s="140">
        <f t="shared" si="29"/>
        <v>-4.4941293820518835E-3</v>
      </c>
      <c r="Z73" s="140">
        <f t="shared" si="29"/>
        <v>-4.2947164438466951E-3</v>
      </c>
      <c r="AA73" s="140">
        <f t="shared" si="29"/>
        <v>-4.1152447994620258E-3</v>
      </c>
      <c r="AB73" s="140">
        <f t="shared" si="29"/>
        <v>-3.9537203195158235E-3</v>
      </c>
      <c r="AC73" s="140">
        <f t="shared" si="29"/>
        <v>-3.8083482875642411E-3</v>
      </c>
      <c r="AD73" s="140">
        <f t="shared" ref="AD73:BN73" si="33">+$F73+(AC73-$F73)*(1-$E73)</f>
        <v>-3.6775134588078171E-3</v>
      </c>
      <c r="AE73" s="140">
        <f t="shared" si="33"/>
        <v>-3.5597621129270355E-3</v>
      </c>
      <c r="AF73" s="140">
        <f t="shared" si="33"/>
        <v>-3.4537859016343319E-3</v>
      </c>
      <c r="AG73" s="140">
        <f t="shared" si="33"/>
        <v>-3.3584073114708989E-3</v>
      </c>
      <c r="AH73" s="140">
        <f t="shared" si="33"/>
        <v>-3.2725665803238092E-3</v>
      </c>
      <c r="AI73" s="140">
        <f t="shared" si="33"/>
        <v>-3.1953099222914285E-3</v>
      </c>
      <c r="AJ73" s="140">
        <f t="shared" si="33"/>
        <v>-3.1257789300622855E-3</v>
      </c>
      <c r="AK73" s="140">
        <f t="shared" si="33"/>
        <v>-3.0632010370560568E-3</v>
      </c>
      <c r="AL73" s="140">
        <f t="shared" si="33"/>
        <v>-3.0068809333504511E-3</v>
      </c>
      <c r="AM73" s="140">
        <f t="shared" si="33"/>
        <v>-2.956192840015406E-3</v>
      </c>
      <c r="AN73" s="140">
        <f t="shared" si="33"/>
        <v>-2.9105735560138657E-3</v>
      </c>
      <c r="AO73" s="140">
        <f t="shared" si="33"/>
        <v>-2.8695162004124791E-3</v>
      </c>
      <c r="AP73" s="140">
        <f t="shared" si="33"/>
        <v>-2.8325645803712312E-3</v>
      </c>
      <c r="AQ73" s="140">
        <f t="shared" si="33"/>
        <v>-2.799308122334108E-3</v>
      </c>
      <c r="AR73" s="140">
        <f t="shared" si="33"/>
        <v>-2.7693773101006972E-3</v>
      </c>
      <c r="AS73" s="140">
        <f t="shared" si="33"/>
        <v>-2.7424395790906276E-3</v>
      </c>
      <c r="AT73" s="140">
        <f t="shared" si="33"/>
        <v>-2.718195621181565E-3</v>
      </c>
      <c r="AU73" s="140">
        <f t="shared" si="33"/>
        <v>-2.6963760590634086E-3</v>
      </c>
      <c r="AV73" s="140">
        <f t="shared" si="33"/>
        <v>-2.6767384531570675E-3</v>
      </c>
      <c r="AW73" s="140">
        <f t="shared" si="33"/>
        <v>-2.6590646078413606E-3</v>
      </c>
      <c r="AX73" s="140">
        <f t="shared" si="33"/>
        <v>-2.6431581470572245E-3</v>
      </c>
      <c r="AY73" s="140">
        <f t="shared" si="33"/>
        <v>-2.6288423323515019E-3</v>
      </c>
      <c r="AZ73" s="140">
        <f t="shared" si="33"/>
        <v>-2.6159580991163517E-3</v>
      </c>
      <c r="BA73" s="140">
        <f t="shared" si="33"/>
        <v>-2.6043622892047164E-3</v>
      </c>
      <c r="BB73" s="140">
        <f t="shared" si="33"/>
        <v>-2.5939260602842449E-3</v>
      </c>
      <c r="BC73" s="140">
        <f t="shared" si="33"/>
        <v>-2.5845334542558204E-3</v>
      </c>
      <c r="BD73" s="140">
        <f t="shared" si="33"/>
        <v>-2.5760801088302383E-3</v>
      </c>
      <c r="BE73" s="140">
        <f t="shared" si="33"/>
        <v>-2.5684720979472146E-3</v>
      </c>
      <c r="BF73" s="140">
        <f t="shared" si="33"/>
        <v>-2.5616248881524931E-3</v>
      </c>
      <c r="BG73" s="140">
        <f t="shared" si="33"/>
        <v>-2.5554623993372439E-3</v>
      </c>
      <c r="BH73" s="140">
        <f t="shared" si="33"/>
        <v>-2.5499161594035196E-3</v>
      </c>
      <c r="BI73" s="140">
        <f t="shared" si="33"/>
        <v>-2.5449245434631678E-3</v>
      </c>
      <c r="BJ73" s="140">
        <f t="shared" si="33"/>
        <v>-2.5404320891168511E-3</v>
      </c>
      <c r="BK73" s="140">
        <f t="shared" si="33"/>
        <v>-2.5363888802051658E-3</v>
      </c>
      <c r="BL73" s="140">
        <f t="shared" si="33"/>
        <v>-2.532749992184649E-3</v>
      </c>
      <c r="BM73" s="140">
        <f t="shared" si="33"/>
        <v>-2.529474992966184E-3</v>
      </c>
      <c r="BN73" s="140">
        <f t="shared" si="33"/>
        <v>-2.5265274936695655E-3</v>
      </c>
    </row>
    <row r="74" spans="1:66" x14ac:dyDescent="0.15">
      <c r="A74" t="s">
        <v>51</v>
      </c>
      <c r="B74" s="261">
        <v>-2.4892488570607456E-3</v>
      </c>
      <c r="C74" s="261">
        <v>-1.4999999999999999E-2</v>
      </c>
      <c r="D74" s="140">
        <f t="shared" si="31"/>
        <v>-1.7489248857060744E-2</v>
      </c>
      <c r="E74" s="180">
        <f t="shared" ref="E74:E83" si="34">+E73</f>
        <v>0.1</v>
      </c>
      <c r="F74" s="14">
        <f t="shared" ref="F74:F83" si="35">+F73</f>
        <v>-2.5000000000000001E-3</v>
      </c>
      <c r="G74" s="264">
        <f t="shared" si="32"/>
        <v>-2.4892488570607456E-3</v>
      </c>
      <c r="H74" s="181">
        <f t="shared" si="27"/>
        <v>-1.7489248857060744E-2</v>
      </c>
      <c r="I74" s="181">
        <f t="shared" si="28"/>
        <v>-1.5990323971354668E-2</v>
      </c>
      <c r="J74" s="140">
        <f t="shared" si="28"/>
        <v>-1.4641291574219201E-2</v>
      </c>
      <c r="K74" s="140">
        <f t="shared" si="28"/>
        <v>-1.342716241679728E-2</v>
      </c>
      <c r="L74" s="140">
        <f t="shared" si="28"/>
        <v>-1.2334446175117553E-2</v>
      </c>
      <c r="M74" s="140">
        <f t="shared" si="28"/>
        <v>-1.1351001557605798E-2</v>
      </c>
      <c r="N74" s="140">
        <f t="shared" si="28"/>
        <v>-1.0465901401845218E-2</v>
      </c>
      <c r="O74" s="140">
        <f t="shared" si="28"/>
        <v>-9.6693112616606965E-3</v>
      </c>
      <c r="P74" s="140">
        <f t="shared" si="28"/>
        <v>-8.952380135494627E-3</v>
      </c>
      <c r="Q74" s="140">
        <f t="shared" si="28"/>
        <v>-8.307142121945164E-3</v>
      </c>
      <c r="R74" s="140">
        <f t="shared" si="28"/>
        <v>-7.7264279097506473E-3</v>
      </c>
      <c r="S74" s="140">
        <f t="shared" si="28"/>
        <v>-7.2037851187755821E-3</v>
      </c>
      <c r="T74" s="140">
        <f t="shared" si="28"/>
        <v>-6.733406606898024E-3</v>
      </c>
      <c r="U74" s="140">
        <f t="shared" si="28"/>
        <v>-6.3100659462082213E-3</v>
      </c>
      <c r="V74" s="140">
        <f t="shared" si="28"/>
        <v>-5.9290593515873994E-3</v>
      </c>
      <c r="W74" s="140">
        <f t="shared" si="28"/>
        <v>-5.5861534164286589E-3</v>
      </c>
      <c r="X74" s="140">
        <f t="shared" si="28"/>
        <v>-5.277538074785793E-3</v>
      </c>
      <c r="Y74" s="140">
        <f t="shared" si="29"/>
        <v>-4.9997842673072139E-3</v>
      </c>
      <c r="Z74" s="140">
        <f t="shared" si="29"/>
        <v>-4.7498058405764931E-3</v>
      </c>
      <c r="AA74" s="140">
        <f t="shared" si="29"/>
        <v>-4.524825256518844E-3</v>
      </c>
      <c r="AB74" s="140">
        <f t="shared" si="29"/>
        <v>-4.3223427308669597E-3</v>
      </c>
      <c r="AC74" s="140">
        <f t="shared" si="29"/>
        <v>-4.1401084577802633E-3</v>
      </c>
      <c r="AD74" s="140">
        <f t="shared" ref="AD74:BN74" si="36">+$F74+(AC74-$F74)*(1-$E74)</f>
        <v>-3.9760976120022367E-3</v>
      </c>
      <c r="AE74" s="140">
        <f t="shared" si="36"/>
        <v>-3.8284878508020133E-3</v>
      </c>
      <c r="AF74" s="140">
        <f t="shared" si="36"/>
        <v>-3.6956390657218122E-3</v>
      </c>
      <c r="AG74" s="140">
        <f t="shared" si="36"/>
        <v>-3.5760751591496311E-3</v>
      </c>
      <c r="AH74" s="140">
        <f t="shared" si="36"/>
        <v>-3.468467643234668E-3</v>
      </c>
      <c r="AI74" s="140">
        <f t="shared" si="36"/>
        <v>-3.3716208789112013E-3</v>
      </c>
      <c r="AJ74" s="140">
        <f t="shared" si="36"/>
        <v>-3.2844587910200811E-3</v>
      </c>
      <c r="AK74" s="140">
        <f t="shared" si="36"/>
        <v>-3.206012911918073E-3</v>
      </c>
      <c r="AL74" s="140">
        <f t="shared" si="36"/>
        <v>-3.1354116207262658E-3</v>
      </c>
      <c r="AM74" s="140">
        <f t="shared" si="36"/>
        <v>-3.0718704586536394E-3</v>
      </c>
      <c r="AN74" s="140">
        <f t="shared" si="36"/>
        <v>-3.0146834127882756E-3</v>
      </c>
      <c r="AO74" s="140">
        <f t="shared" si="36"/>
        <v>-2.963215071509448E-3</v>
      </c>
      <c r="AP74" s="140">
        <f t="shared" si="36"/>
        <v>-2.9168935643585033E-3</v>
      </c>
      <c r="AQ74" s="140">
        <f t="shared" si="36"/>
        <v>-2.8752042079226532E-3</v>
      </c>
      <c r="AR74" s="140">
        <f t="shared" si="36"/>
        <v>-2.8376837871303879E-3</v>
      </c>
      <c r="AS74" s="140">
        <f t="shared" si="36"/>
        <v>-2.8039154084173491E-3</v>
      </c>
      <c r="AT74" s="140">
        <f t="shared" si="36"/>
        <v>-2.7735238675756142E-3</v>
      </c>
      <c r="AU74" s="140">
        <f t="shared" si="36"/>
        <v>-2.7461714808180528E-3</v>
      </c>
      <c r="AV74" s="140">
        <f t="shared" si="36"/>
        <v>-2.7215543327362476E-3</v>
      </c>
      <c r="AW74" s="140">
        <f t="shared" si="36"/>
        <v>-2.6993988994626229E-3</v>
      </c>
      <c r="AX74" s="140">
        <f t="shared" si="36"/>
        <v>-2.6794590095163607E-3</v>
      </c>
      <c r="AY74" s="140">
        <f t="shared" si="36"/>
        <v>-2.6615131085647248E-3</v>
      </c>
      <c r="AZ74" s="140">
        <f t="shared" si="36"/>
        <v>-2.6453617977082525E-3</v>
      </c>
      <c r="BA74" s="140">
        <f t="shared" si="36"/>
        <v>-2.6308256179374272E-3</v>
      </c>
      <c r="BB74" s="140">
        <f t="shared" si="36"/>
        <v>-2.6177430561436844E-3</v>
      </c>
      <c r="BC74" s="140">
        <f t="shared" si="36"/>
        <v>-2.605968750529316E-3</v>
      </c>
      <c r="BD74" s="140">
        <f t="shared" si="36"/>
        <v>-2.5953718754763845E-3</v>
      </c>
      <c r="BE74" s="140">
        <f t="shared" si="36"/>
        <v>-2.585834687928746E-3</v>
      </c>
      <c r="BF74" s="140">
        <f t="shared" si="36"/>
        <v>-2.5772512191358714E-3</v>
      </c>
      <c r="BG74" s="140">
        <f t="shared" si="36"/>
        <v>-2.5695260972222844E-3</v>
      </c>
      <c r="BH74" s="140">
        <f t="shared" si="36"/>
        <v>-2.5625734875000558E-3</v>
      </c>
      <c r="BI74" s="140">
        <f t="shared" si="36"/>
        <v>-2.5563161387500504E-3</v>
      </c>
      <c r="BJ74" s="140">
        <f t="shared" si="36"/>
        <v>-2.5506845248750454E-3</v>
      </c>
      <c r="BK74" s="140">
        <f t="shared" si="36"/>
        <v>-2.545616072387541E-3</v>
      </c>
      <c r="BL74" s="140">
        <f t="shared" si="36"/>
        <v>-2.5410544651487867E-3</v>
      </c>
      <c r="BM74" s="140">
        <f t="shared" si="36"/>
        <v>-2.5369490186339079E-3</v>
      </c>
      <c r="BN74" s="140">
        <f t="shared" si="36"/>
        <v>-2.5332541167705173E-3</v>
      </c>
    </row>
    <row r="75" spans="1:66" x14ac:dyDescent="0.15">
      <c r="A75" t="s">
        <v>52</v>
      </c>
      <c r="B75" s="261">
        <v>-3.7272563727421479E-2</v>
      </c>
      <c r="C75" s="261">
        <v>0.02</v>
      </c>
      <c r="D75" s="140">
        <f t="shared" si="31"/>
        <v>-1.7272563727421478E-2</v>
      </c>
      <c r="E75" s="180">
        <f t="shared" si="34"/>
        <v>0.1</v>
      </c>
      <c r="F75" s="14">
        <f t="shared" si="35"/>
        <v>-2.5000000000000001E-3</v>
      </c>
      <c r="G75" s="264">
        <f t="shared" si="32"/>
        <v>-3.7272563727421479E-2</v>
      </c>
      <c r="H75" s="181">
        <f t="shared" si="27"/>
        <v>-1.7272563727421478E-2</v>
      </c>
      <c r="I75" s="181">
        <f t="shared" si="28"/>
        <v>-1.5795307354679329E-2</v>
      </c>
      <c r="J75" s="140">
        <f t="shared" si="28"/>
        <v>-1.4465776619211397E-2</v>
      </c>
      <c r="K75" s="140">
        <f t="shared" si="28"/>
        <v>-1.3269198957290257E-2</v>
      </c>
      <c r="L75" s="140">
        <f t="shared" si="28"/>
        <v>-1.2192279061561232E-2</v>
      </c>
      <c r="M75" s="140">
        <f t="shared" si="28"/>
        <v>-1.1223051155405108E-2</v>
      </c>
      <c r="N75" s="140">
        <f t="shared" si="28"/>
        <v>-1.0350746039864599E-2</v>
      </c>
      <c r="O75" s="140">
        <f t="shared" si="28"/>
        <v>-9.5656714358781387E-3</v>
      </c>
      <c r="P75" s="140">
        <f t="shared" si="28"/>
        <v>-8.8591042922903252E-3</v>
      </c>
      <c r="Q75" s="140">
        <f t="shared" si="28"/>
        <v>-8.2231938630612927E-3</v>
      </c>
      <c r="R75" s="140">
        <f t="shared" si="28"/>
        <v>-7.6508744767551633E-3</v>
      </c>
      <c r="S75" s="140">
        <f t="shared" si="28"/>
        <v>-7.135787029079646E-3</v>
      </c>
      <c r="T75" s="140">
        <f t="shared" si="28"/>
        <v>-6.6722083261716806E-3</v>
      </c>
      <c r="U75" s="140">
        <f t="shared" si="28"/>
        <v>-6.2549874935545124E-3</v>
      </c>
      <c r="V75" s="140">
        <f t="shared" si="28"/>
        <v>-5.8794887441990613E-3</v>
      </c>
      <c r="W75" s="140">
        <f t="shared" si="28"/>
        <v>-5.5415398697791548E-3</v>
      </c>
      <c r="X75" s="140">
        <f t="shared" si="28"/>
        <v>-5.237385882801239E-3</v>
      </c>
      <c r="Y75" s="140">
        <f t="shared" si="29"/>
        <v>-4.9636472945211157E-3</v>
      </c>
      <c r="Z75" s="140">
        <f t="shared" si="29"/>
        <v>-4.7172825650690043E-3</v>
      </c>
      <c r="AA75" s="140">
        <f t="shared" si="29"/>
        <v>-4.4955543085621035E-3</v>
      </c>
      <c r="AB75" s="140">
        <f t="shared" si="29"/>
        <v>-4.2959988777058929E-3</v>
      </c>
      <c r="AC75" s="140">
        <f t="shared" si="29"/>
        <v>-4.1163989899353041E-3</v>
      </c>
      <c r="AD75" s="140">
        <f t="shared" ref="AD75:BN75" si="37">+$F75+(AC75-$F75)*(1-$E75)</f>
        <v>-3.9547590909417736E-3</v>
      </c>
      <c r="AE75" s="140">
        <f t="shared" si="37"/>
        <v>-3.8092831818475961E-3</v>
      </c>
      <c r="AF75" s="140">
        <f t="shared" si="37"/>
        <v>-3.6783548636628366E-3</v>
      </c>
      <c r="AG75" s="140">
        <f t="shared" si="37"/>
        <v>-3.5605193772965532E-3</v>
      </c>
      <c r="AH75" s="140">
        <f t="shared" si="37"/>
        <v>-3.4544674395668978E-3</v>
      </c>
      <c r="AI75" s="140">
        <f t="shared" si="37"/>
        <v>-3.3590206956102082E-3</v>
      </c>
      <c r="AJ75" s="140">
        <f t="shared" si="37"/>
        <v>-3.2731186260491875E-3</v>
      </c>
      <c r="AK75" s="140">
        <f t="shared" si="37"/>
        <v>-3.1958067634442686E-3</v>
      </c>
      <c r="AL75" s="140">
        <f t="shared" si="37"/>
        <v>-3.1262260870998418E-3</v>
      </c>
      <c r="AM75" s="140">
        <f t="shared" si="37"/>
        <v>-3.0636034783898579E-3</v>
      </c>
      <c r="AN75" s="140">
        <f t="shared" si="37"/>
        <v>-3.0072431305508719E-3</v>
      </c>
      <c r="AO75" s="140">
        <f t="shared" si="37"/>
        <v>-2.9565188174957846E-3</v>
      </c>
      <c r="AP75" s="140">
        <f t="shared" si="37"/>
        <v>-2.910866935746206E-3</v>
      </c>
      <c r="AQ75" s="140">
        <f t="shared" si="37"/>
        <v>-2.8697802421715855E-3</v>
      </c>
      <c r="AR75" s="140">
        <f t="shared" si="37"/>
        <v>-2.8328022179544268E-3</v>
      </c>
      <c r="AS75" s="140">
        <f t="shared" si="37"/>
        <v>-2.799521996158984E-3</v>
      </c>
      <c r="AT75" s="140">
        <f t="shared" si="37"/>
        <v>-2.7695697965430858E-3</v>
      </c>
      <c r="AU75" s="140">
        <f t="shared" si="37"/>
        <v>-2.7426128168887773E-3</v>
      </c>
      <c r="AV75" s="140">
        <f t="shared" si="37"/>
        <v>-2.7183515351998995E-3</v>
      </c>
      <c r="AW75" s="140">
        <f t="shared" si="37"/>
        <v>-2.6965163816799094E-3</v>
      </c>
      <c r="AX75" s="140">
        <f t="shared" si="37"/>
        <v>-2.6768647435119184E-3</v>
      </c>
      <c r="AY75" s="140">
        <f t="shared" si="37"/>
        <v>-2.6591782691607266E-3</v>
      </c>
      <c r="AZ75" s="140">
        <f t="shared" si="37"/>
        <v>-2.6432604422446538E-3</v>
      </c>
      <c r="BA75" s="140">
        <f t="shared" si="37"/>
        <v>-2.6289343980201883E-3</v>
      </c>
      <c r="BB75" s="140">
        <f t="shared" si="37"/>
        <v>-2.6160409582181693E-3</v>
      </c>
      <c r="BC75" s="140">
        <f t="shared" si="37"/>
        <v>-2.6044368623963526E-3</v>
      </c>
      <c r="BD75" s="140">
        <f t="shared" si="37"/>
        <v>-2.5939931761567174E-3</v>
      </c>
      <c r="BE75" s="140">
        <f t="shared" si="37"/>
        <v>-2.5845938585410456E-3</v>
      </c>
      <c r="BF75" s="140">
        <f t="shared" si="37"/>
        <v>-2.5761344726869411E-3</v>
      </c>
      <c r="BG75" s="140">
        <f t="shared" si="37"/>
        <v>-2.5685210254182472E-3</v>
      </c>
      <c r="BH75" s="140">
        <f t="shared" si="37"/>
        <v>-2.5616689228764224E-3</v>
      </c>
      <c r="BI75" s="140">
        <f t="shared" si="37"/>
        <v>-2.5555020305887801E-3</v>
      </c>
      <c r="BJ75" s="140">
        <f t="shared" si="37"/>
        <v>-2.5499518275299022E-3</v>
      </c>
      <c r="BK75" s="140">
        <f t="shared" si="37"/>
        <v>-2.5449566447769121E-3</v>
      </c>
      <c r="BL75" s="140">
        <f t="shared" si="37"/>
        <v>-2.5404609802992207E-3</v>
      </c>
      <c r="BM75" s="140">
        <f t="shared" si="37"/>
        <v>-2.5364148822692987E-3</v>
      </c>
      <c r="BN75" s="140">
        <f t="shared" si="37"/>
        <v>-2.5327733940423689E-3</v>
      </c>
    </row>
    <row r="76" spans="1:66" x14ac:dyDescent="0.15">
      <c r="A76" t="s">
        <v>53</v>
      </c>
      <c r="B76" s="261">
        <v>-3.800067688523797E-2</v>
      </c>
      <c r="C76" s="261">
        <v>1.4E-2</v>
      </c>
      <c r="D76" s="140">
        <f t="shared" si="31"/>
        <v>-2.4000676885237972E-2</v>
      </c>
      <c r="E76" s="180">
        <f t="shared" si="34"/>
        <v>0.1</v>
      </c>
      <c r="F76" s="14">
        <f t="shared" si="35"/>
        <v>-2.5000000000000001E-3</v>
      </c>
      <c r="G76" s="264">
        <f t="shared" si="32"/>
        <v>-3.800067688523797E-2</v>
      </c>
      <c r="H76" s="181">
        <f t="shared" si="27"/>
        <v>-2.4000676885237972E-2</v>
      </c>
      <c r="I76" s="181">
        <f t="shared" si="28"/>
        <v>-2.1850609196714176E-2</v>
      </c>
      <c r="J76" s="140">
        <f t="shared" si="28"/>
        <v>-1.9915548277042758E-2</v>
      </c>
      <c r="K76" s="140">
        <f t="shared" si="28"/>
        <v>-1.8173993449338482E-2</v>
      </c>
      <c r="L76" s="140">
        <f t="shared" si="28"/>
        <v>-1.6606594104404637E-2</v>
      </c>
      <c r="M76" s="140">
        <f t="shared" si="28"/>
        <v>-1.5195934693964174E-2</v>
      </c>
      <c r="N76" s="140">
        <f t="shared" si="28"/>
        <v>-1.3926341224567757E-2</v>
      </c>
      <c r="O76" s="140">
        <f t="shared" si="28"/>
        <v>-1.2783707102110981E-2</v>
      </c>
      <c r="P76" s="140">
        <f t="shared" si="28"/>
        <v>-1.1755336391899884E-2</v>
      </c>
      <c r="Q76" s="140">
        <f t="shared" si="28"/>
        <v>-1.0829802752709896E-2</v>
      </c>
      <c r="R76" s="140">
        <f t="shared" si="28"/>
        <v>-9.9968224774389051E-3</v>
      </c>
      <c r="S76" s="140">
        <f t="shared" si="28"/>
        <v>-9.2471402296950139E-3</v>
      </c>
      <c r="T76" s="140">
        <f t="shared" si="28"/>
        <v>-8.5724262067255128E-3</v>
      </c>
      <c r="U76" s="140">
        <f t="shared" si="28"/>
        <v>-7.965183586052962E-3</v>
      </c>
      <c r="V76" s="140">
        <f t="shared" si="28"/>
        <v>-7.4186652274476662E-3</v>
      </c>
      <c r="W76" s="140">
        <f t="shared" si="28"/>
        <v>-6.9267987047028998E-3</v>
      </c>
      <c r="X76" s="140">
        <f t="shared" si="28"/>
        <v>-6.4841188342326089E-3</v>
      </c>
      <c r="Y76" s="140">
        <f t="shared" si="29"/>
        <v>-6.0857069508093477E-3</v>
      </c>
      <c r="Z76" s="140">
        <f t="shared" si="29"/>
        <v>-5.7271362557284131E-3</v>
      </c>
      <c r="AA76" s="140">
        <f t="shared" si="29"/>
        <v>-5.4044226301555717E-3</v>
      </c>
      <c r="AB76" s="140">
        <f t="shared" si="29"/>
        <v>-5.1139803671400152E-3</v>
      </c>
      <c r="AC76" s="140">
        <f t="shared" si="29"/>
        <v>-4.8525823304260141E-3</v>
      </c>
      <c r="AD76" s="140">
        <f t="shared" ref="AD76:BN76" si="38">+$F76+(AC76-$F76)*(1-$E76)</f>
        <v>-4.6173240973834129E-3</v>
      </c>
      <c r="AE76" s="140">
        <f t="shared" si="38"/>
        <v>-4.4055916876450715E-3</v>
      </c>
      <c r="AF76" s="140">
        <f t="shared" si="38"/>
        <v>-4.215032518880564E-3</v>
      </c>
      <c r="AG76" s="140">
        <f t="shared" si="38"/>
        <v>-4.0435292669925077E-3</v>
      </c>
      <c r="AH76" s="140">
        <f t="shared" si="38"/>
        <v>-3.8891763402932569E-3</v>
      </c>
      <c r="AI76" s="140">
        <f t="shared" si="38"/>
        <v>-3.7502587062639313E-3</v>
      </c>
      <c r="AJ76" s="140">
        <f t="shared" si="38"/>
        <v>-3.6252328356375383E-3</v>
      </c>
      <c r="AK76" s="140">
        <f t="shared" si="38"/>
        <v>-3.5127095520737844E-3</v>
      </c>
      <c r="AL76" s="140">
        <f t="shared" si="38"/>
        <v>-3.4114385968664058E-3</v>
      </c>
      <c r="AM76" s="140">
        <f t="shared" si="38"/>
        <v>-3.3202947371797653E-3</v>
      </c>
      <c r="AN76" s="140">
        <f t="shared" si="38"/>
        <v>-3.2382652634617886E-3</v>
      </c>
      <c r="AO76" s="140">
        <f t="shared" si="38"/>
        <v>-3.1644387371156098E-3</v>
      </c>
      <c r="AP76" s="140">
        <f t="shared" si="38"/>
        <v>-3.097994863404049E-3</v>
      </c>
      <c r="AQ76" s="140">
        <f t="shared" si="38"/>
        <v>-3.0381953770636442E-3</v>
      </c>
      <c r="AR76" s="140">
        <f t="shared" si="38"/>
        <v>-2.9843758393572799E-3</v>
      </c>
      <c r="AS76" s="140">
        <f t="shared" si="38"/>
        <v>-2.9359382554215519E-3</v>
      </c>
      <c r="AT76" s="140">
        <f t="shared" si="38"/>
        <v>-2.8923444298793967E-3</v>
      </c>
      <c r="AU76" s="140">
        <f t="shared" si="38"/>
        <v>-2.853109986891457E-3</v>
      </c>
      <c r="AV76" s="140">
        <f t="shared" si="38"/>
        <v>-2.8177989882023115E-3</v>
      </c>
      <c r="AW76" s="140">
        <f t="shared" si="38"/>
        <v>-2.7860190893820806E-3</v>
      </c>
      <c r="AX76" s="140">
        <f t="shared" si="38"/>
        <v>-2.7574171804438724E-3</v>
      </c>
      <c r="AY76" s="140">
        <f t="shared" si="38"/>
        <v>-2.7316754623994853E-3</v>
      </c>
      <c r="AZ76" s="140">
        <f t="shared" si="38"/>
        <v>-2.7085079161595369E-3</v>
      </c>
      <c r="BA76" s="140">
        <f t="shared" si="38"/>
        <v>-2.6876571245435833E-3</v>
      </c>
      <c r="BB76" s="140">
        <f t="shared" si="38"/>
        <v>-2.6688914120892252E-3</v>
      </c>
      <c r="BC76" s="140">
        <f t="shared" si="38"/>
        <v>-2.6520022708803027E-3</v>
      </c>
      <c r="BD76" s="140">
        <f t="shared" si="38"/>
        <v>-2.6368020437922725E-3</v>
      </c>
      <c r="BE76" s="140">
        <f t="shared" si="38"/>
        <v>-2.6231218394130451E-3</v>
      </c>
      <c r="BF76" s="140">
        <f t="shared" si="38"/>
        <v>-2.6108096554717406E-3</v>
      </c>
      <c r="BG76" s="140">
        <f t="shared" si="38"/>
        <v>-2.5997286899245666E-3</v>
      </c>
      <c r="BH76" s="140">
        <f t="shared" si="38"/>
        <v>-2.5897558209321101E-3</v>
      </c>
      <c r="BI76" s="140">
        <f t="shared" si="38"/>
        <v>-2.5807802388388991E-3</v>
      </c>
      <c r="BJ76" s="140">
        <f t="shared" si="38"/>
        <v>-2.5727022149550091E-3</v>
      </c>
      <c r="BK76" s="140">
        <f t="shared" si="38"/>
        <v>-2.5654319934595082E-3</v>
      </c>
      <c r="BL76" s="140">
        <f t="shared" si="38"/>
        <v>-2.5588887941135575E-3</v>
      </c>
      <c r="BM76" s="140">
        <f t="shared" si="38"/>
        <v>-2.5529999147022018E-3</v>
      </c>
      <c r="BN76" s="140">
        <f t="shared" si="38"/>
        <v>-2.5476999232319818E-3</v>
      </c>
    </row>
    <row r="77" spans="1:66" x14ac:dyDescent="0.15">
      <c r="A77" t="s">
        <v>54</v>
      </c>
      <c r="B77" s="261">
        <v>-2.286147327313913E-2</v>
      </c>
      <c r="C77" s="261">
        <v>-2E-3</v>
      </c>
      <c r="D77" s="140">
        <f t="shared" si="31"/>
        <v>-2.4861473273139131E-2</v>
      </c>
      <c r="E77" s="180">
        <f t="shared" si="34"/>
        <v>0.1</v>
      </c>
      <c r="F77" s="14">
        <f t="shared" si="35"/>
        <v>-2.5000000000000001E-3</v>
      </c>
      <c r="G77" s="264">
        <f t="shared" si="32"/>
        <v>-2.286147327313913E-2</v>
      </c>
      <c r="H77" s="181">
        <f t="shared" si="27"/>
        <v>-2.4861473273139131E-2</v>
      </c>
      <c r="I77" s="181">
        <f t="shared" si="28"/>
        <v>-2.2625325945825218E-2</v>
      </c>
      <c r="J77" s="140">
        <f t="shared" si="28"/>
        <v>-2.0612793351242695E-2</v>
      </c>
      <c r="K77" s="140">
        <f t="shared" si="28"/>
        <v>-1.8801514016118428E-2</v>
      </c>
      <c r="L77" s="140">
        <f t="shared" si="28"/>
        <v>-1.7171362614506587E-2</v>
      </c>
      <c r="M77" s="140">
        <f t="shared" si="28"/>
        <v>-1.5704226353055926E-2</v>
      </c>
      <c r="N77" s="140">
        <f t="shared" si="28"/>
        <v>-1.4383803717750334E-2</v>
      </c>
      <c r="O77" s="140">
        <f t="shared" si="28"/>
        <v>-1.31954233459753E-2</v>
      </c>
      <c r="P77" s="140">
        <f t="shared" si="28"/>
        <v>-1.212588101137777E-2</v>
      </c>
      <c r="Q77" s="140">
        <f t="shared" si="28"/>
        <v>-1.1163292910239993E-2</v>
      </c>
      <c r="R77" s="140">
        <f t="shared" si="28"/>
        <v>-1.0296963619215994E-2</v>
      </c>
      <c r="S77" s="140">
        <f t="shared" si="28"/>
        <v>-9.5172672572943935E-3</v>
      </c>
      <c r="T77" s="140">
        <f t="shared" si="28"/>
        <v>-8.8155405315649537E-3</v>
      </c>
      <c r="U77" s="140">
        <f t="shared" si="28"/>
        <v>-8.1839864784084577E-3</v>
      </c>
      <c r="V77" s="140">
        <f t="shared" si="28"/>
        <v>-7.6155878305676113E-3</v>
      </c>
      <c r="W77" s="140">
        <f t="shared" si="28"/>
        <v>-7.1040290475108507E-3</v>
      </c>
      <c r="X77" s="140">
        <f t="shared" si="28"/>
        <v>-6.6436261427597655E-3</v>
      </c>
      <c r="Y77" s="140">
        <f t="shared" si="29"/>
        <v>-6.2292635284837885E-3</v>
      </c>
      <c r="Z77" s="140">
        <f t="shared" si="29"/>
        <v>-5.8563371756354095E-3</v>
      </c>
      <c r="AA77" s="140">
        <f t="shared" si="29"/>
        <v>-5.5207034580718687E-3</v>
      </c>
      <c r="AB77" s="140">
        <f t="shared" si="29"/>
        <v>-5.2186331122646822E-3</v>
      </c>
      <c r="AC77" s="140">
        <f t="shared" si="29"/>
        <v>-4.9467698010382142E-3</v>
      </c>
      <c r="AD77" s="140">
        <f t="shared" ref="AD77:BN77" si="39">+$F77+(AC77-$F77)*(1-$E77)</f>
        <v>-4.7020928209343931E-3</v>
      </c>
      <c r="AE77" s="140">
        <f t="shared" si="39"/>
        <v>-4.4818835388409535E-3</v>
      </c>
      <c r="AF77" s="140">
        <f t="shared" si="39"/>
        <v>-4.2836951849568577E-3</v>
      </c>
      <c r="AG77" s="140">
        <f t="shared" si="39"/>
        <v>-4.1053256664611718E-3</v>
      </c>
      <c r="AH77" s="140">
        <f t="shared" si="39"/>
        <v>-3.9447930998150549E-3</v>
      </c>
      <c r="AI77" s="140">
        <f t="shared" si="39"/>
        <v>-3.8003137898335497E-3</v>
      </c>
      <c r="AJ77" s="140">
        <f t="shared" si="39"/>
        <v>-3.6702824108501945E-3</v>
      </c>
      <c r="AK77" s="140">
        <f t="shared" si="39"/>
        <v>-3.5532541697651751E-3</v>
      </c>
      <c r="AL77" s="140">
        <f t="shared" si="39"/>
        <v>-3.4479287527886576E-3</v>
      </c>
      <c r="AM77" s="140">
        <f t="shared" si="39"/>
        <v>-3.353135877509792E-3</v>
      </c>
      <c r="AN77" s="140">
        <f t="shared" si="39"/>
        <v>-3.267822289758813E-3</v>
      </c>
      <c r="AO77" s="140">
        <f t="shared" si="39"/>
        <v>-3.1910400607829317E-3</v>
      </c>
      <c r="AP77" s="140">
        <f t="shared" si="39"/>
        <v>-3.1219360547046385E-3</v>
      </c>
      <c r="AQ77" s="140">
        <f t="shared" si="39"/>
        <v>-3.0597424492341749E-3</v>
      </c>
      <c r="AR77" s="140">
        <f t="shared" si="39"/>
        <v>-3.0037682043107575E-3</v>
      </c>
      <c r="AS77" s="140">
        <f t="shared" si="39"/>
        <v>-2.9533913838796816E-3</v>
      </c>
      <c r="AT77" s="140">
        <f t="shared" si="39"/>
        <v>-2.9080522454917133E-3</v>
      </c>
      <c r="AU77" s="140">
        <f t="shared" si="39"/>
        <v>-2.8672470209425418E-3</v>
      </c>
      <c r="AV77" s="140">
        <f t="shared" si="39"/>
        <v>-2.8305223188482874E-3</v>
      </c>
      <c r="AW77" s="140">
        <f t="shared" si="39"/>
        <v>-2.7974700869634588E-3</v>
      </c>
      <c r="AX77" s="140">
        <f t="shared" si="39"/>
        <v>-2.767723078267113E-3</v>
      </c>
      <c r="AY77" s="140">
        <f t="shared" si="39"/>
        <v>-2.7409507704404018E-3</v>
      </c>
      <c r="AZ77" s="140">
        <f t="shared" si="39"/>
        <v>-2.7168556933963618E-3</v>
      </c>
      <c r="BA77" s="140">
        <f t="shared" si="39"/>
        <v>-2.6951701240567256E-3</v>
      </c>
      <c r="BB77" s="140">
        <f t="shared" si="39"/>
        <v>-2.675653111651053E-3</v>
      </c>
      <c r="BC77" s="140">
        <f t="shared" si="39"/>
        <v>-2.6580878004859479E-3</v>
      </c>
      <c r="BD77" s="140">
        <f t="shared" si="39"/>
        <v>-2.6422790204373532E-3</v>
      </c>
      <c r="BE77" s="140">
        <f t="shared" si="39"/>
        <v>-2.628051118393618E-3</v>
      </c>
      <c r="BF77" s="140">
        <f t="shared" si="39"/>
        <v>-2.6152460065542562E-3</v>
      </c>
      <c r="BG77" s="140">
        <f t="shared" si="39"/>
        <v>-2.6037214058988304E-3</v>
      </c>
      <c r="BH77" s="140">
        <f t="shared" si="39"/>
        <v>-2.5933492653089476E-3</v>
      </c>
      <c r="BI77" s="140">
        <f t="shared" si="39"/>
        <v>-2.5840143387780528E-3</v>
      </c>
      <c r="BJ77" s="140">
        <f t="shared" si="39"/>
        <v>-2.5756129049002477E-3</v>
      </c>
      <c r="BK77" s="140">
        <f t="shared" si="39"/>
        <v>-2.5680516144102228E-3</v>
      </c>
      <c r="BL77" s="140">
        <f t="shared" si="39"/>
        <v>-2.5612464529692004E-3</v>
      </c>
      <c r="BM77" s="140">
        <f t="shared" si="39"/>
        <v>-2.5551218076722802E-3</v>
      </c>
      <c r="BN77" s="140">
        <f t="shared" si="39"/>
        <v>-2.5496096269050522E-3</v>
      </c>
    </row>
    <row r="78" spans="1:66" x14ac:dyDescent="0.15">
      <c r="A78" t="s">
        <v>55</v>
      </c>
      <c r="B78" s="261">
        <v>-2.957899467381012E-2</v>
      </c>
      <c r="C78" s="261">
        <v>7.4999999999999997E-3</v>
      </c>
      <c r="D78" s="140">
        <f t="shared" si="31"/>
        <v>-2.207899467381012E-2</v>
      </c>
      <c r="E78" s="180">
        <f t="shared" si="34"/>
        <v>0.1</v>
      </c>
      <c r="F78" s="14">
        <f t="shared" si="35"/>
        <v>-2.5000000000000001E-3</v>
      </c>
      <c r="G78" s="264">
        <f t="shared" si="32"/>
        <v>-2.957899467381012E-2</v>
      </c>
      <c r="H78" s="181">
        <f t="shared" si="27"/>
        <v>-2.207899467381012E-2</v>
      </c>
      <c r="I78" s="181">
        <f t="shared" si="28"/>
        <v>-2.0121095206429108E-2</v>
      </c>
      <c r="J78" s="140">
        <f t="shared" si="28"/>
        <v>-1.8358985685786196E-2</v>
      </c>
      <c r="K78" s="140">
        <f t="shared" si="28"/>
        <v>-1.6773087117207579E-2</v>
      </c>
      <c r="L78" s="140">
        <f t="shared" si="28"/>
        <v>-1.5345778405486822E-2</v>
      </c>
      <c r="M78" s="140">
        <f t="shared" si="28"/>
        <v>-1.4061200564938141E-2</v>
      </c>
      <c r="N78" s="140">
        <f t="shared" si="28"/>
        <v>-1.2905080508444328E-2</v>
      </c>
      <c r="O78" s="140">
        <f t="shared" si="28"/>
        <v>-1.1864572457599896E-2</v>
      </c>
      <c r="P78" s="140">
        <f t="shared" si="28"/>
        <v>-1.0928115211839907E-2</v>
      </c>
      <c r="Q78" s="140">
        <f t="shared" si="28"/>
        <v>-1.0085303690655916E-2</v>
      </c>
      <c r="R78" s="140">
        <f t="shared" si="28"/>
        <v>-9.3267733215903238E-3</v>
      </c>
      <c r="S78" s="140">
        <f t="shared" si="28"/>
        <v>-8.6440959894312913E-3</v>
      </c>
      <c r="T78" s="140">
        <f t="shared" si="28"/>
        <v>-8.0296863904881621E-3</v>
      </c>
      <c r="U78" s="140">
        <f t="shared" si="28"/>
        <v>-7.4767177514393456E-3</v>
      </c>
      <c r="V78" s="140">
        <f t="shared" si="28"/>
        <v>-6.9790459762954105E-3</v>
      </c>
      <c r="W78" s="140">
        <f t="shared" si="28"/>
        <v>-6.5311413786658685E-3</v>
      </c>
      <c r="X78" s="140">
        <f t="shared" si="28"/>
        <v>-6.128027240799281E-3</v>
      </c>
      <c r="Y78" s="140">
        <f t="shared" si="29"/>
        <v>-5.7652245167193524E-3</v>
      </c>
      <c r="Z78" s="140">
        <f t="shared" si="29"/>
        <v>-5.4387020650474172E-3</v>
      </c>
      <c r="AA78" s="140">
        <f t="shared" si="29"/>
        <v>-5.1448318585426752E-3</v>
      </c>
      <c r="AB78" s="140">
        <f>+$F78+(AA78-$F78)*(1-$E78)</f>
        <v>-4.8803486726884081E-3</v>
      </c>
      <c r="AC78" s="140">
        <f>+$F78+(AB78-$F78)*(1-$E78)</f>
        <v>-4.6423138054195673E-3</v>
      </c>
      <c r="AD78" s="140">
        <f t="shared" ref="AD78:BN78" si="40">+$F78+(AC78-$F78)*(1-$E78)</f>
        <v>-4.4280824248776104E-3</v>
      </c>
      <c r="AE78" s="140">
        <f t="shared" si="40"/>
        <v>-4.2352741823898496E-3</v>
      </c>
      <c r="AF78" s="140">
        <f t="shared" si="40"/>
        <v>-4.0617467641508647E-3</v>
      </c>
      <c r="AG78" s="140">
        <f t="shared" si="40"/>
        <v>-3.9055720877357782E-3</v>
      </c>
      <c r="AH78" s="140">
        <f t="shared" si="40"/>
        <v>-3.7650148789622005E-3</v>
      </c>
      <c r="AI78" s="140">
        <f t="shared" si="40"/>
        <v>-3.6385133910659803E-3</v>
      </c>
      <c r="AJ78" s="140">
        <f t="shared" si="40"/>
        <v>-3.5246620519593826E-3</v>
      </c>
      <c r="AK78" s="140">
        <f t="shared" si="40"/>
        <v>-3.4221958467634444E-3</v>
      </c>
      <c r="AL78" s="140">
        <f t="shared" si="40"/>
        <v>-3.3299762620871E-3</v>
      </c>
      <c r="AM78" s="140">
        <f t="shared" si="40"/>
        <v>-3.2469786358783901E-3</v>
      </c>
      <c r="AN78" s="140">
        <f t="shared" si="40"/>
        <v>-3.1722807722905509E-3</v>
      </c>
      <c r="AO78" s="140">
        <f t="shared" si="40"/>
        <v>-3.1050526950614958E-3</v>
      </c>
      <c r="AP78" s="140">
        <f t="shared" si="40"/>
        <v>-3.044547425555346E-3</v>
      </c>
      <c r="AQ78" s="140">
        <f t="shared" si="40"/>
        <v>-2.9900926829998114E-3</v>
      </c>
      <c r="AR78" s="140">
        <f t="shared" si="40"/>
        <v>-2.9410834146998302E-3</v>
      </c>
      <c r="AS78" s="140">
        <f t="shared" si="40"/>
        <v>-2.8969750732298471E-3</v>
      </c>
      <c r="AT78" s="140">
        <f t="shared" si="40"/>
        <v>-2.8572775659068623E-3</v>
      </c>
      <c r="AU78" s="140">
        <f t="shared" si="40"/>
        <v>-2.8215498093161762E-3</v>
      </c>
      <c r="AV78" s="140">
        <f t="shared" si="40"/>
        <v>-2.7893948283845586E-3</v>
      </c>
      <c r="AW78" s="140">
        <f t="shared" si="40"/>
        <v>-2.7604553455461028E-3</v>
      </c>
      <c r="AX78" s="140">
        <f t="shared" si="40"/>
        <v>-2.7344098109914924E-3</v>
      </c>
      <c r="AY78" s="140">
        <f t="shared" si="40"/>
        <v>-2.710968829892343E-3</v>
      </c>
      <c r="AZ78" s="140">
        <f t="shared" si="40"/>
        <v>-2.6898719469031088E-3</v>
      </c>
      <c r="BA78" s="140">
        <f t="shared" si="40"/>
        <v>-2.6708847522127978E-3</v>
      </c>
      <c r="BB78" s="140">
        <f t="shared" si="40"/>
        <v>-2.6537962769915182E-3</v>
      </c>
      <c r="BC78" s="140">
        <f t="shared" si="40"/>
        <v>-2.6384166492923666E-3</v>
      </c>
      <c r="BD78" s="140">
        <f t="shared" si="40"/>
        <v>-2.6245749843631298E-3</v>
      </c>
      <c r="BE78" s="140">
        <f t="shared" si="40"/>
        <v>-2.6121174859268168E-3</v>
      </c>
      <c r="BF78" s="140">
        <f t="shared" si="40"/>
        <v>-2.6009057373341353E-3</v>
      </c>
      <c r="BG78" s="140">
        <f t="shared" si="40"/>
        <v>-2.5908151636007217E-3</v>
      </c>
      <c r="BH78" s="140">
        <f t="shared" si="40"/>
        <v>-2.5817336472406496E-3</v>
      </c>
      <c r="BI78" s="140">
        <f t="shared" si="40"/>
        <v>-2.5735602825165847E-3</v>
      </c>
      <c r="BJ78" s="140">
        <f t="shared" si="40"/>
        <v>-2.5662042542649263E-3</v>
      </c>
      <c r="BK78" s="140">
        <f t="shared" si="40"/>
        <v>-2.5595838288384335E-3</v>
      </c>
      <c r="BL78" s="140">
        <f t="shared" si="40"/>
        <v>-2.55362544595459E-3</v>
      </c>
      <c r="BM78" s="140">
        <f t="shared" si="40"/>
        <v>-2.5482629013591309E-3</v>
      </c>
      <c r="BN78" s="140">
        <f t="shared" si="40"/>
        <v>-2.5434366112232179E-3</v>
      </c>
    </row>
    <row r="79" spans="1:66" x14ac:dyDescent="0.15">
      <c r="A79" t="s">
        <v>56</v>
      </c>
      <c r="B79" s="261">
        <v>2.7370023855416516E-2</v>
      </c>
      <c r="C79" s="261">
        <v>-4.4999999999999998E-2</v>
      </c>
      <c r="D79" s="140">
        <f t="shared" si="31"/>
        <v>-1.7629976144583483E-2</v>
      </c>
      <c r="E79" s="180">
        <f t="shared" si="34"/>
        <v>0.1</v>
      </c>
      <c r="F79" s="14">
        <f t="shared" si="35"/>
        <v>-2.5000000000000001E-3</v>
      </c>
      <c r="G79" s="264">
        <f t="shared" si="32"/>
        <v>2.7370023855416516E-2</v>
      </c>
      <c r="H79" s="181">
        <f t="shared" si="27"/>
        <v>-1.7629976144583483E-2</v>
      </c>
      <c r="I79" s="181">
        <f t="shared" si="28"/>
        <v>-1.6116978530125135E-2</v>
      </c>
      <c r="J79" s="140">
        <f t="shared" si="28"/>
        <v>-1.4755280677112622E-2</v>
      </c>
      <c r="K79" s="140">
        <f t="shared" si="28"/>
        <v>-1.352975260940136E-2</v>
      </c>
      <c r="L79" s="140">
        <f t="shared" si="28"/>
        <v>-1.2426777348461225E-2</v>
      </c>
      <c r="M79" s="140">
        <f t="shared" si="28"/>
        <v>-1.1434099613615103E-2</v>
      </c>
      <c r="N79" s="140">
        <f t="shared" si="28"/>
        <v>-1.0540689652253592E-2</v>
      </c>
      <c r="O79" s="140">
        <f t="shared" si="28"/>
        <v>-9.7366206870282326E-3</v>
      </c>
      <c r="P79" s="140">
        <f t="shared" si="28"/>
        <v>-9.0129586183254097E-3</v>
      </c>
      <c r="Q79" s="140">
        <f t="shared" si="28"/>
        <v>-8.361662756492869E-3</v>
      </c>
      <c r="R79" s="140">
        <f t="shared" si="28"/>
        <v>-7.7754964808435818E-3</v>
      </c>
      <c r="S79" s="140">
        <f t="shared" si="28"/>
        <v>-7.2479468327592226E-3</v>
      </c>
      <c r="T79" s="140">
        <f t="shared" si="28"/>
        <v>-6.7731521494833E-3</v>
      </c>
      <c r="U79" s="140">
        <f t="shared" si="28"/>
        <v>-6.3458369345349699E-3</v>
      </c>
      <c r="V79" s="140">
        <f t="shared" si="28"/>
        <v>-5.9612532410814731E-3</v>
      </c>
      <c r="W79" s="140">
        <f t="shared" si="28"/>
        <v>-5.6151279169733264E-3</v>
      </c>
      <c r="X79" s="140">
        <f t="shared" si="28"/>
        <v>-5.3036151252759938E-3</v>
      </c>
      <c r="Y79" s="140">
        <f t="shared" ref="Y79:AC83" si="41">+$F79+(X79-$F79)*(1-$E79)</f>
        <v>-5.0232536127483947E-3</v>
      </c>
      <c r="Z79" s="140">
        <f t="shared" si="41"/>
        <v>-4.7709282514735553E-3</v>
      </c>
      <c r="AA79" s="140">
        <f t="shared" si="41"/>
        <v>-4.5438354263261996E-3</v>
      </c>
      <c r="AB79" s="140">
        <f t="shared" si="41"/>
        <v>-4.3394518836935795E-3</v>
      </c>
      <c r="AC79" s="140">
        <f t="shared" si="41"/>
        <v>-4.1555066953242216E-3</v>
      </c>
      <c r="AD79" s="140">
        <f t="shared" ref="AD79:BN79" si="42">+$F79+(AC79-$F79)*(1-$E79)</f>
        <v>-3.9899560257917995E-3</v>
      </c>
      <c r="AE79" s="140">
        <f t="shared" si="42"/>
        <v>-3.8409604232126195E-3</v>
      </c>
      <c r="AF79" s="140">
        <f t="shared" si="42"/>
        <v>-3.7068643808913573E-3</v>
      </c>
      <c r="AG79" s="140">
        <f t="shared" si="42"/>
        <v>-3.5861779428022216E-3</v>
      </c>
      <c r="AH79" s="140">
        <f t="shared" si="42"/>
        <v>-3.4775601485219996E-3</v>
      </c>
      <c r="AI79" s="140">
        <f t="shared" si="42"/>
        <v>-3.3798041336697998E-3</v>
      </c>
      <c r="AJ79" s="140">
        <f t="shared" si="42"/>
        <v>-3.2918237203028197E-3</v>
      </c>
      <c r="AK79" s="140">
        <f t="shared" si="42"/>
        <v>-3.212641348272538E-3</v>
      </c>
      <c r="AL79" s="140">
        <f t="shared" si="42"/>
        <v>-3.1413772134452843E-3</v>
      </c>
      <c r="AM79" s="140">
        <f t="shared" si="42"/>
        <v>-3.0772394921007558E-3</v>
      </c>
      <c r="AN79" s="140">
        <f t="shared" si="42"/>
        <v>-3.0195155428906803E-3</v>
      </c>
      <c r="AO79" s="140">
        <f t="shared" si="42"/>
        <v>-2.9675639886016124E-3</v>
      </c>
      <c r="AP79" s="140">
        <f t="shared" si="42"/>
        <v>-2.9208075897414511E-3</v>
      </c>
      <c r="AQ79" s="140">
        <f t="shared" si="42"/>
        <v>-2.8787268307673059E-3</v>
      </c>
      <c r="AR79" s="140">
        <f t="shared" si="42"/>
        <v>-2.8408541476905753E-3</v>
      </c>
      <c r="AS79" s="140">
        <f t="shared" si="42"/>
        <v>-2.806768732921518E-3</v>
      </c>
      <c r="AT79" s="140">
        <f t="shared" si="42"/>
        <v>-2.7760918596293664E-3</v>
      </c>
      <c r="AU79" s="140">
        <f t="shared" si="42"/>
        <v>-2.7484826736664299E-3</v>
      </c>
      <c r="AV79" s="140">
        <f t="shared" si="42"/>
        <v>-2.7236344062997872E-3</v>
      </c>
      <c r="AW79" s="140">
        <f t="shared" si="42"/>
        <v>-2.7012709656698084E-3</v>
      </c>
      <c r="AX79" s="140">
        <f t="shared" si="42"/>
        <v>-2.6811438691028274E-3</v>
      </c>
      <c r="AY79" s="140">
        <f t="shared" si="42"/>
        <v>-2.6630294821925445E-3</v>
      </c>
      <c r="AZ79" s="140">
        <f t="shared" si="42"/>
        <v>-2.6467265339732899E-3</v>
      </c>
      <c r="BA79" s="140">
        <f t="shared" si="42"/>
        <v>-2.6320538805759608E-3</v>
      </c>
      <c r="BB79" s="140">
        <f t="shared" si="42"/>
        <v>-2.6188484925183646E-3</v>
      </c>
      <c r="BC79" s="140">
        <f t="shared" si="42"/>
        <v>-2.6069636432665281E-3</v>
      </c>
      <c r="BD79" s="140">
        <f t="shared" si="42"/>
        <v>-2.5962672789398753E-3</v>
      </c>
      <c r="BE79" s="140">
        <f t="shared" si="42"/>
        <v>-2.5866405510458876E-3</v>
      </c>
      <c r="BF79" s="140">
        <f t="shared" si="42"/>
        <v>-2.5779764959412989E-3</v>
      </c>
      <c r="BG79" s="140">
        <f t="shared" si="42"/>
        <v>-2.5701788463471692E-3</v>
      </c>
      <c r="BH79" s="140">
        <f t="shared" si="42"/>
        <v>-2.5631609617124524E-3</v>
      </c>
      <c r="BI79" s="140">
        <f t="shared" si="42"/>
        <v>-2.5568448655412072E-3</v>
      </c>
      <c r="BJ79" s="140">
        <f t="shared" si="42"/>
        <v>-2.5511603789870867E-3</v>
      </c>
      <c r="BK79" s="140">
        <f t="shared" si="42"/>
        <v>-2.5460443410883779E-3</v>
      </c>
      <c r="BL79" s="140">
        <f t="shared" si="42"/>
        <v>-2.54143990697954E-3</v>
      </c>
      <c r="BM79" s="140">
        <f t="shared" si="42"/>
        <v>-2.5372959162815859E-3</v>
      </c>
      <c r="BN79" s="140">
        <f t="shared" si="42"/>
        <v>-2.5335663246534275E-3</v>
      </c>
    </row>
    <row r="80" spans="1:66" x14ac:dyDescent="0.15">
      <c r="A80" t="s">
        <v>57</v>
      </c>
      <c r="B80" s="261">
        <v>-2.4620078299639761E-2</v>
      </c>
      <c r="C80" s="261">
        <v>2.5000000000000001E-3</v>
      </c>
      <c r="D80" s="140">
        <f t="shared" si="31"/>
        <v>-2.2120078299639762E-2</v>
      </c>
      <c r="E80" s="180">
        <f t="shared" si="34"/>
        <v>0.1</v>
      </c>
      <c r="F80" s="14">
        <f t="shared" si="35"/>
        <v>-2.5000000000000001E-3</v>
      </c>
      <c r="G80" s="264">
        <f t="shared" si="32"/>
        <v>-2.4620078299639761E-2</v>
      </c>
      <c r="H80" s="181">
        <f t="shared" si="27"/>
        <v>-2.2120078299639762E-2</v>
      </c>
      <c r="I80" s="181">
        <f t="shared" si="28"/>
        <v>-2.0158070469675788E-2</v>
      </c>
      <c r="J80" s="140">
        <f t="shared" si="28"/>
        <v>-1.8392263422708211E-2</v>
      </c>
      <c r="K80" s="140">
        <f t="shared" si="28"/>
        <v>-1.6803037080437393E-2</v>
      </c>
      <c r="L80" s="140">
        <f t="shared" si="28"/>
        <v>-1.5372733372393654E-2</v>
      </c>
      <c r="M80" s="140">
        <f t="shared" si="28"/>
        <v>-1.4085460035154289E-2</v>
      </c>
      <c r="N80" s="140">
        <f t="shared" si="28"/>
        <v>-1.2926914031638859E-2</v>
      </c>
      <c r="O80" s="140">
        <f t="shared" si="28"/>
        <v>-1.1884222628474973E-2</v>
      </c>
      <c r="P80" s="140">
        <f t="shared" si="28"/>
        <v>-1.0945800365627477E-2</v>
      </c>
      <c r="Q80" s="140">
        <f t="shared" si="28"/>
        <v>-1.0101220329064728E-2</v>
      </c>
      <c r="R80" s="140">
        <f t="shared" si="28"/>
        <v>-9.341098296158255E-3</v>
      </c>
      <c r="S80" s="140">
        <f t="shared" si="28"/>
        <v>-8.6569884665424288E-3</v>
      </c>
      <c r="T80" s="140">
        <f t="shared" si="28"/>
        <v>-8.041289619888186E-3</v>
      </c>
      <c r="U80" s="140">
        <f t="shared" si="28"/>
        <v>-7.4871606578993666E-3</v>
      </c>
      <c r="V80" s="140">
        <f t="shared" si="28"/>
        <v>-6.9884445921094291E-3</v>
      </c>
      <c r="W80" s="140">
        <f t="shared" si="28"/>
        <v>-6.5396001328984852E-3</v>
      </c>
      <c r="X80" s="140">
        <f t="shared" si="28"/>
        <v>-6.1356401196086367E-3</v>
      </c>
      <c r="Y80" s="140">
        <f t="shared" si="41"/>
        <v>-5.7720761076477736E-3</v>
      </c>
      <c r="Z80" s="140">
        <f t="shared" si="41"/>
        <v>-5.4448684968829968E-3</v>
      </c>
      <c r="AA80" s="140">
        <f t="shared" si="41"/>
        <v>-5.150381647194697E-3</v>
      </c>
      <c r="AB80" s="140">
        <f t="shared" si="41"/>
        <v>-4.8853434824752268E-3</v>
      </c>
      <c r="AC80" s="140">
        <f t="shared" si="41"/>
        <v>-4.6468091342277036E-3</v>
      </c>
      <c r="AD80" s="140">
        <f t="shared" ref="AD80:BN80" si="43">+$F80+(AC80-$F80)*(1-$E80)</f>
        <v>-4.4321282208049338E-3</v>
      </c>
      <c r="AE80" s="140">
        <f t="shared" si="43"/>
        <v>-4.23891539872444E-3</v>
      </c>
      <c r="AF80" s="140">
        <f t="shared" si="43"/>
        <v>-4.0650238588519957E-3</v>
      </c>
      <c r="AG80" s="140">
        <f t="shared" si="43"/>
        <v>-3.9085214729667958E-3</v>
      </c>
      <c r="AH80" s="140">
        <f t="shared" si="43"/>
        <v>-3.7676693256701163E-3</v>
      </c>
      <c r="AI80" s="140">
        <f t="shared" si="43"/>
        <v>-3.6409023931031044E-3</v>
      </c>
      <c r="AJ80" s="140">
        <f t="shared" si="43"/>
        <v>-3.5268121537927943E-3</v>
      </c>
      <c r="AK80" s="140">
        <f t="shared" si="43"/>
        <v>-3.4241309384135149E-3</v>
      </c>
      <c r="AL80" s="140">
        <f t="shared" si="43"/>
        <v>-3.3317178445721636E-3</v>
      </c>
      <c r="AM80" s="140">
        <f t="shared" si="43"/>
        <v>-3.2485460601149475E-3</v>
      </c>
      <c r="AN80" s="140">
        <f t="shared" si="43"/>
        <v>-3.1736914541034529E-3</v>
      </c>
      <c r="AO80" s="140">
        <f t="shared" si="43"/>
        <v>-3.1063223086931074E-3</v>
      </c>
      <c r="AP80" s="140">
        <f t="shared" si="43"/>
        <v>-3.0456900778237967E-3</v>
      </c>
      <c r="AQ80" s="140">
        <f t="shared" si="43"/>
        <v>-2.9911210700414169E-3</v>
      </c>
      <c r="AR80" s="140">
        <f t="shared" si="43"/>
        <v>-2.9420089630372752E-3</v>
      </c>
      <c r="AS80" s="140">
        <f t="shared" si="43"/>
        <v>-2.8978080667335475E-3</v>
      </c>
      <c r="AT80" s="140">
        <f t="shared" si="43"/>
        <v>-2.858027260060193E-3</v>
      </c>
      <c r="AU80" s="140">
        <f t="shared" si="43"/>
        <v>-2.8222245340541736E-3</v>
      </c>
      <c r="AV80" s="140">
        <f t="shared" si="43"/>
        <v>-2.7900020806487561E-3</v>
      </c>
      <c r="AW80" s="140">
        <f t="shared" si="43"/>
        <v>-2.7610018725838805E-3</v>
      </c>
      <c r="AX80" s="140">
        <f t="shared" si="43"/>
        <v>-2.7349016853254926E-3</v>
      </c>
      <c r="AY80" s="140">
        <f t="shared" si="43"/>
        <v>-2.7114115167929435E-3</v>
      </c>
      <c r="AZ80" s="140">
        <f t="shared" si="43"/>
        <v>-2.6902703651136492E-3</v>
      </c>
      <c r="BA80" s="140">
        <f t="shared" si="43"/>
        <v>-2.6712433286022845E-3</v>
      </c>
      <c r="BB80" s="140">
        <f t="shared" si="43"/>
        <v>-2.6541189957420561E-3</v>
      </c>
      <c r="BC80" s="140">
        <f t="shared" si="43"/>
        <v>-2.6387070961678503E-3</v>
      </c>
      <c r="BD80" s="140">
        <f t="shared" si="43"/>
        <v>-2.6248363865510652E-3</v>
      </c>
      <c r="BE80" s="140">
        <f t="shared" si="43"/>
        <v>-2.6123527478959588E-3</v>
      </c>
      <c r="BF80" s="140">
        <f t="shared" si="43"/>
        <v>-2.6011174731063631E-3</v>
      </c>
      <c r="BG80" s="140">
        <f t="shared" si="43"/>
        <v>-2.5910057257957269E-3</v>
      </c>
      <c r="BH80" s="140">
        <f t="shared" si="43"/>
        <v>-2.581905153216154E-3</v>
      </c>
      <c r="BI80" s="140">
        <f t="shared" si="43"/>
        <v>-2.5737146378945388E-3</v>
      </c>
      <c r="BJ80" s="140">
        <f t="shared" si="43"/>
        <v>-2.566343174105085E-3</v>
      </c>
      <c r="BK80" s="140">
        <f t="shared" si="43"/>
        <v>-2.5597088566945763E-3</v>
      </c>
      <c r="BL80" s="140">
        <f t="shared" si="43"/>
        <v>-2.5537379710251188E-3</v>
      </c>
      <c r="BM80" s="140">
        <f t="shared" si="43"/>
        <v>-2.5483641739226068E-3</v>
      </c>
      <c r="BN80" s="140">
        <f t="shared" si="43"/>
        <v>-2.543527756530346E-3</v>
      </c>
    </row>
    <row r="81" spans="1:66" x14ac:dyDescent="0.15">
      <c r="A81" t="s">
        <v>58</v>
      </c>
      <c r="B81" s="261">
        <v>-3.9660587554906576E-3</v>
      </c>
      <c r="C81" s="261">
        <v>-1.0999999999999999E-2</v>
      </c>
      <c r="D81" s="140">
        <f t="shared" si="31"/>
        <v>-1.4966058755490657E-2</v>
      </c>
      <c r="E81" s="180">
        <f t="shared" si="34"/>
        <v>0.1</v>
      </c>
      <c r="F81" s="14">
        <f t="shared" si="35"/>
        <v>-2.5000000000000001E-3</v>
      </c>
      <c r="G81" s="264">
        <f t="shared" si="32"/>
        <v>-3.9660587554906576E-3</v>
      </c>
      <c r="H81" s="181">
        <f t="shared" si="27"/>
        <v>-1.4966058755490657E-2</v>
      </c>
      <c r="I81" s="181">
        <f t="shared" si="28"/>
        <v>-1.3719452879941592E-2</v>
      </c>
      <c r="J81" s="140">
        <f t="shared" si="28"/>
        <v>-1.2597507591947433E-2</v>
      </c>
      <c r="K81" s="140">
        <f t="shared" si="28"/>
        <v>-1.1587756832752689E-2</v>
      </c>
      <c r="L81" s="140">
        <f t="shared" si="28"/>
        <v>-1.0678981149477421E-2</v>
      </c>
      <c r="M81" s="140">
        <f t="shared" si="28"/>
        <v>-9.8610830345296791E-3</v>
      </c>
      <c r="N81" s="140">
        <f t="shared" si="28"/>
        <v>-9.1249747310767106E-3</v>
      </c>
      <c r="O81" s="140">
        <f t="shared" si="28"/>
        <v>-8.4624772579690397E-3</v>
      </c>
      <c r="P81" s="140">
        <f t="shared" si="28"/>
        <v>-7.8662295321721351E-3</v>
      </c>
      <c r="Q81" s="140">
        <f t="shared" si="28"/>
        <v>-7.3296065789549211E-3</v>
      </c>
      <c r="R81" s="140">
        <f t="shared" si="28"/>
        <v>-6.8466459210594285E-3</v>
      </c>
      <c r="S81" s="140">
        <f t="shared" si="28"/>
        <v>-6.4119813289534849E-3</v>
      </c>
      <c r="T81" s="140">
        <f t="shared" si="28"/>
        <v>-6.0207831960581359E-3</v>
      </c>
      <c r="U81" s="140">
        <f t="shared" si="28"/>
        <v>-5.6687048764523223E-3</v>
      </c>
      <c r="V81" s="140">
        <f t="shared" si="28"/>
        <v>-5.3518343888070904E-3</v>
      </c>
      <c r="W81" s="140">
        <f t="shared" si="28"/>
        <v>-5.0666509499263813E-3</v>
      </c>
      <c r="X81" s="140">
        <f t="shared" si="28"/>
        <v>-4.8099858549337429E-3</v>
      </c>
      <c r="Y81" s="140">
        <f t="shared" si="41"/>
        <v>-4.578987269440369E-3</v>
      </c>
      <c r="Z81" s="140">
        <f t="shared" si="41"/>
        <v>-4.3710885424963321E-3</v>
      </c>
      <c r="AA81" s="140">
        <f t="shared" si="41"/>
        <v>-4.1839796882466992E-3</v>
      </c>
      <c r="AB81" s="140">
        <f t="shared" si="41"/>
        <v>-4.0155817194220296E-3</v>
      </c>
      <c r="AC81" s="140">
        <f t="shared" si="41"/>
        <v>-3.8640235474798265E-3</v>
      </c>
      <c r="AD81" s="140">
        <f t="shared" ref="AD81:BN81" si="44">+$F81+(AC81-$F81)*(1-$E81)</f>
        <v>-3.7276211927318439E-3</v>
      </c>
      <c r="AE81" s="140">
        <f t="shared" si="44"/>
        <v>-3.6048590734586595E-3</v>
      </c>
      <c r="AF81" s="140">
        <f t="shared" si="44"/>
        <v>-3.4943731661127935E-3</v>
      </c>
      <c r="AG81" s="140">
        <f t="shared" si="44"/>
        <v>-3.3949358495015142E-3</v>
      </c>
      <c r="AH81" s="140">
        <f t="shared" si="44"/>
        <v>-3.305442264551363E-3</v>
      </c>
      <c r="AI81" s="140">
        <f t="shared" si="44"/>
        <v>-3.2248980380962266E-3</v>
      </c>
      <c r="AJ81" s="140">
        <f t="shared" si="44"/>
        <v>-3.1524082342866038E-3</v>
      </c>
      <c r="AK81" s="140">
        <f t="shared" si="44"/>
        <v>-3.0871674108579432E-3</v>
      </c>
      <c r="AL81" s="140">
        <f t="shared" si="44"/>
        <v>-3.028450669772149E-3</v>
      </c>
      <c r="AM81" s="140">
        <f t="shared" si="44"/>
        <v>-2.9756056027949343E-3</v>
      </c>
      <c r="AN81" s="140">
        <f t="shared" si="44"/>
        <v>-2.928045042515441E-3</v>
      </c>
      <c r="AO81" s="140">
        <f t="shared" si="44"/>
        <v>-2.8852405382638968E-3</v>
      </c>
      <c r="AP81" s="140">
        <f t="shared" si="44"/>
        <v>-2.846716484437507E-3</v>
      </c>
      <c r="AQ81" s="140">
        <f t="shared" si="44"/>
        <v>-2.8120448359937565E-3</v>
      </c>
      <c r="AR81" s="140">
        <f t="shared" si="44"/>
        <v>-2.7808403523943807E-3</v>
      </c>
      <c r="AS81" s="140">
        <f t="shared" si="44"/>
        <v>-2.7527563171549428E-3</v>
      </c>
      <c r="AT81" s="140">
        <f t="shared" si="44"/>
        <v>-2.7274806854394487E-3</v>
      </c>
      <c r="AU81" s="140">
        <f t="shared" si="44"/>
        <v>-2.7047326168955039E-3</v>
      </c>
      <c r="AV81" s="140">
        <f t="shared" si="44"/>
        <v>-2.6842593552059537E-3</v>
      </c>
      <c r="AW81" s="140">
        <f t="shared" si="44"/>
        <v>-2.6658334196853583E-3</v>
      </c>
      <c r="AX81" s="140">
        <f t="shared" si="44"/>
        <v>-2.6492500777168227E-3</v>
      </c>
      <c r="AY81" s="140">
        <f t="shared" si="44"/>
        <v>-2.6343250699451403E-3</v>
      </c>
      <c r="AZ81" s="140">
        <f t="shared" si="44"/>
        <v>-2.6208925629506263E-3</v>
      </c>
      <c r="BA81" s="140">
        <f t="shared" si="44"/>
        <v>-2.6088033066555636E-3</v>
      </c>
      <c r="BB81" s="140">
        <f t="shared" si="44"/>
        <v>-2.5979229759900075E-3</v>
      </c>
      <c r="BC81" s="140">
        <f t="shared" si="44"/>
        <v>-2.5881306783910067E-3</v>
      </c>
      <c r="BD81" s="140">
        <f t="shared" si="44"/>
        <v>-2.5793176105519061E-3</v>
      </c>
      <c r="BE81" s="140">
        <f t="shared" si="44"/>
        <v>-2.5713858494967154E-3</v>
      </c>
      <c r="BF81" s="140">
        <f t="shared" si="44"/>
        <v>-2.564247264547044E-3</v>
      </c>
      <c r="BG81" s="140">
        <f t="shared" si="44"/>
        <v>-2.5578225380923397E-3</v>
      </c>
      <c r="BH81" s="140">
        <f t="shared" si="44"/>
        <v>-2.5520402842831059E-3</v>
      </c>
      <c r="BI81" s="140">
        <f t="shared" si="44"/>
        <v>-2.5468362558547955E-3</v>
      </c>
      <c r="BJ81" s="140">
        <f t="shared" si="44"/>
        <v>-2.5421526302693161E-3</v>
      </c>
      <c r="BK81" s="140">
        <f t="shared" si="44"/>
        <v>-2.5379373672423846E-3</v>
      </c>
      <c r="BL81" s="140">
        <f t="shared" si="44"/>
        <v>-2.5341436305181464E-3</v>
      </c>
      <c r="BM81" s="140">
        <f t="shared" si="44"/>
        <v>-2.5307292674663319E-3</v>
      </c>
      <c r="BN81" s="140">
        <f t="shared" si="44"/>
        <v>-2.5276563407196986E-3</v>
      </c>
    </row>
    <row r="82" spans="1:66" x14ac:dyDescent="0.15">
      <c r="A82" t="s">
        <v>114</v>
      </c>
      <c r="B82" s="261">
        <v>-8.6771428437664461E-3</v>
      </c>
      <c r="C82" s="261">
        <v>-0.01</v>
      </c>
      <c r="D82" s="140">
        <f t="shared" si="31"/>
        <v>-1.8677142843766446E-2</v>
      </c>
      <c r="E82" s="180">
        <f t="shared" si="34"/>
        <v>0.1</v>
      </c>
      <c r="F82" s="14">
        <f t="shared" si="35"/>
        <v>-2.5000000000000001E-3</v>
      </c>
      <c r="G82" s="264">
        <f t="shared" si="32"/>
        <v>-8.6771428437664461E-3</v>
      </c>
      <c r="H82" s="181">
        <f t="shared" si="27"/>
        <v>-1.8677142843766446E-2</v>
      </c>
      <c r="I82" s="181">
        <f t="shared" si="28"/>
        <v>-1.7059428559389803E-2</v>
      </c>
      <c r="J82" s="140">
        <f t="shared" si="28"/>
        <v>-1.5603485703450824E-2</v>
      </c>
      <c r="K82" s="140">
        <f t="shared" si="28"/>
        <v>-1.4293137133105743E-2</v>
      </c>
      <c r="L82" s="140">
        <f t="shared" si="28"/>
        <v>-1.3113823419795169E-2</v>
      </c>
      <c r="M82" s="140">
        <f t="shared" si="28"/>
        <v>-1.2052441077815652E-2</v>
      </c>
      <c r="N82" s="140">
        <f t="shared" si="28"/>
        <v>-1.1097196970034088E-2</v>
      </c>
      <c r="O82" s="140">
        <f t="shared" si="28"/>
        <v>-1.023747727303068E-2</v>
      </c>
      <c r="P82" s="140">
        <f t="shared" si="28"/>
        <v>-9.4637295457276113E-3</v>
      </c>
      <c r="Q82" s="140">
        <f t="shared" si="28"/>
        <v>-8.7673565911548495E-3</v>
      </c>
      <c r="R82" s="140">
        <f t="shared" si="28"/>
        <v>-8.1406209320393635E-3</v>
      </c>
      <c r="S82" s="140">
        <f t="shared" si="28"/>
        <v>-7.5765588388354271E-3</v>
      </c>
      <c r="T82" s="140">
        <f t="shared" si="28"/>
        <v>-7.0689029549518834E-3</v>
      </c>
      <c r="U82" s="140">
        <f t="shared" si="28"/>
        <v>-6.6120126594566946E-3</v>
      </c>
      <c r="V82" s="140">
        <f t="shared" si="28"/>
        <v>-6.2008113935110246E-3</v>
      </c>
      <c r="W82" s="140">
        <f t="shared" si="28"/>
        <v>-5.8307302541599224E-3</v>
      </c>
      <c r="X82" s="140">
        <f t="shared" si="28"/>
        <v>-5.4976572287439296E-3</v>
      </c>
      <c r="Y82" s="140">
        <f t="shared" si="41"/>
        <v>-5.1978915058695369E-3</v>
      </c>
      <c r="Z82" s="140">
        <f t="shared" si="41"/>
        <v>-4.928102355282583E-3</v>
      </c>
      <c r="AA82" s="140">
        <f t="shared" si="41"/>
        <v>-4.6852921197543251E-3</v>
      </c>
      <c r="AB82" s="140">
        <f t="shared" si="41"/>
        <v>-4.4667629077788928E-3</v>
      </c>
      <c r="AC82" s="140">
        <f t="shared" si="41"/>
        <v>-4.2700866170010034E-3</v>
      </c>
      <c r="AD82" s="140">
        <f t="shared" ref="AD82:BN82" si="45">+$F82+(AC82-$F82)*(1-$E82)</f>
        <v>-4.0930779553009031E-3</v>
      </c>
      <c r="AE82" s="140">
        <f t="shared" si="45"/>
        <v>-3.9337701597708125E-3</v>
      </c>
      <c r="AF82" s="140">
        <f t="shared" si="45"/>
        <v>-3.7903931437937312E-3</v>
      </c>
      <c r="AG82" s="140">
        <f t="shared" si="45"/>
        <v>-3.6613538294143584E-3</v>
      </c>
      <c r="AH82" s="140">
        <f t="shared" si="45"/>
        <v>-3.5452184464729226E-3</v>
      </c>
      <c r="AI82" s="140">
        <f t="shared" si="45"/>
        <v>-3.4406966018256302E-3</v>
      </c>
      <c r="AJ82" s="140">
        <f t="shared" si="45"/>
        <v>-3.346626941643067E-3</v>
      </c>
      <c r="AK82" s="140">
        <f t="shared" si="45"/>
        <v>-3.2619642474787606E-3</v>
      </c>
      <c r="AL82" s="140">
        <f t="shared" si="45"/>
        <v>-3.1857678227308847E-3</v>
      </c>
      <c r="AM82" s="140">
        <f t="shared" si="45"/>
        <v>-3.117191040457796E-3</v>
      </c>
      <c r="AN82" s="140">
        <f t="shared" si="45"/>
        <v>-3.0554719364120162E-3</v>
      </c>
      <c r="AO82" s="140">
        <f t="shared" si="45"/>
        <v>-2.9999247427708146E-3</v>
      </c>
      <c r="AP82" s="140">
        <f t="shared" si="45"/>
        <v>-2.9499322684937331E-3</v>
      </c>
      <c r="AQ82" s="140">
        <f t="shared" si="45"/>
        <v>-2.9049390416443599E-3</v>
      </c>
      <c r="AR82" s="140">
        <f t="shared" si="45"/>
        <v>-2.8644451374799239E-3</v>
      </c>
      <c r="AS82" s="140">
        <f t="shared" si="45"/>
        <v>-2.8280006237319313E-3</v>
      </c>
      <c r="AT82" s="140">
        <f t="shared" si="45"/>
        <v>-2.7952005613587384E-3</v>
      </c>
      <c r="AU82" s="140">
        <f t="shared" si="45"/>
        <v>-2.7656805052228648E-3</v>
      </c>
      <c r="AV82" s="140">
        <f t="shared" si="45"/>
        <v>-2.7391124547005785E-3</v>
      </c>
      <c r="AW82" s="140">
        <f t="shared" si="45"/>
        <v>-2.7152012092305205E-3</v>
      </c>
      <c r="AX82" s="140">
        <f t="shared" si="45"/>
        <v>-2.6936810883074684E-3</v>
      </c>
      <c r="AY82" s="140">
        <f t="shared" si="45"/>
        <v>-2.6743129794767214E-3</v>
      </c>
      <c r="AZ82" s="140">
        <f t="shared" si="45"/>
        <v>-2.6568816815290492E-3</v>
      </c>
      <c r="BA82" s="140">
        <f t="shared" si="45"/>
        <v>-2.6411935133761441E-3</v>
      </c>
      <c r="BB82" s="140">
        <f t="shared" si="45"/>
        <v>-2.6270741620385298E-3</v>
      </c>
      <c r="BC82" s="140">
        <f t="shared" si="45"/>
        <v>-2.6143667458346769E-3</v>
      </c>
      <c r="BD82" s="140">
        <f t="shared" si="45"/>
        <v>-2.6029300712512092E-3</v>
      </c>
      <c r="BE82" s="140">
        <f t="shared" si="45"/>
        <v>-2.5926370641260882E-3</v>
      </c>
      <c r="BF82" s="140">
        <f t="shared" si="45"/>
        <v>-2.5833733577134794E-3</v>
      </c>
      <c r="BG82" s="140">
        <f t="shared" si="45"/>
        <v>-2.5750360219421314E-3</v>
      </c>
      <c r="BH82" s="140">
        <f t="shared" si="45"/>
        <v>-2.5675324197479183E-3</v>
      </c>
      <c r="BI82" s="140">
        <f t="shared" si="45"/>
        <v>-2.5607791777731265E-3</v>
      </c>
      <c r="BJ82" s="140">
        <f t="shared" si="45"/>
        <v>-2.5547012599958139E-3</v>
      </c>
      <c r="BK82" s="140">
        <f t="shared" si="45"/>
        <v>-2.5492311339962324E-3</v>
      </c>
      <c r="BL82" s="140">
        <f t="shared" si="45"/>
        <v>-2.544308020596609E-3</v>
      </c>
      <c r="BM82" s="140">
        <f t="shared" si="45"/>
        <v>-2.5398772185369479E-3</v>
      </c>
      <c r="BN82" s="140">
        <f t="shared" si="45"/>
        <v>-2.5358894966832531E-3</v>
      </c>
    </row>
    <row r="83" spans="1:66" x14ac:dyDescent="0.15">
      <c r="A83" t="s">
        <v>32</v>
      </c>
      <c r="B83" s="261">
        <v>-1.0467712408165888E-3</v>
      </c>
      <c r="C83" s="261">
        <v>-1.7999999999999999E-2</v>
      </c>
      <c r="D83" s="140">
        <f t="shared" si="31"/>
        <v>-1.9046771240816586E-2</v>
      </c>
      <c r="E83" s="180">
        <f t="shared" si="34"/>
        <v>0.1</v>
      </c>
      <c r="F83" s="14">
        <f t="shared" si="35"/>
        <v>-2.5000000000000001E-3</v>
      </c>
      <c r="G83" s="264">
        <f t="shared" si="32"/>
        <v>-1.0467712408165888E-3</v>
      </c>
      <c r="H83" s="181">
        <f t="shared" si="27"/>
        <v>-1.9046771240816586E-2</v>
      </c>
      <c r="I83" s="181">
        <f t="shared" si="28"/>
        <v>-1.7392094116734928E-2</v>
      </c>
      <c r="J83" s="140">
        <f t="shared" si="28"/>
        <v>-1.5902884705061435E-2</v>
      </c>
      <c r="K83" s="140">
        <f t="shared" si="28"/>
        <v>-1.4562596234555292E-2</v>
      </c>
      <c r="L83" s="140">
        <f t="shared" si="28"/>
        <v>-1.3356336611099763E-2</v>
      </c>
      <c r="M83" s="140">
        <f t="shared" si="28"/>
        <v>-1.2270702949989786E-2</v>
      </c>
      <c r="N83" s="140">
        <f t="shared" si="28"/>
        <v>-1.1293632654990808E-2</v>
      </c>
      <c r="O83" s="140">
        <f t="shared" si="28"/>
        <v>-1.0414269389491727E-2</v>
      </c>
      <c r="P83" s="140">
        <f t="shared" si="28"/>
        <v>-9.6228424505425542E-3</v>
      </c>
      <c r="Q83" s="140">
        <f t="shared" si="28"/>
        <v>-8.910558205488299E-3</v>
      </c>
      <c r="R83" s="140">
        <f t="shared" si="28"/>
        <v>-8.2695023849394689E-3</v>
      </c>
      <c r="S83" s="140">
        <f t="shared" si="28"/>
        <v>-7.6925521464455224E-3</v>
      </c>
      <c r="T83" s="140">
        <f t="shared" si="28"/>
        <v>-7.1732969318009706E-3</v>
      </c>
      <c r="U83" s="140">
        <f t="shared" si="28"/>
        <v>-6.7059672386208732E-3</v>
      </c>
      <c r="V83" s="140">
        <f t="shared" si="28"/>
        <v>-6.2853705147587861E-3</v>
      </c>
      <c r="W83" s="140">
        <f t="shared" si="28"/>
        <v>-5.9068334632829071E-3</v>
      </c>
      <c r="X83" s="140">
        <f t="shared" si="28"/>
        <v>-5.5661501169546167E-3</v>
      </c>
      <c r="Y83" s="140">
        <f t="shared" si="41"/>
        <v>-5.2595351052591548E-3</v>
      </c>
      <c r="Z83" s="140">
        <f t="shared" si="41"/>
        <v>-4.9835815947332392E-3</v>
      </c>
      <c r="AA83" s="140">
        <f t="shared" si="41"/>
        <v>-4.7352234352599151E-3</v>
      </c>
      <c r="AB83" s="140">
        <f t="shared" si="41"/>
        <v>-4.5117010917339242E-3</v>
      </c>
      <c r="AC83" s="140">
        <f t="shared" si="41"/>
        <v>-4.310530982560532E-3</v>
      </c>
      <c r="AD83" s="140">
        <f t="shared" ref="AD83:BN83" si="46">+$F83+(AC83-$F83)*(1-$E83)</f>
        <v>-4.1294778843044789E-3</v>
      </c>
      <c r="AE83" s="140">
        <f t="shared" si="46"/>
        <v>-3.9665300958740312E-3</v>
      </c>
      <c r="AF83" s="140">
        <f t="shared" si="46"/>
        <v>-3.8198770862866282E-3</v>
      </c>
      <c r="AG83" s="140">
        <f t="shared" si="46"/>
        <v>-3.6878893776579654E-3</v>
      </c>
      <c r="AH83" s="140">
        <f t="shared" si="46"/>
        <v>-3.5691004398921691E-3</v>
      </c>
      <c r="AI83" s="140">
        <f t="shared" si="46"/>
        <v>-3.4621903959029523E-3</v>
      </c>
      <c r="AJ83" s="140">
        <f t="shared" si="46"/>
        <v>-3.3659713563126571E-3</v>
      </c>
      <c r="AK83" s="140">
        <f t="shared" si="46"/>
        <v>-3.2793742206813914E-3</v>
      </c>
      <c r="AL83" s="140">
        <f t="shared" si="46"/>
        <v>-3.2014367986132521E-3</v>
      </c>
      <c r="AM83" s="140">
        <f t="shared" si="46"/>
        <v>-3.131293118751927E-3</v>
      </c>
      <c r="AN83" s="140">
        <f t="shared" si="46"/>
        <v>-3.0681638068767343E-3</v>
      </c>
      <c r="AO83" s="140">
        <f t="shared" si="46"/>
        <v>-3.0113474261890608E-3</v>
      </c>
      <c r="AP83" s="140">
        <f t="shared" si="46"/>
        <v>-2.9602126835701547E-3</v>
      </c>
      <c r="AQ83" s="140">
        <f t="shared" si="46"/>
        <v>-2.914191415213139E-3</v>
      </c>
      <c r="AR83" s="140">
        <f t="shared" si="46"/>
        <v>-2.8727722736918253E-3</v>
      </c>
      <c r="AS83" s="140">
        <f t="shared" si="46"/>
        <v>-2.8354950463226427E-3</v>
      </c>
      <c r="AT83" s="140">
        <f t="shared" si="46"/>
        <v>-2.8019455416903784E-3</v>
      </c>
      <c r="AU83" s="140">
        <f t="shared" si="46"/>
        <v>-2.7717509875213407E-3</v>
      </c>
      <c r="AV83" s="140">
        <f t="shared" si="46"/>
        <v>-2.7445758887692066E-3</v>
      </c>
      <c r="AW83" s="140">
        <f t="shared" si="46"/>
        <v>-2.720118299892286E-3</v>
      </c>
      <c r="AX83" s="140">
        <f t="shared" si="46"/>
        <v>-2.6981064699030575E-3</v>
      </c>
      <c r="AY83" s="140">
        <f t="shared" si="46"/>
        <v>-2.6782958229127516E-3</v>
      </c>
      <c r="AZ83" s="140">
        <f t="shared" si="46"/>
        <v>-2.6604662406214765E-3</v>
      </c>
      <c r="BA83" s="140">
        <f t="shared" si="46"/>
        <v>-2.644419616559329E-3</v>
      </c>
      <c r="BB83" s="140">
        <f t="shared" si="46"/>
        <v>-2.6299776549033962E-3</v>
      </c>
      <c r="BC83" s="140">
        <f t="shared" si="46"/>
        <v>-2.6169798894130564E-3</v>
      </c>
      <c r="BD83" s="140">
        <f t="shared" si="46"/>
        <v>-2.6052819004717506E-3</v>
      </c>
      <c r="BE83" s="140">
        <f t="shared" si="46"/>
        <v>-2.5947537104245755E-3</v>
      </c>
      <c r="BF83" s="140">
        <f t="shared" si="46"/>
        <v>-2.5852783393821178E-3</v>
      </c>
      <c r="BG83" s="140">
        <f t="shared" si="46"/>
        <v>-2.576750505443906E-3</v>
      </c>
      <c r="BH83" s="140">
        <f t="shared" si="46"/>
        <v>-2.5690754548995153E-3</v>
      </c>
      <c r="BI83" s="140">
        <f t="shared" si="46"/>
        <v>-2.5621679094095639E-3</v>
      </c>
      <c r="BJ83" s="140">
        <f t="shared" si="46"/>
        <v>-2.5559511184686076E-3</v>
      </c>
      <c r="BK83" s="140">
        <f t="shared" si="46"/>
        <v>-2.5503560066217467E-3</v>
      </c>
      <c r="BL83" s="140">
        <f t="shared" si="46"/>
        <v>-2.5453204059595722E-3</v>
      </c>
      <c r="BM83" s="140">
        <f t="shared" si="46"/>
        <v>-2.5407883653636148E-3</v>
      </c>
      <c r="BN83" s="140">
        <f t="shared" si="46"/>
        <v>-2.5367095288272535E-3</v>
      </c>
    </row>
    <row r="84" spans="1:66" x14ac:dyDescent="0.15">
      <c r="A84" s="1" t="s">
        <v>1214</v>
      </c>
      <c r="B84" s="261"/>
      <c r="C84" s="14"/>
      <c r="E84" s="14"/>
      <c r="F84" s="14"/>
      <c r="H84" s="181">
        <f>+SUMPRODUCT(H72:H83*$F$89:$F$100)/$F$101</f>
        <v>-1.910515641013761E-2</v>
      </c>
      <c r="I84" s="181">
        <f>+SUMPRODUCT(I72:I83*$F$89:$F$100)/$F$101</f>
        <v>-1.7444640769123856E-2</v>
      </c>
      <c r="J84" s="181">
        <f>+SUMPRODUCT(J72:J83*$F$89:$F$100)/$F$101</f>
        <v>-1.5950176692211469E-2</v>
      </c>
      <c r="K84" s="181">
        <f>+SUMPRODUCT(K72:K83*$F$89:$F$100)/$F$101</f>
        <v>-1.4605159022990324E-2</v>
      </c>
    </row>
    <row r="85" spans="1:66" x14ac:dyDescent="0.15">
      <c r="A85" s="1" t="s">
        <v>1215</v>
      </c>
      <c r="B85" s="261"/>
      <c r="C85" s="261"/>
      <c r="D85" s="261"/>
      <c r="E85" s="261"/>
      <c r="F85" s="8"/>
      <c r="H85" s="261">
        <f>+LN(Global!C57/Global!B57)/10</f>
        <v>-2.5858063415020904E-2</v>
      </c>
      <c r="I85" s="261">
        <f>+LN(Global!D57/Global!C57)/10</f>
        <v>-1.7244598597517556E-2</v>
      </c>
      <c r="J85" s="261">
        <f>+LN(Global!E57/Global!D57)/10</f>
        <v>-1.5243410746248987E-2</v>
      </c>
      <c r="K85" s="261">
        <f>+LN(Global!F57/Global!E57)/10</f>
        <v>-1.4327235281271056E-2</v>
      </c>
      <c r="L85" s="261">
        <f>+LN(Global!G57/Global!F57)/10</f>
        <v>-1.2231745911987829E-2</v>
      </c>
      <c r="M85" s="261">
        <f>+LN(Global!H57/Global!G57)/10</f>
        <v>-1.161181424512522E-2</v>
      </c>
      <c r="N85" s="261"/>
      <c r="O85" s="261"/>
      <c r="P85" s="261"/>
      <c r="Q85" s="261"/>
      <c r="R85" s="261"/>
      <c r="S85" s="261"/>
      <c r="T85" s="261"/>
      <c r="U85" s="261">
        <v>-6.9236180059254852E-3</v>
      </c>
      <c r="V85" s="261">
        <v>-6.4812562053329368E-3</v>
      </c>
      <c r="W85" s="261">
        <v>-6.0831305847996427E-3</v>
      </c>
      <c r="X85" s="261">
        <v>-5.724817526319678E-3</v>
      </c>
      <c r="Y85" s="261">
        <v>-5.4023357736877097E-3</v>
      </c>
      <c r="Z85" s="261">
        <v>-5.1121021963189388E-3</v>
      </c>
      <c r="AA85" s="261">
        <v>-4.8508919766870459E-3</v>
      </c>
      <c r="AB85" s="261">
        <v>-4.6158027790183399E-3</v>
      </c>
      <c r="AC85" s="261">
        <v>-4.4042225011165061E-3</v>
      </c>
      <c r="AD85" s="261">
        <v>-4.213800251004856E-3</v>
      </c>
      <c r="AE85" s="261">
        <v>-4.0424202259043704E-3</v>
      </c>
      <c r="AF85" s="261">
        <v>-3.8881782033139329E-3</v>
      </c>
      <c r="AG85" s="261">
        <v>-3.7493603829825395E-3</v>
      </c>
      <c r="AH85" s="261">
        <v>-3.6244243446842857E-3</v>
      </c>
      <c r="AI85" s="261">
        <v>-3.5119819102158571E-3</v>
      </c>
      <c r="AJ85" s="261">
        <v>-3.410783719194272E-3</v>
      </c>
      <c r="AK85" s="261">
        <v>-3.3197053472748443E-3</v>
      </c>
      <c r="AL85" s="261">
        <v>-3.2377348125473596E-3</v>
      </c>
      <c r="AM85" s="261">
        <v>-3.1639613312926247E-3</v>
      </c>
      <c r="AN85" s="261">
        <v>-3.0975651981633616E-3</v>
      </c>
      <c r="AO85" s="261">
        <v>-3.037808678347026E-3</v>
      </c>
      <c r="AP85" s="261">
        <v>-2.9840278105123228E-3</v>
      </c>
      <c r="AQ85" s="261">
        <v>-2.9356250294610906E-3</v>
      </c>
      <c r="AR85" s="261">
        <v>-2.8920625265149817E-3</v>
      </c>
      <c r="AS85" s="261">
        <v>-2.8528562738634831E-3</v>
      </c>
      <c r="AT85" s="261">
        <v>-2.8175706464771354E-3</v>
      </c>
      <c r="AU85" s="261">
        <v>-2.7858135818294213E-3</v>
      </c>
      <c r="AV85" s="261">
        <v>-2.7572322236464799E-3</v>
      </c>
      <c r="AW85" s="261">
        <v>-2.7315090012818314E-3</v>
      </c>
      <c r="AX85" s="261">
        <v>-2.7083581011536485E-3</v>
      </c>
      <c r="AY85" s="261">
        <v>-2.6875222910382837E-3</v>
      </c>
      <c r="AZ85" s="261">
        <v>-2.6687700619344545E-3</v>
      </c>
      <c r="BA85" s="261">
        <v>-2.6518930557410097E-3</v>
      </c>
      <c r="BB85" s="261">
        <v>-2.636703750166908E-3</v>
      </c>
      <c r="BC85" s="261">
        <v>-2.6230333751502176E-3</v>
      </c>
      <c r="BD85" s="261">
        <v>-2.6107300376351961E-3</v>
      </c>
      <c r="BE85" s="261">
        <v>-2.5996570338716759E-3</v>
      </c>
      <c r="BF85" s="261">
        <v>-2.5896913304845086E-3</v>
      </c>
      <c r="BG85" s="261">
        <v>-2.5807221974360581E-3</v>
      </c>
      <c r="BH85" s="261">
        <v>-2.5726499776924519E-3</v>
      </c>
      <c r="BI85" s="261">
        <v>-2.5653849799232072E-3</v>
      </c>
      <c r="BJ85" s="261">
        <v>-2.5588464819308863E-3</v>
      </c>
      <c r="BK85" s="261">
        <v>-2.552961833737797E-3</v>
      </c>
      <c r="BL85" s="261">
        <v>-2.5476656503640176E-3</v>
      </c>
      <c r="BM85" s="261">
        <v>-2.5428990853276156E-3</v>
      </c>
      <c r="BN85" s="261">
        <v>-2.5386091767948546E-3</v>
      </c>
    </row>
    <row r="86" spans="1:66" ht="18" x14ac:dyDescent="0.2">
      <c r="A86" s="204" t="s">
        <v>1203</v>
      </c>
      <c r="B86" s="1"/>
    </row>
    <row r="87" spans="1:66" x14ac:dyDescent="0.15">
      <c r="D87" s="1" t="s">
        <v>1204</v>
      </c>
      <c r="E87" s="1" t="s">
        <v>1204</v>
      </c>
      <c r="H87" s="1"/>
      <c r="K87" s="1" t="s">
        <v>1250</v>
      </c>
    </row>
    <row r="88" spans="1:66" ht="49.5" customHeight="1" x14ac:dyDescent="0.15">
      <c r="C88" s="658">
        <v>40161</v>
      </c>
      <c r="D88" s="358" t="s">
        <v>1208</v>
      </c>
      <c r="E88" s="358" t="s">
        <v>1209</v>
      </c>
      <c r="F88" s="656" t="s">
        <v>1205</v>
      </c>
      <c r="G88" s="657" t="s">
        <v>1252</v>
      </c>
      <c r="H88" s="1" t="s">
        <v>1210</v>
      </c>
      <c r="I88" s="358" t="s">
        <v>1248</v>
      </c>
      <c r="J88" s="1" t="s">
        <v>1249</v>
      </c>
      <c r="K88" s="358" t="s">
        <v>1248</v>
      </c>
      <c r="L88" s="1" t="s">
        <v>1249</v>
      </c>
      <c r="M88" s="358" t="s">
        <v>1251</v>
      </c>
    </row>
    <row r="89" spans="1:66" x14ac:dyDescent="0.15">
      <c r="A89" s="12" t="s">
        <v>104</v>
      </c>
      <c r="C89" s="659">
        <v>1661.4293507910529</v>
      </c>
      <c r="D89" s="660">
        <f>+[5]sum_newregion!AF2/1000</f>
        <v>1593.086</v>
      </c>
      <c r="E89" s="13">
        <f>+D89+15</f>
        <v>1608.086</v>
      </c>
      <c r="F89" s="661">
        <f>+[6]sum_newregion!AF2/1000</f>
        <v>1662.1334550980105</v>
      </c>
      <c r="G89" s="20">
        <v>0.90306386026242058</v>
      </c>
      <c r="H89" s="243">
        <f>+F89/C89</f>
        <v>1.0004237943109782</v>
      </c>
      <c r="I89" s="11">
        <f>+B413</f>
        <v>1.3531593612572181</v>
      </c>
      <c r="J89" s="11">
        <f t="shared" ref="J89:J100" si="47">+C413</f>
        <v>1.0249346945718352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1.5826392178953219</v>
      </c>
    </row>
    <row r="90" spans="1:66" x14ac:dyDescent="0.15">
      <c r="A90" s="207" t="s">
        <v>105</v>
      </c>
      <c r="C90" s="659">
        <v>1243.7387740886197</v>
      </c>
      <c r="D90" s="660">
        <f>+[5]sum_newregion!AF3/1000</f>
        <v>1088.162</v>
      </c>
      <c r="E90" s="13">
        <f>+D90*$E$102</f>
        <v>1135.4970470000001</v>
      </c>
      <c r="F90" s="661">
        <f>+[6]sum_newregion!AF3/1000</f>
        <v>1146.0506191660518</v>
      </c>
      <c r="G90" s="20">
        <v>0.7714718460283656</v>
      </c>
      <c r="H90" s="243">
        <f t="shared" ref="H90:H101" si="48">+F90/C90</f>
        <v>0.92145605093468974</v>
      </c>
      <c r="I90" s="11">
        <f t="shared" ref="I90:I100" si="49">+B414</f>
        <v>1.2435466666162149</v>
      </c>
      <c r="J90" s="11">
        <f t="shared" si="47"/>
        <v>0.88056397828851396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1.123896045595133</v>
      </c>
    </row>
    <row r="91" spans="1:66" x14ac:dyDescent="0.15">
      <c r="A91" s="12" t="s">
        <v>51</v>
      </c>
      <c r="C91" s="659">
        <v>354.59699999999998</v>
      </c>
      <c r="D91" s="660">
        <f>+[5]sum_newregion!AF4/1000</f>
        <v>354.59699999999998</v>
      </c>
      <c r="E91" s="13">
        <f>+D91+10</f>
        <v>364.59699999999998</v>
      </c>
      <c r="F91" s="661">
        <f>+[6]sum_newregion!AF4/1000</f>
        <v>369.96592574248297</v>
      </c>
      <c r="G91" s="20">
        <v>1.0758359262976329</v>
      </c>
      <c r="H91" s="243">
        <f t="shared" si="48"/>
        <v>1.0433419508413297</v>
      </c>
      <c r="I91" s="11">
        <f t="shared" si="49"/>
        <v>0.38756902268862453</v>
      </c>
      <c r="J91" s="11">
        <f t="shared" si="47"/>
        <v>0.3623888225610658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1.0537698298843055</v>
      </c>
    </row>
    <row r="92" spans="1:66" x14ac:dyDescent="0.15">
      <c r="A92" s="12" t="s">
        <v>52</v>
      </c>
      <c r="C92" s="659">
        <v>413.322</v>
      </c>
      <c r="D92" s="660">
        <f>+[5]sum_newregion!AF5/1000</f>
        <v>413.322</v>
      </c>
      <c r="E92" s="13">
        <f>+D92*$E$102</f>
        <v>431.30150700000002</v>
      </c>
      <c r="F92" s="661">
        <f>+[6]sum_newregion!AF5/1000</f>
        <v>431.23618180564</v>
      </c>
      <c r="G92" s="20">
        <v>0.8815849850711831</v>
      </c>
      <c r="H92" s="243">
        <f t="shared" si="48"/>
        <v>1.0433419508413295</v>
      </c>
      <c r="I92" s="11">
        <f t="shared" si="49"/>
        <v>0.80689093434140557</v>
      </c>
      <c r="J92" s="11">
        <f t="shared" si="47"/>
        <v>0.56828748614327362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0.7440109287143416</v>
      </c>
    </row>
    <row r="93" spans="1:66" x14ac:dyDescent="0.15">
      <c r="A93" s="12" t="s">
        <v>53</v>
      </c>
      <c r="C93" s="659">
        <v>328.83015059025672</v>
      </c>
      <c r="D93" s="660">
        <f>+[5]sum_newregion!AF6/1000</f>
        <v>234.435</v>
      </c>
      <c r="E93" s="13">
        <f>+D93*$E$102</f>
        <v>244.63292250000003</v>
      </c>
      <c r="F93" s="661">
        <f>+[6]sum_newregion!AF6/1000</f>
        <v>256.66629327477045</v>
      </c>
      <c r="G93" s="20">
        <v>0.85396887473990712</v>
      </c>
      <c r="H93" s="243">
        <f t="shared" si="48"/>
        <v>0.78054367220903953</v>
      </c>
      <c r="I93" s="11">
        <f t="shared" si="49"/>
        <v>0.60159511876272098</v>
      </c>
      <c r="J93" s="11">
        <f t="shared" si="47"/>
        <v>0.36711252194952565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0.63551022402674939</v>
      </c>
    </row>
    <row r="94" spans="1:66" x14ac:dyDescent="0.15">
      <c r="A94" s="12" t="s">
        <v>54</v>
      </c>
      <c r="C94" s="659">
        <v>1534.2439999999999</v>
      </c>
      <c r="D94" s="660">
        <f>+[5]sum_newregion!AF7/1000</f>
        <v>1534.2439999999999</v>
      </c>
      <c r="E94" s="13">
        <f>+D94+163</f>
        <v>1697.2439999999999</v>
      </c>
      <c r="F94" s="661">
        <f>+[6]sum_newregion!AF7/1000</f>
        <v>1600.7411280266049</v>
      </c>
      <c r="G94" s="20">
        <v>1.0173670064883631</v>
      </c>
      <c r="H94" s="243">
        <f t="shared" si="48"/>
        <v>1.0433419508413297</v>
      </c>
      <c r="I94" s="11">
        <f t="shared" si="49"/>
        <v>0.48490804268827326</v>
      </c>
      <c r="J94" s="11">
        <f t="shared" si="47"/>
        <v>0.42036998311694618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6.761695969993589</v>
      </c>
    </row>
    <row r="95" spans="1:66" x14ac:dyDescent="0.15">
      <c r="A95" s="12" t="s">
        <v>55</v>
      </c>
      <c r="C95" s="659">
        <v>388.32100000000003</v>
      </c>
      <c r="D95" s="660">
        <f>+[5]sum_newregion!AF8/1000</f>
        <v>388.32100000000003</v>
      </c>
      <c r="E95" s="13">
        <f>+D95+22</f>
        <v>410.32100000000003</v>
      </c>
      <c r="F95" s="661">
        <f>+[6]sum_newregion!AF8/1000</f>
        <v>405.15158969265593</v>
      </c>
      <c r="G95" s="20">
        <v>1.1806415334872407</v>
      </c>
      <c r="H95" s="243">
        <f t="shared" si="48"/>
        <v>1.0433419508413295</v>
      </c>
      <c r="I95" s="11">
        <f t="shared" si="49"/>
        <v>0.26272072224848791</v>
      </c>
      <c r="J95" s="11">
        <f t="shared" si="47"/>
        <v>0.25135402819392283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2.876349658829545</v>
      </c>
    </row>
    <row r="96" spans="1:66" x14ac:dyDescent="0.15">
      <c r="A96" s="12" t="s">
        <v>56</v>
      </c>
      <c r="C96" s="659">
        <v>406.81332865410189</v>
      </c>
      <c r="D96" s="660">
        <f>+[5]sum_newregion!AF9/1000</f>
        <v>549.45699999999999</v>
      </c>
      <c r="E96" s="13">
        <f>+D96*$E$102</f>
        <v>573.35837950000007</v>
      </c>
      <c r="F96" s="661">
        <f>+[6]sum_newregion!AF9/1000</f>
        <v>589.67496043455174</v>
      </c>
      <c r="G96" s="20">
        <v>0.98546507073685419</v>
      </c>
      <c r="H96" s="243">
        <f t="shared" si="48"/>
        <v>1.4494976415483432</v>
      </c>
      <c r="I96" s="11">
        <f t="shared" si="49"/>
        <v>0.28449498821855751</v>
      </c>
      <c r="J96" s="11">
        <f t="shared" si="47"/>
        <v>0.24935212857970179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3.2334791525243509</v>
      </c>
    </row>
    <row r="97" spans="1:30" x14ac:dyDescent="0.15">
      <c r="A97" s="12" t="s">
        <v>57</v>
      </c>
      <c r="C97" s="659">
        <v>297.59467031800801</v>
      </c>
      <c r="D97" s="660">
        <f>+[5]sum_newregion!AF10/1000</f>
        <v>183.32499999999999</v>
      </c>
      <c r="E97" s="13">
        <f>+D97*$E$102</f>
        <v>191.29963750000002</v>
      </c>
      <c r="F97" s="661">
        <f>+[6]sum_newregion!AF10/1000</f>
        <v>191.37708401697253</v>
      </c>
      <c r="G97" s="20">
        <v>0.84200862464734383</v>
      </c>
      <c r="H97" s="243">
        <f t="shared" si="48"/>
        <v>0.6430796754944168</v>
      </c>
      <c r="I97" s="11">
        <f t="shared" si="49"/>
        <v>0.31807172352011859</v>
      </c>
      <c r="J97" s="11">
        <f t="shared" si="47"/>
        <v>0.21697436312026022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1.1235560768835469</v>
      </c>
    </row>
    <row r="98" spans="1:30" x14ac:dyDescent="0.15">
      <c r="A98" s="12" t="s">
        <v>58</v>
      </c>
      <c r="C98" s="659">
        <v>425.06953485532784</v>
      </c>
      <c r="D98" s="660">
        <f>+[5]sum_newregion!AF11/1000</f>
        <v>393.85</v>
      </c>
      <c r="E98" s="13">
        <f>+D98*$E$102</f>
        <v>410.98247500000008</v>
      </c>
      <c r="F98" s="661">
        <f>+[6]sum_newregion!AF11/1000</f>
        <v>412.27239850714795</v>
      </c>
      <c r="G98" s="20">
        <v>0.96159589602461171</v>
      </c>
      <c r="H98" s="243">
        <f t="shared" si="48"/>
        <v>0.96989401662827845</v>
      </c>
      <c r="I98" s="11">
        <f t="shared" si="49"/>
        <v>0.39622122051011505</v>
      </c>
      <c r="J98" s="11">
        <f t="shared" si="47"/>
        <v>0.33886881765913685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1.5712758034218057</v>
      </c>
    </row>
    <row r="99" spans="1:30" x14ac:dyDescent="0.15">
      <c r="A99" s="12" t="s">
        <v>114</v>
      </c>
      <c r="C99" s="659">
        <v>585.75021477262578</v>
      </c>
      <c r="D99" s="660">
        <f>+[5]sum_newregion!AF12/1000</f>
        <v>519.27</v>
      </c>
      <c r="E99" s="13">
        <f>+D99*$E$102</f>
        <v>541.85824500000001</v>
      </c>
      <c r="F99" s="661">
        <f>+[6]sum_newregion!AF12/1000</f>
        <v>541.77826149727889</v>
      </c>
      <c r="G99" s="20">
        <v>0.955859225227642</v>
      </c>
      <c r="H99" s="243">
        <f t="shared" si="48"/>
        <v>0.9249305383653752</v>
      </c>
      <c r="I99" s="11">
        <f t="shared" si="49"/>
        <v>0.34033529692301251</v>
      </c>
      <c r="J99" s="11">
        <f t="shared" si="47"/>
        <v>0.27581559498477043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2.0624502603315613</v>
      </c>
    </row>
    <row r="100" spans="1:30" x14ac:dyDescent="0.15">
      <c r="A100" s="12" t="s">
        <v>32</v>
      </c>
      <c r="C100" s="659">
        <v>331.6257594117493</v>
      </c>
      <c r="D100" s="660">
        <f>+[5]sum_newregion!AF13/1000</f>
        <v>347.15899999999999</v>
      </c>
      <c r="E100" s="13">
        <f>+D100*$E$102</f>
        <v>362.26041650000002</v>
      </c>
      <c r="F100" s="661">
        <f>+[6]sum_newregion!AF13/1000</f>
        <v>363.95210273783346</v>
      </c>
      <c r="G100" s="20">
        <v>1.3139915621485461</v>
      </c>
      <c r="H100" s="243">
        <f t="shared" si="48"/>
        <v>1.0974783846207421</v>
      </c>
      <c r="I100" s="11">
        <f t="shared" si="49"/>
        <v>0.35157696853612941</v>
      </c>
      <c r="J100" s="11">
        <f t="shared" si="47"/>
        <v>0.40376188066653579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1.5624975979564217</v>
      </c>
    </row>
    <row r="101" spans="1:30" x14ac:dyDescent="0.15">
      <c r="A101" s="12" t="s">
        <v>255</v>
      </c>
      <c r="C101" s="659">
        <v>7971.3357834817425</v>
      </c>
      <c r="D101" s="659">
        <f>SUM(D89:D100)</f>
        <v>7599.228000000001</v>
      </c>
      <c r="E101" s="659">
        <f>SUM(E89:E100)</f>
        <v>7971.4386300000006</v>
      </c>
      <c r="F101" s="661">
        <f>SUM(F89:F100)</f>
        <v>7971.0000000000009</v>
      </c>
      <c r="H101" s="243">
        <f t="shared" si="48"/>
        <v>0.99995787613382969</v>
      </c>
      <c r="I101" s="11">
        <f>SUM(I89:I100)</f>
        <v>6.8310900663108773</v>
      </c>
      <c r="J101" s="11">
        <f>SUM(J89:J100)</f>
        <v>5.3597842998354883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 x14ac:dyDescent="0.15">
      <c r="E102" s="147">
        <v>1.0435000000000001</v>
      </c>
      <c r="F102" s="1" t="s">
        <v>1206</v>
      </c>
    </row>
    <row r="103" spans="1:30" x14ac:dyDescent="0.15">
      <c r="D103" s="147"/>
      <c r="E103">
        <v>7971000</v>
      </c>
      <c r="F103" s="1" t="s">
        <v>1211</v>
      </c>
    </row>
    <row r="104" spans="1:30" x14ac:dyDescent="0.15">
      <c r="E104">
        <f>+(E101/E103-1)^2</f>
        <v>0.99800089005360482</v>
      </c>
    </row>
    <row r="105" spans="1:30" ht="18" x14ac:dyDescent="0.2">
      <c r="A105" s="204" t="s">
        <v>139</v>
      </c>
      <c r="B105" t="s">
        <v>226</v>
      </c>
    </row>
    <row r="106" spans="1:30" x14ac:dyDescent="0.15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 x14ac:dyDescent="0.15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46" customFormat="1" x14ac:dyDescent="0.15">
      <c r="A108" s="146" t="s">
        <v>104</v>
      </c>
      <c r="B108" s="265">
        <f>+[5]sum_newregion!AF43/1000000000000</f>
        <v>12.397900201983999</v>
      </c>
      <c r="C108" s="147">
        <f>+A21</f>
        <v>296.842578</v>
      </c>
      <c r="D108" s="147">
        <f>+Parameters!F36</f>
        <v>0.1</v>
      </c>
      <c r="E108" s="147">
        <f>+Parameters!F35</f>
        <v>0.3</v>
      </c>
      <c r="F108" s="149">
        <f>+B108*1000/C108</f>
        <v>41.765909343315293</v>
      </c>
      <c r="G108" s="148">
        <f>+$G$121</f>
        <v>6.2765473111546274E-2</v>
      </c>
      <c r="H108" s="153">
        <v>0</v>
      </c>
      <c r="I108" s="149">
        <f>+G108+H108</f>
        <v>6.2765473111546274E-2</v>
      </c>
      <c r="J108" s="150">
        <f>+J$121</f>
        <v>1.4999999999999999E-2</v>
      </c>
      <c r="K108" s="150">
        <f>+K$121</f>
        <v>1.5</v>
      </c>
      <c r="L108" s="153">
        <v>1.0677855874171489E-2</v>
      </c>
      <c r="M108" s="203">
        <f t="shared" ref="M108:M119" si="52">+G4</f>
        <v>1.5093183403803685E-2</v>
      </c>
      <c r="N108" s="149">
        <f>+I108</f>
        <v>6.2765473111546274E-2</v>
      </c>
      <c r="O108" s="149">
        <f>+N108+D108</f>
        <v>0.16276547311154627</v>
      </c>
      <c r="P108" s="12">
        <f>+F108*E108/O108</f>
        <v>76.980532562994469</v>
      </c>
      <c r="Q108" s="12">
        <f>+F108*(P108^-E108)</f>
        <v>11.347695356481591</v>
      </c>
      <c r="R108" s="12">
        <f>Q108*P108^E108</f>
        <v>41.765909343315293</v>
      </c>
      <c r="S108" s="1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1">
        <f>+F21</f>
        <v>8.8134300981983008E-3</v>
      </c>
      <c r="Z108" s="266">
        <v>1.2964282471383292E-2</v>
      </c>
      <c r="AA108" s="149">
        <f>+AVERAGE(Controls!C28:D28)-Controls!B28</f>
        <v>2.4093577358361068E-2</v>
      </c>
      <c r="AB108" s="148">
        <f>+(1+AA108*$AB$106)</f>
        <v>1.0963743094334442</v>
      </c>
      <c r="AC108" s="149">
        <f>+S108*AD108</f>
        <v>22.851099741812224</v>
      </c>
      <c r="AD108" s="149">
        <v>1</v>
      </c>
    </row>
    <row r="109" spans="1:30" s="146" customFormat="1" x14ac:dyDescent="0.15">
      <c r="A109" s="146" t="s">
        <v>31</v>
      </c>
      <c r="B109" s="265">
        <f>+[5]sum_newregion!AF44/1000000000000</f>
        <v>13.03105747782735</v>
      </c>
      <c r="C109" s="147">
        <f t="shared" ref="C109:C119" si="53">+A22</f>
        <v>490.08019258719162</v>
      </c>
      <c r="D109" s="147">
        <f>+Parameters!G36</f>
        <v>0.1</v>
      </c>
      <c r="E109" s="147">
        <f>+Parameters!G35</f>
        <v>0.3</v>
      </c>
      <c r="F109" s="149">
        <f>+B109*1000/C109</f>
        <v>26.58964323580361</v>
      </c>
      <c r="G109" s="148">
        <f t="shared" ref="G109:G119" si="54">+$G$121</f>
        <v>6.2765473111546274E-2</v>
      </c>
      <c r="H109" s="153">
        <v>5.0000000000000001E-3</v>
      </c>
      <c r="I109" s="149">
        <f t="shared" ref="I109:I119" si="55">+G109+H109</f>
        <v>6.7765473111546279E-2</v>
      </c>
      <c r="J109" s="150">
        <f t="shared" ref="J109:K119" si="56">+J$121</f>
        <v>1.4999999999999999E-2</v>
      </c>
      <c r="K109" s="150">
        <f t="shared" si="56"/>
        <v>1.5</v>
      </c>
      <c r="L109" s="153">
        <v>5.0338365369177488E-3</v>
      </c>
      <c r="M109" s="203">
        <f t="shared" si="52"/>
        <v>1.6299541439382684E-2</v>
      </c>
      <c r="N109" s="149">
        <f t="shared" ref="N109:N119" si="57">+I109</f>
        <v>6.7765473111546279E-2</v>
      </c>
      <c r="O109" s="149">
        <f t="shared" ref="O109:O119" si="58">+N109+D109</f>
        <v>0.16776547311154627</v>
      </c>
      <c r="P109" s="12">
        <f t="shared" ref="P109:P119" si="59">+F109*E109/O109</f>
        <v>47.547882307328479</v>
      </c>
      <c r="Q109" s="12">
        <f t="shared" ref="Q109:Q119" si="60">+F109*(P109^-E109)</f>
        <v>8.3478215480070634</v>
      </c>
      <c r="R109" s="12">
        <f t="shared" ref="R109:R119" si="61">Q109*P109^E109</f>
        <v>26.589643235803607</v>
      </c>
      <c r="S109" s="1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1">
        <f t="shared" ref="Y109:Y119" si="68">+F22</f>
        <v>9.1931641858204235E-3</v>
      </c>
      <c r="Z109" s="266">
        <v>1.4121993287661309E-2</v>
      </c>
      <c r="AA109" s="149">
        <f>+AVERAGE(Controls!C29:D29)-Controls!B29</f>
        <v>2.3221665897729588E-2</v>
      </c>
      <c r="AB109" s="148">
        <f t="shared" ref="AB109:AB119" si="69">+(1+AA109*$AB$106)</f>
        <v>1.0928866635909182</v>
      </c>
      <c r="AC109" s="149">
        <f t="shared" ref="AC109:AC119" si="70">+S109*AD109</f>
        <v>23.302275318288661</v>
      </c>
      <c r="AD109" s="149">
        <v>1</v>
      </c>
    </row>
    <row r="110" spans="1:30" s="146" customFormat="1" x14ac:dyDescent="0.15">
      <c r="A110" s="146" t="s">
        <v>51</v>
      </c>
      <c r="B110" s="265">
        <f>+[5]sum_newregion!AF45/1000000000000</f>
        <v>3.8702837853585201</v>
      </c>
      <c r="C110" s="147">
        <f t="shared" si="53"/>
        <v>127.773</v>
      </c>
      <c r="D110" s="147">
        <f>+Parameters!H36</f>
        <v>0.1</v>
      </c>
      <c r="E110" s="147">
        <f>+Parameters!H35</f>
        <v>0.3</v>
      </c>
      <c r="F110" s="149">
        <f t="shared" ref="F110:F119" si="71">+B110*1000/C110</f>
        <v>30.290310044833575</v>
      </c>
      <c r="G110" s="148">
        <f t="shared" si="54"/>
        <v>6.2765473111546274E-2</v>
      </c>
      <c r="H110" s="153">
        <v>0</v>
      </c>
      <c r="I110" s="149">
        <f t="shared" si="55"/>
        <v>6.2765473111546274E-2</v>
      </c>
      <c r="J110" s="150">
        <f t="shared" si="56"/>
        <v>1.4999999999999999E-2</v>
      </c>
      <c r="K110" s="150">
        <f t="shared" si="56"/>
        <v>1.5</v>
      </c>
      <c r="L110" s="153">
        <v>1.6638736437512255E-3</v>
      </c>
      <c r="M110" s="203">
        <f t="shared" si="52"/>
        <v>1.3784143099648205E-2</v>
      </c>
      <c r="N110" s="149">
        <f t="shared" si="57"/>
        <v>6.2765473111546274E-2</v>
      </c>
      <c r="O110" s="149">
        <f t="shared" si="58"/>
        <v>0.16276547311154627</v>
      </c>
      <c r="P110" s="12">
        <f t="shared" si="59"/>
        <v>55.829365035068065</v>
      </c>
      <c r="Q110" s="12">
        <f t="shared" si="60"/>
        <v>9.062435156822831</v>
      </c>
      <c r="R110" s="12">
        <f t="shared" si="61"/>
        <v>30.290310044833575</v>
      </c>
      <c r="S110" s="1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1">
        <f t="shared" si="68"/>
        <v>1.2090535336812081E-2</v>
      </c>
      <c r="Z110" s="266">
        <v>1.2426122762250609E-2</v>
      </c>
      <c r="AA110" s="149">
        <f>+AVERAGE(Controls!C30:D30)-Controls!B30</f>
        <v>2.6644487265768707E-2</v>
      </c>
      <c r="AB110" s="148">
        <f t="shared" si="69"/>
        <v>1.1065779490630749</v>
      </c>
      <c r="AC110" s="149">
        <f t="shared" si="70"/>
        <v>7.1334854586257519</v>
      </c>
      <c r="AD110" s="149">
        <v>1</v>
      </c>
    </row>
    <row r="111" spans="1:30" s="146" customFormat="1" x14ac:dyDescent="0.15">
      <c r="A111" s="146" t="s">
        <v>52</v>
      </c>
      <c r="B111" s="265">
        <f>+[5]sum_newregion!AF46/1000000000000</f>
        <v>1.6979566948188101</v>
      </c>
      <c r="C111" s="147">
        <f t="shared" si="53"/>
        <v>143.15</v>
      </c>
      <c r="D111" s="147">
        <f>+Parameters!I36</f>
        <v>0.1</v>
      </c>
      <c r="E111" s="147">
        <f>+Parameters!I35</f>
        <v>0.3</v>
      </c>
      <c r="F111" s="149">
        <f t="shared" si="71"/>
        <v>11.86138103261481</v>
      </c>
      <c r="G111" s="148">
        <f t="shared" si="54"/>
        <v>6.2765473111546274E-2</v>
      </c>
      <c r="H111" s="153">
        <v>0.02</v>
      </c>
      <c r="I111" s="149">
        <f t="shared" si="55"/>
        <v>8.2765473111546278E-2</v>
      </c>
      <c r="J111" s="150">
        <f t="shared" si="56"/>
        <v>1.4999999999999999E-2</v>
      </c>
      <c r="K111" s="150">
        <f t="shared" si="56"/>
        <v>1.5</v>
      </c>
      <c r="L111" s="153">
        <v>-3.5293202931749659E-3</v>
      </c>
      <c r="M111" s="203">
        <f t="shared" si="52"/>
        <v>2.5982312872819824E-2</v>
      </c>
      <c r="N111" s="149">
        <f t="shared" si="57"/>
        <v>8.2765473111546278E-2</v>
      </c>
      <c r="O111" s="149">
        <f t="shared" si="58"/>
        <v>0.18276547311154628</v>
      </c>
      <c r="P111" s="12">
        <f t="shared" si="59"/>
        <v>19.469838855245129</v>
      </c>
      <c r="Q111" s="12">
        <f t="shared" si="60"/>
        <v>4.8677307749233343</v>
      </c>
      <c r="R111" s="12">
        <f t="shared" si="61"/>
        <v>11.86138103261481</v>
      </c>
      <c r="S111" s="1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1">
        <f t="shared" si="68"/>
        <v>4.0729354255286301E-2</v>
      </c>
      <c r="Z111" s="266">
        <v>2.0034118913012652E-2</v>
      </c>
      <c r="AA111" s="149">
        <f>+AVERAGE(Controls!C31:D31)-Controls!B31</f>
        <v>-4.0860781323927564E-3</v>
      </c>
      <c r="AB111" s="148">
        <f t="shared" si="69"/>
        <v>0.98365568747042897</v>
      </c>
      <c r="AC111" s="149">
        <f t="shared" si="70"/>
        <v>2.7871074321283404</v>
      </c>
      <c r="AD111" s="149">
        <v>1</v>
      </c>
    </row>
    <row r="112" spans="1:30" s="146" customFormat="1" x14ac:dyDescent="0.15">
      <c r="A112" s="146" t="s">
        <v>137</v>
      </c>
      <c r="B112" s="265">
        <f>+[5]sum_newregion!AF47/1000000000000</f>
        <v>0.80733505428693619</v>
      </c>
      <c r="C112" s="147">
        <f t="shared" si="53"/>
        <v>155.94246849385479</v>
      </c>
      <c r="D112" s="147">
        <f>+Parameters!J36</f>
        <v>0.1</v>
      </c>
      <c r="E112" s="147">
        <f>+Parameters!J35</f>
        <v>0.3</v>
      </c>
      <c r="F112" s="149">
        <f t="shared" si="71"/>
        <v>5.1771339910445935</v>
      </c>
      <c r="G112" s="148">
        <f t="shared" si="54"/>
        <v>6.2765473111546274E-2</v>
      </c>
      <c r="H112" s="153">
        <v>1.4999999999999999E-2</v>
      </c>
      <c r="I112" s="149">
        <f t="shared" si="55"/>
        <v>7.7765473111546274E-2</v>
      </c>
      <c r="J112" s="150">
        <f t="shared" si="56"/>
        <v>1.4999999999999999E-2</v>
      </c>
      <c r="K112" s="150">
        <f t="shared" si="56"/>
        <v>1.5</v>
      </c>
      <c r="L112" s="153">
        <v>-1.2812026171707942E-3</v>
      </c>
      <c r="M112" s="203">
        <f t="shared" si="52"/>
        <v>2.4698219696993956E-2</v>
      </c>
      <c r="N112" s="149">
        <f t="shared" si="57"/>
        <v>7.7765473111546274E-2</v>
      </c>
      <c r="O112" s="149">
        <f t="shared" si="58"/>
        <v>0.17776547311154628</v>
      </c>
      <c r="P112" s="12">
        <f t="shared" si="59"/>
        <v>8.7370183316689189</v>
      </c>
      <c r="Q112" s="12">
        <f t="shared" si="60"/>
        <v>2.7019694302576234</v>
      </c>
      <c r="R112" s="12">
        <f t="shared" si="61"/>
        <v>5.1771339910445944</v>
      </c>
      <c r="S112" s="1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1">
        <f t="shared" si="68"/>
        <v>4.1155594991939416E-2</v>
      </c>
      <c r="Z112" s="266">
        <v>2.6537394514707272E-2</v>
      </c>
      <c r="AA112" s="149">
        <f>+AVERAGE(Controls!C32:D32)-Controls!B32</f>
        <v>2.6985975433742287E-2</v>
      </c>
      <c r="AB112" s="148">
        <f t="shared" si="69"/>
        <v>1.107943901734969</v>
      </c>
      <c r="AC112" s="149">
        <f t="shared" si="70"/>
        <v>1.3624722059165122</v>
      </c>
      <c r="AD112" s="149">
        <v>1</v>
      </c>
    </row>
    <row r="113" spans="1:30" s="146" customFormat="1" x14ac:dyDescent="0.15">
      <c r="A113" s="146" t="s">
        <v>54</v>
      </c>
      <c r="B113" s="265">
        <f>+[5]sum_newregion!AF48/1000000000000</f>
        <v>5.3332327426145003</v>
      </c>
      <c r="C113" s="147">
        <f t="shared" si="53"/>
        <v>1304.5</v>
      </c>
      <c r="D113" s="147">
        <f>+Parameters!K36</f>
        <v>0.1</v>
      </c>
      <c r="E113" s="147">
        <f>+Parameters!K35</f>
        <v>0.3</v>
      </c>
      <c r="F113" s="149">
        <f t="shared" si="71"/>
        <v>4.0883347969448067</v>
      </c>
      <c r="G113" s="148">
        <f t="shared" si="54"/>
        <v>6.2765473111546274E-2</v>
      </c>
      <c r="H113" s="153">
        <v>0.01</v>
      </c>
      <c r="I113" s="149">
        <f t="shared" si="55"/>
        <v>7.2765473111546269E-2</v>
      </c>
      <c r="J113" s="150">
        <f t="shared" si="56"/>
        <v>1.4999999999999999E-2</v>
      </c>
      <c r="K113" s="150">
        <f t="shared" si="56"/>
        <v>1.5</v>
      </c>
      <c r="L113" s="153">
        <v>7.7308411420411232E-3</v>
      </c>
      <c r="M113" s="203">
        <f t="shared" si="52"/>
        <v>7.1398792147585849E-2</v>
      </c>
      <c r="N113" s="149">
        <f t="shared" si="57"/>
        <v>7.2765473111546269E-2</v>
      </c>
      <c r="O113" s="149">
        <f t="shared" si="58"/>
        <v>0.17276547311154627</v>
      </c>
      <c r="P113" s="12">
        <f t="shared" si="59"/>
        <v>7.0992219509713621</v>
      </c>
      <c r="Q113" s="12">
        <f t="shared" si="60"/>
        <v>2.2708227004455939</v>
      </c>
      <c r="R113" s="12">
        <f t="shared" si="61"/>
        <v>4.0883347969448067</v>
      </c>
      <c r="S113" s="1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1">
        <f t="shared" si="68"/>
        <v>8.368855196787528E-2</v>
      </c>
      <c r="Z113" s="266">
        <v>3.8345537833968907E-2</v>
      </c>
      <c r="AA113" s="149">
        <f>+AVERAGE(Controls!C33:D33)-Controls!B33</f>
        <v>-0.13611855569978798</v>
      </c>
      <c r="AB113" s="148">
        <f t="shared" si="69"/>
        <v>0.45552577720084808</v>
      </c>
      <c r="AC113" s="149">
        <f t="shared" si="70"/>
        <v>9.2609350350421433</v>
      </c>
      <c r="AD113" s="149">
        <v>1</v>
      </c>
    </row>
    <row r="114" spans="1:30" s="146" customFormat="1" x14ac:dyDescent="0.15">
      <c r="A114" s="146" t="s">
        <v>55</v>
      </c>
      <c r="B114" s="265">
        <f>+[5]sum_newregion!AF49/1000000000000</f>
        <v>2.4408315128007598</v>
      </c>
      <c r="C114" s="147">
        <f t="shared" si="53"/>
        <v>1094.5830000000001</v>
      </c>
      <c r="D114" s="147">
        <f>+Parameters!L36</f>
        <v>0.1</v>
      </c>
      <c r="E114" s="147">
        <f>+Parameters!L35</f>
        <v>0.3</v>
      </c>
      <c r="F114" s="149">
        <f t="shared" si="71"/>
        <v>2.2299190767632604</v>
      </c>
      <c r="G114" s="148">
        <f t="shared" si="54"/>
        <v>6.2765473111546274E-2</v>
      </c>
      <c r="H114" s="153">
        <v>1.4999999999999999E-2</v>
      </c>
      <c r="I114" s="149">
        <f t="shared" si="55"/>
        <v>7.7765473111546274E-2</v>
      </c>
      <c r="J114" s="150">
        <f t="shared" si="56"/>
        <v>1.4999999999999999E-2</v>
      </c>
      <c r="K114" s="150">
        <f t="shared" si="56"/>
        <v>1.5</v>
      </c>
      <c r="L114" s="153">
        <v>1.5856292119479781E-2</v>
      </c>
      <c r="M114" s="203">
        <f t="shared" si="52"/>
        <v>4.5495487566615637E-2</v>
      </c>
      <c r="N114" s="149">
        <f t="shared" si="57"/>
        <v>7.7765473111546274E-2</v>
      </c>
      <c r="O114" s="149">
        <f t="shared" si="58"/>
        <v>0.17776547311154628</v>
      </c>
      <c r="P114" s="12">
        <f t="shared" si="59"/>
        <v>3.763248910598076</v>
      </c>
      <c r="Q114" s="12">
        <f t="shared" si="60"/>
        <v>1.4983739690273445</v>
      </c>
      <c r="R114" s="12">
        <f t="shared" si="61"/>
        <v>2.2299190767632604</v>
      </c>
      <c r="S114" s="1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1">
        <f t="shared" si="68"/>
        <v>5.5092625316223429E-2</v>
      </c>
      <c r="Z114" s="266">
        <v>3.6296367644967742E-2</v>
      </c>
      <c r="AA114" s="149">
        <f>+AVERAGE(Controls!C34:D34)-Controls!B34</f>
        <v>-3.3651562136548463E-2</v>
      </c>
      <c r="AB114" s="148">
        <f t="shared" si="69"/>
        <v>0.86539375145380615</v>
      </c>
      <c r="AC114" s="149">
        <f t="shared" si="70"/>
        <v>4.1191882823091737</v>
      </c>
      <c r="AD114" s="149">
        <v>1</v>
      </c>
    </row>
    <row r="115" spans="1:30" s="146" customFormat="1" x14ac:dyDescent="0.15">
      <c r="A115" s="146" t="s">
        <v>56</v>
      </c>
      <c r="B115" s="265">
        <f>+[5]sum_newregion!AF50/1000000000000</f>
        <v>3.4801033488396897</v>
      </c>
      <c r="C115" s="147">
        <f t="shared" si="53"/>
        <v>412.76900131562951</v>
      </c>
      <c r="D115" s="147">
        <f>+Parameters!M36</f>
        <v>0.1</v>
      </c>
      <c r="E115" s="147">
        <f>+Parameters!M35</f>
        <v>0.3</v>
      </c>
      <c r="F115" s="149">
        <f t="shared" si="71"/>
        <v>8.4311160425018947</v>
      </c>
      <c r="G115" s="148">
        <f t="shared" si="54"/>
        <v>6.2765473111546274E-2</v>
      </c>
      <c r="H115" s="153">
        <v>0.03</v>
      </c>
      <c r="I115" s="149">
        <f t="shared" si="55"/>
        <v>9.2765473111546273E-2</v>
      </c>
      <c r="J115" s="150">
        <f t="shared" si="56"/>
        <v>1.4999999999999999E-2</v>
      </c>
      <c r="K115" s="150">
        <f t="shared" si="56"/>
        <v>1.5</v>
      </c>
      <c r="L115" s="153">
        <v>2.1161107883886227E-2</v>
      </c>
      <c r="M115" s="203">
        <f t="shared" si="52"/>
        <v>2.353379739247316E-2</v>
      </c>
      <c r="N115" s="149">
        <f t="shared" si="57"/>
        <v>9.2765473111546273E-2</v>
      </c>
      <c r="O115" s="149">
        <f t="shared" si="58"/>
        <v>0.19276547311154629</v>
      </c>
      <c r="P115" s="12">
        <f t="shared" si="59"/>
        <v>13.121306279195212</v>
      </c>
      <c r="Q115" s="12">
        <f t="shared" si="60"/>
        <v>3.8948608362974033</v>
      </c>
      <c r="R115" s="12">
        <f t="shared" si="61"/>
        <v>8.4311160425018947</v>
      </c>
      <c r="S115" s="1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1">
        <f t="shared" si="68"/>
        <v>2.5861103203830359E-2</v>
      </c>
      <c r="Z115" s="266">
        <v>1.8504141160969153E-2</v>
      </c>
      <c r="AA115" s="149">
        <f>+AVERAGE(Controls!C35:D35)-Controls!B35</f>
        <v>-1.2364906517786822E-2</v>
      </c>
      <c r="AB115" s="148">
        <f t="shared" si="69"/>
        <v>0.95054037392885271</v>
      </c>
      <c r="AC115" s="149">
        <f t="shared" si="70"/>
        <v>5.4160684888199055</v>
      </c>
      <c r="AD115" s="149">
        <v>1</v>
      </c>
    </row>
    <row r="116" spans="1:30" s="146" customFormat="1" x14ac:dyDescent="0.15">
      <c r="A116" s="146" t="s">
        <v>57</v>
      </c>
      <c r="B116" s="265">
        <f>+[5]sum_newregion!AF51/1000000000000</f>
        <v>1.3005301355519889</v>
      </c>
      <c r="C116" s="147">
        <f t="shared" si="53"/>
        <v>763.50611154103387</v>
      </c>
      <c r="D116" s="147">
        <f>+Parameters!N36</f>
        <v>0.1</v>
      </c>
      <c r="E116" s="147">
        <f>+Parameters!N35</f>
        <v>0.3</v>
      </c>
      <c r="F116" s="149">
        <f t="shared" si="71"/>
        <v>1.7033657175671386</v>
      </c>
      <c r="G116" s="148">
        <f t="shared" si="54"/>
        <v>6.2765473111546274E-2</v>
      </c>
      <c r="H116" s="153">
        <v>0.02</v>
      </c>
      <c r="I116" s="149">
        <f t="shared" si="55"/>
        <v>8.2765473111546278E-2</v>
      </c>
      <c r="J116" s="150">
        <f t="shared" si="56"/>
        <v>1.4999999999999999E-2</v>
      </c>
      <c r="K116" s="150">
        <f t="shared" si="56"/>
        <v>1.5</v>
      </c>
      <c r="L116" s="153">
        <v>2.4088985557427504E-2</v>
      </c>
      <c r="M116" s="203">
        <f t="shared" si="52"/>
        <v>3.6482695228487544E-2</v>
      </c>
      <c r="N116" s="149">
        <f t="shared" si="57"/>
        <v>8.2765473111546278E-2</v>
      </c>
      <c r="O116" s="149">
        <f t="shared" si="58"/>
        <v>0.18276547311154628</v>
      </c>
      <c r="P116" s="12">
        <f t="shared" si="59"/>
        <v>2.7959860610995149</v>
      </c>
      <c r="Q116" s="12">
        <f t="shared" si="60"/>
        <v>1.2512595399070259</v>
      </c>
      <c r="R116" s="12">
        <f t="shared" si="61"/>
        <v>1.7033657175671386</v>
      </c>
      <c r="S116" s="1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1">
        <f t="shared" si="68"/>
        <v>3.1344274354200403E-2</v>
      </c>
      <c r="Z116" s="266">
        <v>3.2859530922943671E-2</v>
      </c>
      <c r="AA116" s="149">
        <f>+AVERAGE(Controls!C36:D36)-Controls!B36</f>
        <v>-1.7222091255329475E-3</v>
      </c>
      <c r="AB116" s="148">
        <f t="shared" si="69"/>
        <v>0.99311116349786821</v>
      </c>
      <c r="AC116" s="149">
        <f t="shared" si="70"/>
        <v>2.1347524454330222</v>
      </c>
      <c r="AD116" s="149">
        <v>1</v>
      </c>
    </row>
    <row r="117" spans="1:30" s="146" customFormat="1" x14ac:dyDescent="0.15">
      <c r="A117" s="146" t="s">
        <v>58</v>
      </c>
      <c r="B117" s="265">
        <f>+[5]sum_newregion!AF52/1000000000000</f>
        <v>4.5584762524914142</v>
      </c>
      <c r="C117" s="147">
        <f t="shared" si="53"/>
        <v>555.38007856447791</v>
      </c>
      <c r="D117" s="147">
        <f>+Parameters!O36</f>
        <v>0.1</v>
      </c>
      <c r="E117" s="147">
        <f>+Parameters!O35</f>
        <v>0.3</v>
      </c>
      <c r="F117" s="149">
        <f t="shared" si="71"/>
        <v>8.2078497742914429</v>
      </c>
      <c r="G117" s="148">
        <f t="shared" si="54"/>
        <v>6.2765473111546274E-2</v>
      </c>
      <c r="H117" s="153">
        <v>1.4999999999999999E-2</v>
      </c>
      <c r="I117" s="149">
        <f t="shared" si="55"/>
        <v>7.7765473111546274E-2</v>
      </c>
      <c r="J117" s="150">
        <f t="shared" si="56"/>
        <v>1.4999999999999999E-2</v>
      </c>
      <c r="K117" s="150">
        <f t="shared" si="56"/>
        <v>1.5</v>
      </c>
      <c r="L117" s="153">
        <v>1.4040655479219495E-2</v>
      </c>
      <c r="M117" s="203">
        <f t="shared" si="52"/>
        <v>2.9266610090864918E-2</v>
      </c>
      <c r="N117" s="149">
        <f t="shared" si="57"/>
        <v>7.7765473111546274E-2</v>
      </c>
      <c r="O117" s="149">
        <f t="shared" si="58"/>
        <v>0.17776547311154628</v>
      </c>
      <c r="P117" s="12">
        <f t="shared" si="59"/>
        <v>13.851705222545251</v>
      </c>
      <c r="Q117" s="12">
        <f t="shared" si="60"/>
        <v>3.7305977748297967</v>
      </c>
      <c r="R117" s="12">
        <f t="shared" si="61"/>
        <v>8.2078497742914429</v>
      </c>
      <c r="S117" s="1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1">
        <f t="shared" si="68"/>
        <v>2.4828856310891448E-2</v>
      </c>
      <c r="Z117" s="266">
        <v>2.4103596097282326E-2</v>
      </c>
      <c r="AA117" s="149">
        <f>+AVERAGE(Controls!C37:D37)-Controls!B37</f>
        <v>-2.1880246760697108E-3</v>
      </c>
      <c r="AB117" s="148">
        <f t="shared" si="69"/>
        <v>0.99124790129572116</v>
      </c>
      <c r="AC117" s="149">
        <f t="shared" si="70"/>
        <v>7.6929611347491704</v>
      </c>
      <c r="AD117" s="149">
        <v>1</v>
      </c>
    </row>
    <row r="118" spans="1:30" s="146" customFormat="1" x14ac:dyDescent="0.15">
      <c r="A118" s="146" t="s">
        <v>114</v>
      </c>
      <c r="B118" s="265">
        <f>+[5]sum_newregion!AF53/1000000000000</f>
        <v>3.8420497503564541</v>
      </c>
      <c r="C118" s="147">
        <f t="shared" si="53"/>
        <v>129.169624</v>
      </c>
      <c r="D118" s="147">
        <f>+Parameters!P36</f>
        <v>0.1</v>
      </c>
      <c r="E118" s="147">
        <f>+Parameters!P35</f>
        <v>0.3</v>
      </c>
      <c r="F118" s="149">
        <f t="shared" si="71"/>
        <v>29.744220284766442</v>
      </c>
      <c r="G118" s="148">
        <f t="shared" si="54"/>
        <v>6.2765473111546274E-2</v>
      </c>
      <c r="H118" s="153">
        <v>5.0000000000000001E-3</v>
      </c>
      <c r="I118" s="149">
        <f t="shared" si="55"/>
        <v>6.7765473111546279E-2</v>
      </c>
      <c r="J118" s="150">
        <f t="shared" si="56"/>
        <v>1.4999999999999999E-2</v>
      </c>
      <c r="K118" s="150">
        <f t="shared" si="56"/>
        <v>1.5</v>
      </c>
      <c r="L118" s="153">
        <v>9.2660471272922804E-3</v>
      </c>
      <c r="M118" s="203">
        <f t="shared" si="52"/>
        <v>1.8825929457759707E-2</v>
      </c>
      <c r="N118" s="149">
        <f t="shared" si="57"/>
        <v>6.7765473111546279E-2</v>
      </c>
      <c r="O118" s="149">
        <f t="shared" si="58"/>
        <v>0.16776547311154627</v>
      </c>
      <c r="P118" s="12">
        <f t="shared" si="59"/>
        <v>53.18893047496671</v>
      </c>
      <c r="Q118" s="12">
        <f t="shared" si="60"/>
        <v>9.0293442586263488</v>
      </c>
      <c r="R118" s="12">
        <f t="shared" si="61"/>
        <v>29.744220284766445</v>
      </c>
      <c r="S118" s="1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1">
        <f t="shared" si="68"/>
        <v>1.9336305926299695E-2</v>
      </c>
      <c r="Z118" s="266">
        <v>1.5160738532667433E-2</v>
      </c>
      <c r="AA118" s="149">
        <f>+AVERAGE(Controls!C38:D38)-Controls!B38</f>
        <v>1.3599392432419893E-2</v>
      </c>
      <c r="AB118" s="148">
        <f t="shared" si="69"/>
        <v>1.0543975697296797</v>
      </c>
      <c r="AC118" s="149">
        <f t="shared" si="70"/>
        <v>6.870394150413591</v>
      </c>
      <c r="AD118" s="149">
        <v>1</v>
      </c>
    </row>
    <row r="119" spans="1:30" s="146" customFormat="1" x14ac:dyDescent="0.15">
      <c r="A119" s="146" t="s">
        <v>138</v>
      </c>
      <c r="B119" s="265">
        <f>+[5]sum_newregion!AF54/1000000000000</f>
        <v>2.6191887369437761</v>
      </c>
      <c r="C119" s="147">
        <f t="shared" si="53"/>
        <v>937.19556697899202</v>
      </c>
      <c r="D119" s="147">
        <f>+Parameters!Q36</f>
        <v>0.1</v>
      </c>
      <c r="E119" s="147">
        <f>+Parameters!Q35</f>
        <v>0.3</v>
      </c>
      <c r="F119" s="149">
        <f t="shared" si="71"/>
        <v>2.7947088411724073</v>
      </c>
      <c r="G119" s="148">
        <f t="shared" si="54"/>
        <v>6.2765473111546274E-2</v>
      </c>
      <c r="H119" s="153">
        <v>1.4999999999999999E-2</v>
      </c>
      <c r="I119" s="149">
        <f t="shared" si="55"/>
        <v>7.7765473111546274E-2</v>
      </c>
      <c r="J119" s="150">
        <f t="shared" si="56"/>
        <v>1.4999999999999999E-2</v>
      </c>
      <c r="K119" s="150">
        <f t="shared" si="56"/>
        <v>1.5</v>
      </c>
      <c r="L119" s="153">
        <v>1.656095294349582E-2</v>
      </c>
      <c r="M119" s="203">
        <f t="shared" si="52"/>
        <v>2.7948054705052162E-2</v>
      </c>
      <c r="N119" s="149">
        <f t="shared" si="57"/>
        <v>7.7765473111546274E-2</v>
      </c>
      <c r="O119" s="149">
        <f t="shared" si="58"/>
        <v>0.17776547311154628</v>
      </c>
      <c r="P119" s="12">
        <f t="shared" si="59"/>
        <v>4.7163976090319046</v>
      </c>
      <c r="Q119" s="12">
        <f t="shared" si="60"/>
        <v>1.7549043305648544</v>
      </c>
      <c r="R119" s="12">
        <f t="shared" si="61"/>
        <v>2.7947088411724073</v>
      </c>
      <c r="S119" s="1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1">
        <f t="shared" si="68"/>
        <v>3.514465112799578E-2</v>
      </c>
      <c r="Z119" s="266">
        <v>2.6697559787376125E-2</v>
      </c>
      <c r="AA119" s="149">
        <f>+AVERAGE(Controls!C39:D39)-Controls!B39</f>
        <v>3.1454788937001266E-2</v>
      </c>
      <c r="AB119" s="148">
        <f t="shared" si="69"/>
        <v>1.1258191557480051</v>
      </c>
      <c r="AC119" s="149">
        <f t="shared" si="70"/>
        <v>4.4201869312950182</v>
      </c>
      <c r="AD119" s="149">
        <v>1</v>
      </c>
    </row>
    <row r="120" spans="1:30" x14ac:dyDescent="0.15">
      <c r="B120" s="13"/>
      <c r="C120" s="177"/>
      <c r="E120" s="147"/>
      <c r="F120" s="1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39"/>
      <c r="Z120" s="139"/>
    </row>
    <row r="121" spans="1:30" s="146" customFormat="1" x14ac:dyDescent="0.15">
      <c r="B121" s="149">
        <f>SUM(B108:B119)</f>
        <v>55.378945693874201</v>
      </c>
      <c r="C121" s="243">
        <f>SUM(C108:C120)</f>
        <v>6410.8916214811798</v>
      </c>
      <c r="F121" s="243">
        <f>+B121/C121*1000</f>
        <v>8.6382595376147364</v>
      </c>
      <c r="G121" s="148">
        <f>+I125-H122</f>
        <v>6.2765473111546274E-2</v>
      </c>
      <c r="H121" s="241"/>
      <c r="I121" s="149">
        <f>+SUMPRODUCT($B$108:$B$119*I108:I119)/SUM($B$108:$B$119)</f>
        <v>7.104403761369113E-2</v>
      </c>
      <c r="J121" s="149">
        <f>+Parameters!C43</f>
        <v>1.4999999999999999E-2</v>
      </c>
      <c r="K121" s="149">
        <f>+Parameters!C45</f>
        <v>1.5</v>
      </c>
      <c r="L121" s="149">
        <f>+SUMPRODUCT($B$108:$B$119*L108:L119)/SUM($B$108:$B$119)</f>
        <v>9.4851381737705038E-3</v>
      </c>
      <c r="M121" s="149">
        <f>+SUMPRODUCT($B$108:$B$119*M108:M119)/SUM($B$108:$B$119)</f>
        <v>2.5588276800838142E-2</v>
      </c>
      <c r="P121" s="241"/>
      <c r="Q121" s="241"/>
      <c r="R121" s="241"/>
      <c r="S121" s="241"/>
      <c r="Y121" s="266">
        <v>1.6020819480950507E-2</v>
      </c>
      <c r="Z121" s="266">
        <v>1.9858427295232395E-2</v>
      </c>
    </row>
    <row r="122" spans="1:30" s="146" customFormat="1" x14ac:dyDescent="0.15">
      <c r="B122" s="241"/>
      <c r="F122" s="241"/>
      <c r="G122" s="146" t="s">
        <v>1004</v>
      </c>
      <c r="H122" s="267">
        <f>+SUMPRODUCT(H108:H119*B108:B119)/SUM(B108:B119)</f>
        <v>8.2785645021448435E-3</v>
      </c>
      <c r="O122" s="171" t="s">
        <v>229</v>
      </c>
      <c r="P122" s="241"/>
      <c r="Q122" s="241"/>
      <c r="R122" s="241"/>
      <c r="S122" s="241"/>
      <c r="V122" s="152">
        <v>0</v>
      </c>
    </row>
    <row r="123" spans="1:30" s="146" customFormat="1" x14ac:dyDescent="0.15">
      <c r="B123" s="241"/>
      <c r="F123" s="241"/>
      <c r="G123" s="146" t="s">
        <v>1005</v>
      </c>
      <c r="H123" s="267">
        <f>+SUMPRODUCT(H108:H119*S108:S119)/SUM(S108:S119)</f>
        <v>7.8922112491512132E-3</v>
      </c>
      <c r="I123" s="267"/>
      <c r="O123" s="171" t="s">
        <v>230</v>
      </c>
      <c r="P123" s="241"/>
      <c r="Q123" s="241"/>
      <c r="R123" s="241"/>
      <c r="S123" s="241"/>
      <c r="V123" s="192">
        <v>999.99999999999989</v>
      </c>
    </row>
    <row r="124" spans="1:30" s="146" customFormat="1" x14ac:dyDescent="0.15">
      <c r="A124" s="146" t="s">
        <v>1006</v>
      </c>
      <c r="B124" s="241"/>
      <c r="F124" s="241"/>
      <c r="G124" s="146" t="s">
        <v>140</v>
      </c>
      <c r="H124" s="149"/>
      <c r="I124" s="149"/>
      <c r="O124" s="171" t="s">
        <v>231</v>
      </c>
      <c r="P124" s="241"/>
      <c r="Q124" s="241"/>
      <c r="R124" s="241"/>
      <c r="S124" s="241"/>
      <c r="V124" s="192">
        <v>1000</v>
      </c>
    </row>
    <row r="125" spans="1:30" s="146" customFormat="1" x14ac:dyDescent="0.15">
      <c r="A125" s="146" t="s">
        <v>1007</v>
      </c>
      <c r="B125" s="241"/>
      <c r="F125" s="241"/>
      <c r="H125" s="267">
        <f>+H122</f>
        <v>8.2785645021448435E-3</v>
      </c>
      <c r="I125" s="268">
        <f>+J125+H125+L125+M125*K125</f>
        <v>7.1044037613691116E-2</v>
      </c>
      <c r="J125" s="268">
        <f>+J$121</f>
        <v>1.4999999999999999E-2</v>
      </c>
      <c r="K125" s="268">
        <f>+K$121</f>
        <v>1.5</v>
      </c>
      <c r="L125" s="155">
        <v>9.2274830874257922E-3</v>
      </c>
      <c r="M125" s="155">
        <v>2.5691993349413658E-2</v>
      </c>
      <c r="P125" s="241"/>
      <c r="Q125" s="241"/>
      <c r="R125" s="241"/>
      <c r="S125" s="241"/>
      <c r="V125" s="192">
        <v>999.99999999999989</v>
      </c>
    </row>
    <row r="126" spans="1:30" s="146" customFormat="1" x14ac:dyDescent="0.15">
      <c r="B126" s="241"/>
      <c r="F126" s="241"/>
      <c r="H126" s="267"/>
      <c r="I126" s="267"/>
      <c r="J126" s="268"/>
      <c r="K126" s="268"/>
      <c r="L126" s="268"/>
      <c r="M126" s="268"/>
      <c r="P126" s="241"/>
      <c r="Q126" s="241"/>
      <c r="R126" s="241"/>
      <c r="S126" s="241"/>
      <c r="V126" s="152">
        <v>0</v>
      </c>
    </row>
    <row r="127" spans="1:30" s="146" customFormat="1" x14ac:dyDescent="0.15">
      <c r="A127" s="146" t="s">
        <v>1008</v>
      </c>
      <c r="B127" s="241"/>
      <c r="F127" s="241"/>
      <c r="H127" s="267">
        <f>+H122</f>
        <v>8.2785645021448435E-3</v>
      </c>
      <c r="I127" s="268">
        <f>+J127+H127+L127+M127*K127</f>
        <v>5.8066205444993441E-2</v>
      </c>
      <c r="J127" s="268">
        <f>+J$121</f>
        <v>1.4999999999999999E-2</v>
      </c>
      <c r="K127" s="268">
        <f>+K$121</f>
        <v>1.5</v>
      </c>
      <c r="L127" s="155">
        <v>5.0000000000000001E-3</v>
      </c>
      <c r="M127" s="155">
        <v>1.9858427295232395E-2</v>
      </c>
      <c r="N127" s="149"/>
      <c r="O127" s="149"/>
      <c r="P127" s="241"/>
      <c r="Q127" s="241"/>
      <c r="R127" s="241"/>
      <c r="S127" s="241"/>
      <c r="V127" s="152">
        <v>0</v>
      </c>
    </row>
    <row r="128" spans="1:30" s="146" customFormat="1" x14ac:dyDescent="0.15">
      <c r="A128" s="146" t="s">
        <v>1008</v>
      </c>
      <c r="B128" s="241"/>
      <c r="F128" s="241"/>
      <c r="H128" s="267">
        <f>+H122</f>
        <v>8.2785645021448435E-3</v>
      </c>
      <c r="I128" s="268">
        <f>+J128+H128+L128+M128*K128</f>
        <v>4.9809793723570597E-2</v>
      </c>
      <c r="J128" s="268">
        <f>+J$121</f>
        <v>1.4999999999999999E-2</v>
      </c>
      <c r="K128" s="268">
        <f>+K$121</f>
        <v>1.5</v>
      </c>
      <c r="L128" s="155">
        <v>2.5000000000000001E-3</v>
      </c>
      <c r="M128" s="155">
        <v>1.6020819480950507E-2</v>
      </c>
      <c r="N128" s="149"/>
      <c r="O128" s="149"/>
      <c r="P128" s="241"/>
      <c r="Q128" s="241"/>
      <c r="R128" s="241"/>
      <c r="S128" s="241"/>
    </row>
    <row r="129" spans="1:33" x14ac:dyDescent="0.15">
      <c r="A129" s="156"/>
      <c r="B129" s="157">
        <v>2015</v>
      </c>
      <c r="C129" s="158" t="s">
        <v>236</v>
      </c>
      <c r="D129" s="159" t="s">
        <v>237</v>
      </c>
    </row>
    <row r="130" spans="1:33" s="14" customFormat="1" x14ac:dyDescent="0.15">
      <c r="A130" s="160" t="s">
        <v>233</v>
      </c>
      <c r="B130" s="161"/>
      <c r="C130" s="161"/>
      <c r="D130" s="162"/>
    </row>
    <row r="131" spans="1:33" ht="13.5" customHeight="1" x14ac:dyDescent="0.15">
      <c r="A131" s="163" t="s">
        <v>234</v>
      </c>
      <c r="D131" s="162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4" x14ac:dyDescent="0.15">
      <c r="A132" s="163" t="s">
        <v>235</v>
      </c>
      <c r="B132" s="164">
        <f>+F132</f>
        <v>1.1236984719613053E-2</v>
      </c>
      <c r="C132" s="164">
        <f>+AVERAGE(F132:I132)</f>
        <v>1.6053936920367426E-2</v>
      </c>
      <c r="D132" s="165">
        <f>+AVERAGE(I132:O132)</f>
        <v>1.9371704774647953E-2</v>
      </c>
      <c r="E132" s="14"/>
      <c r="F132" s="14">
        <f>+US!C131</f>
        <v>1.1236984719613053E-2</v>
      </c>
      <c r="G132" s="14">
        <f>+US!D131</f>
        <v>1.6845306488896344E-2</v>
      </c>
      <c r="H132" s="14">
        <f>+US!E131</f>
        <v>1.7802029736078643E-2</v>
      </c>
      <c r="I132" s="14">
        <f>+US!F131</f>
        <v>1.8331426736881661E-2</v>
      </c>
      <c r="J132" s="14">
        <f>+US!G131</f>
        <v>1.8570697333199271E-2</v>
      </c>
      <c r="K132" s="14">
        <f>+US!H131</f>
        <v>1.9918520991412364E-2</v>
      </c>
      <c r="L132" s="14">
        <f>+US!I131</f>
        <v>2.034484217132173E-2</v>
      </c>
      <c r="M132" s="14">
        <f>+US!J131</f>
        <v>2.0688487892194719E-2</v>
      </c>
      <c r="N132" s="14">
        <f>+US!K131</f>
        <v>2.0770423635831852E-2</v>
      </c>
      <c r="O132" s="14">
        <f>+US!L131</f>
        <v>1.6977534661694101E-2</v>
      </c>
      <c r="P132" s="14">
        <f>+US!M131</f>
        <v>1.5289195128988645E-2</v>
      </c>
      <c r="Q132" s="14">
        <f>+US!N131</f>
        <v>1.7949834805246978E-2</v>
      </c>
    </row>
    <row r="133" spans="1:33" ht="14" x14ac:dyDescent="0.15">
      <c r="A133" s="163" t="s">
        <v>1171</v>
      </c>
      <c r="B133" s="164">
        <f>+F133</f>
        <v>4.3816530787371029E-2</v>
      </c>
      <c r="C133" s="164">
        <f>+AVERAGE(F133:I133)</f>
        <v>3.6932843929780662E-2</v>
      </c>
      <c r="D133" s="165">
        <f>+AVERAGE(I133:O133)</f>
        <v>2.9185584904364851E-2</v>
      </c>
      <c r="F133" s="14">
        <f>+China!C131</f>
        <v>4.3816530787371029E-2</v>
      </c>
      <c r="G133" s="14">
        <f>+China!D131</f>
        <v>3.5344224156280073E-2</v>
      </c>
      <c r="H133" s="14">
        <f>+China!E131</f>
        <v>3.5172613357396264E-2</v>
      </c>
      <c r="I133" s="14">
        <f>+China!F131</f>
        <v>3.3398007418075276E-2</v>
      </c>
      <c r="J133" s="14">
        <f>+China!G131</f>
        <v>3.1403133883444054E-2</v>
      </c>
      <c r="K133" s="14">
        <f>+China!H131</f>
        <v>3.0291422931629487E-2</v>
      </c>
      <c r="L133" s="14">
        <f>+China!I131</f>
        <v>2.8792292439362009E-2</v>
      </c>
      <c r="M133" s="14">
        <f>+China!J131</f>
        <v>2.7178191338807677E-2</v>
      </c>
      <c r="N133" s="14">
        <f>+China!K131</f>
        <v>2.6315347670693729E-2</v>
      </c>
      <c r="O133" s="14">
        <f>+China!L131</f>
        <v>2.692069864854172E-2</v>
      </c>
      <c r="P133" s="14">
        <f>+China!M131</f>
        <v>2.7795604441652265E-2</v>
      </c>
      <c r="Q133" s="14">
        <f>+China!N131</f>
        <v>2.8486093438567041E-2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4" x14ac:dyDescent="0.15">
      <c r="A134" s="163" t="s">
        <v>1172</v>
      </c>
      <c r="B134" s="164">
        <f>+F134</f>
        <v>1.8255856949231729E-2</v>
      </c>
      <c r="C134" s="164">
        <f>+AVERAGE(F134:I134)</f>
        <v>2.1890011726489675E-2</v>
      </c>
      <c r="D134" s="165">
        <f>+AVERAGE(I134:O134)</f>
        <v>2.4544797983779381E-2</v>
      </c>
      <c r="E134" s="14"/>
      <c r="F134" s="14">
        <f>+India!C131</f>
        <v>1.8255856949231729E-2</v>
      </c>
      <c r="G134" s="14">
        <f>+India!D131</f>
        <v>2.0957072753084744E-2</v>
      </c>
      <c r="H134" s="14">
        <f>+India!E131</f>
        <v>2.2718814000947461E-2</v>
      </c>
      <c r="I134" s="14">
        <f>+India!F131</f>
        <v>2.5628303202694758E-2</v>
      </c>
      <c r="J134" s="14">
        <f>+India!G131</f>
        <v>2.6652787199141631E-2</v>
      </c>
      <c r="K134" s="14">
        <f>+India!H131</f>
        <v>2.4099306436896589E-2</v>
      </c>
      <c r="L134" s="14">
        <f>+India!I131</f>
        <v>2.2910342248730786E-2</v>
      </c>
      <c r="M134" s="14">
        <f>+India!J131</f>
        <v>2.6366017080345368E-2</v>
      </c>
      <c r="N134" s="14">
        <f>+India!K131</f>
        <v>2.466933548832544E-2</v>
      </c>
      <c r="O134" s="14">
        <f>+India!L131</f>
        <v>2.1487494230321084E-2</v>
      </c>
      <c r="P134" s="14">
        <f>+India!M131</f>
        <v>2.1523371599455554E-2</v>
      </c>
      <c r="Q134" s="14">
        <f>+India!N131</f>
        <v>2.398164480817825E-2</v>
      </c>
    </row>
    <row r="135" spans="1:33" ht="14" x14ac:dyDescent="0.15">
      <c r="A135" s="163"/>
      <c r="B135" s="164"/>
      <c r="C135" s="164"/>
      <c r="D135" s="165"/>
      <c r="E135" s="14">
        <f>+US!B139</f>
        <v>6.7337101851271272E-2</v>
      </c>
      <c r="F135" s="14">
        <f>+US!C139</f>
        <v>5.126508622590227E-2</v>
      </c>
      <c r="G135" s="14">
        <f>+US!D139</f>
        <v>4.0433607811427338E-2</v>
      </c>
      <c r="H135" s="14">
        <f>+US!E139</f>
        <v>3.7652146928401242E-2</v>
      </c>
      <c r="I135" s="14">
        <f>+US!F139</f>
        <v>3.8747263170672397E-2</v>
      </c>
      <c r="J135" s="14">
        <f>+US!G139</f>
        <v>3.8236191035648112E-2</v>
      </c>
      <c r="K135" s="14">
        <f>+US!H139</f>
        <v>3.9115190030477379E-2</v>
      </c>
      <c r="L135" s="14">
        <f>+US!I139</f>
        <v>3.9244150465915145E-2</v>
      </c>
      <c r="M135" s="14">
        <f>+US!J139</f>
        <v>3.8463579035347889E-2</v>
      </c>
      <c r="N135" s="14">
        <f>+US!K139</f>
        <v>3.7663826520424631E-2</v>
      </c>
      <c r="O135" s="14">
        <f>+US!L139</f>
        <v>3.5985564515063184E-2</v>
      </c>
      <c r="P135" s="14">
        <f>+US!M139</f>
        <v>3.2436258024516815E-2</v>
      </c>
      <c r="Q135" s="14">
        <f>+US!N139</f>
        <v>2.7997311972705899E-2</v>
      </c>
      <c r="R135" s="14"/>
    </row>
    <row r="136" spans="1:33" ht="14" x14ac:dyDescent="0.15">
      <c r="A136" s="166"/>
      <c r="B136" s="167"/>
      <c r="C136" s="167"/>
      <c r="D136" s="168"/>
      <c r="E136" s="14">
        <f>+China!B139</f>
        <v>-1.283440745816708E-2</v>
      </c>
      <c r="F136" s="14">
        <f>+China!C139</f>
        <v>-6.4522812200466031E-3</v>
      </c>
      <c r="G136" s="14">
        <f>+China!D139</f>
        <v>1.9463729884204473E-2</v>
      </c>
      <c r="H136" s="14">
        <f>+China!E139</f>
        <v>3.5635102923998976E-2</v>
      </c>
      <c r="I136" s="14">
        <f>+China!F139</f>
        <v>4.368584739567978E-2</v>
      </c>
      <c r="J136" s="14">
        <f>+China!G139</f>
        <v>4.5919172775420389E-2</v>
      </c>
      <c r="K136" s="14">
        <f>+China!H139</f>
        <v>4.5478637323770804E-2</v>
      </c>
      <c r="L136" s="14">
        <f>+China!I139</f>
        <v>4.4714152387242204E-2</v>
      </c>
      <c r="M136" s="14">
        <f>+China!J139</f>
        <v>4.3087206648833476E-2</v>
      </c>
      <c r="N136" s="14">
        <f>+China!K139</f>
        <v>4.254685723445821E-2</v>
      </c>
      <c r="O136" s="14">
        <f>+China!L139</f>
        <v>4.100636301142753E-2</v>
      </c>
      <c r="P136" s="14">
        <f>+China!M139</f>
        <v>3.7234521623934549E-2</v>
      </c>
      <c r="Q136" s="14">
        <f>+China!N139</f>
        <v>3.8539639392138489E-2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 x14ac:dyDescent="0.15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 x14ac:dyDescent="0.1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 x14ac:dyDescent="0.15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 x14ac:dyDescent="0.15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 x14ac:dyDescent="0.15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 x14ac:dyDescent="0.15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 x14ac:dyDescent="0.15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 x14ac:dyDescent="0.15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 x14ac:dyDescent="0.15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 x14ac:dyDescent="0.15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 x14ac:dyDescent="0.15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x14ac:dyDescent="0.15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 x14ac:dyDescent="0.15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20" x14ac:dyDescent="0.2">
      <c r="A153" s="269" t="s">
        <v>216</v>
      </c>
      <c r="B153" s="328" t="s">
        <v>1156</v>
      </c>
    </row>
    <row r="154" spans="1:26" s="204" customFormat="1" ht="18" x14ac:dyDescent="0.2">
      <c r="A154" s="204" t="s">
        <v>835</v>
      </c>
    </row>
    <row r="155" spans="1:26" s="204" customFormat="1" ht="18" x14ac:dyDescent="0.2">
      <c r="A155" s="204" t="s">
        <v>836</v>
      </c>
    </row>
    <row r="156" spans="1:26" s="204" customFormat="1" ht="18" x14ac:dyDescent="0.2">
      <c r="A156" s="204" t="s">
        <v>843</v>
      </c>
    </row>
    <row r="157" spans="1:26" s="204" customFormat="1" ht="18" x14ac:dyDescent="0.2">
      <c r="A157" s="204" t="s">
        <v>844</v>
      </c>
    </row>
    <row r="158" spans="1:26" s="204" customFormat="1" ht="18" x14ac:dyDescent="0.2"/>
    <row r="159" spans="1:26" s="204" customFormat="1" ht="18" x14ac:dyDescent="0.2"/>
    <row r="160" spans="1:26" s="204" customFormat="1" ht="18" x14ac:dyDescent="0.2">
      <c r="A160" s="204" t="s">
        <v>837</v>
      </c>
    </row>
    <row r="161" spans="1:19" s="204" customFormat="1" ht="18" x14ac:dyDescent="0.2">
      <c r="A161" s="204" t="s">
        <v>838</v>
      </c>
    </row>
    <row r="162" spans="1:19" s="204" customFormat="1" ht="18" x14ac:dyDescent="0.2"/>
    <row r="163" spans="1:19" s="204" customFormat="1" ht="18" x14ac:dyDescent="0.2">
      <c r="A163" s="204" t="s">
        <v>840</v>
      </c>
    </row>
    <row r="164" spans="1:19" s="204" customFormat="1" ht="17.25" customHeight="1" x14ac:dyDescent="0.2"/>
    <row r="165" spans="1:19" s="12" customFormat="1" ht="17.25" customHeight="1" x14ac:dyDescent="0.2">
      <c r="A165" s="272" t="s">
        <v>839</v>
      </c>
      <c r="B165" s="271"/>
      <c r="C165" s="271"/>
      <c r="D165" s="271"/>
      <c r="E165" s="271"/>
      <c r="F165" s="271"/>
      <c r="G165" s="271"/>
      <c r="H165" s="271"/>
    </row>
    <row r="166" spans="1:19" s="12" customFormat="1" ht="17.25" customHeight="1" x14ac:dyDescent="0.15"/>
    <row r="167" spans="1:19" s="12" customFormat="1" ht="17.25" customHeight="1" x14ac:dyDescent="0.15">
      <c r="P167" s="12" t="s">
        <v>279</v>
      </c>
    </row>
    <row r="168" spans="1:19" s="12" customFormat="1" ht="36" customHeight="1" x14ac:dyDescent="0.2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73" t="s">
        <v>848</v>
      </c>
      <c r="P168" s="12" t="s">
        <v>280</v>
      </c>
      <c r="Q168" s="273" t="s">
        <v>849</v>
      </c>
    </row>
    <row r="169" spans="1:19" s="12" customFormat="1" ht="17.25" customHeight="1" x14ac:dyDescent="0.15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800.80012447729951</v>
      </c>
      <c r="J169" s="12">
        <f>+US!B92</f>
        <v>-231.93049809679178</v>
      </c>
      <c r="K169" s="12">
        <v>3059.3304238157798</v>
      </c>
      <c r="L169" s="12">
        <f t="shared" ref="L169:L180" si="73">+J169-I169</f>
        <v>-1032.7306225740913</v>
      </c>
      <c r="M169" s="12">
        <f>-1*L169</f>
        <v>1032.7306225740913</v>
      </c>
      <c r="N169" s="12">
        <v>-69798.68656514358</v>
      </c>
      <c r="O169" s="271">
        <v>-3520.1323263817621</v>
      </c>
      <c r="P169" s="12">
        <f>+US!C52</f>
        <v>561.30449855124084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 x14ac:dyDescent="0.15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834.69728268321876</v>
      </c>
      <c r="J170" s="12">
        <f>+EU!B92</f>
        <v>188.15620041313286</v>
      </c>
      <c r="K170" s="12">
        <v>-1746.9413126931549</v>
      </c>
      <c r="L170" s="12">
        <f t="shared" si="73"/>
        <v>-646.54108227008589</v>
      </c>
      <c r="M170" s="12">
        <f>-1*L170</f>
        <v>646.54108227008589</v>
      </c>
      <c r="N170" s="12">
        <v>88.043169617412445</v>
      </c>
      <c r="O170" s="271">
        <v>-2063.1557315357941</v>
      </c>
      <c r="P170" s="12">
        <f>+EU!C52</f>
        <v>211.90533780594274</v>
      </c>
      <c r="Q170" s="12">
        <v>-1190.0914153813032</v>
      </c>
    </row>
    <row r="171" spans="1:19" s="12" customFormat="1" ht="17.25" customHeight="1" x14ac:dyDescent="0.15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186.50315950251689</v>
      </c>
      <c r="J171" s="12">
        <f>+Japan!B92</f>
        <v>93.630515987506442</v>
      </c>
      <c r="K171" s="12">
        <v>-492.10737207088806</v>
      </c>
      <c r="L171" s="12">
        <f t="shared" si="73"/>
        <v>-92.872643515010452</v>
      </c>
      <c r="M171" s="12">
        <f>-1*L171</f>
        <v>92.872643515010452</v>
      </c>
      <c r="N171" s="12">
        <v>114.48657013593773</v>
      </c>
      <c r="O171" s="271">
        <v>-554.97225490153255</v>
      </c>
      <c r="P171" s="12">
        <f>+Japan!C52</f>
        <v>34.895299154753957</v>
      </c>
      <c r="Q171" s="12">
        <v>-329.12911021178326</v>
      </c>
    </row>
    <row r="172" spans="1:19" s="12" customFormat="1" ht="17.25" customHeight="1" x14ac:dyDescent="0.15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156.4745446346798</v>
      </c>
      <c r="J172" s="12">
        <f>+Russia!B92</f>
        <v>38.946537218458417</v>
      </c>
      <c r="K172" s="12">
        <v>-77.156226921234364</v>
      </c>
      <c r="L172" s="12">
        <f t="shared" si="73"/>
        <v>-117.52800741622139</v>
      </c>
      <c r="M172" s="12">
        <f t="shared" ref="M172:M180" si="74">-1*L172</f>
        <v>117.52800741622139</v>
      </c>
      <c r="N172" s="12">
        <v>28.401823550013233</v>
      </c>
      <c r="O172" s="271">
        <v>-90.960117330759886</v>
      </c>
      <c r="P172" s="12">
        <f>+Russia!C52</f>
        <v>8.3853840803468529</v>
      </c>
      <c r="Q172" s="12">
        <v>-34.076238157336846</v>
      </c>
    </row>
    <row r="173" spans="1:19" s="12" customFormat="1" ht="17.25" customHeight="1" x14ac:dyDescent="0.15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110.78733286217597</v>
      </c>
      <c r="J173" s="12">
        <f>+Eurasia!B92</f>
        <v>18.225611713732338</v>
      </c>
      <c r="K173" s="12">
        <v>-28.722753742108722</v>
      </c>
      <c r="L173" s="12">
        <f t="shared" si="73"/>
        <v>-92.561721148443638</v>
      </c>
      <c r="M173" s="12">
        <f t="shared" si="74"/>
        <v>92.561721148443638</v>
      </c>
      <c r="N173" s="12">
        <v>10.695795967963004</v>
      </c>
      <c r="O173" s="271">
        <v>-10.465429163627888</v>
      </c>
      <c r="P173" s="12">
        <f>+Eurasia!C52</f>
        <v>-2.9639408375733005</v>
      </c>
      <c r="Q173" s="12">
        <v>6.4007131154632475</v>
      </c>
    </row>
    <row r="174" spans="1:19" s="12" customFormat="1" ht="17.25" customHeight="1" x14ac:dyDescent="0.15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55.170611554997151</v>
      </c>
      <c r="J174" s="12">
        <f>+China!B92</f>
        <v>-301.75778508203462</v>
      </c>
      <c r="K174" s="12">
        <v>-62.065950534498043</v>
      </c>
      <c r="L174" s="12">
        <f t="shared" si="73"/>
        <v>-356.92839663703177</v>
      </c>
      <c r="M174" s="12">
        <f t="shared" si="74"/>
        <v>356.92839663703177</v>
      </c>
      <c r="N174" s="12">
        <v>4.5238976291937805</v>
      </c>
      <c r="O174" s="271">
        <v>-49.388505744836294</v>
      </c>
      <c r="P174" s="12">
        <f>+China!C52</f>
        <v>-562.71891136064073</v>
      </c>
      <c r="Q174" s="12">
        <v>272.42355548616791</v>
      </c>
    </row>
    <row r="175" spans="1:19" s="12" customFormat="1" ht="17.25" customHeight="1" x14ac:dyDescent="0.15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95.617876063075542</v>
      </c>
      <c r="J175" s="12">
        <f>+India!B92</f>
        <v>-140.46252250812677</v>
      </c>
      <c r="K175" s="12">
        <v>21.152694275327036</v>
      </c>
      <c r="L175" s="12">
        <f t="shared" si="73"/>
        <v>-236.08039857120229</v>
      </c>
      <c r="M175" s="12">
        <f t="shared" si="74"/>
        <v>236.08039857120229</v>
      </c>
      <c r="N175" s="12">
        <v>2.0408144621848194</v>
      </c>
      <c r="O175" s="271">
        <v>28.62702664604187</v>
      </c>
      <c r="P175" s="12">
        <f>+India!C52</f>
        <v>-277.8354772935968</v>
      </c>
      <c r="Q175" s="12">
        <v>121.65263232935504</v>
      </c>
    </row>
    <row r="176" spans="1:19" s="12" customFormat="1" ht="17.25" customHeight="1" x14ac:dyDescent="0.15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159.44230661174564</v>
      </c>
      <c r="J176" s="12">
        <f>+MidEast!B92</f>
        <v>-442.1102303199998</v>
      </c>
      <c r="K176" s="12">
        <v>-223.64030937974243</v>
      </c>
      <c r="L176" s="12">
        <f t="shared" si="73"/>
        <v>-601.55253693174541</v>
      </c>
      <c r="M176" s="12">
        <f t="shared" si="74"/>
        <v>601.55253693174541</v>
      </c>
      <c r="N176" s="12">
        <v>23.403746005103933</v>
      </c>
      <c r="O176" s="271">
        <v>-256.71108634943255</v>
      </c>
      <c r="P176" s="12">
        <f>+MidEast!C52</f>
        <v>104.75794463237696</v>
      </c>
      <c r="Q176" s="12">
        <v>-79.157194445829305</v>
      </c>
    </row>
    <row r="177" spans="2:17" s="12" customFormat="1" ht="17.25" customHeight="1" x14ac:dyDescent="0.15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235.66765275425749</v>
      </c>
      <c r="J177" s="12">
        <f>+Africa!B92</f>
        <v>-62.442025399685605</v>
      </c>
      <c r="K177" s="12">
        <v>2.8535486881331877</v>
      </c>
      <c r="L177" s="12">
        <f t="shared" si="73"/>
        <v>-298.10967815394309</v>
      </c>
      <c r="M177" s="12">
        <f t="shared" si="74"/>
        <v>298.10967815394309</v>
      </c>
      <c r="N177" s="12">
        <v>2.2672007924216464</v>
      </c>
      <c r="O177" s="271">
        <v>28.239191448273704</v>
      </c>
      <c r="P177" s="12">
        <f>+Africa!C52</f>
        <v>-177.60365560609068</v>
      </c>
      <c r="Q177" s="12">
        <v>76.683017337879335</v>
      </c>
    </row>
    <row r="178" spans="2:17" s="12" customFormat="1" ht="17.25" customHeight="1" x14ac:dyDescent="0.15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285.33940053016727</v>
      </c>
      <c r="J178" s="12">
        <f>+LatAm!B92</f>
        <v>-90.679262589609834</v>
      </c>
      <c r="K178" s="12">
        <v>-241.04715786568926</v>
      </c>
      <c r="L178" s="12">
        <f t="shared" si="73"/>
        <v>-376.0186631197771</v>
      </c>
      <c r="M178" s="12">
        <f t="shared" si="74"/>
        <v>376.0186631197771</v>
      </c>
      <c r="N178" s="12">
        <v>15.65601684357971</v>
      </c>
      <c r="O178" s="271">
        <v>-238.92710235730627</v>
      </c>
      <c r="P178" s="12">
        <f>+LatAm!C52</f>
        <v>-7.6203204409341936</v>
      </c>
      <c r="Q178" s="12">
        <v>14.029636873577545</v>
      </c>
    </row>
    <row r="179" spans="2:17" s="12" customFormat="1" ht="17.25" customHeight="1" x14ac:dyDescent="0.15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146.68460624544534</v>
      </c>
      <c r="J179" s="12">
        <f>+OHI!B92</f>
        <v>-75.436929545315024</v>
      </c>
      <c r="K179" s="12">
        <v>-484.16632101448045</v>
      </c>
      <c r="L179" s="12">
        <f t="shared" si="73"/>
        <v>-222.12153579076036</v>
      </c>
      <c r="M179" s="12">
        <f t="shared" si="74"/>
        <v>222.12153579076036</v>
      </c>
      <c r="N179" s="12">
        <v>98.163150820083061</v>
      </c>
      <c r="O179" s="271">
        <v>-701.06316601939363</v>
      </c>
      <c r="P179" s="12">
        <f>+OHI!C52</f>
        <v>117.37336819226016</v>
      </c>
      <c r="Q179" s="12">
        <v>-401.95662608894492</v>
      </c>
    </row>
    <row r="180" spans="2:17" s="12" customFormat="1" ht="17.25" customHeight="1" x14ac:dyDescent="0.15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192.82223794524771</v>
      </c>
      <c r="J180" s="12">
        <f>+OthAsia!B92</f>
        <v>-105.35507389765225</v>
      </c>
      <c r="K180" s="12">
        <v>16.805207213905192</v>
      </c>
      <c r="L180" s="12">
        <f t="shared" si="73"/>
        <v>-298.17731184289994</v>
      </c>
      <c r="M180" s="12">
        <f t="shared" si="74"/>
        <v>298.17731184289994</v>
      </c>
      <c r="N180" s="12">
        <v>3.0994820821865425</v>
      </c>
      <c r="O180" s="271">
        <v>11.799546802511543</v>
      </c>
      <c r="P180" s="12">
        <f>+OthAsia!C52</f>
        <v>-185.03163095592424</v>
      </c>
      <c r="Q180" s="12">
        <v>126.98709766030743</v>
      </c>
    </row>
    <row r="181" spans="2:17" s="12" customFormat="1" ht="17.25" customHeight="1" x14ac:dyDescent="0.15">
      <c r="F181" s="12">
        <v>0</v>
      </c>
      <c r="I181" s="12">
        <f>SUM(I169:I180)</f>
        <v>3260.007135864827</v>
      </c>
      <c r="J181" s="12">
        <f>SUM(J169:J180)</f>
        <v>-1111.2154621063855</v>
      </c>
      <c r="O181" s="12">
        <v>0</v>
      </c>
    </row>
    <row r="182" spans="2:17" s="12" customFormat="1" ht="17.25" customHeight="1" x14ac:dyDescent="0.15"/>
    <row r="183" spans="2:17" s="12" customFormat="1" ht="17.25" customHeight="1" x14ac:dyDescent="0.15"/>
    <row r="184" spans="2:17" s="12" customFormat="1" ht="17.25" customHeight="1" x14ac:dyDescent="0.15">
      <c r="I184" s="12" t="s">
        <v>834</v>
      </c>
    </row>
    <row r="185" spans="2:17" ht="18" x14ac:dyDescent="0.2">
      <c r="I185" s="173" t="s">
        <v>244</v>
      </c>
      <c r="J185" s="154"/>
      <c r="K185" s="154"/>
      <c r="L185" s="154"/>
    </row>
    <row r="186" spans="2:17" ht="18" x14ac:dyDescent="0.2">
      <c r="I186" s="173" t="s">
        <v>281</v>
      </c>
      <c r="J186" s="154"/>
      <c r="K186" s="154"/>
      <c r="L186" s="154"/>
    </row>
    <row r="187" spans="2:17" ht="18" x14ac:dyDescent="0.2">
      <c r="I187" s="173" t="s">
        <v>283</v>
      </c>
      <c r="J187" s="154"/>
      <c r="K187" s="154"/>
      <c r="L187" s="154"/>
    </row>
    <row r="188" spans="2:17" ht="18" x14ac:dyDescent="0.2">
      <c r="I188" s="173" t="s">
        <v>282</v>
      </c>
      <c r="J188" s="154"/>
      <c r="K188" s="154"/>
      <c r="L188" s="154"/>
      <c r="O188" s="146"/>
    </row>
    <row r="189" spans="2:17" x14ac:dyDescent="0.15">
      <c r="O189" s="146"/>
    </row>
    <row r="190" spans="2:17" ht="18" x14ac:dyDescent="0.2">
      <c r="I190" s="173" t="s">
        <v>833</v>
      </c>
      <c r="J190" s="154"/>
      <c r="K190" s="154"/>
      <c r="L190" s="154"/>
      <c r="O190" s="146"/>
    </row>
    <row r="191" spans="2:17" x14ac:dyDescent="0.15">
      <c r="O191" s="146"/>
    </row>
    <row r="192" spans="2:17" x14ac:dyDescent="0.15">
      <c r="O192" s="146"/>
    </row>
    <row r="193" spans="1:61" ht="18" x14ac:dyDescent="0.2">
      <c r="A193" s="173" t="s">
        <v>841</v>
      </c>
      <c r="B193" s="154"/>
      <c r="C193" s="270"/>
      <c r="D193" s="154"/>
      <c r="E193" s="154"/>
      <c r="F193" s="154"/>
      <c r="G193" s="154"/>
      <c r="H193" s="154"/>
    </row>
    <row r="194" spans="1:61" x14ac:dyDescent="0.15">
      <c r="O194" s="146"/>
    </row>
    <row r="195" spans="1:61" ht="18" x14ac:dyDescent="0.2">
      <c r="A195" s="204" t="s">
        <v>842</v>
      </c>
      <c r="O195" s="146"/>
    </row>
    <row r="196" spans="1:61" ht="18" x14ac:dyDescent="0.2">
      <c r="A196" s="204"/>
      <c r="O196" s="146"/>
    </row>
    <row r="197" spans="1:61" s="154" customFormat="1" ht="18" x14ac:dyDescent="0.2">
      <c r="A197" s="173" t="s">
        <v>850</v>
      </c>
    </row>
    <row r="198" spans="1:61" s="154" customFormat="1" ht="18" x14ac:dyDescent="0.2">
      <c r="A198" s="173" t="s">
        <v>851</v>
      </c>
    </row>
    <row r="199" spans="1:61" ht="18" x14ac:dyDescent="0.2">
      <c r="A199" s="204"/>
      <c r="O199" s="146"/>
    </row>
    <row r="200" spans="1:61" x14ac:dyDescent="0.15">
      <c r="O200" s="146"/>
    </row>
    <row r="201" spans="1:61" s="274" customFormat="1" ht="14" x14ac:dyDescent="0.2">
      <c r="A201" s="274" t="s">
        <v>779</v>
      </c>
    </row>
    <row r="202" spans="1:61" s="277" customFormat="1" ht="18" customHeight="1" x14ac:dyDescent="0.2">
      <c r="A202" s="275"/>
      <c r="B202" s="276">
        <v>2005</v>
      </c>
      <c r="C202" s="277">
        <v>2015</v>
      </c>
      <c r="D202" s="277">
        <v>2025</v>
      </c>
      <c r="E202" s="277">
        <v>2035</v>
      </c>
      <c r="F202" s="277">
        <v>2045</v>
      </c>
      <c r="G202" s="277">
        <v>2055</v>
      </c>
      <c r="H202" s="277">
        <v>2065</v>
      </c>
      <c r="I202" s="277">
        <v>2075</v>
      </c>
      <c r="J202" s="277">
        <v>2085</v>
      </c>
      <c r="K202" s="277">
        <v>2095</v>
      </c>
      <c r="L202" s="277">
        <v>2105</v>
      </c>
      <c r="M202" s="277">
        <v>2115</v>
      </c>
      <c r="N202" s="277">
        <v>2125</v>
      </c>
      <c r="O202" s="277">
        <v>2135</v>
      </c>
      <c r="P202" s="277">
        <v>2145</v>
      </c>
      <c r="Q202" s="277">
        <v>2155</v>
      </c>
      <c r="R202" s="277">
        <v>2165</v>
      </c>
      <c r="S202" s="277">
        <v>2175</v>
      </c>
      <c r="T202" s="277">
        <v>2185</v>
      </c>
      <c r="U202" s="277">
        <v>2195</v>
      </c>
      <c r="V202" s="277">
        <v>2205</v>
      </c>
      <c r="W202" s="277">
        <v>2215</v>
      </c>
      <c r="X202" s="277">
        <v>2225</v>
      </c>
      <c r="Y202" s="277">
        <v>2235</v>
      </c>
      <c r="Z202" s="277">
        <v>2245</v>
      </c>
      <c r="AA202" s="277">
        <v>2255</v>
      </c>
      <c r="AB202" s="277">
        <v>2265</v>
      </c>
      <c r="AC202" s="277">
        <v>2275</v>
      </c>
      <c r="AD202" s="277">
        <v>2285</v>
      </c>
      <c r="AE202" s="277">
        <v>2295</v>
      </c>
      <c r="AF202" s="277">
        <v>2305</v>
      </c>
      <c r="AG202" s="277">
        <v>2315</v>
      </c>
      <c r="AH202" s="277">
        <v>2325</v>
      </c>
      <c r="AI202" s="277">
        <v>2335</v>
      </c>
      <c r="AJ202" s="277">
        <v>2345</v>
      </c>
      <c r="AK202" s="277">
        <v>2355</v>
      </c>
      <c r="AL202" s="277">
        <v>2365</v>
      </c>
      <c r="AM202" s="277">
        <v>2375</v>
      </c>
      <c r="AN202" s="277">
        <v>2385</v>
      </c>
      <c r="AO202" s="277">
        <v>2395</v>
      </c>
      <c r="AP202" s="277">
        <v>2405</v>
      </c>
      <c r="AQ202" s="277">
        <v>2415</v>
      </c>
      <c r="AR202" s="277">
        <v>2425</v>
      </c>
      <c r="AS202" s="277">
        <v>2435</v>
      </c>
      <c r="AT202" s="277">
        <v>2445</v>
      </c>
      <c r="AU202" s="277">
        <v>2455</v>
      </c>
      <c r="AV202" s="277">
        <v>2465</v>
      </c>
      <c r="AW202" s="277">
        <v>2475</v>
      </c>
      <c r="AX202" s="277">
        <v>2485</v>
      </c>
      <c r="AY202" s="277">
        <v>2495</v>
      </c>
      <c r="AZ202" s="277">
        <v>2505</v>
      </c>
      <c r="BA202" s="277">
        <v>2515</v>
      </c>
      <c r="BB202" s="277">
        <v>2525</v>
      </c>
      <c r="BC202" s="277">
        <v>2535</v>
      </c>
      <c r="BD202" s="277">
        <v>2545</v>
      </c>
      <c r="BE202" s="277">
        <v>2555</v>
      </c>
      <c r="BF202" s="277">
        <v>2565</v>
      </c>
      <c r="BG202" s="277">
        <v>2575</v>
      </c>
      <c r="BH202" s="277">
        <v>2585</v>
      </c>
      <c r="BI202" s="277">
        <v>2595</v>
      </c>
    </row>
    <row r="203" spans="1:61" s="274" customFormat="1" ht="14" x14ac:dyDescent="0.2"/>
    <row r="204" spans="1:61" s="278" customFormat="1" ht="15" x14ac:dyDescent="0.2">
      <c r="A204" s="278" t="s">
        <v>104</v>
      </c>
      <c r="B204" s="279">
        <f>+US!B88</f>
        <v>27.923692977223421</v>
      </c>
      <c r="C204" s="279">
        <f>+US!C88</f>
        <v>24.610547967944818</v>
      </c>
      <c r="D204" s="279">
        <f>+US!D88</f>
        <v>23.715871722392777</v>
      </c>
      <c r="E204" s="279">
        <f>+US!E88</f>
        <v>23.067167474522776</v>
      </c>
      <c r="F204" s="279">
        <f>+US!F88</f>
        <v>23.019046505443633</v>
      </c>
      <c r="G204" s="279">
        <f>+US!G88</f>
        <v>23.049079482189875</v>
      </c>
      <c r="H204" s="279">
        <f>+US!H88</f>
        <v>23.536259210396992</v>
      </c>
      <c r="I204" s="279">
        <f>+US!I88</f>
        <v>24.173676822534713</v>
      </c>
      <c r="J204" s="279">
        <f>+US!J88</f>
        <v>24.825340681266105</v>
      </c>
      <c r="K204" s="279">
        <f>+US!K88</f>
        <v>25.614766599544144</v>
      </c>
      <c r="L204" s="279">
        <f>+US!L88</f>
        <v>26.388624512648047</v>
      </c>
      <c r="M204" s="279">
        <f>+US!M88</f>
        <v>25.992475306888569</v>
      </c>
      <c r="N204" s="279">
        <f>+US!N88</f>
        <v>26.235955890620108</v>
      </c>
      <c r="O204" s="279">
        <f>+US!O88</f>
        <v>26.775307077968765</v>
      </c>
      <c r="P204" s="279">
        <f>+US!P88</f>
        <v>27.611773687885268</v>
      </c>
      <c r="Q204" s="279">
        <f>+US!Q88</f>
        <v>28.357220007192289</v>
      </c>
      <c r="R204" s="279">
        <f>+US!R88</f>
        <v>28.937872255289136</v>
      </c>
      <c r="S204" s="279">
        <f>+US!S88</f>
        <v>29.30469313635524</v>
      </c>
      <c r="T204" s="279">
        <f>+US!T88</f>
        <v>29.136943386032748</v>
      </c>
      <c r="U204" s="279">
        <f>+US!U88</f>
        <v>28.166657134695363</v>
      </c>
      <c r="V204" s="279">
        <f>+US!V88</f>
        <v>28.750490523388518</v>
      </c>
      <c r="W204" s="279">
        <f>+US!W88</f>
        <v>29.064947589389519</v>
      </c>
      <c r="X204" s="279">
        <f>+US!X88</f>
        <v>29.582705425474828</v>
      </c>
      <c r="Y204" s="279">
        <f>+US!Y88</f>
        <v>29.981141539762689</v>
      </c>
      <c r="Z204" s="279">
        <f>+US!Z88</f>
        <v>30.515302422088009</v>
      </c>
      <c r="AA204" s="279">
        <f>+US!AA88</f>
        <v>31.175816320434848</v>
      </c>
      <c r="AB204" s="279">
        <f>+US!AB88</f>
        <v>31.464653913839477</v>
      </c>
      <c r="AC204" s="279">
        <f>+US!AC88</f>
        <v>32.030777729428408</v>
      </c>
      <c r="AD204" s="279">
        <f>+US!AD88</f>
        <v>32.828203685987553</v>
      </c>
      <c r="AE204" s="279">
        <f>+US!AE88</f>
        <v>33.410061348147742</v>
      </c>
      <c r="AF204" s="279">
        <f>+US!AF88</f>
        <v>32.407133839910806</v>
      </c>
      <c r="AG204" s="279">
        <f>+US!AG88</f>
        <v>34.355401046950448</v>
      </c>
      <c r="AH204" s="279">
        <f>+US!AH88</f>
        <v>35.018196083834859</v>
      </c>
      <c r="AI204" s="279">
        <f>+US!AI88</f>
        <v>0</v>
      </c>
      <c r="AJ204" s="279">
        <f>+US!AJ88</f>
        <v>0</v>
      </c>
      <c r="AK204" s="279">
        <f>+US!AK88</f>
        <v>0</v>
      </c>
      <c r="AL204" s="279">
        <f>+US!AL88</f>
        <v>0</v>
      </c>
      <c r="AM204" s="279">
        <f>+US!AM88</f>
        <v>0</v>
      </c>
      <c r="AN204" s="279">
        <f>+US!AN88</f>
        <v>0</v>
      </c>
      <c r="AO204" s="279">
        <f>+US!AO88</f>
        <v>0</v>
      </c>
      <c r="AP204" s="279">
        <f>+US!AP88</f>
        <v>0</v>
      </c>
      <c r="AQ204" s="279">
        <f>+US!AQ88</f>
        <v>0</v>
      </c>
      <c r="AR204" s="279">
        <f>+US!AR88</f>
        <v>0</v>
      </c>
      <c r="AS204" s="279">
        <f>+US!AS88</f>
        <v>0</v>
      </c>
      <c r="AT204" s="279">
        <f>+US!AT88</f>
        <v>0</v>
      </c>
      <c r="AU204" s="279">
        <f>+US!AU88</f>
        <v>0</v>
      </c>
      <c r="AV204" s="279">
        <f>+US!AV88</f>
        <v>0</v>
      </c>
      <c r="AW204" s="279">
        <f>+US!AW88</f>
        <v>0</v>
      </c>
      <c r="AX204" s="279">
        <f>+US!AX88</f>
        <v>0</v>
      </c>
      <c r="AY204" s="279">
        <f>+US!AY88</f>
        <v>0</v>
      </c>
      <c r="AZ204" s="279">
        <f>+US!AZ88</f>
        <v>0</v>
      </c>
      <c r="BA204" s="279">
        <f>+US!BA88</f>
        <v>0</v>
      </c>
      <c r="BB204" s="279">
        <f>+US!BB88</f>
        <v>0</v>
      </c>
      <c r="BC204" s="279">
        <f>+US!BC88</f>
        <v>0</v>
      </c>
      <c r="BD204" s="279">
        <f>+US!BD88</f>
        <v>0</v>
      </c>
      <c r="BE204" s="279">
        <f>+US!BE88</f>
        <v>0</v>
      </c>
      <c r="BF204" s="279">
        <f>+US!BF88</f>
        <v>0</v>
      </c>
      <c r="BG204" s="279">
        <f>+US!BG88</f>
        <v>0</v>
      </c>
      <c r="BH204" s="279">
        <f>+US!BH88</f>
        <v>0</v>
      </c>
      <c r="BI204" s="279">
        <f>+US!BI88</f>
        <v>0</v>
      </c>
    </row>
    <row r="205" spans="1:61" s="278" customFormat="1" ht="15" x14ac:dyDescent="0.2">
      <c r="A205" s="278" t="s">
        <v>105</v>
      </c>
      <c r="B205" s="279">
        <f>+EU!B88</f>
        <v>23.801359962825604</v>
      </c>
      <c r="C205" s="279">
        <f>+EU!C88</f>
        <v>22.658822833527019</v>
      </c>
      <c r="D205" s="279">
        <f>+EU!D88</f>
        <v>22.619430055521214</v>
      </c>
      <c r="E205" s="279">
        <f>+EU!E88</f>
        <v>22.506568527047694</v>
      </c>
      <c r="F205" s="279">
        <f>+EU!F88</f>
        <v>23.078064501017305</v>
      </c>
      <c r="G205" s="279">
        <f>+EU!G88</f>
        <v>24.112643346327161</v>
      </c>
      <c r="H205" s="279">
        <f>+EU!H88</f>
        <v>25.207283587850092</v>
      </c>
      <c r="I205" s="279">
        <f>+EU!I88</f>
        <v>26.603753136633589</v>
      </c>
      <c r="J205" s="279">
        <f>+EU!J88</f>
        <v>27.991600883161823</v>
      </c>
      <c r="K205" s="279">
        <f>+EU!K88</f>
        <v>29.190236633315081</v>
      </c>
      <c r="L205" s="279">
        <f>+EU!L88</f>
        <v>30.465773495424109</v>
      </c>
      <c r="M205" s="279">
        <f>+EU!M88</f>
        <v>30.476212254813635</v>
      </c>
      <c r="N205" s="279">
        <f>+EU!N88</f>
        <v>30.752450691304759</v>
      </c>
      <c r="O205" s="279">
        <f>+EU!O88</f>
        <v>31.054119325342164</v>
      </c>
      <c r="P205" s="279">
        <f>+EU!P88</f>
        <v>31.826633597559052</v>
      </c>
      <c r="Q205" s="279">
        <f>+EU!Q88</f>
        <v>32.443444682540196</v>
      </c>
      <c r="R205" s="279">
        <f>+EU!R88</f>
        <v>33.439408894697685</v>
      </c>
      <c r="S205" s="279">
        <f>+EU!S88</f>
        <v>34.345598885924154</v>
      </c>
      <c r="T205" s="279">
        <f>+EU!T88</f>
        <v>34.393591210324843</v>
      </c>
      <c r="U205" s="279">
        <f>+EU!U88</f>
        <v>32.805537071985476</v>
      </c>
      <c r="V205" s="279">
        <f>+EU!V88</f>
        <v>33.483824899976696</v>
      </c>
      <c r="W205" s="279">
        <f>+EU!W88</f>
        <v>34.05918607409145</v>
      </c>
      <c r="X205" s="279">
        <f>+EU!X88</f>
        <v>33.83008537994548</v>
      </c>
      <c r="Y205" s="279">
        <f>+EU!Y88</f>
        <v>33.8951396991651</v>
      </c>
      <c r="Z205" s="279">
        <f>+EU!Z88</f>
        <v>34.384092840142507</v>
      </c>
      <c r="AA205" s="279">
        <f>+EU!AA88</f>
        <v>35.041744116510579</v>
      </c>
      <c r="AB205" s="279">
        <f>+EU!AB88</f>
        <v>35.428144098535874</v>
      </c>
      <c r="AC205" s="279">
        <f>+EU!AC88</f>
        <v>36.337559526349345</v>
      </c>
      <c r="AD205" s="279">
        <f>+EU!AD88</f>
        <v>36.876881267505148</v>
      </c>
      <c r="AE205" s="279">
        <f>+EU!AE88</f>
        <v>37.242677990326818</v>
      </c>
      <c r="AF205" s="279">
        <f>+EU!AF88</f>
        <v>35.075385895263665</v>
      </c>
      <c r="AG205" s="279">
        <f>+EU!AG88</f>
        <v>37.485918038927593</v>
      </c>
      <c r="AH205" s="279">
        <f>+EU!AH88</f>
        <v>38.902303517646786</v>
      </c>
      <c r="AI205" s="279">
        <f>+EU!AI88</f>
        <v>185.71374292273984</v>
      </c>
      <c r="AJ205" s="279">
        <f>+EU!AJ88</f>
        <v>277.83270067546135</v>
      </c>
      <c r="AK205" s="279">
        <f>+EU!AK88</f>
        <v>333.866452175125</v>
      </c>
      <c r="AL205" s="279">
        <f>+EU!AL88</f>
        <v>370.85469781535619</v>
      </c>
      <c r="AM205" s="279">
        <f>+EU!AM88</f>
        <v>398.02092622134001</v>
      </c>
      <c r="AN205" s="279">
        <f>+EU!AN88</f>
        <v>420.10944450943168</v>
      </c>
      <c r="AO205" s="279">
        <f>+EU!AO88</f>
        <v>439.6314766416595</v>
      </c>
      <c r="AP205" s="279">
        <f>+EU!AP88</f>
        <v>457.94907492079631</v>
      </c>
      <c r="AQ205" s="279">
        <f>+EU!AQ88</f>
        <v>475.81444586061713</v>
      </c>
      <c r="AR205" s="279">
        <f>+EU!AR88</f>
        <v>493.6500240643141</v>
      </c>
      <c r="AS205" s="279">
        <f>+EU!AS88</f>
        <v>511.69809958477941</v>
      </c>
      <c r="AT205" s="279">
        <f>+EU!AT88</f>
        <v>530.10208177697734</v>
      </c>
      <c r="AU205" s="279">
        <f>+EU!AU88</f>
        <v>548.95103806153793</v>
      </c>
      <c r="AV205" s="279">
        <f>+EU!AV88</f>
        <v>568.30422646430577</v>
      </c>
      <c r="AW205" s="279">
        <f>+EU!AW88</f>
        <v>588.20464693240024</v>
      </c>
      <c r="AX205" s="279">
        <f>+EU!AX88</f>
        <v>608.68654125354772</v>
      </c>
      <c r="AY205" s="279">
        <f>+EU!AY88</f>
        <v>629.77955163717058</v>
      </c>
      <c r="AZ205" s="279">
        <f>+EU!AZ88</f>
        <v>651.51103269171426</v>
      </c>
      <c r="BA205" s="279">
        <f>+EU!BA88</f>
        <v>673.90734258561804</v>
      </c>
      <c r="BB205" s="279">
        <f>+EU!BB88</f>
        <v>696.99456996005767</v>
      </c>
      <c r="BC205" s="279">
        <f>+EU!BC88</f>
        <v>720.79894909942436</v>
      </c>
      <c r="BD205" s="279">
        <f>+EU!BD88</f>
        <v>745.34710301570055</v>
      </c>
      <c r="BE205" s="279">
        <f>+EU!BE88</f>
        <v>770.86739418393392</v>
      </c>
      <c r="BF205" s="279">
        <f>+EU!BF88</f>
        <v>797.12625345868082</v>
      </c>
      <c r="BG205" s="279">
        <f>+EU!BG88</f>
        <v>824.16308693916926</v>
      </c>
      <c r="BH205" s="279">
        <f>+EU!BH88</f>
        <v>852.02132771120216</v>
      </c>
      <c r="BI205" s="279">
        <f>+EU!BI88</f>
        <v>852.02132771120216</v>
      </c>
    </row>
    <row r="206" spans="1:61" s="278" customFormat="1" ht="15" x14ac:dyDescent="0.2">
      <c r="A206" s="278" t="s">
        <v>51</v>
      </c>
      <c r="B206" s="279">
        <f>+Japan!B88</f>
        <v>26.916943776904922</v>
      </c>
      <c r="C206" s="279">
        <f>+Japan!C88</f>
        <v>27.267960577501395</v>
      </c>
      <c r="D206" s="279">
        <f>+Japan!D88</f>
        <v>28.824568115031013</v>
      </c>
      <c r="E206" s="279">
        <f>+Japan!E88</f>
        <v>30.740415536618606</v>
      </c>
      <c r="F206" s="279">
        <f>+Japan!F88</f>
        <v>32.974302971871879</v>
      </c>
      <c r="G206" s="279">
        <f>+Japan!G88</f>
        <v>35.557965569481368</v>
      </c>
      <c r="H206" s="279">
        <f>+Japan!H88</f>
        <v>38.091478050850128</v>
      </c>
      <c r="I206" s="279">
        <f>+Japan!I88</f>
        <v>39.923095442805149</v>
      </c>
      <c r="J206" s="279">
        <f>+Japan!J88</f>
        <v>40.891738705777598</v>
      </c>
      <c r="K206" s="279">
        <f>+Japan!K88</f>
        <v>41.960725889369648</v>
      </c>
      <c r="L206" s="279">
        <f>+Japan!L88</f>
        <v>43.471588016293808</v>
      </c>
      <c r="M206" s="279">
        <f>+Japan!M88</f>
        <v>42.695600516054931</v>
      </c>
      <c r="N206" s="279">
        <f>+Japan!N88</f>
        <v>42.485341918151647</v>
      </c>
      <c r="O206" s="279">
        <f>+Japan!O88</f>
        <v>42.920084369208226</v>
      </c>
      <c r="P206" s="279">
        <f>+Japan!P88</f>
        <v>43.646703629698322</v>
      </c>
      <c r="Q206" s="279">
        <f>+Japan!Q88</f>
        <v>44.191334792916933</v>
      </c>
      <c r="R206" s="279">
        <f>+Japan!R88</f>
        <v>44.574553717304298</v>
      </c>
      <c r="S206" s="279">
        <f>+Japan!S88</f>
        <v>45.003935094103703</v>
      </c>
      <c r="T206" s="279">
        <f>+Japan!T88</f>
        <v>44.242460086179037</v>
      </c>
      <c r="U206" s="279">
        <f>+Japan!U88</f>
        <v>41.499525018229868</v>
      </c>
      <c r="V206" s="279">
        <f>+Japan!V88</f>
        <v>42.948359714934412</v>
      </c>
      <c r="W206" s="279">
        <f>+Japan!W88</f>
        <v>42.707185844375516</v>
      </c>
      <c r="X206" s="279">
        <f>+Japan!X88</f>
        <v>43.021985665067454</v>
      </c>
      <c r="Y206" s="279">
        <f>+Japan!Y88</f>
        <v>43.609571988632325</v>
      </c>
      <c r="Z206" s="279">
        <f>+Japan!Z88</f>
        <v>43.460199084221557</v>
      </c>
      <c r="AA206" s="279">
        <f>+Japan!AA88</f>
        <v>43.840998589016579</v>
      </c>
      <c r="AB206" s="279">
        <f>+Japan!AB88</f>
        <v>43.75559525502279</v>
      </c>
      <c r="AC206" s="279">
        <f>+Japan!AC88</f>
        <v>44.238015168826749</v>
      </c>
      <c r="AD206" s="279">
        <f>+Japan!AD88</f>
        <v>44.266718738178426</v>
      </c>
      <c r="AE206" s="279">
        <f>+Japan!AE88</f>
        <v>43.801317082828263</v>
      </c>
      <c r="AF206" s="279">
        <f>+Japan!AF88</f>
        <v>41.855227316192732</v>
      </c>
      <c r="AG206" s="279">
        <f>+Japan!AG88</f>
        <v>42.958110707833455</v>
      </c>
      <c r="AH206" s="279">
        <f>+Japan!AH88</f>
        <v>43.365720616581925</v>
      </c>
      <c r="AI206" s="279">
        <f>+Japan!AI88</f>
        <v>190.49104298962686</v>
      </c>
      <c r="AJ206" s="279">
        <f>+Japan!AJ88</f>
        <v>278.75736418358258</v>
      </c>
      <c r="AK206" s="279">
        <f>+Japan!AK88</f>
        <v>332.80012941996131</v>
      </c>
      <c r="AL206" s="279">
        <f>+Japan!AL88</f>
        <v>368.77130822612867</v>
      </c>
      <c r="AM206" s="279">
        <f>+Japan!AM88</f>
        <v>395.37478388235809</v>
      </c>
      <c r="AN206" s="279">
        <f>+Japan!AN88</f>
        <v>417.12362830194172</v>
      </c>
      <c r="AO206" s="279">
        <f>+Japan!AO88</f>
        <v>436.42078368797081</v>
      </c>
      <c r="AP206" s="279">
        <f>+Japan!AP88</f>
        <v>454.57550445534929</v>
      </c>
      <c r="AQ206" s="279">
        <f>+Japan!AQ88</f>
        <v>472.31373081540232</v>
      </c>
      <c r="AR206" s="279">
        <f>+Japan!AR88</f>
        <v>490.04478148688895</v>
      </c>
      <c r="AS206" s="279">
        <f>+Japan!AS88</f>
        <v>508.00447518674872</v>
      </c>
      <c r="AT206" s="279">
        <f>+Japan!AT88</f>
        <v>526.33314008801426</v>
      </c>
      <c r="AU206" s="279">
        <f>+Japan!AU88</f>
        <v>545.11850281638476</v>
      </c>
      <c r="AV206" s="279">
        <f>+Japan!AV88</f>
        <v>564.41938152754994</v>
      </c>
      <c r="AW206" s="279">
        <f>+Japan!AW88</f>
        <v>584.2788111999746</v>
      </c>
      <c r="AX206" s="279">
        <f>+Japan!AX88</f>
        <v>604.73132903001715</v>
      </c>
      <c r="AY206" s="279">
        <f>+Japan!AY88</f>
        <v>625.80702644980283</v>
      </c>
      <c r="AZ206" s="279">
        <f>+Japan!AZ88</f>
        <v>647.53380935880114</v>
      </c>
      <c r="BA206" s="279">
        <f>+Japan!BA88</f>
        <v>669.93866516236164</v>
      </c>
      <c r="BB206" s="279">
        <f>+Japan!BB88</f>
        <v>693.0483793535517</v>
      </c>
      <c r="BC206" s="279">
        <f>+Japan!BC88</f>
        <v>716.88994716984712</v>
      </c>
      <c r="BD206" s="279">
        <f>+Japan!BD88</f>
        <v>741.49081650482822</v>
      </c>
      <c r="BE206" s="279">
        <f>+Japan!BE88</f>
        <v>767.09214522245202</v>
      </c>
      <c r="BF206" s="279">
        <f>+Japan!BF88</f>
        <v>793.44586293299074</v>
      </c>
      <c r="BG206" s="279">
        <f>+Japan!BG88</f>
        <v>820.59326240062796</v>
      </c>
      <c r="BH206" s="279">
        <f>+Japan!BH88</f>
        <v>848.57956253632733</v>
      </c>
      <c r="BI206" s="279">
        <f>+Japan!BI88</f>
        <v>848.57956253632733</v>
      </c>
    </row>
    <row r="207" spans="1:61" s="278" customFormat="1" ht="15" x14ac:dyDescent="0.2">
      <c r="A207" s="278" t="s">
        <v>52</v>
      </c>
      <c r="B207" s="279">
        <f>+Russia!B88</f>
        <v>17.950205316640236</v>
      </c>
      <c r="C207" s="279">
        <f>+Russia!C88</f>
        <v>17.733109941745358</v>
      </c>
      <c r="D207" s="279">
        <f>+Russia!D88</f>
        <v>15.881729265296949</v>
      </c>
      <c r="E207" s="279">
        <f>+Russia!E88</f>
        <v>15.301666669637051</v>
      </c>
      <c r="F207" s="279">
        <f>+Russia!F88</f>
        <v>14.043373904035676</v>
      </c>
      <c r="G207" s="279">
        <f>+Russia!G88</f>
        <v>14.111816342134203</v>
      </c>
      <c r="H207" s="279">
        <f>+Russia!H88</f>
        <v>14.248461777599355</v>
      </c>
      <c r="I207" s="279">
        <f>+Russia!I88</f>
        <v>15.146225085894276</v>
      </c>
      <c r="J207" s="279">
        <f>+Russia!J88</f>
        <v>15.029074626071216</v>
      </c>
      <c r="K207" s="279">
        <f>+Russia!K88</f>
        <v>16.585799830512883</v>
      </c>
      <c r="L207" s="279">
        <f>+Russia!L88</f>
        <v>18.395835060442483</v>
      </c>
      <c r="M207" s="279">
        <f>+Russia!M88</f>
        <v>18.923762723078724</v>
      </c>
      <c r="N207" s="279">
        <f>+Russia!N88</f>
        <v>19.638204975111286</v>
      </c>
      <c r="O207" s="279">
        <f>+Russia!O88</f>
        <v>20.890211882680564</v>
      </c>
      <c r="P207" s="279">
        <f>+Russia!P88</f>
        <v>22.204754933436739</v>
      </c>
      <c r="Q207" s="279">
        <f>+Russia!Q88</f>
        <v>23.415214811390335</v>
      </c>
      <c r="R207" s="279">
        <f>+Russia!R88</f>
        <v>25.118044236107629</v>
      </c>
      <c r="S207" s="279">
        <f>+Russia!S88</f>
        <v>27.016517974897038</v>
      </c>
      <c r="T207" s="279">
        <f>+Russia!T88</f>
        <v>28.182638236217997</v>
      </c>
      <c r="U207" s="279">
        <f>+Russia!U88</f>
        <v>25.754301264873799</v>
      </c>
      <c r="V207" s="279">
        <f>+Russia!V88</f>
        <v>26.719054383799861</v>
      </c>
      <c r="W207" s="279">
        <f>+Russia!W88</f>
        <v>27.721655303042436</v>
      </c>
      <c r="X207" s="279">
        <f>+Russia!X88</f>
        <v>28.676613852453208</v>
      </c>
      <c r="Y207" s="279">
        <f>+Russia!Y88</f>
        <v>29.018042567773115</v>
      </c>
      <c r="Z207" s="279">
        <f>+Russia!Z88</f>
        <v>29.067381063709341</v>
      </c>
      <c r="AA207" s="279">
        <f>+Russia!AA88</f>
        <v>28.326247438727989</v>
      </c>
      <c r="AB207" s="279">
        <f>+Russia!AB88</f>
        <v>28.141087577986593</v>
      </c>
      <c r="AC207" s="279">
        <f>+Russia!AC88</f>
        <v>28.510172550332783</v>
      </c>
      <c r="AD207" s="279">
        <f>+Russia!AD88</f>
        <v>29.159988252947038</v>
      </c>
      <c r="AE207" s="279">
        <f>+Russia!AE88</f>
        <v>29.631386965836608</v>
      </c>
      <c r="AF207" s="279">
        <f>+Russia!AF88</f>
        <v>28.767257082210598</v>
      </c>
      <c r="AG207" s="279">
        <f>+Russia!AG88</f>
        <v>30.3996086836815</v>
      </c>
      <c r="AH207" s="279">
        <f>+Russia!AH88</f>
        <v>29.770678750015076</v>
      </c>
      <c r="AI207" s="279">
        <f>+Russia!AI88</f>
        <v>133.648604752815</v>
      </c>
      <c r="AJ207" s="279">
        <f>+Russia!AJ88</f>
        <v>196.50203890594571</v>
      </c>
      <c r="AK207" s="279">
        <f>+Russia!AK88</f>
        <v>235.19678418895495</v>
      </c>
      <c r="AL207" s="279">
        <f>+Russia!AL88</f>
        <v>261.06762023811564</v>
      </c>
      <c r="AM207" s="279">
        <f>+Russia!AM88</f>
        <v>280.2769416632832</v>
      </c>
      <c r="AN207" s="279">
        <f>+Russia!AN88</f>
        <v>296.02597671855307</v>
      </c>
      <c r="AO207" s="279">
        <f>+Russia!AO88</f>
        <v>310.02152524175472</v>
      </c>
      <c r="AP207" s="279">
        <f>+Russia!AP88</f>
        <v>323.19483438315694</v>
      </c>
      <c r="AQ207" s="279">
        <f>+Russia!AQ88</f>
        <v>336.06305788912113</v>
      </c>
      <c r="AR207" s="279">
        <f>+Russia!AR88</f>
        <v>348.91834533781133</v>
      </c>
      <c r="AS207" s="279">
        <f>+Russia!AS88</f>
        <v>361.92942511823736</v>
      </c>
      <c r="AT207" s="279">
        <f>+Russia!AT88</f>
        <v>375.19702935560917</v>
      </c>
      <c r="AU207" s="279">
        <f>+Russia!AU88</f>
        <v>388.78439550161283</v>
      </c>
      <c r="AV207" s="279">
        <f>+Russia!AV88</f>
        <v>402.7341315440047</v>
      </c>
      <c r="AW207" s="279">
        <f>+Russia!AW88</f>
        <v>417.07756681962064</v>
      </c>
      <c r="AX207" s="279">
        <f>+Russia!AX88</f>
        <v>431.83994653611217</v>
      </c>
      <c r="AY207" s="279">
        <f>+Russia!AY88</f>
        <v>447.04332318089439</v>
      </c>
      <c r="AZ207" s="279">
        <f>+Russia!AZ88</f>
        <v>462.70817070384021</v>
      </c>
      <c r="BA207" s="279">
        <f>+Russia!BA88</f>
        <v>478.85429026646369</v>
      </c>
      <c r="BB207" s="279">
        <f>+Russia!BB88</f>
        <v>495.50132314001695</v>
      </c>
      <c r="BC207" s="279">
        <f>+Russia!BC88</f>
        <v>512.66904589016485</v>
      </c>
      <c r="BD207" s="279">
        <f>+Russia!BD88</f>
        <v>530.37754504495911</v>
      </c>
      <c r="BE207" s="279">
        <f>+Russia!BE88</f>
        <v>548.7923737301777</v>
      </c>
      <c r="BF207" s="279">
        <f>+Russia!BF88</f>
        <v>567.74615599328115</v>
      </c>
      <c r="BG207" s="279">
        <f>+Russia!BG88</f>
        <v>587.26842697691006</v>
      </c>
      <c r="BH207" s="279">
        <f>+Russia!BH88</f>
        <v>607.39139840127791</v>
      </c>
      <c r="BI207" s="279">
        <f>+Russia!BI88</f>
        <v>607.39139840127791</v>
      </c>
    </row>
    <row r="208" spans="1:61" s="278" customFormat="1" ht="15" x14ac:dyDescent="0.2">
      <c r="A208" s="278" t="s">
        <v>53</v>
      </c>
      <c r="B208" s="279">
        <f>+Eurasia!B88</f>
        <v>9.7669497340305487</v>
      </c>
      <c r="C208" s="279">
        <f>+Eurasia!C88</f>
        <v>8.4370421201988162</v>
      </c>
      <c r="D208" s="279">
        <f>+Eurasia!D88</f>
        <v>7.5192469248975176</v>
      </c>
      <c r="E208" s="279">
        <f>+Eurasia!E88</f>
        <v>6.910772983072337</v>
      </c>
      <c r="F208" s="279">
        <f>+Eurasia!F88</f>
        <v>6.1989369415616187</v>
      </c>
      <c r="G208" s="279">
        <f>+Eurasia!G88</f>
        <v>7.4857553353078385</v>
      </c>
      <c r="H208" s="279">
        <f>+Eurasia!H88</f>
        <v>7.7520077865074724</v>
      </c>
      <c r="I208" s="279">
        <f>+Eurasia!I88</f>
        <v>8.0493485289163349</v>
      </c>
      <c r="J208" s="279">
        <f>+Eurasia!J88</f>
        <v>8.416329784867937</v>
      </c>
      <c r="K208" s="279">
        <f>+Eurasia!K88</f>
        <v>8.6675241261839862</v>
      </c>
      <c r="L208" s="279">
        <f>+Eurasia!L88</f>
        <v>9.2114624735838113</v>
      </c>
      <c r="M208" s="279">
        <f>+Eurasia!M88</f>
        <v>9.7495008949767126</v>
      </c>
      <c r="N208" s="279">
        <f>+Eurasia!N88</f>
        <v>10.327098717425534</v>
      </c>
      <c r="O208" s="279">
        <f>+Eurasia!O88</f>
        <v>11.016517080452235</v>
      </c>
      <c r="P208" s="279">
        <f>+Eurasia!P88</f>
        <v>12.027596247304993</v>
      </c>
      <c r="Q208" s="279">
        <f>+Eurasia!Q88</f>
        <v>12.789341501811695</v>
      </c>
      <c r="R208" s="279">
        <f>+Eurasia!R88</f>
        <v>13.899168061342493</v>
      </c>
      <c r="S208" s="279">
        <f>+Eurasia!S88</f>
        <v>15.092443171928805</v>
      </c>
      <c r="T208" s="279">
        <f>+Eurasia!T88</f>
        <v>15.885505868559621</v>
      </c>
      <c r="U208" s="279">
        <f>+Eurasia!U88</f>
        <v>14.996130214644186</v>
      </c>
      <c r="V208" s="279">
        <f>+Eurasia!V88</f>
        <v>15.369872971309036</v>
      </c>
      <c r="W208" s="279">
        <f>+Eurasia!W88</f>
        <v>16.023343369035565</v>
      </c>
      <c r="X208" s="279">
        <f>+Eurasia!X88</f>
        <v>16.274493224174609</v>
      </c>
      <c r="Y208" s="279">
        <f>+Eurasia!Y88</f>
        <v>16.585028321133517</v>
      </c>
      <c r="Z208" s="279">
        <f>+Eurasia!Z88</f>
        <v>16.587103123803015</v>
      </c>
      <c r="AA208" s="279">
        <f>+Eurasia!AA88</f>
        <v>16.515415716418108</v>
      </c>
      <c r="AB208" s="279">
        <f>+Eurasia!AB88</f>
        <v>16.769686270959898</v>
      </c>
      <c r="AC208" s="279">
        <f>+Eurasia!AC88</f>
        <v>17.387576221353026</v>
      </c>
      <c r="AD208" s="279">
        <f>+Eurasia!AD88</f>
        <v>18.041294500995505</v>
      </c>
      <c r="AE208" s="279">
        <f>+Eurasia!AE88</f>
        <v>18.639930257576829</v>
      </c>
      <c r="AF208" s="279">
        <f>+Eurasia!AF88</f>
        <v>18.025678517558227</v>
      </c>
      <c r="AG208" s="279">
        <f>+Eurasia!AG88</f>
        <v>19.102379431659511</v>
      </c>
      <c r="AH208" s="279">
        <f>+Eurasia!AH88</f>
        <v>18.799859384059534</v>
      </c>
      <c r="AI208" s="279">
        <f>+Eurasia!AI88</f>
        <v>113.41734775244623</v>
      </c>
      <c r="AJ208" s="279">
        <f>+Eurasia!AJ88</f>
        <v>181.22131088245473</v>
      </c>
      <c r="AK208" s="279">
        <f>+Eurasia!AK88</f>
        <v>223.15088033811011</v>
      </c>
      <c r="AL208" s="279">
        <f>+Eurasia!AL88</f>
        <v>250.88136798243488</v>
      </c>
      <c r="AM208" s="279">
        <f>+Eurasia!AM88</f>
        <v>271.21966888442228</v>
      </c>
      <c r="AN208" s="279">
        <f>+Eurasia!AN88</f>
        <v>287.7008212031966</v>
      </c>
      <c r="AO208" s="279">
        <f>+Eurasia!AO88</f>
        <v>302.20294373903147</v>
      </c>
      <c r="AP208" s="279">
        <f>+Eurasia!AP88</f>
        <v>315.74859536864551</v>
      </c>
      <c r="AQ208" s="279">
        <f>+Eurasia!AQ88</f>
        <v>328.90500803327495</v>
      </c>
      <c r="AR208" s="279">
        <f>+Eurasia!AR88</f>
        <v>341.99233811936091</v>
      </c>
      <c r="AS208" s="279">
        <f>+Eurasia!AS88</f>
        <v>355.19523326304972</v>
      </c>
      <c r="AT208" s="279">
        <f>+Eurasia!AT88</f>
        <v>368.62364054934619</v>
      </c>
      <c r="AU208" s="279">
        <f>+Eurasia!AU88</f>
        <v>382.3462666550663</v>
      </c>
      <c r="AV208" s="279">
        <f>+Eurasia!AV88</f>
        <v>396.40908455444833</v>
      </c>
      <c r="AW208" s="279">
        <f>+Eurasia!AW88</f>
        <v>410.84559877264314</v>
      </c>
      <c r="AX208" s="279">
        <f>+Eurasia!AX88</f>
        <v>425.68254986016973</v>
      </c>
      <c r="AY208" s="279">
        <f>+Eurasia!AY88</f>
        <v>440.94309004115718</v>
      </c>
      <c r="AZ208" s="279">
        <f>+Eurasia!AZ88</f>
        <v>456.6485556368516</v>
      </c>
      <c r="BA208" s="279">
        <f>+Eurasia!BA88</f>
        <v>472.81946080728829</v>
      </c>
      <c r="BB208" s="279">
        <f>+Eurasia!BB88</f>
        <v>489.47605936840267</v>
      </c>
      <c r="BC208" s="279">
        <f>+Eurasia!BC88</f>
        <v>506.63866723518782</v>
      </c>
      <c r="BD208" s="279">
        <f>+Eurasia!BD88</f>
        <v>524.3278523938792</v>
      </c>
      <c r="BE208" s="279">
        <f>+Eurasia!BE88</f>
        <v>542.6535014904083</v>
      </c>
      <c r="BF208" s="279">
        <f>+Eurasia!BF88</f>
        <v>561.52149988893132</v>
      </c>
      <c r="BG208" s="279">
        <f>+Eurasia!BG88</f>
        <v>580.95862036329004</v>
      </c>
      <c r="BH208" s="279">
        <f>+Eurasia!BH88</f>
        <v>600.99347481180041</v>
      </c>
      <c r="BI208" s="279">
        <f>+Eurasia!BI88</f>
        <v>600.99347481180041</v>
      </c>
    </row>
    <row r="209" spans="1:61" s="278" customFormat="1" ht="15" x14ac:dyDescent="0.2">
      <c r="A209" s="278" t="s">
        <v>54</v>
      </c>
      <c r="B209" s="279">
        <f>+China!B88</f>
        <v>0.79566170124862734</v>
      </c>
      <c r="C209" s="279">
        <f>+China!C88</f>
        <v>0.98020656842442555</v>
      </c>
      <c r="D209" s="279">
        <f>+China!D88</f>
        <v>1.0916078981810002</v>
      </c>
      <c r="E209" s="279">
        <f>+China!E88</f>
        <v>1.2464595194078631</v>
      </c>
      <c r="F209" s="279">
        <f>+China!F88</f>
        <v>1.4369774093799852</v>
      </c>
      <c r="G209" s="279">
        <f>+China!G88</f>
        <v>1.6448972934702786</v>
      </c>
      <c r="H209" s="279">
        <f>+China!H88</f>
        <v>1.8688920274758853</v>
      </c>
      <c r="I209" s="279">
        <f>+China!I88</f>
        <v>2.1083279493808535</v>
      </c>
      <c r="J209" s="279">
        <f>+China!J88</f>
        <v>2.3480251088607651</v>
      </c>
      <c r="K209" s="279">
        <f>+China!K88</f>
        <v>2.5924482080642322</v>
      </c>
      <c r="L209" s="279">
        <f>+China!L88</f>
        <v>2.8211834164553538</v>
      </c>
      <c r="M209" s="279">
        <f>+China!M88</f>
        <v>3.067962834943283</v>
      </c>
      <c r="N209" s="279">
        <f>+China!N88</f>
        <v>3.3388014283137593</v>
      </c>
      <c r="O209" s="279">
        <f>+China!O88</f>
        <v>3.6644407450519227</v>
      </c>
      <c r="P209" s="279">
        <f>+China!P88</f>
        <v>4.0253479174422981</v>
      </c>
      <c r="Q209" s="279">
        <f>+China!Q88</f>
        <v>4.470276658490441</v>
      </c>
      <c r="R209" s="279">
        <f>+China!R88</f>
        <v>5.025192919662846</v>
      </c>
      <c r="S209" s="279">
        <f>+China!S88</f>
        <v>5.723331406980221</v>
      </c>
      <c r="T209" s="279">
        <f>+China!T88</f>
        <v>6.2589531051093861</v>
      </c>
      <c r="U209" s="279">
        <f>+China!U88</f>
        <v>6.8258255647672055</v>
      </c>
      <c r="V209" s="279">
        <f>+China!V88</f>
        <v>7.5086866199030187</v>
      </c>
      <c r="W209" s="279">
        <f>+China!W88</f>
        <v>8.161136476750217</v>
      </c>
      <c r="X209" s="279">
        <f>+China!X88</f>
        <v>8.7303749760380516</v>
      </c>
      <c r="Y209" s="279">
        <f>+China!Y88</f>
        <v>9.3313919581551446</v>
      </c>
      <c r="Z209" s="279">
        <f>+China!Z88</f>
        <v>9.9407561848072916</v>
      </c>
      <c r="AA209" s="279">
        <f>+China!AA88</f>
        <v>10.547375816771959</v>
      </c>
      <c r="AB209" s="279">
        <f>+China!AB88</f>
        <v>11.146797644983467</v>
      </c>
      <c r="AC209" s="279">
        <f>+China!AC88</f>
        <v>11.826707682727148</v>
      </c>
      <c r="AD209" s="279">
        <f>+China!AD88</f>
        <v>12.524067306034537</v>
      </c>
      <c r="AE209" s="279">
        <f>+China!AE88</f>
        <v>13.153462904372951</v>
      </c>
      <c r="AF209" s="279">
        <f>+China!AF88</f>
        <v>13.379961958465742</v>
      </c>
      <c r="AG209" s="279">
        <f>+China!AG88</f>
        <v>14.501372860935744</v>
      </c>
      <c r="AH209" s="279">
        <f>+China!AH88</f>
        <v>14.907006696136294</v>
      </c>
      <c r="AI209" s="279">
        <f>+China!AI88</f>
        <v>99.805934218919532</v>
      </c>
      <c r="AJ209" s="279">
        <f>+China!AJ88</f>
        <v>160.63293160996503</v>
      </c>
      <c r="AK209" s="279">
        <f>+China!AK88</f>
        <v>196.63537651547958</v>
      </c>
      <c r="AL209" s="279">
        <f>+China!AL88</f>
        <v>219.86172641616173</v>
      </c>
      <c r="AM209" s="279">
        <f>+China!AM88</f>
        <v>236.66975671320782</v>
      </c>
      <c r="AN209" s="279">
        <f>+China!AN88</f>
        <v>250.2026061418361</v>
      </c>
      <c r="AO209" s="279">
        <f>+China!AO88</f>
        <v>262.08211538331921</v>
      </c>
      <c r="AP209" s="279">
        <f>+China!AP88</f>
        <v>273.17129645882289</v>
      </c>
      <c r="AQ209" s="279">
        <f>+China!AQ88</f>
        <v>283.93896247142027</v>
      </c>
      <c r="AR209" s="279">
        <f>+China!AR88</f>
        <v>294.64425934832735</v>
      </c>
      <c r="AS209" s="279">
        <f>+China!AS88</f>
        <v>305.4334026196064</v>
      </c>
      <c r="AT209" s="279">
        <f>+China!AT88</f>
        <v>316.39140193820737</v>
      </c>
      <c r="AU209" s="279">
        <f>+China!AU88</f>
        <v>327.57001139017183</v>
      </c>
      <c r="AV209" s="279">
        <f>+China!AV88</f>
        <v>339.00291582647708</v>
      </c>
      <c r="AW209" s="279">
        <f>+China!AW88</f>
        <v>350.71400526996672</v>
      </c>
      <c r="AX209" s="279">
        <f>+China!AX88</f>
        <v>362.72189023766168</v>
      </c>
      <c r="AY209" s="279">
        <f>+China!AY88</f>
        <v>375.04236859338386</v>
      </c>
      <c r="AZ209" s="279">
        <f>+China!AZ88</f>
        <v>387.68977527452563</v>
      </c>
      <c r="BA209" s="279">
        <f>+China!BA88</f>
        <v>400.67772275093671</v>
      </c>
      <c r="BB209" s="279">
        <f>+China!BB88</f>
        <v>414.0195092941064</v>
      </c>
      <c r="BC209" s="279">
        <f>+China!BC88</f>
        <v>427.72834621961232</v>
      </c>
      <c r="BD209" s="279">
        <f>+China!BD88</f>
        <v>441.8174865407135</v>
      </c>
      <c r="BE209" s="279">
        <f>+China!BE88</f>
        <v>456.40055103166804</v>
      </c>
      <c r="BF209" s="279">
        <f>+China!BF88</f>
        <v>471.36074284354015</v>
      </c>
      <c r="BG209" s="279">
        <f>+China!BG88</f>
        <v>486.71677214002057</v>
      </c>
      <c r="BH209" s="279">
        <f>+China!BH88</f>
        <v>502.49004048598209</v>
      </c>
      <c r="BI209" s="279">
        <f>+China!BI88</f>
        <v>502.49004048598209</v>
      </c>
    </row>
    <row r="210" spans="1:61" s="278" customFormat="1" ht="15" x14ac:dyDescent="0.2">
      <c r="A210" s="278" t="s">
        <v>55</v>
      </c>
      <c r="B210" s="279">
        <f>+India!B88</f>
        <v>1.0159441739130284</v>
      </c>
      <c r="C210" s="279">
        <f>+India!C88</f>
        <v>0.9305228314999725</v>
      </c>
      <c r="D210" s="279">
        <f>+India!D88</f>
        <v>0.90667644608166575</v>
      </c>
      <c r="E210" s="279">
        <f>+India!E88</f>
        <v>0.90190719313715972</v>
      </c>
      <c r="F210" s="279">
        <f>+India!F88</f>
        <v>0.93540201336384432</v>
      </c>
      <c r="G210" s="279">
        <f>+India!G88</f>
        <v>1.0052664498444503</v>
      </c>
      <c r="H210" s="279">
        <f>+India!H88</f>
        <v>1.09426038789101</v>
      </c>
      <c r="I210" s="279">
        <f>+India!I88</f>
        <v>1.1498315016750698</v>
      </c>
      <c r="J210" s="279">
        <f>+India!J88</f>
        <v>1.2319380935716733</v>
      </c>
      <c r="K210" s="279">
        <f>+India!K88</f>
        <v>1.35554149349654</v>
      </c>
      <c r="L210" s="279">
        <f>+India!L88</f>
        <v>1.4204981804909482</v>
      </c>
      <c r="M210" s="279">
        <f>+India!M88</f>
        <v>1.4994632237682319</v>
      </c>
      <c r="N210" s="279">
        <f>+India!N88</f>
        <v>1.5727851947553511</v>
      </c>
      <c r="O210" s="279">
        <f>+India!O88</f>
        <v>1.7155343132381007</v>
      </c>
      <c r="P210" s="279">
        <f>+India!P88</f>
        <v>1.8734086424373082</v>
      </c>
      <c r="Q210" s="279">
        <f>+India!Q88</f>
        <v>2.042375807484472</v>
      </c>
      <c r="R210" s="279">
        <f>+India!R88</f>
        <v>2.2322140845341196</v>
      </c>
      <c r="S210" s="279">
        <f>+India!S88</f>
        <v>2.4297503081110627</v>
      </c>
      <c r="T210" s="279">
        <f>+India!T88</f>
        <v>2.5350180680890047</v>
      </c>
      <c r="U210" s="279">
        <f>+India!U88</f>
        <v>2.7626922040564144</v>
      </c>
      <c r="V210" s="279">
        <f>+India!V88</f>
        <v>3.0049784757220994</v>
      </c>
      <c r="W210" s="279">
        <f>+India!W88</f>
        <v>3.1491964803911179</v>
      </c>
      <c r="X210" s="279">
        <f>+India!X88</f>
        <v>3.3033434395175076</v>
      </c>
      <c r="Y210" s="279">
        <f>+India!Y88</f>
        <v>3.4958264079114345</v>
      </c>
      <c r="Z210" s="279">
        <f>+India!Z88</f>
        <v>3.7342457825058917</v>
      </c>
      <c r="AA210" s="279">
        <f>+India!AA88</f>
        <v>4.0073285161768499</v>
      </c>
      <c r="AB210" s="279">
        <f>+India!AB88</f>
        <v>4.3003457698921466</v>
      </c>
      <c r="AC210" s="279">
        <f>+India!AC88</f>
        <v>4.5738619823014837</v>
      </c>
      <c r="AD210" s="279">
        <f>+India!AD88</f>
        <v>4.8482020499076333</v>
      </c>
      <c r="AE210" s="279">
        <f>+India!AE88</f>
        <v>5.0057990655278779</v>
      </c>
      <c r="AF210" s="279">
        <f>+India!AF88</f>
        <v>4.7013842776255421</v>
      </c>
      <c r="AG210" s="279">
        <f>+India!AG88</f>
        <v>5.1344416977923704</v>
      </c>
      <c r="AH210" s="279">
        <f>+India!AH88</f>
        <v>5.5047905257614778</v>
      </c>
      <c r="AI210" s="279">
        <f>+India!AI88</f>
        <v>67.104863073715805</v>
      </c>
      <c r="AJ210" s="279">
        <f>+India!AJ88</f>
        <v>132.97638807107373</v>
      </c>
      <c r="AK210" s="279">
        <f>+India!AK88</f>
        <v>174.73914805336946</v>
      </c>
      <c r="AL210" s="279">
        <f>+India!AL88</f>
        <v>201.53734072386044</v>
      </c>
      <c r="AM210" s="279">
        <f>+India!AM88</f>
        <v>220.51605650986912</v>
      </c>
      <c r="AN210" s="279">
        <f>+India!AN88</f>
        <v>235.41059189283337</v>
      </c>
      <c r="AO210" s="279">
        <f>+India!AO88</f>
        <v>248.18618015380702</v>
      </c>
      <c r="AP210" s="279">
        <f>+India!AP88</f>
        <v>259.90460560020699</v>
      </c>
      <c r="AQ210" s="279">
        <f>+India!AQ88</f>
        <v>271.15144058189986</v>
      </c>
      <c r="AR210" s="279">
        <f>+India!AR88</f>
        <v>282.25528208418785</v>
      </c>
      <c r="AS210" s="279">
        <f>+India!AS88</f>
        <v>293.40418145764261</v>
      </c>
      <c r="AT210" s="279">
        <f>+India!AT88</f>
        <v>304.70879704497185</v>
      </c>
      <c r="AU210" s="279">
        <f>+India!AU88</f>
        <v>316.23705716347354</v>
      </c>
      <c r="AV210" s="279">
        <f>+India!AV88</f>
        <v>328.03330769211266</v>
      </c>
      <c r="AW210" s="279">
        <f>+India!AW88</f>
        <v>340.1289253748173</v>
      </c>
      <c r="AX210" s="279">
        <f>+India!AX88</f>
        <v>352.5482124609527</v>
      </c>
      <c r="AY210" s="279">
        <f>+India!AY88</f>
        <v>365.31167582034936</v>
      </c>
      <c r="AZ210" s="279">
        <f>+India!AZ88</f>
        <v>378.43785480342035</v>
      </c>
      <c r="BA210" s="279">
        <f>+India!BA88</f>
        <v>391.94434371935574</v>
      </c>
      <c r="BB210" s="279">
        <f>+India!BB88</f>
        <v>405.84836753785964</v>
      </c>
      <c r="BC210" s="279">
        <f>+India!BC88</f>
        <v>420.16710996099812</v>
      </c>
      <c r="BD210" s="279">
        <f>+India!BD88</f>
        <v>434.9179044379519</v>
      </c>
      <c r="BE210" s="279">
        <f>+India!BE88</f>
        <v>450.23682834156784</v>
      </c>
      <c r="BF210" s="279">
        <f>+India!BF88</f>
        <v>465.98802702914929</v>
      </c>
      <c r="BG210" s="279">
        <f>+India!BG88</f>
        <v>482.19630033052175</v>
      </c>
      <c r="BH210" s="279">
        <f>+India!BH88</f>
        <v>498.88863486136756</v>
      </c>
      <c r="BI210" s="279">
        <f>+India!BI88</f>
        <v>498.88863486136756</v>
      </c>
    </row>
    <row r="211" spans="1:61" s="278" customFormat="1" ht="15" x14ac:dyDescent="0.2">
      <c r="A211" s="278" t="s">
        <v>56</v>
      </c>
      <c r="B211" s="279">
        <f>+MidEast!B88</f>
        <v>3.0150008392658547</v>
      </c>
      <c r="C211" s="279">
        <f>+MidEast!C88</f>
        <v>2.6682837225561822</v>
      </c>
      <c r="D211" s="279">
        <f>+MidEast!D88</f>
        <v>2.5277270289864187</v>
      </c>
      <c r="E211" s="279">
        <f>+MidEast!E88</f>
        <v>2.3120050363254974</v>
      </c>
      <c r="F211" s="279">
        <f>+MidEast!F88</f>
        <v>2.1666634887441822</v>
      </c>
      <c r="G211" s="279">
        <f>+MidEast!G88</f>
        <v>2.2683149647770979</v>
      </c>
      <c r="H211" s="279">
        <f>+MidEast!H88</f>
        <v>2.292014745198435</v>
      </c>
      <c r="I211" s="279">
        <f>+MidEast!I88</f>
        <v>2.2822717029833548</v>
      </c>
      <c r="J211" s="279">
        <f>+MidEast!J88</f>
        <v>2.2886335969481468</v>
      </c>
      <c r="K211" s="279">
        <f>+MidEast!K88</f>
        <v>2.2497053202499471</v>
      </c>
      <c r="L211" s="279">
        <f>+MidEast!L88</f>
        <v>2.4483512749406211</v>
      </c>
      <c r="M211" s="279">
        <f>+MidEast!M88</f>
        <v>2.4679861340113405</v>
      </c>
      <c r="N211" s="279">
        <f>+MidEast!N88</f>
        <v>2.5268507310456432</v>
      </c>
      <c r="O211" s="279">
        <f>+MidEast!O88</f>
        <v>2.6884507704323561</v>
      </c>
      <c r="P211" s="279">
        <f>+MidEast!P88</f>
        <v>2.9605501552238911</v>
      </c>
      <c r="Q211" s="279">
        <f>+MidEast!Q88</f>
        <v>3.1285321103615313</v>
      </c>
      <c r="R211" s="279">
        <f>+MidEast!R88</f>
        <v>3.3388925158997962</v>
      </c>
      <c r="S211" s="279">
        <f>+MidEast!S88</f>
        <v>3.5457699887220997</v>
      </c>
      <c r="T211" s="279">
        <f>+MidEast!T88</f>
        <v>3.7402791836350833</v>
      </c>
      <c r="U211" s="279">
        <f>+MidEast!U88</f>
        <v>3.7690755126411912</v>
      </c>
      <c r="V211" s="279">
        <f>+MidEast!V88</f>
        <v>3.9689122796399983</v>
      </c>
      <c r="W211" s="279">
        <f>+MidEast!W88</f>
        <v>4.2193032390704177</v>
      </c>
      <c r="X211" s="279">
        <f>+MidEast!X88</f>
        <v>4.3164745884423636</v>
      </c>
      <c r="Y211" s="279">
        <f>+MidEast!Y88</f>
        <v>4.4048104961779861</v>
      </c>
      <c r="Z211" s="279">
        <f>+MidEast!Z88</f>
        <v>4.5458905750444938</v>
      </c>
      <c r="AA211" s="279">
        <f>+MidEast!AA88</f>
        <v>4.6540757393542247</v>
      </c>
      <c r="AB211" s="279">
        <f>+MidEast!AB88</f>
        <v>4.8619000608504015</v>
      </c>
      <c r="AC211" s="279">
        <f>+MidEast!AC88</f>
        <v>4.8795898990792619</v>
      </c>
      <c r="AD211" s="279">
        <f>+MidEast!AD88</f>
        <v>4.922723552615575</v>
      </c>
      <c r="AE211" s="279">
        <f>+MidEast!AE88</f>
        <v>4.9115365416542849</v>
      </c>
      <c r="AF211" s="279">
        <f>+MidEast!AF88</f>
        <v>4.7295958766991895</v>
      </c>
      <c r="AG211" s="279">
        <f>+MidEast!AG88</f>
        <v>4.9280608289826313</v>
      </c>
      <c r="AH211" s="279">
        <f>+MidEast!AH88</f>
        <v>5.177753509450322</v>
      </c>
      <c r="AI211" s="279">
        <f>+MidEast!AI88</f>
        <v>69.257618598893828</v>
      </c>
      <c r="AJ211" s="279">
        <f>+MidEast!AJ88</f>
        <v>139.40619516256604</v>
      </c>
      <c r="AK211" s="279">
        <f>+MidEast!AK88</f>
        <v>183.44566999929464</v>
      </c>
      <c r="AL211" s="279">
        <f>+MidEast!AL88</f>
        <v>211.23939007034667</v>
      </c>
      <c r="AM211" s="279">
        <f>+MidEast!AM88</f>
        <v>230.60159472200519</v>
      </c>
      <c r="AN211" s="279">
        <f>+MidEast!AN88</f>
        <v>245.5863535407567</v>
      </c>
      <c r="AO211" s="279">
        <f>+MidEast!AO88</f>
        <v>258.31345786587718</v>
      </c>
      <c r="AP211" s="279">
        <f>+MidEast!AP88</f>
        <v>269.92223942145654</v>
      </c>
      <c r="AQ211" s="279">
        <f>+MidEast!AQ88</f>
        <v>281.03791901422244</v>
      </c>
      <c r="AR211" s="279">
        <f>+MidEast!AR88</f>
        <v>292.00945192175521</v>
      </c>
      <c r="AS211" s="279">
        <f>+MidEast!AS88</f>
        <v>303.0352312788325</v>
      </c>
      <c r="AT211" s="279">
        <f>+MidEast!AT88</f>
        <v>314.23099813568371</v>
      </c>
      <c r="AU211" s="279">
        <f>+MidEast!AU88</f>
        <v>325.66698739818463</v>
      </c>
      <c r="AV211" s="279">
        <f>+MidEast!AV88</f>
        <v>337.38838469895182</v>
      </c>
      <c r="AW211" s="279">
        <f>+MidEast!AW88</f>
        <v>349.42663460974296</v>
      </c>
      <c r="AX211" s="279">
        <f>+MidEast!AX88</f>
        <v>361.80570581511262</v>
      </c>
      <c r="AY211" s="279">
        <f>+MidEast!AY88</f>
        <v>374.54556853815859</v>
      </c>
      <c r="AZ211" s="279">
        <f>+MidEast!AZ88</f>
        <v>387.66412887625995</v>
      </c>
      <c r="BA211" s="279">
        <f>+MidEast!BA88</f>
        <v>401.17830857630747</v>
      </c>
      <c r="BB211" s="279">
        <f>+MidEast!BB88</f>
        <v>415.10465156171455</v>
      </c>
      <c r="BC211" s="279">
        <f>+MidEast!BC88</f>
        <v>429.45966848036585</v>
      </c>
      <c r="BD211" s="279">
        <f>+MidEast!BD88</f>
        <v>444.26003634052705</v>
      </c>
      <c r="BE211" s="279">
        <f>+MidEast!BE88</f>
        <v>459.66996380257041</v>
      </c>
      <c r="BF211" s="279">
        <f>+MidEast!BF88</f>
        <v>475.51555138312517</v>
      </c>
      <c r="BG211" s="279">
        <f>+MidEast!BG88</f>
        <v>491.82257215724837</v>
      </c>
      <c r="BH211" s="279">
        <f>+MidEast!BH88</f>
        <v>508.61952170948319</v>
      </c>
      <c r="BI211" s="279">
        <f>+MidEast!BI88</f>
        <v>508.61952170948319</v>
      </c>
    </row>
    <row r="212" spans="1:61" s="278" customFormat="1" ht="15" x14ac:dyDescent="0.2">
      <c r="A212" s="278" t="s">
        <v>57</v>
      </c>
      <c r="B212" s="279">
        <f>+Africa!B88</f>
        <v>1.9815597271453651</v>
      </c>
      <c r="C212" s="279">
        <f>+Africa!C88</f>
        <v>1.6019561901955108</v>
      </c>
      <c r="D212" s="279">
        <f>+Africa!D88</f>
        <v>1.3771115849305051</v>
      </c>
      <c r="E212" s="279">
        <f>+Africa!E88</f>
        <v>1.2045765063795786</v>
      </c>
      <c r="F212" s="279">
        <f>+Africa!F88</f>
        <v>1.1121903594672138</v>
      </c>
      <c r="G212" s="279">
        <f>+Africa!G88</f>
        <v>1.0885870853032977</v>
      </c>
      <c r="H212" s="279">
        <f>+Africa!H88</f>
        <v>1.1124181715161099</v>
      </c>
      <c r="I212" s="279">
        <f>+Africa!I88</f>
        <v>1.1193684818462428</v>
      </c>
      <c r="J212" s="279">
        <f>+Africa!J88</f>
        <v>1.1205618982320003</v>
      </c>
      <c r="K212" s="279">
        <f>+Africa!K88</f>
        <v>1.1879919099364729</v>
      </c>
      <c r="L212" s="279">
        <f>+Africa!L88</f>
        <v>1.2427410013731095</v>
      </c>
      <c r="M212" s="279">
        <f>+Africa!M88</f>
        <v>1.320847542009193</v>
      </c>
      <c r="N212" s="279">
        <f>+Africa!N88</f>
        <v>1.4135760709155221</v>
      </c>
      <c r="O212" s="279">
        <f>+Africa!O88</f>
        <v>1.5124408667487266</v>
      </c>
      <c r="P212" s="279">
        <f>+Africa!P88</f>
        <v>1.6347050856131866</v>
      </c>
      <c r="Q212" s="279">
        <f>+Africa!Q88</f>
        <v>1.7659605646648322</v>
      </c>
      <c r="R212" s="279">
        <f>+Africa!R88</f>
        <v>1.9119683897442612</v>
      </c>
      <c r="S212" s="279">
        <f>+Africa!S88</f>
        <v>2.0703298487119808</v>
      </c>
      <c r="T212" s="279">
        <f>+Africa!T88</f>
        <v>2.2243300807172766</v>
      </c>
      <c r="U212" s="279">
        <f>+Africa!U88</f>
        <v>2.3343205142867447</v>
      </c>
      <c r="V212" s="279">
        <f>+Africa!V88</f>
        <v>2.4898268473412135</v>
      </c>
      <c r="W212" s="279">
        <f>+Africa!W88</f>
        <v>2.5385547976996206</v>
      </c>
      <c r="X212" s="279">
        <f>+Africa!X88</f>
        <v>2.6494429384521947</v>
      </c>
      <c r="Y212" s="279">
        <f>+Africa!Y88</f>
        <v>2.7333007935298186</v>
      </c>
      <c r="Z212" s="279">
        <f>+Africa!Z88</f>
        <v>2.8121400163382377</v>
      </c>
      <c r="AA212" s="279">
        <f>+Africa!AA88</f>
        <v>2.8837615012927751</v>
      </c>
      <c r="AB212" s="279">
        <f>+Africa!AB88</f>
        <v>2.9216672771182224</v>
      </c>
      <c r="AC212" s="279">
        <f>+Africa!AC88</f>
        <v>3.0115815877360133</v>
      </c>
      <c r="AD212" s="279">
        <f>+Africa!AD88</f>
        <v>3.0956519329899588</v>
      </c>
      <c r="AE212" s="279">
        <f>+Africa!AE88</f>
        <v>3.1601005839666843</v>
      </c>
      <c r="AF212" s="279">
        <f>+Africa!AF88</f>
        <v>3.0831439594980519</v>
      </c>
      <c r="AG212" s="279">
        <f>+Africa!AG88</f>
        <v>3.2286197029914883</v>
      </c>
      <c r="AH212" s="279">
        <f>+Africa!AH88</f>
        <v>3.3530435878093452</v>
      </c>
      <c r="AI212" s="279">
        <f>+Africa!AI88</f>
        <v>49.533125971137409</v>
      </c>
      <c r="AJ212" s="279">
        <f>+Africa!AJ88</f>
        <v>102.49244273823832</v>
      </c>
      <c r="AK212" s="279">
        <f>+Africa!AK88</f>
        <v>136.01883826610083</v>
      </c>
      <c r="AL212" s="279">
        <f>+Africa!AL88</f>
        <v>157.32565281618446</v>
      </c>
      <c r="AM212" s="279">
        <f>+Africa!AM88</f>
        <v>172.30526919979067</v>
      </c>
      <c r="AN212" s="279">
        <f>+Africa!AN88</f>
        <v>183.99903481451148</v>
      </c>
      <c r="AO212" s="279">
        <f>+Africa!AO88</f>
        <v>193.9925623669435</v>
      </c>
      <c r="AP212" s="279">
        <f>+Africa!AP88</f>
        <v>203.13688034551652</v>
      </c>
      <c r="AQ212" s="279">
        <f>+Africa!AQ88</f>
        <v>211.89875482952121</v>
      </c>
      <c r="AR212" s="279">
        <f>+Africa!AR88</f>
        <v>220.53876119235716</v>
      </c>
      <c r="AS212" s="279">
        <f>+Africa!AS88</f>
        <v>229.20522495806307</v>
      </c>
      <c r="AT212" s="279">
        <f>+Africa!AT88</f>
        <v>237.98491137057735</v>
      </c>
      <c r="AU212" s="279">
        <f>+Africa!AU88</f>
        <v>246.93072251336238</v>
      </c>
      <c r="AV212" s="279">
        <f>+Africa!AV88</f>
        <v>256.07693285695137</v>
      </c>
      <c r="AW212" s="279">
        <f>+Africa!AW88</f>
        <v>265.44759954524255</v>
      </c>
      <c r="AX212" s="279">
        <f>+Africa!AX88</f>
        <v>275.06121415857297</v>
      </c>
      <c r="AY212" s="279">
        <f>+Africa!AY88</f>
        <v>284.93327935901146</v>
      </c>
      <c r="AZ212" s="279">
        <f>+Africa!AZ88</f>
        <v>295.07773864877174</v>
      </c>
      <c r="BA212" s="279">
        <f>+Africa!BA88</f>
        <v>305.50777216396</v>
      </c>
      <c r="BB212" s="279">
        <f>+Africa!BB88</f>
        <v>316.23624217690065</v>
      </c>
      <c r="BC212" s="279">
        <f>+Africa!BC88</f>
        <v>327.2759452170867</v>
      </c>
      <c r="BD212" s="279">
        <f>+Africa!BD88</f>
        <v>338.63975758095017</v>
      </c>
      <c r="BE212" s="279">
        <f>+Africa!BE88</f>
        <v>350.40028843389871</v>
      </c>
      <c r="BF212" s="279">
        <f>+Africa!BF88</f>
        <v>362.49346590337899</v>
      </c>
      <c r="BG212" s="279">
        <f>+Africa!BG88</f>
        <v>374.93599104268191</v>
      </c>
      <c r="BH212" s="279">
        <f>+Africa!BH88</f>
        <v>387.74587720390593</v>
      </c>
      <c r="BI212" s="279">
        <f>+Africa!BI88</f>
        <v>387.74587720390593</v>
      </c>
    </row>
    <row r="213" spans="1:61" s="278" customFormat="1" ht="15" x14ac:dyDescent="0.2">
      <c r="A213" s="278" t="s">
        <v>58</v>
      </c>
      <c r="B213" s="279">
        <f>+LatAm!B88</f>
        <v>6.0242743425992407</v>
      </c>
      <c r="C213" s="279">
        <f>+LatAm!C88</f>
        <v>5.5838778195152692</v>
      </c>
      <c r="D213" s="279">
        <f>+LatAm!D88</f>
        <v>5.3693292490954061</v>
      </c>
      <c r="E213" s="279">
        <f>+LatAm!E88</f>
        <v>5.3849793437433195</v>
      </c>
      <c r="F213" s="279">
        <f>+LatAm!F88</f>
        <v>5.5599888982692907</v>
      </c>
      <c r="G213" s="279">
        <f>+LatAm!G88</f>
        <v>5.6006923693019379</v>
      </c>
      <c r="H213" s="279">
        <f>+LatAm!H88</f>
        <v>5.8792696058373535</v>
      </c>
      <c r="I213" s="279">
        <f>+LatAm!I88</f>
        <v>6.2526518639046058</v>
      </c>
      <c r="J213" s="279">
        <f>+LatAm!J88</f>
        <v>6.4925283303054853</v>
      </c>
      <c r="K213" s="279">
        <f>+LatAm!K88</f>
        <v>6.5752849685642483</v>
      </c>
      <c r="L213" s="279">
        <f>+LatAm!L88</f>
        <v>6.863566944875525</v>
      </c>
      <c r="M213" s="279">
        <f>+LatAm!M88</f>
        <v>6.8544064615927134</v>
      </c>
      <c r="N213" s="279">
        <f>+LatAm!N88</f>
        <v>6.9363053797526337</v>
      </c>
      <c r="O213" s="279">
        <f>+LatAm!O88</f>
        <v>7.1622855554866121</v>
      </c>
      <c r="P213" s="279">
        <f>+LatAm!P88</f>
        <v>7.5968937985482912</v>
      </c>
      <c r="Q213" s="279">
        <f>+LatAm!Q88</f>
        <v>7.9540967555033548</v>
      </c>
      <c r="R213" s="279">
        <f>+LatAm!R88</f>
        <v>8.4348615530621007</v>
      </c>
      <c r="S213" s="279">
        <f>+LatAm!S88</f>
        <v>8.9418165099462517</v>
      </c>
      <c r="T213" s="279">
        <f>+LatAm!T88</f>
        <v>9.3440445205070759</v>
      </c>
      <c r="U213" s="279">
        <f>+LatAm!U88</f>
        <v>9.1841141746631365</v>
      </c>
      <c r="V213" s="279">
        <f>+LatAm!V88</f>
        <v>9.7873983533079798</v>
      </c>
      <c r="W213" s="279">
        <f>+LatAm!W88</f>
        <v>10.177977547722033</v>
      </c>
      <c r="X213" s="279">
        <f>+LatAm!X88</f>
        <v>10.39275207039298</v>
      </c>
      <c r="Y213" s="279">
        <f>+LatAm!Y88</f>
        <v>10.621800688146005</v>
      </c>
      <c r="Z213" s="279">
        <f>+LatAm!Z88</f>
        <v>10.71953657339983</v>
      </c>
      <c r="AA213" s="279">
        <f>+LatAm!AA88</f>
        <v>10.713421073941007</v>
      </c>
      <c r="AB213" s="279">
        <f>+LatAm!AB88</f>
        <v>10.602888764486258</v>
      </c>
      <c r="AC213" s="279">
        <f>+LatAm!AC88</f>
        <v>10.752570376178658</v>
      </c>
      <c r="AD213" s="279">
        <f>+LatAm!AD88</f>
        <v>10.881645839218741</v>
      </c>
      <c r="AE213" s="279">
        <f>+LatAm!AE88</f>
        <v>10.894336536540559</v>
      </c>
      <c r="AF213" s="279">
        <f>+LatAm!AF88</f>
        <v>10.134429064068451</v>
      </c>
      <c r="AG213" s="279">
        <f>+LatAm!AG88</f>
        <v>10.888237058298651</v>
      </c>
      <c r="AH213" s="279">
        <f>+LatAm!AH88</f>
        <v>11.322593754354742</v>
      </c>
      <c r="AI213" s="279">
        <f>+LatAm!AI88</f>
        <v>108.54391394018425</v>
      </c>
      <c r="AJ213" s="279">
        <f>+LatAm!AJ88</f>
        <v>198.52451831923676</v>
      </c>
      <c r="AK213" s="279">
        <f>+LatAm!AK88</f>
        <v>254.51525607802361</v>
      </c>
      <c r="AL213" s="279">
        <f>+LatAm!AL88</f>
        <v>290.49574491364774</v>
      </c>
      <c r="AM213" s="279">
        <f>+LatAm!AM88</f>
        <v>316.06095846115687</v>
      </c>
      <c r="AN213" s="279">
        <f>+LatAm!AN88</f>
        <v>336.1982766942125</v>
      </c>
      <c r="AO213" s="279">
        <f>+LatAm!AO88</f>
        <v>353.53585002138982</v>
      </c>
      <c r="AP213" s="279">
        <f>+LatAm!AP88</f>
        <v>369.49511497195903</v>
      </c>
      <c r="AQ213" s="279">
        <f>+LatAm!AQ88</f>
        <v>384.86019812970824</v>
      </c>
      <c r="AR213" s="279">
        <f>+LatAm!AR88</f>
        <v>400.07104544070376</v>
      </c>
      <c r="AS213" s="279">
        <f>+LatAm!AS88</f>
        <v>415.37935955852259</v>
      </c>
      <c r="AT213" s="279">
        <f>+LatAm!AT88</f>
        <v>430.93322873038005</v>
      </c>
      <c r="AU213" s="279">
        <f>+LatAm!AU88</f>
        <v>446.82357456859711</v>
      </c>
      <c r="AV213" s="279">
        <f>+LatAm!AV88</f>
        <v>463.1098012191049</v>
      </c>
      <c r="AW213" s="279">
        <f>+LatAm!AW88</f>
        <v>479.83400734765075</v>
      </c>
      <c r="AX213" s="279">
        <f>+LatAm!AX88</f>
        <v>497.02887750010376</v>
      </c>
      <c r="AY213" s="279">
        <f>+LatAm!AY88</f>
        <v>514.72207177404005</v>
      </c>
      <c r="AZ213" s="279">
        <f>+LatAm!AZ88</f>
        <v>532.93867337283098</v>
      </c>
      <c r="BA213" s="279">
        <f>+LatAm!BA88</f>
        <v>551.7025586652602</v>
      </c>
      <c r="BB213" s="279">
        <f>+LatAm!BB88</f>
        <v>571.03716954843139</v>
      </c>
      <c r="BC213" s="279">
        <f>+LatAm!BC88</f>
        <v>590.96595445301159</v>
      </c>
      <c r="BD213" s="279">
        <f>+LatAm!BD88</f>
        <v>611.51262583808659</v>
      </c>
      <c r="BE213" s="279">
        <f>+LatAm!BE88</f>
        <v>632.8785310103757</v>
      </c>
      <c r="BF213" s="279">
        <f>+LatAm!BF88</f>
        <v>654.85825624613994</v>
      </c>
      <c r="BG213" s="279">
        <f>+LatAm!BG88</f>
        <v>677.48676679049333</v>
      </c>
      <c r="BH213" s="279">
        <f>+LatAm!BH88</f>
        <v>700.8022587409846</v>
      </c>
      <c r="BI213" s="279">
        <f>+LatAm!BI88</f>
        <v>700.8022587409846</v>
      </c>
    </row>
    <row r="214" spans="1:61" s="278" customFormat="1" ht="15" x14ac:dyDescent="0.2">
      <c r="A214" s="278" t="s">
        <v>114</v>
      </c>
      <c r="B214" s="279">
        <f>+OHI!B88</f>
        <v>15.186008072524086</v>
      </c>
      <c r="C214" s="279">
        <f>+OHI!C88</f>
        <v>14.124587833798957</v>
      </c>
      <c r="D214" s="279">
        <f>+OHI!D88</f>
        <v>13.860062245095495</v>
      </c>
      <c r="E214" s="279">
        <f>+OHI!E88</f>
        <v>14.166307147926892</v>
      </c>
      <c r="F214" s="279">
        <f>+OHI!F88</f>
        <v>14.943108017739203</v>
      </c>
      <c r="G214" s="279">
        <f>+OHI!G88</f>
        <v>15.914808145063079</v>
      </c>
      <c r="H214" s="279">
        <f>+OHI!H88</f>
        <v>17.009473973004379</v>
      </c>
      <c r="I214" s="279">
        <f>+OHI!I88</f>
        <v>18.258848526213374</v>
      </c>
      <c r="J214" s="279">
        <f>+OHI!J88</f>
        <v>18.712242535042904</v>
      </c>
      <c r="K214" s="279">
        <f>+OHI!K88</f>
        <v>20.304257331972913</v>
      </c>
      <c r="L214" s="279">
        <f>+OHI!L88</f>
        <v>21.636927320596048</v>
      </c>
      <c r="M214" s="279">
        <f>+OHI!M88</f>
        <v>21.804480949439984</v>
      </c>
      <c r="N214" s="279">
        <f>+OHI!N88</f>
        <v>22.689492447862971</v>
      </c>
      <c r="O214" s="279">
        <f>+OHI!O88</f>
        <v>23.210573067427173</v>
      </c>
      <c r="P214" s="279">
        <f>+OHI!P88</f>
        <v>24.221060861372436</v>
      </c>
      <c r="Q214" s="279">
        <f>+OHI!Q88</f>
        <v>25.066906248651048</v>
      </c>
      <c r="R214" s="279">
        <f>+OHI!R88</f>
        <v>25.993477188434493</v>
      </c>
      <c r="S214" s="279">
        <f>+OHI!S88</f>
        <v>27.001220852159051</v>
      </c>
      <c r="T214" s="279">
        <f>+OHI!T88</f>
        <v>27.452812210034203</v>
      </c>
      <c r="U214" s="279">
        <f>+OHI!U88</f>
        <v>27.174026510877034</v>
      </c>
      <c r="V214" s="279">
        <f>+OHI!V88</f>
        <v>28.451954473317155</v>
      </c>
      <c r="W214" s="279">
        <f>+OHI!W88</f>
        <v>29.331019061511586</v>
      </c>
      <c r="X214" s="279">
        <f>+OHI!X88</f>
        <v>29.927343431458009</v>
      </c>
      <c r="Y214" s="279">
        <f>+OHI!Y88</f>
        <v>30.639322508849226</v>
      </c>
      <c r="Z214" s="279">
        <f>+OHI!Z88</f>
        <v>31.337378671848789</v>
      </c>
      <c r="AA214" s="279">
        <f>+OHI!AA88</f>
        <v>31.65111370288496</v>
      </c>
      <c r="AB214" s="279">
        <f>+OHI!AB88</f>
        <v>32.090657794736778</v>
      </c>
      <c r="AC214" s="279">
        <f>+OHI!AC88</f>
        <v>32.924892900547626</v>
      </c>
      <c r="AD214" s="279">
        <f>+OHI!AD88</f>
        <v>33.699407568107027</v>
      </c>
      <c r="AE214" s="279">
        <f>+OHI!AE88</f>
        <v>34.050150076998371</v>
      </c>
      <c r="AF214" s="279">
        <f>+OHI!AF88</f>
        <v>32.85755498749824</v>
      </c>
      <c r="AG214" s="279">
        <f>+OHI!AG88</f>
        <v>34.454098817105958</v>
      </c>
      <c r="AH214" s="279">
        <f>+OHI!AH88</f>
        <v>35.396739338404984</v>
      </c>
      <c r="AI214" s="279">
        <f>+OHI!AI88</f>
        <v>180.22503804019001</v>
      </c>
      <c r="AJ214" s="279">
        <f>+OHI!AJ88</f>
        <v>273.14507429677252</v>
      </c>
      <c r="AK214" s="279">
        <f>+OHI!AK88</f>
        <v>329.30590145149716</v>
      </c>
      <c r="AL214" s="279">
        <f>+OHI!AL88</f>
        <v>366.10022744635302</v>
      </c>
      <c r="AM214" s="279">
        <f>+OHI!AM88</f>
        <v>392.94853477828468</v>
      </c>
      <c r="AN214" s="279">
        <f>+OHI!AN88</f>
        <v>414.66841685901426</v>
      </c>
      <c r="AO214" s="279">
        <f>+OHI!AO88</f>
        <v>433.79897963625308</v>
      </c>
      <c r="AP214" s="279">
        <f>+OHI!AP88</f>
        <v>451.71268669540302</v>
      </c>
      <c r="AQ214" s="279">
        <f>+OHI!AQ88</f>
        <v>469.16511101078555</v>
      </c>
      <c r="AR214" s="279">
        <f>+OHI!AR88</f>
        <v>486.57917582260853</v>
      </c>
      <c r="AS214" s="279">
        <f>+OHI!AS88</f>
        <v>504.19651436844157</v>
      </c>
      <c r="AT214" s="279">
        <f>+OHI!AT88</f>
        <v>522.15945747158969</v>
      </c>
      <c r="AU214" s="279">
        <f>+OHI!AU88</f>
        <v>540.55586469834714</v>
      </c>
      <c r="AV214" s="279">
        <f>+OHI!AV88</f>
        <v>559.44376457568626</v>
      </c>
      <c r="AW214" s="279">
        <f>+OHI!AW88</f>
        <v>578.86493682457785</v>
      </c>
      <c r="AX214" s="279">
        <f>+OHI!AX88</f>
        <v>598.85241357205689</v>
      </c>
      <c r="AY214" s="279">
        <f>+OHI!AY88</f>
        <v>619.43462957995973</v>
      </c>
      <c r="AZ214" s="279">
        <f>+OHI!AZ88</f>
        <v>640.63772414367634</v>
      </c>
      <c r="BA214" s="279">
        <f>+OHI!BA88</f>
        <v>662.48682316257396</v>
      </c>
      <c r="BB214" s="279">
        <f>+OHI!BB88</f>
        <v>685.00675854955659</v>
      </c>
      <c r="BC214" s="279">
        <f>+OHI!BC88</f>
        <v>708.22247732453957</v>
      </c>
      <c r="BD214" s="279">
        <f>+OHI!BD88</f>
        <v>732.15927968860274</v>
      </c>
      <c r="BE214" s="279">
        <f>+OHI!BE88</f>
        <v>757.04114779698614</v>
      </c>
      <c r="BF214" s="279">
        <f>+OHI!BF88</f>
        <v>782.63694116350166</v>
      </c>
      <c r="BG214" s="279">
        <f>+OHI!BG88</f>
        <v>808.98437175699098</v>
      </c>
      <c r="BH214" s="279">
        <f>+OHI!BH88</f>
        <v>836.12527363345691</v>
      </c>
      <c r="BI214" s="279">
        <f>+OHI!BI88</f>
        <v>836.12527363345691</v>
      </c>
    </row>
    <row r="215" spans="1:61" s="278" customFormat="1" ht="15" x14ac:dyDescent="0.2">
      <c r="A215" s="278" t="s">
        <v>224</v>
      </c>
      <c r="B215" s="279">
        <f>+OthAsia!B88</f>
        <v>2.0456429177152837</v>
      </c>
      <c r="C215" s="279">
        <f>+OthAsia!C88</f>
        <v>1.7819884507978854</v>
      </c>
      <c r="D215" s="279">
        <f>+OthAsia!D88</f>
        <v>1.7195751522433906</v>
      </c>
      <c r="E215" s="279">
        <f>+OthAsia!E88</f>
        <v>1.7014908447986654</v>
      </c>
      <c r="F215" s="279">
        <f>+OthAsia!F88</f>
        <v>1.7268772759185724</v>
      </c>
      <c r="G215" s="279">
        <f>+OthAsia!G88</f>
        <v>1.8194553710934505</v>
      </c>
      <c r="H215" s="279">
        <f>+OthAsia!H88</f>
        <v>1.9325453562505286</v>
      </c>
      <c r="I215" s="279">
        <f>+OthAsia!I88</f>
        <v>1.9852896620277698</v>
      </c>
      <c r="J215" s="279">
        <f>+OthAsia!J88</f>
        <v>1.8691424853090852</v>
      </c>
      <c r="K215" s="279">
        <f>+OthAsia!K88</f>
        <v>1.9262568479412403</v>
      </c>
      <c r="L215" s="279">
        <f>+OthAsia!L88</f>
        <v>2.0309369575144842</v>
      </c>
      <c r="M215" s="279">
        <f>+OthAsia!M88</f>
        <v>2.1388298830304615</v>
      </c>
      <c r="N215" s="279">
        <f>+OthAsia!N88</f>
        <v>2.2741186977415051</v>
      </c>
      <c r="O215" s="279">
        <f>+OthAsia!O88</f>
        <v>2.4287315941033825</v>
      </c>
      <c r="P215" s="279">
        <f>+OthAsia!P88</f>
        <v>2.6074423723178062</v>
      </c>
      <c r="Q215" s="279">
        <f>+OthAsia!Q88</f>
        <v>2.7884007257728762</v>
      </c>
      <c r="R215" s="279">
        <f>+OthAsia!R88</f>
        <v>2.9839007004850631</v>
      </c>
      <c r="S215" s="279">
        <f>+OthAsia!S88</f>
        <v>3.2021276181410809</v>
      </c>
      <c r="T215" s="279">
        <f>+OthAsia!T88</f>
        <v>3.3859566872704057</v>
      </c>
      <c r="U215" s="279">
        <f>+OthAsia!U88</f>
        <v>3.5246075307277702</v>
      </c>
      <c r="V215" s="279">
        <f>+OthAsia!V88</f>
        <v>3.7505303874276477</v>
      </c>
      <c r="W215" s="279">
        <f>+OthAsia!W88</f>
        <v>3.9106952787319877</v>
      </c>
      <c r="X215" s="279">
        <f>+OthAsia!X88</f>
        <v>4.1243210716493834</v>
      </c>
      <c r="Y215" s="279">
        <f>+OthAsia!Y88</f>
        <v>4.3112942932474834</v>
      </c>
      <c r="Z215" s="279">
        <f>+OthAsia!Z88</f>
        <v>4.4984149104988118</v>
      </c>
      <c r="AA215" s="279">
        <f>+OthAsia!AA88</f>
        <v>4.6966207559453608</v>
      </c>
      <c r="AB215" s="279">
        <f>+OthAsia!AB88</f>
        <v>4.9030602478045946</v>
      </c>
      <c r="AC215" s="279">
        <f>+OthAsia!AC88</f>
        <v>5.1507096952459737</v>
      </c>
      <c r="AD215" s="279">
        <f>+OthAsia!AD88</f>
        <v>5.4125294074568249</v>
      </c>
      <c r="AE215" s="279">
        <f>+OthAsia!AE88</f>
        <v>5.6394649570655124</v>
      </c>
      <c r="AF215" s="279">
        <f>+OthAsia!AF88</f>
        <v>5.4664435231697279</v>
      </c>
      <c r="AG215" s="279">
        <f>+OthAsia!AG88</f>
        <v>5.6621878235641985</v>
      </c>
      <c r="AH215" s="279">
        <f>+OthAsia!AH88</f>
        <v>5.9277536729638554</v>
      </c>
      <c r="AI215" s="279">
        <f>+OthAsia!AI88</f>
        <v>77.932194077823297</v>
      </c>
      <c r="AJ215" s="279">
        <f>+OthAsia!AJ88</f>
        <v>156.4052729579131</v>
      </c>
      <c r="AK215" s="279">
        <f>+OthAsia!AK88</f>
        <v>206.22203249552757</v>
      </c>
      <c r="AL215" s="279">
        <f>+OthAsia!AL88</f>
        <v>238.14200898360008</v>
      </c>
      <c r="AM215" s="279">
        <f>+OthAsia!AM88</f>
        <v>260.72824174980252</v>
      </c>
      <c r="AN215" s="279">
        <f>+OthAsia!AN88</f>
        <v>278.44470790845463</v>
      </c>
      <c r="AO215" s="279">
        <f>+OthAsia!AO88</f>
        <v>293.63489792719508</v>
      </c>
      <c r="AP215" s="279">
        <f>+OthAsia!AP88</f>
        <v>307.56298737610632</v>
      </c>
      <c r="AQ215" s="279">
        <f>+OthAsia!AQ88</f>
        <v>320.92527991269009</v>
      </c>
      <c r="AR215" s="279">
        <f>+OthAsia!AR88</f>
        <v>334.11204363376214</v>
      </c>
      <c r="AS215" s="279">
        <f>+OthAsia!AS88</f>
        <v>347.3463442622575</v>
      </c>
      <c r="AT215" s="279">
        <f>+OthAsia!AT88</f>
        <v>360.75925900879247</v>
      </c>
      <c r="AU215" s="279">
        <f>+OthAsia!AU88</f>
        <v>374.43111700381843</v>
      </c>
      <c r="AV215" s="279">
        <f>+OthAsia!AV88</f>
        <v>388.41425792354528</v>
      </c>
      <c r="AW215" s="279">
        <f>+OthAsia!AW88</f>
        <v>402.7456343554083</v>
      </c>
      <c r="AX215" s="279">
        <f>+OthAsia!AX88</f>
        <v>417.45380380996573</v>
      </c>
      <c r="AY215" s="279">
        <f>+OthAsia!AY88</f>
        <v>432.5628137760956</v>
      </c>
      <c r="AZ215" s="279">
        <f>+OthAsia!AZ88</f>
        <v>448.09436444943378</v>
      </c>
      <c r="BA215" s="279">
        <f>+OthAsia!BA88</f>
        <v>464.06901656740359</v>
      </c>
      <c r="BB215" s="279">
        <f>+OthAsia!BB88</f>
        <v>480.50687005866638</v>
      </c>
      <c r="BC215" s="279">
        <f>+OthAsia!BC88</f>
        <v>497.42794969072918</v>
      </c>
      <c r="BD215" s="279">
        <f>+OthAsia!BD88</f>
        <v>514.85242871916989</v>
      </c>
      <c r="BE215" s="279">
        <f>+OthAsia!BE88</f>
        <v>532.99505004763171</v>
      </c>
      <c r="BF215" s="279">
        <f>+OthAsia!BF88</f>
        <v>551.62447114310294</v>
      </c>
      <c r="BG215" s="279">
        <f>+OthAsia!BG88</f>
        <v>570.77245932503718</v>
      </c>
      <c r="BH215" s="279">
        <f>+OthAsia!BH88</f>
        <v>590.47427785177842</v>
      </c>
      <c r="BI215" s="279">
        <f>+OthAsia!BI88</f>
        <v>590.47427785177842</v>
      </c>
    </row>
    <row r="216" spans="1:61" s="280" customFormat="1" ht="15" x14ac:dyDescent="0.2">
      <c r="C216" s="281"/>
      <c r="D216" s="281"/>
      <c r="E216" s="281"/>
      <c r="F216" s="281"/>
      <c r="G216" s="281"/>
      <c r="H216" s="281"/>
      <c r="I216" s="281"/>
      <c r="J216" s="281"/>
      <c r="K216" s="281"/>
      <c r="L216" s="281"/>
      <c r="M216" s="281"/>
      <c r="N216" s="281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  <c r="AF216" s="281"/>
      <c r="AG216" s="281"/>
      <c r="AH216" s="281"/>
      <c r="AI216" s="281"/>
      <c r="AJ216" s="281"/>
      <c r="AK216" s="281"/>
      <c r="AL216" s="281"/>
      <c r="AM216" s="281"/>
      <c r="AN216" s="281"/>
      <c r="AO216" s="281"/>
      <c r="AP216" s="281"/>
      <c r="AQ216" s="281"/>
      <c r="AR216" s="281"/>
      <c r="AS216" s="281"/>
      <c r="AT216" s="281"/>
      <c r="AU216" s="281"/>
      <c r="AV216" s="281"/>
      <c r="AW216" s="281"/>
      <c r="AX216" s="281"/>
      <c r="AY216" s="281"/>
      <c r="AZ216" s="281"/>
      <c r="BA216" s="281"/>
      <c r="BB216" s="281"/>
      <c r="BC216" s="281"/>
      <c r="BD216" s="281"/>
      <c r="BE216" s="281"/>
      <c r="BF216" s="281"/>
      <c r="BG216" s="281"/>
      <c r="BH216" s="281"/>
      <c r="BI216" s="281"/>
    </row>
    <row r="217" spans="1:61" s="280" customFormat="1" ht="15" x14ac:dyDescent="0.2">
      <c r="A217" s="282" t="s">
        <v>780</v>
      </c>
      <c r="C217" s="283">
        <f>+SUM(B220:N231)</f>
        <v>8727.4836314089098</v>
      </c>
      <c r="D217" s="283">
        <f>+SUM(B234:N245)</f>
        <v>45390.491657211169</v>
      </c>
      <c r="E217" s="283">
        <f>+C217-D217</f>
        <v>-36663.008025802257</v>
      </c>
      <c r="F217" s="283"/>
      <c r="G217" s="283"/>
      <c r="H217" s="283"/>
      <c r="I217" s="283"/>
      <c r="J217" s="283"/>
      <c r="K217" s="283"/>
      <c r="L217" s="283"/>
      <c r="M217" s="283"/>
      <c r="N217" s="283"/>
      <c r="O217" s="283"/>
      <c r="P217" s="283"/>
      <c r="Q217" s="283"/>
      <c r="R217" s="283"/>
      <c r="S217" s="283"/>
      <c r="T217" s="283"/>
      <c r="U217" s="283"/>
      <c r="V217" s="283"/>
      <c r="W217" s="283"/>
      <c r="X217" s="283"/>
      <c r="Y217" s="283"/>
      <c r="Z217" s="283"/>
      <c r="AA217" s="283"/>
      <c r="AB217" s="283"/>
      <c r="AC217" s="283"/>
      <c r="AD217" s="283"/>
      <c r="AE217" s="283"/>
      <c r="AF217" s="283"/>
      <c r="AG217" s="283"/>
      <c r="AH217" s="283"/>
      <c r="AI217" s="283"/>
      <c r="AJ217" s="283"/>
      <c r="AK217" s="283"/>
      <c r="AL217" s="283"/>
      <c r="AM217" s="283"/>
      <c r="AN217" s="283"/>
      <c r="AO217" s="283"/>
      <c r="AP217" s="283"/>
      <c r="AQ217" s="283"/>
      <c r="AR217" s="283"/>
      <c r="AS217" s="283"/>
      <c r="AT217" s="283"/>
      <c r="AU217" s="283"/>
      <c r="AV217" s="283"/>
      <c r="AW217" s="283"/>
      <c r="AX217" s="283"/>
      <c r="AY217" s="283"/>
      <c r="AZ217" s="283"/>
      <c r="BA217" s="283"/>
      <c r="BB217" s="283"/>
      <c r="BC217" s="283"/>
      <c r="BD217" s="283"/>
      <c r="BE217" s="283"/>
      <c r="BF217" s="283"/>
      <c r="BG217" s="283"/>
      <c r="BH217" s="283"/>
      <c r="BI217" s="283"/>
    </row>
    <row r="218" spans="1:61" s="285" customFormat="1" ht="14" x14ac:dyDescent="0.2">
      <c r="A218" s="284" t="s">
        <v>274</v>
      </c>
    </row>
    <row r="219" spans="1:61" s="285" customFormat="1" ht="15" x14ac:dyDescent="0.2">
      <c r="B219" s="286" t="s">
        <v>218</v>
      </c>
    </row>
    <row r="220" spans="1:61" s="298" customFormat="1" ht="15" x14ac:dyDescent="0.2">
      <c r="A220" s="296" t="s">
        <v>104</v>
      </c>
      <c r="B220" s="297">
        <f>+(B204)^US!$B$18</f>
        <v>147.55681804002413</v>
      </c>
      <c r="C220" s="297">
        <f>+(C204)^US!$B$18</f>
        <v>122.09051493452937</v>
      </c>
      <c r="D220" s="297">
        <f>+(D204)^US!$B$18</f>
        <v>115.49379151349838</v>
      </c>
      <c r="E220" s="297">
        <f>+(E204)^US!$B$18</f>
        <v>110.78766346708645</v>
      </c>
      <c r="F220" s="297">
        <f>+(F204)^US!$B$18</f>
        <v>110.44116914509307</v>
      </c>
      <c r="G220" s="297">
        <f>+(G204)^US!$B$18</f>
        <v>110.65737871173448</v>
      </c>
      <c r="H220" s="297">
        <f>+(H204)^US!$B$18</f>
        <v>114.18423789203641</v>
      </c>
      <c r="I220" s="297">
        <f>+(I204)^US!$B$18</f>
        <v>118.85407258504135</v>
      </c>
      <c r="J220" s="297">
        <f>+(J204)^US!$B$18</f>
        <v>123.69234572138933</v>
      </c>
      <c r="K220" s="297">
        <f>+(K204)^US!$B$18</f>
        <v>129.63897973094646</v>
      </c>
      <c r="L220" s="297">
        <f>+(L204)^US!$B$18</f>
        <v>135.55799300723351</v>
      </c>
      <c r="M220" s="297">
        <f>+(M204)^US!$B$18</f>
        <v>132.51695868220963</v>
      </c>
      <c r="N220" s="297">
        <f>+(N204)^US!$B$18</f>
        <v>134.38331126775245</v>
      </c>
      <c r="O220" s="297">
        <f>+(O204)^US!$B$18</f>
        <v>138.54845605459707</v>
      </c>
      <c r="P220" s="297">
        <f>+(P204)^US!$B$18</f>
        <v>145.09132866162554</v>
      </c>
      <c r="Q220" s="297">
        <f>+(Q204)^US!$B$18</f>
        <v>151.00644342410502</v>
      </c>
      <c r="R220" s="297">
        <f>+(R204)^US!$B$18</f>
        <v>155.66819607042405</v>
      </c>
      <c r="S220" s="297">
        <f>+(S204)^US!$B$18</f>
        <v>158.63746710041787</v>
      </c>
      <c r="T220" s="297">
        <f>+(T204)^US!$B$18</f>
        <v>157.27727834891562</v>
      </c>
      <c r="U220" s="297">
        <f>+(U204)^US!$B$18</f>
        <v>149.48683980900995</v>
      </c>
      <c r="V220" s="297">
        <f>+(V204)^US!$B$18</f>
        <v>154.15864633703802</v>
      </c>
      <c r="W220" s="297">
        <f>+(W204)^US!$B$18</f>
        <v>156.69470324317271</v>
      </c>
      <c r="X220" s="297">
        <f>+(X204)^US!$B$18</f>
        <v>160.90029245425319</v>
      </c>
      <c r="Y220" s="297">
        <f>+(Y204)^US!$B$18</f>
        <v>164.16185354213513</v>
      </c>
      <c r="Z220" s="297">
        <f>+(Z204)^US!$B$18</f>
        <v>168.56853699324353</v>
      </c>
      <c r="AA220" s="297">
        <f>+(AA204)^US!$B$18</f>
        <v>174.0711309917354</v>
      </c>
      <c r="AB220" s="297">
        <f>+(AB204)^US!$B$18</f>
        <v>176.49582589126842</v>
      </c>
      <c r="AC220" s="297">
        <f>+(AC204)^US!$B$18</f>
        <v>181.28055646358544</v>
      </c>
      <c r="AD220" s="297">
        <f>+(AD204)^US!$B$18</f>
        <v>188.0921536245113</v>
      </c>
      <c r="AE220" s="297">
        <f>+(AE204)^US!$B$18</f>
        <v>193.11495606751015</v>
      </c>
      <c r="AF220" s="297">
        <f>+(AF204)^US!$B$18</f>
        <v>184.48494628664926</v>
      </c>
      <c r="AG220" s="297">
        <f>+(AG204)^US!$B$18</f>
        <v>201.36896317884242</v>
      </c>
      <c r="AH220" s="297">
        <f>+(AH204)^US!$B$18</f>
        <v>207.22428761936141</v>
      </c>
      <c r="AI220" s="297">
        <f>+(AI204)^US!$B$18</f>
        <v>0</v>
      </c>
      <c r="AJ220" s="297">
        <f>+(AJ204)^US!$B$18</f>
        <v>0</v>
      </c>
      <c r="AK220" s="297">
        <f>+(AK204)^US!$B$18</f>
        <v>0</v>
      </c>
      <c r="AL220" s="297">
        <f>+(AL204)^US!$B$18</f>
        <v>0</v>
      </c>
      <c r="AM220" s="297">
        <f>+(AM204)^US!$B$18</f>
        <v>0</v>
      </c>
      <c r="AN220" s="297">
        <f>+(AN204)^US!$B$18</f>
        <v>0</v>
      </c>
      <c r="AO220" s="297">
        <f>+(AO204)^US!$B$18</f>
        <v>0</v>
      </c>
      <c r="AP220" s="297">
        <f>+(AP204)^US!$B$18</f>
        <v>0</v>
      </c>
      <c r="AQ220" s="297">
        <f>+(AQ204)^US!$B$18</f>
        <v>0</v>
      </c>
      <c r="AR220" s="297">
        <f>+(AR204)^US!$B$18</f>
        <v>0</v>
      </c>
      <c r="AS220" s="297">
        <f>+(AS204)^US!$B$18</f>
        <v>0</v>
      </c>
      <c r="AT220" s="297">
        <f>+(AT204)^US!$B$18</f>
        <v>0</v>
      </c>
      <c r="AU220" s="297">
        <f>+(AU204)^US!$B$18</f>
        <v>0</v>
      </c>
      <c r="AV220" s="297">
        <f>+(AV204)^US!$B$18</f>
        <v>0</v>
      </c>
      <c r="AW220" s="297">
        <f>+(AW204)^US!$B$18</f>
        <v>0</v>
      </c>
      <c r="AX220" s="297">
        <f>+(AX204)^US!$B$18</f>
        <v>0</v>
      </c>
      <c r="AY220" s="297">
        <f>+(AY204)^US!$B$18</f>
        <v>0</v>
      </c>
      <c r="AZ220" s="297">
        <f>+(AZ204)^US!$B$18</f>
        <v>0</v>
      </c>
      <c r="BA220" s="297">
        <f>+(BA204)^US!$B$18</f>
        <v>0</v>
      </c>
      <c r="BB220" s="297">
        <f>+(BB204)^US!$B$18</f>
        <v>0</v>
      </c>
      <c r="BC220" s="297">
        <f>+(BC204)^US!$B$18</f>
        <v>0</v>
      </c>
      <c r="BD220" s="297">
        <f>+(BD204)^US!$B$18</f>
        <v>0</v>
      </c>
      <c r="BE220" s="297">
        <f>+(BE204)^US!$B$18</f>
        <v>0</v>
      </c>
      <c r="BF220" s="297">
        <f>+(BF204)^US!$B$18</f>
        <v>0</v>
      </c>
      <c r="BG220" s="297">
        <f>+(BG204)^US!$B$18</f>
        <v>0</v>
      </c>
      <c r="BH220" s="297">
        <f>+(BH204)^US!$B$18</f>
        <v>0</v>
      </c>
      <c r="BI220" s="297">
        <f>+(BI204)^US!$B$18</f>
        <v>0</v>
      </c>
    </row>
    <row r="221" spans="1:61" s="298" customFormat="1" ht="15" x14ac:dyDescent="0.2">
      <c r="A221" s="296" t="s">
        <v>105</v>
      </c>
      <c r="B221" s="297">
        <f>+(B205)^EU!$B$18</f>
        <v>116.11883199587193</v>
      </c>
      <c r="C221" s="297">
        <f>+(C205)^EU!$B$18</f>
        <v>107.8589071491856</v>
      </c>
      <c r="D221" s="297">
        <f>+(D205)^EU!$B$18</f>
        <v>107.5777574089733</v>
      </c>
      <c r="E221" s="297">
        <f>+(E205)^EU!$B$18</f>
        <v>106.77361033074391</v>
      </c>
      <c r="F221" s="297">
        <f>+(F205)^EU!$B$18</f>
        <v>110.8661775719751</v>
      </c>
      <c r="G221" s="297">
        <f>+(G205)^EU!$B$18</f>
        <v>118.40423432217716</v>
      </c>
      <c r="H221" s="297">
        <f>+(H205)^EU!$B$18</f>
        <v>126.55784495597517</v>
      </c>
      <c r="I221" s="297">
        <f>+(I205)^EU!$B$18</f>
        <v>137.21903596873071</v>
      </c>
      <c r="J221" s="297">
        <f>+(J205)^EU!$B$18</f>
        <v>148.09541249612639</v>
      </c>
      <c r="K221" s="297">
        <f>+(K205)^EU!$B$18</f>
        <v>157.7089802087448</v>
      </c>
      <c r="L221" s="297">
        <f>+(L205)^EU!$B$18</f>
        <v>168.15830199626154</v>
      </c>
      <c r="M221" s="297">
        <f>+(M205)^EU!$B$18</f>
        <v>168.24473576477754</v>
      </c>
      <c r="N221" s="297">
        <f>+(N205)^EU!$B$18</f>
        <v>170.53738380322491</v>
      </c>
      <c r="O221" s="297">
        <f>+(O205)^EU!$B$18</f>
        <v>173.05287793417227</v>
      </c>
      <c r="P221" s="297">
        <f>+(P205)^EU!$B$18</f>
        <v>179.55026752508073</v>
      </c>
      <c r="Q221" s="297">
        <f>+(Q205)^EU!$B$18</f>
        <v>184.79509466173687</v>
      </c>
      <c r="R221" s="297">
        <f>+(R205)^EU!$B$18</f>
        <v>193.36946149178166</v>
      </c>
      <c r="S221" s="297">
        <f>+(S205)^EU!$B$18</f>
        <v>201.28278851010521</v>
      </c>
      <c r="T221" s="297">
        <f>+(T205)^EU!$B$18</f>
        <v>201.70482523325404</v>
      </c>
      <c r="U221" s="297">
        <f>+(U205)^EU!$B$18</f>
        <v>187.89738164116679</v>
      </c>
      <c r="V221" s="297">
        <f>+(V205)^EU!$B$18</f>
        <v>193.75485483457592</v>
      </c>
      <c r="W221" s="297">
        <f>+(W205)^EU!$B$18</f>
        <v>198.77025637000321</v>
      </c>
      <c r="X221" s="297">
        <f>+(X205)^EU!$B$18</f>
        <v>196.76807675996818</v>
      </c>
      <c r="Y221" s="297">
        <f>+(Y205)^EU!$B$18</f>
        <v>197.33591888789138</v>
      </c>
      <c r="Z221" s="297">
        <f>+(Z205)^EU!$B$18</f>
        <v>201.62127471921767</v>
      </c>
      <c r="AA221" s="297">
        <f>+(AA205)^EU!$B$18</f>
        <v>207.43334512778111</v>
      </c>
      <c r="AB221" s="297">
        <f>+(AB205)^EU!$B$18</f>
        <v>210.87379002105567</v>
      </c>
      <c r="AC221" s="297">
        <f>+(AC205)^EU!$B$18</f>
        <v>219.04514629866617</v>
      </c>
      <c r="AD221" s="297">
        <f>+(AD205)^EU!$B$18</f>
        <v>223.93979561939608</v>
      </c>
      <c r="AE221" s="297">
        <f>+(AE205)^EU!$B$18</f>
        <v>227.28006924846611</v>
      </c>
      <c r="AF221" s="297">
        <f>+(AF205)^EU!$B$18</f>
        <v>207.73213596360355</v>
      </c>
      <c r="AG221" s="297">
        <f>+(AG205)^EU!$B$18</f>
        <v>229.51032445810887</v>
      </c>
      <c r="AH221" s="297">
        <f>+(AH205)^EU!$B$18</f>
        <v>242.64032380678182</v>
      </c>
      <c r="AI221" s="297">
        <f>+(AI205)^EU!$B$18</f>
        <v>2530.8480103052998</v>
      </c>
      <c r="AJ221" s="297">
        <f>+(AJ205)^EU!$B$18</f>
        <v>4631.0027699412885</v>
      </c>
      <c r="AK221" s="297">
        <f>+(AK205)^EU!$B$18</f>
        <v>6100.4120913963261</v>
      </c>
      <c r="AL221" s="297">
        <f>+(AL205)^EU!$B$18</f>
        <v>7141.7669999381387</v>
      </c>
      <c r="AM221" s="297">
        <f>+(AM205)^EU!$B$18</f>
        <v>7940.7012860556097</v>
      </c>
      <c r="AN221" s="297">
        <f>+(AN205)^EU!$B$18</f>
        <v>8610.803280072605</v>
      </c>
      <c r="AO221" s="297">
        <f>+(AO205)^EU!$B$18</f>
        <v>9217.9249753901477</v>
      </c>
      <c r="AP221" s="297">
        <f>+(AP205)^EU!$B$18</f>
        <v>9799.9933070490988</v>
      </c>
      <c r="AQ221" s="297">
        <f>+(AQ205)^EU!$B$18</f>
        <v>10379.02205489904</v>
      </c>
      <c r="AR221" s="297">
        <f>+(AR205)^EU!$B$18</f>
        <v>10968.032881736246</v>
      </c>
      <c r="AS221" s="297">
        <f>+(AS205)^EU!$B$18</f>
        <v>11574.992173738641</v>
      </c>
      <c r="AT221" s="297">
        <f>+(AT205)^EU!$B$18</f>
        <v>12205.041617439019</v>
      </c>
      <c r="AU221" s="297">
        <f>+(AU205)^EU!$B$18</f>
        <v>12861.760432248191</v>
      </c>
      <c r="AV221" s="297">
        <f>+(AV205)^EU!$B$18</f>
        <v>13547.879613289804</v>
      </c>
      <c r="AW221" s="297">
        <f>+(AW205)^EU!$B$18</f>
        <v>14265.686532113523</v>
      </c>
      <c r="AX221" s="297">
        <f>+(AX205)^EU!$B$18</f>
        <v>15017.254769217581</v>
      </c>
      <c r="AY221" s="297">
        <f>+(AY205)^EU!$B$18</f>
        <v>15804.575412610862</v>
      </c>
      <c r="AZ221" s="297">
        <f>+(AZ205)^EU!$B$18</f>
        <v>16629.632878249868</v>
      </c>
      <c r="BA221" s="297">
        <f>+(BA205)^EU!$B$18</f>
        <v>17494.44955522033</v>
      </c>
      <c r="BB221" s="297">
        <f>+(BB205)^EU!$B$18</f>
        <v>18401.11298739375</v>
      </c>
      <c r="BC221" s="297">
        <f>+(BC205)^EU!$B$18</f>
        <v>19351.793325681258</v>
      </c>
      <c r="BD221" s="297">
        <f>+(BD205)^EU!$B$18</f>
        <v>20348.755413282943</v>
      </c>
      <c r="BE221" s="297">
        <f>+(BE205)^EU!$B$18</f>
        <v>21402.746848674258</v>
      </c>
      <c r="BF221" s="297">
        <f>+(BF205)^EU!$B$18</f>
        <v>22505.603815807855</v>
      </c>
      <c r="BG221" s="297">
        <f>+(BG205)^EU!$B$18</f>
        <v>23660.272316814408</v>
      </c>
      <c r="BH221" s="297">
        <f>+(BH205)^EU!$B$18</f>
        <v>24869.995069868422</v>
      </c>
      <c r="BI221" s="297">
        <f>+(BI205)^EU!$B$18</f>
        <v>24869.995069868422</v>
      </c>
    </row>
    <row r="222" spans="1:61" s="298" customFormat="1" ht="15" x14ac:dyDescent="0.2">
      <c r="A222" s="296" t="s">
        <v>51</v>
      </c>
      <c r="B222" s="297">
        <f>+(B206)^Japan!$B$18</f>
        <v>139.64925432086304</v>
      </c>
      <c r="C222" s="297">
        <f>+(C206)^Japan!$B$18</f>
        <v>142.38983480534353</v>
      </c>
      <c r="D222" s="297">
        <f>+(D206)^Japan!$B$18</f>
        <v>154.75483028712148</v>
      </c>
      <c r="E222" s="297">
        <f>+(E206)^Japan!$B$18</f>
        <v>170.43728236778236</v>
      </c>
      <c r="F222" s="297">
        <f>+(F206)^Japan!$B$18</f>
        <v>189.3491831657189</v>
      </c>
      <c r="G222" s="297">
        <f>+(G206)^Japan!$B$18</f>
        <v>212.03392738510749</v>
      </c>
      <c r="H222" s="297">
        <f>+(H206)^Japan!$B$18</f>
        <v>235.0941038402373</v>
      </c>
      <c r="I222" s="297">
        <f>+(I206)^Japan!$B$18</f>
        <v>252.25298291187224</v>
      </c>
      <c r="J222" s="297">
        <f>+(J206)^Japan!$B$18</f>
        <v>261.48896467503511</v>
      </c>
      <c r="K222" s="297">
        <f>+(K206)^Japan!$B$18</f>
        <v>271.80941060859561</v>
      </c>
      <c r="L222" s="297">
        <f>+(L206)^Japan!$B$18</f>
        <v>286.62116564114274</v>
      </c>
      <c r="M222" s="297">
        <f>+(M206)^Japan!$B$18</f>
        <v>278.98104034880663</v>
      </c>
      <c r="N222" s="297">
        <f>+(N206)^Japan!$B$18</f>
        <v>276.92277607738157</v>
      </c>
      <c r="O222" s="297">
        <f>+(O206)^Japan!$B$18</f>
        <v>281.1841591291265</v>
      </c>
      <c r="P222" s="297">
        <f>+(P206)^Japan!$B$18</f>
        <v>288.35479292420632</v>
      </c>
      <c r="Q222" s="297">
        <f>+(Q206)^Japan!$B$18</f>
        <v>293.7688068366536</v>
      </c>
      <c r="R222" s="297">
        <f>+(R206)^Japan!$B$18</f>
        <v>297.59834078459227</v>
      </c>
      <c r="S222" s="297">
        <f>+(S206)^Japan!$B$18</f>
        <v>301.90877394870671</v>
      </c>
      <c r="T222" s="297">
        <f>+(T206)^Japan!$B$18</f>
        <v>294.27874932439573</v>
      </c>
      <c r="U222" s="297">
        <f>+(U206)^Japan!$B$18</f>
        <v>267.34045880866438</v>
      </c>
      <c r="V222" s="297">
        <f>+(V206)^Japan!$B$18</f>
        <v>281.46206708504684</v>
      </c>
      <c r="W222" s="297">
        <f>+(W206)^Japan!$B$18</f>
        <v>279.09459910496827</v>
      </c>
      <c r="X222" s="297">
        <f>+(X206)^Japan!$B$18</f>
        <v>282.18613865570677</v>
      </c>
      <c r="Y222" s="297">
        <f>+(Y206)^Japan!$B$18</f>
        <v>287.9869022849694</v>
      </c>
      <c r="Z222" s="297">
        <f>+(Z206)^Japan!$B$18</f>
        <v>286.50853707182722</v>
      </c>
      <c r="AA222" s="297">
        <f>+(AA206)^Japan!$B$18</f>
        <v>290.28236759481263</v>
      </c>
      <c r="AB222" s="297">
        <f>+(AB206)^Japan!$B$18</f>
        <v>289.43456512250594</v>
      </c>
      <c r="AC222" s="297">
        <f>+(AC206)^Japan!$B$18</f>
        <v>294.23440238271547</v>
      </c>
      <c r="AD222" s="297">
        <f>+(AD206)^Japan!$B$18</f>
        <v>294.52081715605931</v>
      </c>
      <c r="AE222" s="297">
        <f>+(AE206)^Japan!$B$18</f>
        <v>289.88834481759704</v>
      </c>
      <c r="AF222" s="297">
        <f>+(AF206)^Japan!$B$18</f>
        <v>270.78497146880125</v>
      </c>
      <c r="AG222" s="297">
        <f>+(AG206)^Japan!$B$18</f>
        <v>281.55792722066889</v>
      </c>
      <c r="AH222" s="297">
        <f>+(AH206)^Japan!$B$18</f>
        <v>285.57478027364067</v>
      </c>
      <c r="AI222" s="297">
        <f>+(AI206)^Japan!$B$18</f>
        <v>2629.1286606806689</v>
      </c>
      <c r="AJ222" s="297">
        <f>+(AJ206)^Japan!$B$18</f>
        <v>4654.1408678658336</v>
      </c>
      <c r="AK222" s="297">
        <f>+(AK206)^Japan!$B$18</f>
        <v>6071.20964504326</v>
      </c>
      <c r="AL222" s="297">
        <f>+(AL206)^Japan!$B$18</f>
        <v>7081.6700136473964</v>
      </c>
      <c r="AM222" s="297">
        <f>+(AM206)^Japan!$B$18</f>
        <v>7861.645404556466</v>
      </c>
      <c r="AN222" s="297">
        <f>+(AN206)^Japan!$B$18</f>
        <v>8519.1680889338386</v>
      </c>
      <c r="AO222" s="297">
        <f>+(AO206)^Japan!$B$18</f>
        <v>9117.1297871317929</v>
      </c>
      <c r="AP222" s="297">
        <f>+(AP206)^Japan!$B$18</f>
        <v>9691.9026677578368</v>
      </c>
      <c r="AQ222" s="297">
        <f>+(AQ206)^Japan!$B$18</f>
        <v>10264.690449374602</v>
      </c>
      <c r="AR222" s="297">
        <f>+(AR206)^Japan!$B$18</f>
        <v>10848.099329053322</v>
      </c>
      <c r="AS222" s="297">
        <f>+(AS206)^Japan!$B$18</f>
        <v>11449.889811011333</v>
      </c>
      <c r="AT222" s="297">
        <f>+(AT206)^Japan!$B$18</f>
        <v>12075.109389485675</v>
      </c>
      <c r="AU222" s="297">
        <f>+(AU206)^Japan!$B$18</f>
        <v>12727.303047344489</v>
      </c>
      <c r="AV222" s="297">
        <f>+(AV206)^Japan!$B$18</f>
        <v>13409.200290224198</v>
      </c>
      <c r="AW222" s="297">
        <f>+(AW206)^Japan!$B$18</f>
        <v>14123.105568976331</v>
      </c>
      <c r="AX222" s="297">
        <f>+(AX206)^Japan!$B$18</f>
        <v>14871.120842739667</v>
      </c>
      <c r="AY222" s="297">
        <f>+(AY206)^Japan!$B$18</f>
        <v>15655.273259141537</v>
      </c>
      <c r="AZ222" s="297">
        <f>+(AZ206)^Japan!$B$18</f>
        <v>16477.589279091022</v>
      </c>
      <c r="BA222" s="297">
        <f>+(BA206)^Japan!$B$18</f>
        <v>17340.138636569958</v>
      </c>
      <c r="BB222" s="297">
        <f>+(BB206)^Japan!$B$18</f>
        <v>18245.06136669957</v>
      </c>
      <c r="BC222" s="297">
        <f>+(BC206)^Japan!$B$18</f>
        <v>19194.585387618336</v>
      </c>
      <c r="BD222" s="297">
        <f>+(BD206)^Japan!$B$18</f>
        <v>20191.038871060377</v>
      </c>
      <c r="BE222" s="297">
        <f>+(BE206)^Japan!$B$18</f>
        <v>21245.712663977469</v>
      </c>
      <c r="BF222" s="297">
        <f>+(BF206)^Japan!$B$18</f>
        <v>22349.918823065615</v>
      </c>
      <c r="BG222" s="297">
        <f>+(BG206)^Japan!$B$18</f>
        <v>23506.713827024618</v>
      </c>
      <c r="BH222" s="297">
        <f>+(BH206)^Japan!$B$18</f>
        <v>24719.452743136415</v>
      </c>
      <c r="BI222" s="297">
        <f>+(BI206)^Japan!$B$18</f>
        <v>24719.452743136415</v>
      </c>
    </row>
    <row r="223" spans="1:61" s="298" customFormat="1" ht="15" x14ac:dyDescent="0.2">
      <c r="A223" s="296" t="s">
        <v>52</v>
      </c>
      <c r="B223" s="297">
        <f>+(B207)^Russia!$B$18</f>
        <v>76.050860204697045</v>
      </c>
      <c r="C223" s="297">
        <f>+(C207)^Russia!$B$18</f>
        <v>74.675366012422458</v>
      </c>
      <c r="D223" s="297">
        <f>+(D207)^Russia!$B$18</f>
        <v>63.291688583746478</v>
      </c>
      <c r="E223" s="297">
        <f>+(E207)^Russia!$B$18</f>
        <v>59.856057167099557</v>
      </c>
      <c r="F223" s="297">
        <f>+(F207)^Russia!$B$18</f>
        <v>52.626827299251723</v>
      </c>
      <c r="G223" s="297">
        <f>+(G207)^Russia!$B$18</f>
        <v>53.012022492697767</v>
      </c>
      <c r="H223" s="297">
        <f>+(H207)^Russia!$B$18</f>
        <v>53.783860593022197</v>
      </c>
      <c r="I223" s="297">
        <f>+(I207)^Russia!$B$18</f>
        <v>58.946308106947157</v>
      </c>
      <c r="J223" s="297">
        <f>+(J207)^Russia!$B$18</f>
        <v>58.263740329646623</v>
      </c>
      <c r="K223" s="297">
        <f>+(K207)^Russia!$B$18</f>
        <v>67.546776702791007</v>
      </c>
      <c r="L223" s="297">
        <f>+(L207)^Russia!$B$18</f>
        <v>78.900410085480573</v>
      </c>
      <c r="M223" s="297">
        <f>+(M207)^Russia!$B$18</f>
        <v>82.321114405541351</v>
      </c>
      <c r="N223" s="297">
        <f>+(N207)^Russia!$B$18</f>
        <v>87.026733542884756</v>
      </c>
      <c r="O223" s="297">
        <f>+(O207)^Russia!$B$18</f>
        <v>95.480408271002418</v>
      </c>
      <c r="P223" s="297">
        <f>+(P207)^Russia!$B$18</f>
        <v>104.63307206652163</v>
      </c>
      <c r="Q223" s="297">
        <f>+(Q207)^Russia!$B$18</f>
        <v>113.30451588762411</v>
      </c>
      <c r="R223" s="297">
        <f>+(R207)^Russia!$B$18</f>
        <v>125.88637603294563</v>
      </c>
      <c r="S223" s="297">
        <f>+(S207)^Russia!$B$18</f>
        <v>140.42487997477406</v>
      </c>
      <c r="T223" s="297">
        <f>+(T207)^Russia!$B$18</f>
        <v>149.61408085045284</v>
      </c>
      <c r="U223" s="297">
        <f>+(U207)^Russia!$B$18</f>
        <v>130.69972007083135</v>
      </c>
      <c r="V223" s="297">
        <f>+(V207)^Russia!$B$18</f>
        <v>138.11206727795229</v>
      </c>
      <c r="W223" s="297">
        <f>+(W207)^Russia!$B$18</f>
        <v>145.95828058898627</v>
      </c>
      <c r="X223" s="297">
        <f>+(X207)^Russia!$B$18</f>
        <v>153.56484385661236</v>
      </c>
      <c r="Y223" s="297">
        <f>+(Y207)^Russia!$B$18</f>
        <v>156.31554537487617</v>
      </c>
      <c r="Z223" s="297">
        <f>+(Z207)^Russia!$B$18</f>
        <v>156.71438264478684</v>
      </c>
      <c r="AA223" s="297">
        <f>+(AA207)^Russia!$B$18</f>
        <v>150.75911064238136</v>
      </c>
      <c r="AB223" s="297">
        <f>+(AB207)^Russia!$B$18</f>
        <v>149.28333085466616</v>
      </c>
      <c r="AC223" s="297">
        <f>+(AC207)^Russia!$B$18</f>
        <v>152.22983219685548</v>
      </c>
      <c r="AD223" s="297">
        <f>+(AD207)^Russia!$B$18</f>
        <v>157.46390484888062</v>
      </c>
      <c r="AE223" s="297">
        <f>+(AE207)^Russia!$B$18</f>
        <v>161.29762404778035</v>
      </c>
      <c r="AF223" s="297">
        <f>+(AF207)^Russia!$B$18</f>
        <v>154.29351813030684</v>
      </c>
      <c r="AG223" s="297">
        <f>+(AG207)^Russia!$B$18</f>
        <v>167.6107964819048</v>
      </c>
      <c r="AH223" s="297">
        <f>+(AH207)^Russia!$B$18</f>
        <v>162.43630599916168</v>
      </c>
      <c r="AI223" s="297">
        <f>+(AI207)^Russia!$B$18</f>
        <v>1545.0646057171778</v>
      </c>
      <c r="AJ223" s="297">
        <f>+(AJ207)^Russia!$B$18</f>
        <v>2754.5495652990085</v>
      </c>
      <c r="AK223" s="297">
        <f>+(AK207)^Russia!$B$18</f>
        <v>3607.0076973243877</v>
      </c>
      <c r="AL223" s="297">
        <f>+(AL207)^Russia!$B$18</f>
        <v>4218.2228076876254</v>
      </c>
      <c r="AM223" s="297">
        <f>+(AM207)^Russia!$B$18</f>
        <v>4692.2490477019592</v>
      </c>
      <c r="AN223" s="297">
        <f>+(AN207)^Russia!$B$18</f>
        <v>5093.2469533441308</v>
      </c>
      <c r="AO223" s="297">
        <f>+(AO207)^Russia!$B$18</f>
        <v>5458.6817234667942</v>
      </c>
      <c r="AP223" s="297">
        <f>+(AP207)^Russia!$B$18</f>
        <v>5810.2740400208777</v>
      </c>
      <c r="AQ223" s="297">
        <f>+(AQ207)^Russia!$B$18</f>
        <v>6160.715620665278</v>
      </c>
      <c r="AR223" s="297">
        <f>+(AR207)^Russia!$B$18</f>
        <v>6517.5700319815041</v>
      </c>
      <c r="AS223" s="297">
        <f>+(AS207)^Russia!$B$18</f>
        <v>6885.5056578580534</v>
      </c>
      <c r="AT223" s="297">
        <f>+(AT207)^Russia!$B$18</f>
        <v>7267.5677114275531</v>
      </c>
      <c r="AU223" s="297">
        <f>+(AU207)^Russia!$B$18</f>
        <v>7665.9015629879377</v>
      </c>
      <c r="AV223" s="297">
        <f>+(AV207)^Russia!$B$18</f>
        <v>8082.1639522107498</v>
      </c>
      <c r="AW223" s="297">
        <f>+(AW207)^Russia!$B$18</f>
        <v>8517.7570156314341</v>
      </c>
      <c r="AX223" s="297">
        <f>+(AX207)^Russia!$B$18</f>
        <v>8973.9618754896928</v>
      </c>
      <c r="AY223" s="297">
        <f>+(AY207)^Russia!$B$18</f>
        <v>9452.01537246716</v>
      </c>
      <c r="AZ223" s="297">
        <f>+(AZ207)^Russia!$B$18</f>
        <v>9953.1546659964497</v>
      </c>
      <c r="BA223" s="297">
        <f>+(BA207)^Russia!$B$18</f>
        <v>10478.643716884621</v>
      </c>
      <c r="BB223" s="297">
        <f>+(BB207)^Russia!$B$18</f>
        <v>11029.789592308884</v>
      </c>
      <c r="BC223" s="297">
        <f>+(BC207)^Russia!$B$18</f>
        <v>11607.95309023023</v>
      </c>
      <c r="BD223" s="297">
        <f>+(BD207)^Russia!$B$18</f>
        <v>12214.556230261398</v>
      </c>
      <c r="BE223" s="297">
        <f>+(BE207)^Russia!$B$18</f>
        <v>12856.184647669523</v>
      </c>
      <c r="BF223" s="297">
        <f>+(BF207)^Russia!$B$18</f>
        <v>13527.928639575422</v>
      </c>
      <c r="BG223" s="297">
        <f>+(BG207)^Russia!$B$18</f>
        <v>14231.640971784263</v>
      </c>
      <c r="BH223" s="297">
        <f>+(BH207)^Russia!$B$18</f>
        <v>14969.350455932896</v>
      </c>
      <c r="BI223" s="297">
        <f>+(BI207)^Russia!$B$18</f>
        <v>14969.350455932896</v>
      </c>
    </row>
    <row r="224" spans="1:61" s="298" customFormat="1" ht="15" x14ac:dyDescent="0.2">
      <c r="A224" s="296" t="s">
        <v>53</v>
      </c>
      <c r="B224" s="297">
        <f>+(B208)^Eurasia!$B$18</f>
        <v>30.523788026353877</v>
      </c>
      <c r="C224" s="297">
        <f>+(C208)^Eurasia!$B$18</f>
        <v>24.506727733835145</v>
      </c>
      <c r="D224" s="297">
        <f>+(D208)^Eurasia!$B$18</f>
        <v>20.618711421886218</v>
      </c>
      <c r="E224" s="297">
        <f>+(E208)^Eurasia!$B$18</f>
        <v>18.167281271720444</v>
      </c>
      <c r="F224" s="297">
        <f>+(F208)^Eurasia!$B$18</f>
        <v>15.433905180459641</v>
      </c>
      <c r="G224" s="297">
        <f>+(G208)^Eurasia!$B$18</f>
        <v>20.481107768585922</v>
      </c>
      <c r="H224" s="297">
        <f>+(H208)^Eurasia!$B$18</f>
        <v>21.583471610585821</v>
      </c>
      <c r="I224" s="297">
        <f>+(I208)^Eurasia!$B$18</f>
        <v>22.837107618624518</v>
      </c>
      <c r="J224" s="297">
        <f>+(J208)^Eurasia!$B$18</f>
        <v>24.416539744496891</v>
      </c>
      <c r="K224" s="297">
        <f>+(K208)^Eurasia!$B$18</f>
        <v>25.517762368416772</v>
      </c>
      <c r="L224" s="297">
        <f>+(L208)^Eurasia!$B$18</f>
        <v>27.957148980458193</v>
      </c>
      <c r="M224" s="297">
        <f>+(M208)^Eurasia!$B$18</f>
        <v>30.442027589705514</v>
      </c>
      <c r="N224" s="297">
        <f>+(N208)^Eurasia!$B$18</f>
        <v>33.186961593609773</v>
      </c>
      <c r="O224" s="297">
        <f>+(O208)^Eurasia!$B$18</f>
        <v>36.565074970119937</v>
      </c>
      <c r="P224" s="297">
        <f>+(P208)^Eurasia!$B$18</f>
        <v>41.712696097889804</v>
      </c>
      <c r="Q224" s="297">
        <f>+(Q208)^Eurasia!$B$18</f>
        <v>45.737484584717286</v>
      </c>
      <c r="R224" s="297">
        <f>+(R208)^Eurasia!$B$18</f>
        <v>51.818305764052717</v>
      </c>
      <c r="S224" s="297">
        <f>+(S208)^Eurasia!$B$18</f>
        <v>58.632623080917057</v>
      </c>
      <c r="T224" s="297">
        <f>+(T208)^Eurasia!$B$18</f>
        <v>63.314265640970774</v>
      </c>
      <c r="U224" s="297">
        <f>+(U208)^Eurasia!$B$18</f>
        <v>58.07227022179017</v>
      </c>
      <c r="V224" s="297">
        <f>+(V208)^Eurasia!$B$18</f>
        <v>60.256710225098999</v>
      </c>
      <c r="W224" s="297">
        <f>+(W208)^Eurasia!$B$18</f>
        <v>64.140111287380478</v>
      </c>
      <c r="X224" s="297">
        <f>+(X208)^Eurasia!$B$18</f>
        <v>65.654003013706131</v>
      </c>
      <c r="Y224" s="297">
        <f>+(Y208)^Eurasia!$B$18</f>
        <v>67.542063722445675</v>
      </c>
      <c r="Z224" s="297">
        <f>+(Z208)^Eurasia!$B$18</f>
        <v>67.554738482546455</v>
      </c>
      <c r="AA224" s="297">
        <f>+(AA208)^Eurasia!$B$18</f>
        <v>67.117267177988012</v>
      </c>
      <c r="AB224" s="297">
        <f>+(AB208)^Eurasia!$B$18</f>
        <v>68.673219271914817</v>
      </c>
      <c r="AC224" s="297">
        <f>+(AC208)^Eurasia!$B$18</f>
        <v>72.503432922154175</v>
      </c>
      <c r="AD224" s="297">
        <f>+(AD208)^Eurasia!$B$18</f>
        <v>76.630479628659259</v>
      </c>
      <c r="AE224" s="297">
        <f>+(AE208)^Eurasia!$B$18</f>
        <v>80.476007905094903</v>
      </c>
      <c r="AF224" s="297">
        <f>+(AF208)^Eurasia!$B$18</f>
        <v>76.531007721425638</v>
      </c>
      <c r="AG224" s="297">
        <f>+(AG208)^Eurasia!$B$18</f>
        <v>83.489373250849823</v>
      </c>
      <c r="AH224" s="297">
        <f>+(AH208)^Eurasia!$B$18</f>
        <v>81.513942998858695</v>
      </c>
      <c r="AI224" s="297">
        <f>+(AI208)^Eurasia!$B$18</f>
        <v>1207.8673187800421</v>
      </c>
      <c r="AJ224" s="297">
        <f>+(AJ208)^Eurasia!$B$18</f>
        <v>2439.5734675612689</v>
      </c>
      <c r="AK224" s="297">
        <f>+(AK208)^Eurasia!$B$18</f>
        <v>3333.4804061429172</v>
      </c>
      <c r="AL224" s="297">
        <f>+(AL208)^Eurasia!$B$18</f>
        <v>3973.7689651641672</v>
      </c>
      <c r="AM224" s="297">
        <f>+(AM208)^Eurasia!$B$18</f>
        <v>4466.648446997483</v>
      </c>
      <c r="AN224" s="297">
        <f>+(AN208)^Eurasia!$B$18</f>
        <v>4879.9082009527447</v>
      </c>
      <c r="AO224" s="297">
        <f>+(AO208)^Eurasia!$B$18</f>
        <v>5253.4915213926479</v>
      </c>
      <c r="AP224" s="297">
        <f>+(AP208)^Eurasia!$B$18</f>
        <v>5610.6366055172612</v>
      </c>
      <c r="AQ224" s="297">
        <f>+(AQ208)^Eurasia!$B$18</f>
        <v>5964.9351906706042</v>
      </c>
      <c r="AR224" s="297">
        <f>+(AR208)^Eurasia!$B$18</f>
        <v>6324.4762287172125</v>
      </c>
      <c r="AS224" s="297">
        <f>+(AS208)^Eurasia!$B$18</f>
        <v>6694.2309802499094</v>
      </c>
      <c r="AT224" s="297">
        <f>+(AT208)^Eurasia!$B$18</f>
        <v>7077.4168530483903</v>
      </c>
      <c r="AU224" s="297">
        <f>+(AU208)^Eurasia!$B$18</f>
        <v>7476.2752285963088</v>
      </c>
      <c r="AV224" s="297">
        <f>+(AV208)^Eurasia!$B$18</f>
        <v>7892.5146747368653</v>
      </c>
      <c r="AW224" s="297">
        <f>+(AW208)^Eurasia!$B$18</f>
        <v>8327.5636029716607</v>
      </c>
      <c r="AX224" s="297">
        <f>+(AX208)^Eurasia!$B$18</f>
        <v>8782.7146152661189</v>
      </c>
      <c r="AY224" s="297">
        <f>+(AY208)^Eurasia!$B$18</f>
        <v>9259.2073941324034</v>
      </c>
      <c r="AZ224" s="297">
        <f>+(AZ208)^Eurasia!$B$18</f>
        <v>9758.2767885375142</v>
      </c>
      <c r="BA224" s="297">
        <f>+(BA208)^Eurasia!$B$18</f>
        <v>10281.181239839641</v>
      </c>
      <c r="BB224" s="297">
        <f>+(BB208)^Eurasia!$B$18</f>
        <v>10829.220145259595</v>
      </c>
      <c r="BC224" s="297">
        <f>+(BC208)^Eurasia!$B$18</f>
        <v>11403.745036569182</v>
      </c>
      <c r="BD224" s="297">
        <f>+(BD208)^Eurasia!$B$18</f>
        <v>12006.167340238577</v>
      </c>
      <c r="BE224" s="297">
        <f>+(BE208)^Eurasia!$B$18</f>
        <v>12641.072277340945</v>
      </c>
      <c r="BF224" s="297">
        <f>+(BF208)^Eurasia!$B$18</f>
        <v>13306.063270319039</v>
      </c>
      <c r="BG224" s="297">
        <f>+(BG208)^Eurasia!$B$18</f>
        <v>14002.893969811408</v>
      </c>
      <c r="BH224" s="297">
        <f>+(BH208)^Eurasia!$B$18</f>
        <v>14733.456158120533</v>
      </c>
      <c r="BI224" s="297">
        <f>+(BI208)^Eurasia!$B$18</f>
        <v>14733.456158120533</v>
      </c>
    </row>
    <row r="225" spans="1:122" s="298" customFormat="1" ht="15" x14ac:dyDescent="0.2">
      <c r="A225" s="296" t="s">
        <v>54</v>
      </c>
      <c r="B225" s="297">
        <f>+(B209)^China!$B$18</f>
        <v>0.70972921227288488</v>
      </c>
      <c r="C225" s="297">
        <f>+(C209)^China!$B$18</f>
        <v>0.97045725841202324</v>
      </c>
      <c r="D225" s="297">
        <f>+(D209)^China!$B$18</f>
        <v>1.140512380333528</v>
      </c>
      <c r="E225" s="297">
        <f>+(E209)^China!$B$18</f>
        <v>1.3916091258341947</v>
      </c>
      <c r="F225" s="297">
        <f>+(F209)^China!$B$18</f>
        <v>1.7225621929004431</v>
      </c>
      <c r="G225" s="297">
        <f>+(G209)^China!$B$18</f>
        <v>2.109639162924585</v>
      </c>
      <c r="H225" s="297">
        <f>+(H209)^China!$B$18</f>
        <v>2.5549141821467489</v>
      </c>
      <c r="I225" s="297">
        <f>+(I209)^China!$B$18</f>
        <v>3.0613095698996324</v>
      </c>
      <c r="J225" s="297">
        <f>+(J209)^China!$B$18</f>
        <v>3.5979415614658192</v>
      </c>
      <c r="K225" s="297">
        <f>+(K209)^China!$B$18</f>
        <v>4.1741219507156817</v>
      </c>
      <c r="L225" s="297">
        <f>+(L209)^China!$B$18</f>
        <v>4.7385665398652286</v>
      </c>
      <c r="M225" s="297">
        <f>+(M209)^China!$B$18</f>
        <v>5.3737213346617114</v>
      </c>
      <c r="N225" s="297">
        <f>+(N209)^China!$B$18</f>
        <v>6.1007873290126593</v>
      </c>
      <c r="O225" s="297">
        <f>+(O209)^China!$B$18</f>
        <v>7.0147396208842618</v>
      </c>
      <c r="P225" s="297">
        <f>+(P209)^China!$B$18</f>
        <v>8.076164097312537</v>
      </c>
      <c r="Q225" s="297">
        <f>+(Q209)^China!$B$18</f>
        <v>9.4515188029922701</v>
      </c>
      <c r="R225" s="297">
        <f>+(R209)^China!$B$18</f>
        <v>11.264945859268629</v>
      </c>
      <c r="S225" s="297">
        <f>+(S209)^China!$B$18</f>
        <v>13.692203380090199</v>
      </c>
      <c r="T225" s="297">
        <f>+(T209)^China!$B$18</f>
        <v>15.658586165004744</v>
      </c>
      <c r="U225" s="297">
        <f>+(U209)^China!$B$18</f>
        <v>17.833343644671604</v>
      </c>
      <c r="V225" s="297">
        <f>+(V209)^China!$B$18</f>
        <v>20.575290169395519</v>
      </c>
      <c r="W225" s="297">
        <f>+(W209)^China!$B$18</f>
        <v>23.314492200737064</v>
      </c>
      <c r="X225" s="297">
        <f>+(X209)^China!$B$18</f>
        <v>25.795820489304489</v>
      </c>
      <c r="Y225" s="297">
        <f>+(Y209)^China!$B$18</f>
        <v>28.504908288107266</v>
      </c>
      <c r="Z225" s="297">
        <f>+(Z209)^China!$B$18</f>
        <v>31.342175138232619</v>
      </c>
      <c r="AA225" s="297">
        <f>+(AA209)^China!$B$18</f>
        <v>34.254421006248194</v>
      </c>
      <c r="AB225" s="297">
        <f>+(AB209)^China!$B$18</f>
        <v>37.215612901776552</v>
      </c>
      <c r="AC225" s="297">
        <f>+(AC209)^China!$B$18</f>
        <v>40.672024821867339</v>
      </c>
      <c r="AD225" s="297">
        <f>+(AD209)^China!$B$18</f>
        <v>44.32187140639553</v>
      </c>
      <c r="AE225" s="297">
        <f>+(AE209)^China!$B$18</f>
        <v>47.704588776748203</v>
      </c>
      <c r="AF225" s="297">
        <f>+(AF209)^China!$B$18</f>
        <v>48.942068213036869</v>
      </c>
      <c r="AG225" s="297">
        <f>+(AG209)^China!$B$18</f>
        <v>55.222196751164354</v>
      </c>
      <c r="AH225" s="297">
        <f>+(AH209)^China!$B$18</f>
        <v>57.555346099768101</v>
      </c>
      <c r="AI225" s="297">
        <f>+(AI209)^China!$B$18</f>
        <v>997.09042604820343</v>
      </c>
      <c r="AJ225" s="297">
        <f>+(AJ209)^China!$B$18</f>
        <v>2035.8786040337066</v>
      </c>
      <c r="AK225" s="297">
        <f>+(AK209)^China!$B$18</f>
        <v>2757.3537144714783</v>
      </c>
      <c r="AL225" s="297">
        <f>+(AL209)^China!$B$18</f>
        <v>3260.0514247337255</v>
      </c>
      <c r="AM225" s="297">
        <f>+(AM209)^China!$B$18</f>
        <v>3640.9452344910105</v>
      </c>
      <c r="AN225" s="297">
        <f>+(AN209)^China!$B$18</f>
        <v>3957.6532752184867</v>
      </c>
      <c r="AO225" s="297">
        <f>+(AO209)^China!$B$18</f>
        <v>4242.8343693360466</v>
      </c>
      <c r="AP225" s="297">
        <f>+(AP209)^China!$B$18</f>
        <v>4514.9463671070962</v>
      </c>
      <c r="AQ225" s="297">
        <f>+(AQ209)^China!$B$18</f>
        <v>4784.5102199965404</v>
      </c>
      <c r="AR225" s="297">
        <f>+(AR209)^China!$B$18</f>
        <v>5057.6290850895712</v>
      </c>
      <c r="AS225" s="297">
        <f>+(AS209)^China!$B$18</f>
        <v>5337.9536143630157</v>
      </c>
      <c r="AT225" s="297">
        <f>+(AT209)^China!$B$18</f>
        <v>5627.7786723625131</v>
      </c>
      <c r="AU225" s="297">
        <f>+(AU209)^China!$B$18</f>
        <v>5928.6553423741343</v>
      </c>
      <c r="AV225" s="297">
        <f>+(AV209)^China!$B$18</f>
        <v>6241.7324740596086</v>
      </c>
      <c r="AW225" s="297">
        <f>+(AW209)^China!$B$18</f>
        <v>6567.9473653811347</v>
      </c>
      <c r="AX225" s="297">
        <f>+(AX209)^China!$B$18</f>
        <v>6908.1323432181989</v>
      </c>
      <c r="AY225" s="297">
        <f>+(AY209)^China!$B$18</f>
        <v>7263.0745053245064</v>
      </c>
      <c r="AZ225" s="297">
        <f>+(AZ209)^China!$B$18</f>
        <v>7633.5494089949698</v>
      </c>
      <c r="BA225" s="297">
        <f>+(BA209)^China!$B$18</f>
        <v>8020.3402921251254</v>
      </c>
      <c r="BB225" s="297">
        <f>+(BB209)^China!$B$18</f>
        <v>8424.2492791729637</v>
      </c>
      <c r="BC225" s="297">
        <f>+(BC209)^China!$B$18</f>
        <v>8846.104162591042</v>
      </c>
      <c r="BD225" s="297">
        <f>+(BD209)^China!$B$18</f>
        <v>9286.7627559953307</v>
      </c>
      <c r="BE225" s="297">
        <f>+(BE209)^China!$B$18</f>
        <v>9750.3283270714619</v>
      </c>
      <c r="BF225" s="297">
        <f>+(BF209)^China!$B$18</f>
        <v>10233.639508392202</v>
      </c>
      <c r="BG225" s="297">
        <f>+(BG209)^China!$B$18</f>
        <v>10737.779173126904</v>
      </c>
      <c r="BH225" s="297">
        <f>+(BH209)^China!$B$18</f>
        <v>11263.962280473121</v>
      </c>
      <c r="BI225" s="297">
        <f>+(BI209)^China!$B$18</f>
        <v>11263.962280473121</v>
      </c>
    </row>
    <row r="226" spans="1:122" s="298" customFormat="1" ht="15" x14ac:dyDescent="0.2">
      <c r="A226" s="296" t="s">
        <v>55</v>
      </c>
      <c r="B226" s="297">
        <f>+(B210)^India!$B$18</f>
        <v>1.02401134029823</v>
      </c>
      <c r="C226" s="297">
        <f>+(C210)^India!$B$18</f>
        <v>0.8976159277163841</v>
      </c>
      <c r="D226" s="297">
        <f>+(D210)^India!$B$18</f>
        <v>0.86333331564219129</v>
      </c>
      <c r="E226" s="297">
        <f>+(E210)^India!$B$18</f>
        <v>0.85653038895405442</v>
      </c>
      <c r="F226" s="297">
        <f>+(F210)^India!$B$18</f>
        <v>0.9046851268774958</v>
      </c>
      <c r="G226" s="297">
        <f>+(G210)^India!$B$18</f>
        <v>1.0079100664656699</v>
      </c>
      <c r="H226" s="297">
        <f>+(H210)^India!$B$18</f>
        <v>1.1446718880749687</v>
      </c>
      <c r="I226" s="297">
        <f>+(I210)^India!$B$18</f>
        <v>1.2329665773419693</v>
      </c>
      <c r="J226" s="297">
        <f>+(J210)^India!$B$18</f>
        <v>1.3673614346530067</v>
      </c>
      <c r="K226" s="297">
        <f>+(K210)^India!$B$18</f>
        <v>1.5782261098681469</v>
      </c>
      <c r="L226" s="297">
        <f>+(L210)^India!$B$18</f>
        <v>1.6930158448202661</v>
      </c>
      <c r="M226" s="297">
        <f>+(M210)^India!$B$18</f>
        <v>1.8361312744082756</v>
      </c>
      <c r="N226" s="297">
        <f>+(N210)^India!$B$18</f>
        <v>1.9724414410045967</v>
      </c>
      <c r="O226" s="297">
        <f>+(O210)^India!$B$18</f>
        <v>2.2469795171213875</v>
      </c>
      <c r="P226" s="297">
        <f>+(P210)^India!$B$18</f>
        <v>2.5641815978070412</v>
      </c>
      <c r="Q226" s="297">
        <f>+(Q210)^India!$B$18</f>
        <v>2.9187942782585505</v>
      </c>
      <c r="R226" s="297">
        <f>+(R210)^India!$B$18</f>
        <v>3.3350608794012224</v>
      </c>
      <c r="S226" s="297">
        <f>+(S210)^India!$B$18</f>
        <v>3.7874112844503829</v>
      </c>
      <c r="T226" s="297">
        <f>+(T210)^India!$B$18</f>
        <v>4.0361898749065919</v>
      </c>
      <c r="U226" s="297">
        <f>+(U210)^India!$B$18</f>
        <v>4.5919669460378767</v>
      </c>
      <c r="V226" s="297">
        <f>+(V210)^India!$B$18</f>
        <v>5.2090922467234098</v>
      </c>
      <c r="W226" s="297">
        <f>+(W210)^India!$B$18</f>
        <v>5.5885563727010368</v>
      </c>
      <c r="X226" s="297">
        <f>+(X210)^India!$B$18</f>
        <v>6.0038604975824681</v>
      </c>
      <c r="Y226" s="297">
        <f>+(Y210)^India!$B$18</f>
        <v>6.5361918053397616</v>
      </c>
      <c r="Z226" s="297">
        <f>+(Z210)^India!$B$18</f>
        <v>7.2161300041811236</v>
      </c>
      <c r="AA226" s="297">
        <f>+(AA210)^India!$B$18</f>
        <v>8.0219956155482137</v>
      </c>
      <c r="AB226" s="297">
        <f>+(AB210)^India!$B$18</f>
        <v>8.917745309114947</v>
      </c>
      <c r="AC226" s="297">
        <f>+(AC210)^India!$B$18</f>
        <v>9.7819307339341197</v>
      </c>
      <c r="AD226" s="297">
        <f>+(AD210)^India!$B$18</f>
        <v>10.675078228553263</v>
      </c>
      <c r="AE226" s="297">
        <f>+(AE210)^India!$B$18</f>
        <v>11.199796183280455</v>
      </c>
      <c r="AF226" s="297">
        <f>+(AF210)^India!$B$18</f>
        <v>10.193859087689182</v>
      </c>
      <c r="AG226" s="297">
        <f>+(AG210)^India!$B$18</f>
        <v>11.634288799144489</v>
      </c>
      <c r="AH226" s="297">
        <f>+(AH210)^India!$B$18</f>
        <v>12.915499176708357</v>
      </c>
      <c r="AI226" s="297">
        <f>+(AI210)^India!$B$18</f>
        <v>549.70665123858851</v>
      </c>
      <c r="AJ226" s="297">
        <f>+(AJ210)^India!$B$18</f>
        <v>1533.4223841480386</v>
      </c>
      <c r="AK226" s="297">
        <f>+(AK210)^India!$B$18</f>
        <v>2309.8582061712063</v>
      </c>
      <c r="AL226" s="297">
        <f>+(AL210)^India!$B$18</f>
        <v>2861.1016357585795</v>
      </c>
      <c r="AM226" s="297">
        <f>+(AM210)^India!$B$18</f>
        <v>3274.615597305788</v>
      </c>
      <c r="AN226" s="297">
        <f>+(AN210)^India!$B$18</f>
        <v>3611.9272880257854</v>
      </c>
      <c r="AO226" s="297">
        <f>+(AO210)^India!$B$18</f>
        <v>3909.9066828124874</v>
      </c>
      <c r="AP226" s="297">
        <f>+(AP210)^India!$B$18</f>
        <v>4190.0669580479544</v>
      </c>
      <c r="AQ226" s="297">
        <f>+(AQ210)^India!$B$18</f>
        <v>4464.963100893915</v>
      </c>
      <c r="AR226" s="297">
        <f>+(AR210)^India!$B$18</f>
        <v>4742.017113734476</v>
      </c>
      <c r="AS226" s="297">
        <f>+(AS210)^India!$B$18</f>
        <v>5025.7334174893922</v>
      </c>
      <c r="AT226" s="297">
        <f>+(AT210)^India!$B$18</f>
        <v>5318.9693646292153</v>
      </c>
      <c r="AU226" s="297">
        <f>+(AU210)^India!$B$18</f>
        <v>5623.6610875452643</v>
      </c>
      <c r="AV226" s="297">
        <f>+(AV210)^India!$B$18</f>
        <v>5941.2375155293694</v>
      </c>
      <c r="AW226" s="297">
        <f>+(AW210)^India!$B$18</f>
        <v>6272.8564686526115</v>
      </c>
      <c r="AX226" s="297">
        <f>+(AX210)^India!$B$18</f>
        <v>6619.5394614740871</v>
      </c>
      <c r="AY226" s="297">
        <f>+(AY210)^India!$B$18</f>
        <v>6982.2489524554039</v>
      </c>
      <c r="AZ226" s="297">
        <f>+(AZ210)^India!$B$18</f>
        <v>7361.9329545998917</v>
      </c>
      <c r="BA226" s="297">
        <f>+(BA210)^India!$B$18</f>
        <v>7759.5511817697188</v>
      </c>
      <c r="BB226" s="297">
        <f>+(BB210)^India!$B$18</f>
        <v>8176.0907856794929</v>
      </c>
      <c r="BC226" s="297">
        <f>+(BC210)^India!$B$18</f>
        <v>8612.5762569894287</v>
      </c>
      <c r="BD226" s="297">
        <f>+(BD210)^India!$B$18</f>
        <v>9070.0760854882155</v>
      </c>
      <c r="BE226" s="297">
        <f>+(BE210)^India!$B$18</f>
        <v>9553.4783691140947</v>
      </c>
      <c r="BF226" s="297">
        <f>+(BF210)^India!$B$18</f>
        <v>10059.169756646435</v>
      </c>
      <c r="BG226" s="297">
        <f>+(BG210)^India!$B$18</f>
        <v>10588.533399929938</v>
      </c>
      <c r="BH226" s="297">
        <f>+(BH210)^India!$B$18</f>
        <v>11143.084289013039</v>
      </c>
      <c r="BI226" s="297">
        <f>+(BI210)^India!$B$18</f>
        <v>11143.084289013039</v>
      </c>
    </row>
    <row r="227" spans="1:122" s="298" customFormat="1" ht="15" x14ac:dyDescent="0.2">
      <c r="A227" s="296" t="s">
        <v>56</v>
      </c>
      <c r="B227" s="297">
        <f>+(B211)^MidEast!$B$18</f>
        <v>5.2351744252080774</v>
      </c>
      <c r="C227" s="297">
        <f>+(C211)^MidEast!$B$18</f>
        <v>4.3586099938465486</v>
      </c>
      <c r="D227" s="297">
        <f>+(D211)^MidEast!$B$18</f>
        <v>4.0187894969417588</v>
      </c>
      <c r="E227" s="297">
        <f>+(E211)^MidEast!$B$18</f>
        <v>3.5154681183098178</v>
      </c>
      <c r="F227" s="297">
        <f>+(F211)^MidEast!$B$18</f>
        <v>3.1892399628469925</v>
      </c>
      <c r="G227" s="297">
        <f>+(G211)^MidEast!$B$18</f>
        <v>3.4162924168088926</v>
      </c>
      <c r="H227" s="297">
        <f>+(H211)^MidEast!$B$18</f>
        <v>3.4699731224831294</v>
      </c>
      <c r="I227" s="297">
        <f>+(I211)^MidEast!$B$18</f>
        <v>3.4478710783364632</v>
      </c>
      <c r="J227" s="297">
        <f>+(J211)^MidEast!$B$18</f>
        <v>3.4622976708249436</v>
      </c>
      <c r="K227" s="297">
        <f>+(K211)^MidEast!$B$18</f>
        <v>3.3743369922718935</v>
      </c>
      <c r="L227" s="297">
        <f>+(L211)^MidEast!$B$18</f>
        <v>3.8309862383562243</v>
      </c>
      <c r="M227" s="297">
        <f>+(M211)^MidEast!$B$18</f>
        <v>3.8771631200162839</v>
      </c>
      <c r="N227" s="297">
        <f>+(N211)^MidEast!$B$18</f>
        <v>4.0166998616574148</v>
      </c>
      <c r="O227" s="297">
        <f>+(O211)^MidEast!$B$18</f>
        <v>4.4081171972809745</v>
      </c>
      <c r="P227" s="297">
        <f>+(P211)^MidEast!$B$18</f>
        <v>5.0939964083136022</v>
      </c>
      <c r="Q227" s="297">
        <f>+(Q211)^MidEast!$B$18</f>
        <v>5.5336402959961806</v>
      </c>
      <c r="R227" s="297">
        <f>+(R211)^MidEast!$B$18</f>
        <v>6.1010369888649008</v>
      </c>
      <c r="S227" s="297">
        <f>+(S211)^MidEast!$B$18</f>
        <v>6.6767611409518279</v>
      </c>
      <c r="T227" s="297">
        <f>+(T211)^MidEast!$B$18</f>
        <v>7.2336256608695306</v>
      </c>
      <c r="U227" s="297">
        <f>+(U211)^MidEast!$B$18</f>
        <v>7.3173235357239275</v>
      </c>
      <c r="V227" s="297">
        <f>+(V211)^MidEast!$B$18</f>
        <v>7.9069182830222813</v>
      </c>
      <c r="W227" s="297">
        <f>+(W211)^MidEast!$B$18</f>
        <v>8.6668465749527499</v>
      </c>
      <c r="X227" s="297">
        <f>+(X211)^MidEast!$B$18</f>
        <v>8.9679624836375194</v>
      </c>
      <c r="Y227" s="297">
        <f>+(Y211)^MidEast!$B$18</f>
        <v>9.2446578730024651</v>
      </c>
      <c r="Z227" s="297">
        <f>+(Z211)^MidEast!$B$18</f>
        <v>9.6923361132817885</v>
      </c>
      <c r="AA227" s="297">
        <f>+(AA211)^MidEast!$B$18</f>
        <v>10.040380462054232</v>
      </c>
      <c r="AB227" s="297">
        <f>+(AB211)^MidEast!$B$18</f>
        <v>10.720351891417442</v>
      </c>
      <c r="AC227" s="297">
        <f>+(AC211)^MidEast!$B$18</f>
        <v>10.778913467508042</v>
      </c>
      <c r="AD227" s="297">
        <f>+(AD211)^MidEast!$B$18</f>
        <v>10.922150874169835</v>
      </c>
      <c r="AE227" s="297">
        <f>+(AE211)^MidEast!$B$18</f>
        <v>10.884940747663226</v>
      </c>
      <c r="AF227" s="297">
        <f>+(AF211)^MidEast!$B$18</f>
        <v>10.285752042840274</v>
      </c>
      <c r="AG227" s="297">
        <f>+(AG211)^MidEast!$B$18</f>
        <v>10.939918579944306</v>
      </c>
      <c r="AH227" s="297">
        <f>+(AH211)^MidEast!$B$18</f>
        <v>11.781811160242411</v>
      </c>
      <c r="AI227" s="297">
        <f>+(AI211)^MidEast!$B$18</f>
        <v>576.36995201464083</v>
      </c>
      <c r="AJ227" s="297">
        <f>+(AJ211)^MidEast!$B$18</f>
        <v>1645.974531983559</v>
      </c>
      <c r="AK227" s="297">
        <f>+(AK211)^MidEast!$B$18</f>
        <v>2484.6269860239963</v>
      </c>
      <c r="AL227" s="297">
        <f>+(AL211)^MidEast!$B$18</f>
        <v>3070.1695304004038</v>
      </c>
      <c r="AM227" s="297">
        <f>+(AM211)^MidEast!$B$18</f>
        <v>3501.817102918666</v>
      </c>
      <c r="AN227" s="297">
        <f>+(AN211)^MidEast!$B$18</f>
        <v>3848.6316420443782</v>
      </c>
      <c r="AO227" s="297">
        <f>+(AO211)^MidEast!$B$18</f>
        <v>4151.6482400327568</v>
      </c>
      <c r="AP227" s="297">
        <f>+(AP211)^MidEast!$B$18</f>
        <v>4434.6362487621764</v>
      </c>
      <c r="AQ227" s="297">
        <f>+(AQ211)^MidEast!$B$18</f>
        <v>4711.3718365259128</v>
      </c>
      <c r="AR227" s="297">
        <f>+(AR211)^MidEast!$B$18</f>
        <v>4989.9404609906178</v>
      </c>
      <c r="AS227" s="297">
        <f>+(AS211)^MidEast!$B$18</f>
        <v>5275.209168722</v>
      </c>
      <c r="AT227" s="297">
        <f>+(AT211)^MidEast!$B$18</f>
        <v>5570.235251237983</v>
      </c>
      <c r="AU227" s="297">
        <f>+(AU211)^MidEast!$B$18</f>
        <v>5877.0665028488856</v>
      </c>
      <c r="AV227" s="297">
        <f>+(AV211)^MidEast!$B$18</f>
        <v>6197.1954097119196</v>
      </c>
      <c r="AW227" s="297">
        <f>+(AW211)^MidEast!$B$18</f>
        <v>6531.8169919136726</v>
      </c>
      <c r="AX227" s="297">
        <f>+(AX211)^MidEast!$B$18</f>
        <v>6881.9754233739004</v>
      </c>
      <c r="AY227" s="297">
        <f>+(AY211)^MidEast!$B$18</f>
        <v>7248.6477328284982</v>
      </c>
      <c r="AZ227" s="297">
        <f>+(AZ211)^MidEast!$B$18</f>
        <v>7632.7919613277136</v>
      </c>
      <c r="BA227" s="297">
        <f>+(BA211)^MidEast!$B$18</f>
        <v>8035.3752772303942</v>
      </c>
      <c r="BB227" s="297">
        <f>+(BB211)^MidEast!$B$18</f>
        <v>8457.3908199853304</v>
      </c>
      <c r="BC227" s="297">
        <f>+(BC211)^MidEast!$B$18</f>
        <v>8899.8682335369231</v>
      </c>
      <c r="BD227" s="297">
        <f>+(BD211)^MidEast!$B$18</f>
        <v>9363.8806943507388</v>
      </c>
      <c r="BE227" s="297">
        <f>+(BE211)^MidEast!$B$18</f>
        <v>9855.2850441219198</v>
      </c>
      <c r="BF227" s="297">
        <f>+(BF211)^MidEast!$B$18</f>
        <v>10369.243836212625</v>
      </c>
      <c r="BG227" s="297">
        <f>+(BG211)^MidEast!$B$18</f>
        <v>10907.1851446583</v>
      </c>
      <c r="BH227" s="297">
        <f>+(BH211)^MidEast!$B$18</f>
        <v>11470.689862043153</v>
      </c>
      <c r="BI227" s="297">
        <f>+(BI211)^MidEast!$B$18</f>
        <v>11470.689862043153</v>
      </c>
    </row>
    <row r="228" spans="1:122" s="298" customFormat="1" ht="15" x14ac:dyDescent="0.2">
      <c r="A228" s="296" t="s">
        <v>57</v>
      </c>
      <c r="B228" s="297">
        <f>+(B212)^Africa!$B$18</f>
        <v>2.789399705532388</v>
      </c>
      <c r="C228" s="297">
        <f>+(C212)^Africa!$B$18</f>
        <v>2.0275704466803677</v>
      </c>
      <c r="D228" s="297">
        <f>+(D212)^Africa!$B$18</f>
        <v>1.616045922214268</v>
      </c>
      <c r="E228" s="297">
        <f>+(E212)^Africa!$B$18</f>
        <v>1.3220612706264112</v>
      </c>
      <c r="F228" s="297">
        <f>+(F212)^Africa!$B$18</f>
        <v>1.1729208040032786</v>
      </c>
      <c r="G228" s="297">
        <f>+(G212)^Africa!$B$18</f>
        <v>1.1357814373013266</v>
      </c>
      <c r="H228" s="297">
        <f>+(H212)^Africa!$B$18</f>
        <v>1.1732811998274228</v>
      </c>
      <c r="I228" s="297">
        <f>+(I212)^Africa!$B$18</f>
        <v>1.1842942246971071</v>
      </c>
      <c r="J228" s="297">
        <f>+(J212)^Africa!$B$18</f>
        <v>1.1861886850141528</v>
      </c>
      <c r="K228" s="297">
        <f>+(K212)^Africa!$B$18</f>
        <v>1.2948522767657338</v>
      </c>
      <c r="L228" s="297">
        <f>+(L212)^Africa!$B$18</f>
        <v>1.3853864660868416</v>
      </c>
      <c r="M228" s="297">
        <f>+(M212)^Africa!$B$18</f>
        <v>1.5180254005700951</v>
      </c>
      <c r="N228" s="297">
        <f>+(N212)^Africa!$B$18</f>
        <v>1.6806557946025598</v>
      </c>
      <c r="O228" s="297">
        <f>+(O212)^Africa!$B$18</f>
        <v>1.8600199634239634</v>
      </c>
      <c r="P228" s="297">
        <f>+(P212)^Africa!$B$18</f>
        <v>2.0900617656062663</v>
      </c>
      <c r="Q228" s="297">
        <f>+(Q212)^Africa!$B$18</f>
        <v>2.3467752633506689</v>
      </c>
      <c r="R228" s="297">
        <f>+(R212)^Africa!$B$18</f>
        <v>2.6437541218356819</v>
      </c>
      <c r="S228" s="297">
        <f>+(S212)^Africa!$B$18</f>
        <v>2.9789232588173302</v>
      </c>
      <c r="T228" s="297">
        <f>+(T212)^Africa!$B$18</f>
        <v>3.3174077323925402</v>
      </c>
      <c r="U228" s="297">
        <f>+(U212)^Africa!$B$18</f>
        <v>3.5664876954675964</v>
      </c>
      <c r="V228" s="297">
        <f>+(V212)^Africa!$B$18</f>
        <v>3.9287438873716303</v>
      </c>
      <c r="W228" s="297">
        <f>+(W212)^Africa!$B$18</f>
        <v>4.0446394537342858</v>
      </c>
      <c r="X228" s="297">
        <f>+(X212)^Africa!$B$18</f>
        <v>4.3125272837042328</v>
      </c>
      <c r="Y228" s="297">
        <f>+(Y212)^Africa!$B$18</f>
        <v>4.5188834594683565</v>
      </c>
      <c r="Z228" s="297">
        <f>+(Z212)^Africa!$B$18</f>
        <v>4.7158003525852461</v>
      </c>
      <c r="AA228" s="297">
        <f>+(AA212)^Africa!$B$18</f>
        <v>4.897100416431762</v>
      </c>
      <c r="AB228" s="297">
        <f>+(AB212)^Africa!$B$18</f>
        <v>4.9939723638261091</v>
      </c>
      <c r="AC228" s="297">
        <f>+(AC212)^Africa!$B$18</f>
        <v>5.2262712923190158</v>
      </c>
      <c r="AD228" s="297">
        <f>+(AD212)^Africa!$B$18</f>
        <v>5.4466339117645726</v>
      </c>
      <c r="AE228" s="297">
        <f>+(AE212)^Africa!$B$18</f>
        <v>5.6176070768330373</v>
      </c>
      <c r="AF228" s="297">
        <f>+(AF212)^Africa!$B$18</f>
        <v>5.4136566141408347</v>
      </c>
      <c r="AG228" s="297">
        <f>+(AG212)^Africa!$B$18</f>
        <v>5.8013001953846608</v>
      </c>
      <c r="AH228" s="297">
        <f>+(AH212)^Africa!$B$18</f>
        <v>6.1398646661147218</v>
      </c>
      <c r="AI228" s="297">
        <f>+(AI212)^Africa!$B$18</f>
        <v>348.61302144668662</v>
      </c>
      <c r="AJ228" s="297">
        <f>+(AJ212)^Africa!$B$18</f>
        <v>1037.6186424295879</v>
      </c>
      <c r="AK228" s="297">
        <f>+(AK212)^Africa!$B$18</f>
        <v>1586.3484618794305</v>
      </c>
      <c r="AL228" s="297">
        <f>+(AL212)^Africa!$B$18</f>
        <v>1973.3281614493812</v>
      </c>
      <c r="AM228" s="297">
        <f>+(AM212)^Africa!$B$18</f>
        <v>2261.7668682113012</v>
      </c>
      <c r="AN228" s="297">
        <f>+(AN212)^Africa!$B$18</f>
        <v>2495.8777951964198</v>
      </c>
      <c r="AO228" s="297">
        <f>+(AO212)^Africa!$B$18</f>
        <v>2701.9519359014798</v>
      </c>
      <c r="AP228" s="297">
        <f>+(AP212)^Africa!$B$18</f>
        <v>2895.2306504669427</v>
      </c>
      <c r="AQ228" s="297">
        <f>+(AQ212)^Africa!$B$18</f>
        <v>3084.5556291803105</v>
      </c>
      <c r="AR228" s="297">
        <f>+(AR212)^Africa!$B$18</f>
        <v>3275.1213497371041</v>
      </c>
      <c r="AS228" s="297">
        <f>+(AS212)^Africa!$B$18</f>
        <v>3470.058291915941</v>
      </c>
      <c r="AT228" s="297">
        <f>+(AT212)^Africa!$B$18</f>
        <v>3671.3360131668096</v>
      </c>
      <c r="AU228" s="297">
        <f>+(AU212)^Africa!$B$18</f>
        <v>3880.2766532109504</v>
      </c>
      <c r="AV228" s="297">
        <f>+(AV212)^Africa!$B$18</f>
        <v>4097.846527278587</v>
      </c>
      <c r="AW228" s="297">
        <f>+(AW212)^Africa!$B$18</f>
        <v>4324.8216608808316</v>
      </c>
      <c r="AX228" s="297">
        <f>+(AX212)^Africa!$B$18</f>
        <v>4561.8818544404994</v>
      </c>
      <c r="AY228" s="297">
        <f>+(AY212)^Africa!$B$18</f>
        <v>4809.6642973980643</v>
      </c>
      <c r="AZ228" s="297">
        <f>+(AZ212)^Africa!$B$18</f>
        <v>5068.7943306585457</v>
      </c>
      <c r="BA228" s="297">
        <f>+(BA212)^Africa!$B$18</f>
        <v>5339.9033291230426</v>
      </c>
      <c r="BB228" s="297">
        <f>+(BB212)^Africa!$B$18</f>
        <v>5623.6393481322775</v>
      </c>
      <c r="BC228" s="297">
        <f>+(BC212)^Africa!$B$18</f>
        <v>5920.6737250383057</v>
      </c>
      <c r="BD228" s="297">
        <f>+(BD212)^Africa!$B$18</f>
        <v>6231.7054388746183</v>
      </c>
      <c r="BE228" s="297">
        <f>+(BE212)^Africa!$B$18</f>
        <v>6559.1367043207929</v>
      </c>
      <c r="BF228" s="297">
        <f>+(BF212)^Africa!$B$18</f>
        <v>6901.6077697901437</v>
      </c>
      <c r="BG228" s="297">
        <f>+(BG212)^Africa!$B$18</f>
        <v>7259.9845612893105</v>
      </c>
      <c r="BH228" s="297">
        <f>+(BH212)^Africa!$B$18</f>
        <v>7635.2064259059734</v>
      </c>
      <c r="BI228" s="297">
        <f>+(BI212)^Africa!$B$18</f>
        <v>7635.2064259059734</v>
      </c>
    </row>
    <row r="229" spans="1:122" s="298" customFormat="1" ht="15" x14ac:dyDescent="0.2">
      <c r="A229" s="296" t="s">
        <v>58</v>
      </c>
      <c r="B229" s="297">
        <f>+(B213)^LatAm!$B$18</f>
        <v>14.786218234930015</v>
      </c>
      <c r="C229" s="297">
        <f>+(C213)^LatAm!$B$18</f>
        <v>13.194831859651101</v>
      </c>
      <c r="D229" s="297">
        <f>+(D213)^LatAm!$B$18</f>
        <v>12.441709412995239</v>
      </c>
      <c r="E229" s="297">
        <f>+(E213)^LatAm!$B$18</f>
        <v>12.496145191520316</v>
      </c>
      <c r="F229" s="297">
        <f>+(F213)^LatAm!$B$18</f>
        <v>13.110247382054554</v>
      </c>
      <c r="G229" s="297">
        <f>+(G213)^LatAm!$B$18</f>
        <v>13.254476457324239</v>
      </c>
      <c r="H229" s="297">
        <f>+(H213)^LatAm!$B$18</f>
        <v>14.255585662830883</v>
      </c>
      <c r="I229" s="297">
        <f>+(I213)^LatAm!$B$18</f>
        <v>15.634945544425014</v>
      </c>
      <c r="J229" s="297">
        <f>+(J213)^LatAm!$B$18</f>
        <v>16.543247989833933</v>
      </c>
      <c r="K229" s="297">
        <f>+(K213)^LatAm!$B$18</f>
        <v>16.860555123845899</v>
      </c>
      <c r="L229" s="297">
        <f>+(L213)^LatAm!$B$18</f>
        <v>17.981454192692137</v>
      </c>
      <c r="M229" s="297">
        <f>+(M213)^LatAm!$B$18</f>
        <v>17.945467692015846</v>
      </c>
      <c r="N229" s="297">
        <f>+(N213)^LatAm!$B$18</f>
        <v>18.268054891309159</v>
      </c>
      <c r="O229" s="297">
        <f>+(O213)^LatAm!$B$18</f>
        <v>19.168028572037624</v>
      </c>
      <c r="P229" s="297">
        <f>+(P213)^LatAm!$B$18</f>
        <v>20.938910606046143</v>
      </c>
      <c r="Q229" s="297">
        <f>+(Q213)^LatAm!$B$18</f>
        <v>22.43294565860857</v>
      </c>
      <c r="R229" s="297">
        <f>+(R213)^LatAm!$B$18</f>
        <v>24.497227642797199</v>
      </c>
      <c r="S229" s="297">
        <f>+(S213)^LatAm!$B$18</f>
        <v>26.738597916629683</v>
      </c>
      <c r="T229" s="297">
        <f>+(T213)^LatAm!$B$18</f>
        <v>28.562903230254044</v>
      </c>
      <c r="U229" s="297">
        <f>+(U213)^LatAm!$B$18</f>
        <v>27.832736702348409</v>
      </c>
      <c r="V229" s="297">
        <f>+(V213)^LatAm!$B$18</f>
        <v>30.619697586978482</v>
      </c>
      <c r="W229" s="297">
        <f>+(W213)^LatAm!$B$18</f>
        <v>32.470743480239861</v>
      </c>
      <c r="X229" s="297">
        <f>+(X213)^LatAm!$B$18</f>
        <v>33.503937536263571</v>
      </c>
      <c r="Y229" s="297">
        <f>+(Y213)^LatAm!$B$18</f>
        <v>34.617621234099602</v>
      </c>
      <c r="Z229" s="297">
        <f>+(Z213)^LatAm!$B$18</f>
        <v>35.09651672426326</v>
      </c>
      <c r="AA229" s="297">
        <f>+(AA213)^LatAm!$B$18</f>
        <v>35.066487145189448</v>
      </c>
      <c r="AB229" s="297">
        <f>+(AB213)^LatAm!$B$18</f>
        <v>34.52520832850788</v>
      </c>
      <c r="AC229" s="297">
        <f>+(AC213)^LatAm!$B$18</f>
        <v>35.258874136574576</v>
      </c>
      <c r="AD229" s="297">
        <f>+(AD213)^LatAm!$B$18</f>
        <v>35.895654836056437</v>
      </c>
      <c r="AE229" s="297">
        <f>+(AE213)^LatAm!$B$18</f>
        <v>35.958467992728174</v>
      </c>
      <c r="AF229" s="297">
        <f>+(AF213)^LatAm!$B$18</f>
        <v>32.26256784122171</v>
      </c>
      <c r="AG229" s="297">
        <f>+(AG213)^LatAm!$B$18</f>
        <v>35.928273791765513</v>
      </c>
      <c r="AH229" s="297">
        <f>+(AH213)^LatAm!$B$18</f>
        <v>38.099465957012114</v>
      </c>
      <c r="AI229" s="297">
        <f>+(AI213)^LatAm!$B$18</f>
        <v>1130.8583688672074</v>
      </c>
      <c r="AJ229" s="297">
        <f>+(AJ213)^LatAm!$B$18</f>
        <v>2797.1852305184943</v>
      </c>
      <c r="AK229" s="297">
        <f>+(AK213)^LatAm!$B$18</f>
        <v>4060.4178630615634</v>
      </c>
      <c r="AL229" s="297">
        <f>+(AL213)^LatAm!$B$18</f>
        <v>4951.1908039759455</v>
      </c>
      <c r="AM229" s="297">
        <f>+(AM213)^LatAm!$B$18</f>
        <v>5618.9643820924639</v>
      </c>
      <c r="AN229" s="297">
        <f>+(AN213)^LatAm!$B$18</f>
        <v>6164.4342459759537</v>
      </c>
      <c r="AO229" s="297">
        <f>+(AO213)^LatAm!$B$18</f>
        <v>6647.3751538507577</v>
      </c>
      <c r="AP229" s="297">
        <f>+(AP213)^LatAm!$B$18</f>
        <v>7102.5295873479763</v>
      </c>
      <c r="AQ229" s="297">
        <f>+(AQ213)^LatAm!$B$18</f>
        <v>7550.1312024736244</v>
      </c>
      <c r="AR229" s="297">
        <f>+(AR213)^LatAm!$B$18</f>
        <v>8002.1314578580877</v>
      </c>
      <c r="AS229" s="297">
        <f>+(AS213)^LatAm!$B$18</f>
        <v>8465.7876081921331</v>
      </c>
      <c r="AT229" s="297">
        <f>+(AT213)^LatAm!$B$18</f>
        <v>8945.7132902283993</v>
      </c>
      <c r="AU229" s="297">
        <f>+(AU213)^LatAm!$B$18</f>
        <v>9445.0468801014922</v>
      </c>
      <c r="AV229" s="297">
        <f>+(AV213)^LatAm!$B$18</f>
        <v>9966.1164793589614</v>
      </c>
      <c r="AW229" s="297">
        <f>+(AW213)^LatAm!$B$18</f>
        <v>10510.818500537907</v>
      </c>
      <c r="AX229" s="297">
        <f>+(AX213)^LatAm!$B$18</f>
        <v>11080.8335990869</v>
      </c>
      <c r="AY229" s="297">
        <f>+(AY213)^LatAm!$B$18</f>
        <v>11677.750373230017</v>
      </c>
      <c r="AZ229" s="297">
        <f>+(AZ213)^LatAm!$B$18</f>
        <v>12303.136850128078</v>
      </c>
      <c r="BA229" s="297">
        <f>+(BA213)^LatAm!$B$18</f>
        <v>12958.582476060214</v>
      </c>
      <c r="BB229" s="297">
        <f>+(BB213)^LatAm!$B$18</f>
        <v>13645.723497012179</v>
      </c>
      <c r="BC229" s="297">
        <f>+(BC213)^LatAm!$B$18</f>
        <v>14366.259035216872</v>
      </c>
      <c r="BD229" s="297">
        <f>+(BD213)^LatAm!$B$18</f>
        <v>15121.962002054319</v>
      </c>
      <c r="BE229" s="297">
        <f>+(BE213)^LatAm!$B$18</f>
        <v>15921.374034720195</v>
      </c>
      <c r="BF229" s="297">
        <f>+(BF213)^LatAm!$B$18</f>
        <v>16757.95272801966</v>
      </c>
      <c r="BG229" s="297">
        <f>+(BG213)^LatAm!$B$18</f>
        <v>17634.015775010274</v>
      </c>
      <c r="BH229" s="297">
        <f>+(BH213)^LatAm!$B$18</f>
        <v>18552.106954890045</v>
      </c>
      <c r="BI229" s="297">
        <f>+(BI213)^LatAm!$B$18</f>
        <v>18552.106954890045</v>
      </c>
    </row>
    <row r="230" spans="1:122" s="298" customFormat="1" ht="15" x14ac:dyDescent="0.2">
      <c r="A230" s="296" t="s">
        <v>114</v>
      </c>
      <c r="B230" s="297">
        <f>+(B214)^OHI!$B$18</f>
        <v>59.178702586189026</v>
      </c>
      <c r="C230" s="297">
        <f>+(C214)^OHI!$B$18</f>
        <v>53.084004271833336</v>
      </c>
      <c r="D230" s="297">
        <f>+(D214)^OHI!$B$18</f>
        <v>51.599770619014748</v>
      </c>
      <c r="E230" s="297">
        <f>+(E214)^OHI!$B$18</f>
        <v>53.319366477371943</v>
      </c>
      <c r="F230" s="297">
        <f>+(F214)^OHI!$B$18</f>
        <v>57.764551233657699</v>
      </c>
      <c r="G230" s="297">
        <f>+(G214)^OHI!$B$18</f>
        <v>63.489529880277757</v>
      </c>
      <c r="H230" s="297">
        <f>+(H214)^OHI!$B$18</f>
        <v>70.151397085229419</v>
      </c>
      <c r="I230" s="297">
        <f>+(I214)^OHI!$B$18</f>
        <v>78.020742429224683</v>
      </c>
      <c r="J230" s="297">
        <f>+(J214)^OHI!$B$18</f>
        <v>80.944763180341283</v>
      </c>
      <c r="K230" s="297">
        <f>+(K214)^OHI!$B$18</f>
        <v>91.491482202881812</v>
      </c>
      <c r="L230" s="297">
        <f>+(L214)^OHI!$B$18</f>
        <v>100.64527234538629</v>
      </c>
      <c r="M230" s="297">
        <f>+(M214)^OHI!$B$18</f>
        <v>101.81660911897491</v>
      </c>
      <c r="N230" s="297">
        <f>+(N214)^OHI!$B$18</f>
        <v>108.07796818985364</v>
      </c>
      <c r="O230" s="297">
        <f>+(O214)^OHI!$B$18</f>
        <v>111.82239634878557</v>
      </c>
      <c r="P230" s="297">
        <f>+(P214)^OHI!$B$18</f>
        <v>119.20370153796236</v>
      </c>
      <c r="Q230" s="297">
        <f>+(Q214)^OHI!$B$18</f>
        <v>125.5021324487399</v>
      </c>
      <c r="R230" s="297">
        <f>+(R214)^OHI!$B$18</f>
        <v>132.52462056742192</v>
      </c>
      <c r="S230" s="297">
        <f>+(S214)^OHI!$B$18</f>
        <v>140.30563112150045</v>
      </c>
      <c r="T230" s="297">
        <f>+(T214)^OHI!$B$18</f>
        <v>143.84019361139349</v>
      </c>
      <c r="U230" s="297">
        <f>+(U214)^OHI!$B$18</f>
        <v>141.65470113295186</v>
      </c>
      <c r="V230" s="297">
        <f>+(V214)^OHI!$B$18</f>
        <v>151.76378790017344</v>
      </c>
      <c r="W230" s="297">
        <f>+(W214)^OHI!$B$18</f>
        <v>158.85128349500556</v>
      </c>
      <c r="X230" s="297">
        <f>+(X214)^OHI!$B$18</f>
        <v>163.72019420129573</v>
      </c>
      <c r="Y230" s="297">
        <f>+(Y214)^OHI!$B$18</f>
        <v>169.5972230922477</v>
      </c>
      <c r="Z230" s="297">
        <f>+(Z214)^OHI!$B$18</f>
        <v>175.42601511491549</v>
      </c>
      <c r="AA230" s="297">
        <f>+(AA214)^OHI!$B$18</f>
        <v>178.06702138937914</v>
      </c>
      <c r="AB230" s="297">
        <f>+(AB214)^OHI!$B$18</f>
        <v>181.78913746086297</v>
      </c>
      <c r="AC230" s="297">
        <f>+(AC214)^OHI!$B$18</f>
        <v>188.92374956306216</v>
      </c>
      <c r="AD230" s="297">
        <f>+(AD214)^OHI!$B$18</f>
        <v>195.62907396027265</v>
      </c>
      <c r="AE230" s="297">
        <f>+(AE214)^OHI!$B$18</f>
        <v>198.69116016129672</v>
      </c>
      <c r="AF230" s="297">
        <f>+(AF214)^OHI!$B$18</f>
        <v>188.34446639453378</v>
      </c>
      <c r="AG230" s="297">
        <f>+(AG214)^OHI!$B$18</f>
        <v>202.23733908589972</v>
      </c>
      <c r="AH230" s="297">
        <f>+(AH214)^OHI!$B$18</f>
        <v>210.5934631868268</v>
      </c>
      <c r="AI230" s="297">
        <f>+(AI214)^OHI!$B$18</f>
        <v>2419.4836340937336</v>
      </c>
      <c r="AJ230" s="297">
        <f>+(AJ214)^OHI!$B$18</f>
        <v>4514.2962870165593</v>
      </c>
      <c r="AK230" s="297">
        <f>+(AK214)^OHI!$B$18</f>
        <v>5975.8442604265902</v>
      </c>
      <c r="AL230" s="297">
        <f>+(AL214)^OHI!$B$18</f>
        <v>7004.8686807406912</v>
      </c>
      <c r="AM230" s="297">
        <f>+(AM214)^OHI!$B$18</f>
        <v>7789.391110129096</v>
      </c>
      <c r="AN230" s="297">
        <f>+(AN214)^OHI!$B$18</f>
        <v>8444.0624777805679</v>
      </c>
      <c r="AO230" s="297">
        <f>+(AO214)^OHI!$B$18</f>
        <v>9035.0963708051331</v>
      </c>
      <c r="AP230" s="297">
        <f>+(AP214)^OHI!$B$18</f>
        <v>9600.4907239417498</v>
      </c>
      <c r="AQ230" s="297">
        <f>+(AQ214)^OHI!$B$18</f>
        <v>10162.21931030654</v>
      </c>
      <c r="AR230" s="297">
        <f>+(AR214)^OHI!$B$18</f>
        <v>10733.226090525966</v>
      </c>
      <c r="AS230" s="297">
        <f>+(AS214)^OHI!$B$18</f>
        <v>11321.39018757375</v>
      </c>
      <c r="AT230" s="297">
        <f>+(AT214)^OHI!$B$18</f>
        <v>11931.76586475403</v>
      </c>
      <c r="AU230" s="297">
        <f>+(AU214)^OHI!$B$18</f>
        <v>12567.846719564986</v>
      </c>
      <c r="AV230" s="297">
        <f>+(AV214)^OHI!$B$18</f>
        <v>13232.279218981545</v>
      </c>
      <c r="AW230" s="297">
        <f>+(AW214)^OHI!$B$18</f>
        <v>13927.265867427881</v>
      </c>
      <c r="AX230" s="297">
        <f>+(AX214)^OHI!$B$18</f>
        <v>14654.793607035208</v>
      </c>
      <c r="AY230" s="297">
        <f>+(AY214)^OHI!$B$18</f>
        <v>15416.763901292519</v>
      </c>
      <c r="AZ230" s="297">
        <f>+(AZ214)^OHI!$B$18</f>
        <v>16215.06757728463</v>
      </c>
      <c r="BA230" s="297">
        <f>+(BA214)^OHI!$B$18</f>
        <v>17051.628684122254</v>
      </c>
      <c r="BB230" s="297">
        <f>+(BB214)^OHI!$B$18</f>
        <v>17928.43102268338</v>
      </c>
      <c r="BC230" s="297">
        <f>+(BC214)^OHI!$B$18</f>
        <v>18847.535031448522</v>
      </c>
      <c r="BD230" s="297">
        <f>+(BD214)^OHI!$B$18</f>
        <v>19811.089353092153</v>
      </c>
      <c r="BE230" s="297">
        <f>+(BE214)^OHI!$B$18</f>
        <v>20829.518380340403</v>
      </c>
      <c r="BF230" s="297">
        <f>+(BF214)^OHI!$B$18</f>
        <v>21894.776419064943</v>
      </c>
      <c r="BG230" s="297">
        <f>+(BG214)^OHI!$B$18</f>
        <v>23009.659806881828</v>
      </c>
      <c r="BH230" s="297">
        <f>+(BH214)^OHI!$B$18</f>
        <v>24177.256980170609</v>
      </c>
      <c r="BI230" s="297">
        <f>+(BI214)^OHI!$B$18</f>
        <v>24177.256980170609</v>
      </c>
    </row>
    <row r="231" spans="1:122" s="298" customFormat="1" ht="15" x14ac:dyDescent="0.2">
      <c r="A231" s="296" t="s">
        <v>224</v>
      </c>
      <c r="B231" s="297">
        <f>+(B215)^OthAsia!$B$18</f>
        <v>2.9258007032265518</v>
      </c>
      <c r="C231" s="297">
        <f>+(C215)^OthAsia!$B$18</f>
        <v>2.3787967009409572</v>
      </c>
      <c r="D231" s="297">
        <f>+(D215)^OthAsia!$B$18</f>
        <v>2.2549231300581489</v>
      </c>
      <c r="E231" s="297">
        <f>+(E215)^OthAsia!$B$18</f>
        <v>2.2194451926260532</v>
      </c>
      <c r="F231" s="297">
        <f>+(F215)^OthAsia!$B$18</f>
        <v>2.2693015614137009</v>
      </c>
      <c r="G231" s="297">
        <f>+(G215)^OthAsia!$B$18</f>
        <v>2.454212202116397</v>
      </c>
      <c r="H231" s="297">
        <f>+(H215)^OthAsia!$B$18</f>
        <v>2.68654762128988</v>
      </c>
      <c r="I231" s="297">
        <f>+(I215)^OthAsia!$B$18</f>
        <v>2.7972792362156604</v>
      </c>
      <c r="J231" s="297">
        <f>+(J215)^OthAsia!$B$18</f>
        <v>2.5554277910382974</v>
      </c>
      <c r="K231" s="297">
        <f>+(K215)^OthAsia!$B$18</f>
        <v>2.6734452436916758</v>
      </c>
      <c r="L231" s="297">
        <f>+(L215)^OthAsia!$B$18</f>
        <v>2.8943074597964205</v>
      </c>
      <c r="M231" s="297">
        <f>+(M215)^OthAsia!$B$18</f>
        <v>3.127982862080946</v>
      </c>
      <c r="N231" s="297">
        <f>+(N215)^OthAsia!$B$18</f>
        <v>3.4294122390352744</v>
      </c>
      <c r="O231" s="297">
        <f>+(O215)^OthAsia!$B$18</f>
        <v>3.7850296295491077</v>
      </c>
      <c r="P231" s="297">
        <f>+(P215)^OthAsia!$B$18</f>
        <v>4.2103876016697752</v>
      </c>
      <c r="Q231" s="297">
        <f>+(Q215)^OthAsia!$B$18</f>
        <v>4.6562123740375956</v>
      </c>
      <c r="R231" s="297">
        <f>+(R215)^OthAsia!$B$18</f>
        <v>5.1543813816368145</v>
      </c>
      <c r="S231" s="297">
        <f>+(S215)^OthAsia!$B$18</f>
        <v>5.730043969797368</v>
      </c>
      <c r="T231" s="297">
        <f>+(T215)^OthAsia!$B$18</f>
        <v>6.2304884827950353</v>
      </c>
      <c r="U231" s="297">
        <f>+(U215)^OthAsia!$B$18</f>
        <v>6.6170763729782553</v>
      </c>
      <c r="V231" s="297">
        <f>+(V215)^OthAsia!$B$18</f>
        <v>7.2633844648689667</v>
      </c>
      <c r="W231" s="297">
        <f>+(W215)^OthAsia!$B$18</f>
        <v>7.7335868226271556</v>
      </c>
      <c r="X231" s="297">
        <f>+(X215)^OthAsia!$B$18</f>
        <v>8.3758463248926383</v>
      </c>
      <c r="Y231" s="297">
        <f>+(Y215)^OthAsia!$B$18</f>
        <v>8.9518233575525485</v>
      </c>
      <c r="Z231" s="297">
        <f>+(Z215)^OthAsia!$B$18</f>
        <v>9.5408982662896094</v>
      </c>
      <c r="AA231" s="297">
        <f>+(AA215)^OthAsia!$B$18</f>
        <v>10.178370128360672</v>
      </c>
      <c r="AB231" s="297">
        <f>+(AB215)^OthAsia!$B$18</f>
        <v>10.856775181666004</v>
      </c>
      <c r="AC231" s="297">
        <f>+(AC215)^OthAsia!$B$18</f>
        <v>11.68962580489649</v>
      </c>
      <c r="AD231" s="297">
        <f>+(AD215)^OthAsia!$B$18</f>
        <v>12.592164933215217</v>
      </c>
      <c r="AE231" s="297">
        <f>+(AE215)^OthAsia!$B$18</f>
        <v>13.392351934532055</v>
      </c>
      <c r="AF231" s="297">
        <f>+(AF215)^OthAsia!$B$18</f>
        <v>12.780778206141377</v>
      </c>
      <c r="AG231" s="297">
        <f>+(AG215)^OthAsia!$B$18</f>
        <v>13.473375301244436</v>
      </c>
      <c r="AH231" s="297">
        <f>+(AH215)^OthAsia!$B$18</f>
        <v>14.432289186402866</v>
      </c>
      <c r="AI231" s="297">
        <f>+(AI215)^OthAsia!$B$18</f>
        <v>687.9792742845998</v>
      </c>
      <c r="AJ231" s="297">
        <f>+(AJ215)^OthAsia!$B$18</f>
        <v>1956.0370911318637</v>
      </c>
      <c r="AK231" s="297">
        <f>+(AK215)^OthAsia!$B$18</f>
        <v>2961.4376559900161</v>
      </c>
      <c r="AL231" s="297">
        <f>+(AL215)^OthAsia!$B$18</f>
        <v>3674.9718736859322</v>
      </c>
      <c r="AM231" s="297">
        <f>+(AM215)^OthAsia!$B$18</f>
        <v>4210.0001752005683</v>
      </c>
      <c r="AN231" s="297">
        <f>+(AN215)^OthAsia!$B$18</f>
        <v>4646.312886800888</v>
      </c>
      <c r="AO231" s="297">
        <f>+(AO215)^OthAsia!$B$18</f>
        <v>5031.6625118559923</v>
      </c>
      <c r="AP231" s="297">
        <f>+(AP215)^OthAsia!$B$18</f>
        <v>5393.8778337510676</v>
      </c>
      <c r="AQ231" s="297">
        <f>+(AQ215)^OthAsia!$B$18</f>
        <v>5749.179826597051</v>
      </c>
      <c r="AR231" s="297">
        <f>+(AR215)^OthAsia!$B$18</f>
        <v>6107.1445045220507</v>
      </c>
      <c r="AS231" s="297">
        <f>+(AS215)^OthAsia!$B$18</f>
        <v>6473.5737280766516</v>
      </c>
      <c r="AT231" s="297">
        <f>+(AT215)^OthAsia!$B$18</f>
        <v>6852.1400257506102</v>
      </c>
      <c r="AU231" s="297">
        <f>+(AU215)^OthAsia!$B$18</f>
        <v>7245.3254849748255</v>
      </c>
      <c r="AV231" s="297">
        <f>+(AV215)^OthAsia!$B$18</f>
        <v>7654.9568228190083</v>
      </c>
      <c r="AW231" s="297">
        <f>+(AW215)^OthAsia!$B$18</f>
        <v>8082.5102163992815</v>
      </c>
      <c r="AX231" s="297">
        <f>+(AX215)^OthAsia!$B$18</f>
        <v>8529.2851514003778</v>
      </c>
      <c r="AY231" s="297">
        <f>+(AY215)^OthAsia!$B$18</f>
        <v>8996.5038972280636</v>
      </c>
      <c r="AZ231" s="297">
        <f>+(AZ215)^OthAsia!$B$18</f>
        <v>9485.3688350040702</v>
      </c>
      <c r="BA231" s="297">
        <f>+(BA215)^OthAsia!$B$18</f>
        <v>9997.0959585026867</v>
      </c>
      <c r="BB231" s="297">
        <f>+(BB215)^OthAsia!$B$18</f>
        <v>10532.934950697403</v>
      </c>
      <c r="BC231" s="297">
        <f>+(BC215)^OthAsia!$B$18</f>
        <v>11094.181737153292</v>
      </c>
      <c r="BD231" s="297">
        <f>+(BD215)^OthAsia!$B$18</f>
        <v>11682.186861363514</v>
      </c>
      <c r="BE231" s="297">
        <f>+(BE215)^OthAsia!$B$18</f>
        <v>12305.089124347025</v>
      </c>
      <c r="BF231" s="297">
        <f>+(BF215)^OthAsia!$B$18</f>
        <v>12955.831352904763</v>
      </c>
      <c r="BG231" s="297">
        <f>+(BG215)^OthAsia!$B$18</f>
        <v>13636.236170980774</v>
      </c>
      <c r="BH231" s="297">
        <f>+(BH215)^OthAsia!$B$18</f>
        <v>14348.333931511939</v>
      </c>
      <c r="BI231" s="297">
        <f>+(BI215)^OthAsia!$B$18</f>
        <v>14348.333931511939</v>
      </c>
    </row>
    <row r="232" spans="1:122" s="285" customFormat="1" ht="15" x14ac:dyDescent="0.2">
      <c r="A232" s="287" t="s">
        <v>275</v>
      </c>
      <c r="DR232" s="286">
        <f>+(DQ168)^US!$B$18</f>
        <v>0</v>
      </c>
    </row>
    <row r="233" spans="1:122" s="285" customFormat="1" ht="15" x14ac:dyDescent="0.2">
      <c r="B233" s="285" t="s">
        <v>218</v>
      </c>
      <c r="C233" s="283"/>
      <c r="D233" s="288"/>
      <c r="DR233" s="286"/>
    </row>
    <row r="234" spans="1:122" s="299" customFormat="1" ht="15" x14ac:dyDescent="0.2">
      <c r="A234" s="299" t="s">
        <v>104</v>
      </c>
      <c r="B234" s="299">
        <v>200.67613774564379</v>
      </c>
      <c r="C234" s="299">
        <v>243.04101774267289</v>
      </c>
      <c r="D234" s="299">
        <v>321.47639041574831</v>
      </c>
      <c r="E234" s="299">
        <v>406.39974285556622</v>
      </c>
      <c r="F234" s="299">
        <v>499.39350472373155</v>
      </c>
      <c r="G234" s="299">
        <v>601.96525050350601</v>
      </c>
      <c r="H234" s="299">
        <v>712.55971541523115</v>
      </c>
      <c r="I234" s="299">
        <v>831.44546660257356</v>
      </c>
      <c r="J234" s="299">
        <v>958.61209779088642</v>
      </c>
      <c r="K234" s="299">
        <v>1096.2599935540757</v>
      </c>
      <c r="L234" s="299">
        <v>1248.3373809723748</v>
      </c>
      <c r="M234" s="299">
        <v>1370.4204961237815</v>
      </c>
      <c r="N234" s="299">
        <v>1558.7998375052439</v>
      </c>
      <c r="O234" s="299">
        <v>1742.946161659168</v>
      </c>
      <c r="P234" s="299">
        <v>1927.1377621207225</v>
      </c>
      <c r="Q234" s="299">
        <v>2113.8268834522123</v>
      </c>
      <c r="R234" s="299">
        <v>2304.3835087730849</v>
      </c>
      <c r="S234" s="299">
        <v>2499.5503049004719</v>
      </c>
      <c r="T234" s="299">
        <v>2699.7179622902381</v>
      </c>
      <c r="U234" s="299">
        <v>2905.0908004512485</v>
      </c>
      <c r="V234" s="299">
        <v>3117.5021866138281</v>
      </c>
      <c r="W234" s="299">
        <v>3336.4970597744173</v>
      </c>
      <c r="X234" s="299">
        <v>3559.859546884984</v>
      </c>
      <c r="Y234" s="299">
        <v>3788.1173957230662</v>
      </c>
      <c r="Z234" s="299">
        <v>4021.6948086893303</v>
      </c>
      <c r="AA234" s="299">
        <v>4261.3742932931373</v>
      </c>
      <c r="AB234" s="299">
        <v>4509.7283908060954</v>
      </c>
      <c r="AC234" s="299">
        <v>4782.6250458206214</v>
      </c>
      <c r="AD234" s="299">
        <v>5074.0395578026973</v>
      </c>
      <c r="AE234" s="299">
        <v>5382.59134589931</v>
      </c>
      <c r="AF234" s="299">
        <v>5713.0887151857969</v>
      </c>
      <c r="AG234" s="299">
        <v>6062.6075862539028</v>
      </c>
      <c r="AH234" s="299">
        <v>6422.5098956669581</v>
      </c>
      <c r="AI234" s="299">
        <v>6793.9629759354202</v>
      </c>
      <c r="AJ234" s="299">
        <v>7177.7291182791005</v>
      </c>
      <c r="AK234" s="299">
        <v>7574.3992413606193</v>
      </c>
      <c r="AL234" s="299">
        <v>7984.5211728955255</v>
      </c>
      <c r="AM234" s="299">
        <v>8408.6581301551323</v>
      </c>
      <c r="AN234" s="299">
        <v>8847.4115061057255</v>
      </c>
      <c r="AO234" s="299">
        <v>9301.4263594196218</v>
      </c>
      <c r="AP234" s="299">
        <v>9771.3892721798202</v>
      </c>
      <c r="AQ234" s="299">
        <v>10258.023464974842</v>
      </c>
      <c r="AR234" s="299">
        <v>10762.083499537177</v>
      </c>
      <c r="AS234" s="299">
        <v>11284.350563892498</v>
      </c>
      <c r="AT234" s="299">
        <v>11825.628666153891</v>
      </c>
      <c r="AU234" s="299">
        <v>12386.741749291032</v>
      </c>
      <c r="AV234" s="299">
        <v>12968.531609046986</v>
      </c>
      <c r="AW234" s="299">
        <v>13571.856457933327</v>
      </c>
      <c r="AX234" s="299">
        <v>14197.589980876624</v>
      </c>
      <c r="AY234" s="299">
        <v>14846.62074748731</v>
      </c>
      <c r="AZ234" s="299">
        <v>15519.851869804328</v>
      </c>
      <c r="BA234" s="299">
        <v>16218.200817187777</v>
      </c>
      <c r="BB234" s="299">
        <v>16942.599319660763</v>
      </c>
      <c r="BC234" s="299">
        <v>17693.993306953435</v>
      </c>
      <c r="BD234" s="299">
        <v>18473.342843016198</v>
      </c>
      <c r="BE234" s="299">
        <v>19281.62202534778</v>
      </c>
      <c r="BF234" s="299">
        <v>20119.818825680042</v>
      </c>
      <c r="BG234" s="299">
        <v>20988.934853877479</v>
      </c>
      <c r="BH234" s="299">
        <v>21889.985030771888</v>
      </c>
      <c r="BI234" s="299">
        <v>21889.985030771888</v>
      </c>
      <c r="DR234" s="300"/>
    </row>
    <row r="235" spans="1:122" s="299" customFormat="1" ht="15" x14ac:dyDescent="0.2">
      <c r="A235" s="299" t="s">
        <v>105</v>
      </c>
      <c r="B235" s="299">
        <v>102.64033008888995</v>
      </c>
      <c r="C235" s="299">
        <v>129.15376240072698</v>
      </c>
      <c r="D235" s="299">
        <v>179.39644601838194</v>
      </c>
      <c r="E235" s="299">
        <v>236.78517976459389</v>
      </c>
      <c r="F235" s="299">
        <v>302.55058267813479</v>
      </c>
      <c r="G235" s="299">
        <v>377.56518445266744</v>
      </c>
      <c r="H235" s="299">
        <v>461.55526716848465</v>
      </c>
      <c r="I235" s="299">
        <v>554.21637269105258</v>
      </c>
      <c r="J235" s="299">
        <v>655.55614508318183</v>
      </c>
      <c r="K235" s="299">
        <v>758.7289586433775</v>
      </c>
      <c r="L235" s="299">
        <v>869.92260275121157</v>
      </c>
      <c r="M235" s="299">
        <v>978.05359456720896</v>
      </c>
      <c r="N235" s="299">
        <v>1122.029957753469</v>
      </c>
      <c r="O235" s="299">
        <v>1265.9913228960074</v>
      </c>
      <c r="P235" s="299">
        <v>1411.6536448638369</v>
      </c>
      <c r="Q235" s="299">
        <v>1559.8124729649983</v>
      </c>
      <c r="R235" s="299">
        <v>1710.7437972925516</v>
      </c>
      <c r="S235" s="299">
        <v>1864.4319915022763</v>
      </c>
      <c r="T235" s="299">
        <v>2020.7119867283891</v>
      </c>
      <c r="U235" s="299">
        <v>2179.3574500316763</v>
      </c>
      <c r="V235" s="299">
        <v>2339.1336861322261</v>
      </c>
      <c r="W235" s="299">
        <v>2500.0597694438311</v>
      </c>
      <c r="X235" s="299">
        <v>2663.1885119799404</v>
      </c>
      <c r="Y235" s="299">
        <v>2828.123938054563</v>
      </c>
      <c r="Z235" s="299">
        <v>2994.677085827364</v>
      </c>
      <c r="AA235" s="299">
        <v>3163.1760755368073</v>
      </c>
      <c r="AB235" s="299">
        <v>3335.3340400571992</v>
      </c>
      <c r="AC235" s="299">
        <v>3525.6811049255589</v>
      </c>
      <c r="AD235" s="299">
        <v>3728.5973246838498</v>
      </c>
      <c r="AE235" s="299">
        <v>3942.805645179561</v>
      </c>
      <c r="AF235" s="299">
        <v>4172.9729765618758</v>
      </c>
      <c r="AG235" s="299">
        <v>4416.5050210853333</v>
      </c>
      <c r="AH235" s="299">
        <v>4665.2557469265512</v>
      </c>
      <c r="AI235" s="299">
        <v>4920.147224120964</v>
      </c>
      <c r="AJ235" s="299">
        <v>5181.7575932411128</v>
      </c>
      <c r="AK235" s="299">
        <v>5450.4707312107412</v>
      </c>
      <c r="AL235" s="299">
        <v>5726.6058224811095</v>
      </c>
      <c r="AM235" s="299">
        <v>6010.4782988739089</v>
      </c>
      <c r="AN235" s="299">
        <v>6302.4250128593922</v>
      </c>
      <c r="AO235" s="299">
        <v>6602.8118410841762</v>
      </c>
      <c r="AP235" s="299">
        <v>6912.033291742513</v>
      </c>
      <c r="AQ235" s="299">
        <v>7230.5089899041332</v>
      </c>
      <c r="AR235" s="299">
        <v>7558.6794003257301</v>
      </c>
      <c r="AS235" s="299">
        <v>7897.0018341236637</v>
      </c>
      <c r="AT235" s="299">
        <v>8245.9471237312882</v>
      </c>
      <c r="AU235" s="299">
        <v>8605.9970348021452</v>
      </c>
      <c r="AV235" s="299">
        <v>8977.642347191213</v>
      </c>
      <c r="AW235" s="299">
        <v>9361.3814899200952</v>
      </c>
      <c r="AX235" s="299">
        <v>9757.7196096825173</v>
      </c>
      <c r="AY235" s="299">
        <v>10167.167964661719</v>
      </c>
      <c r="AZ235" s="299">
        <v>10590.24355325826</v>
      </c>
      <c r="BA235" s="299">
        <v>11027.46890526979</v>
      </c>
      <c r="BB235" s="299">
        <v>11479.371978894953</v>
      </c>
      <c r="BC235" s="299">
        <v>11946.486120015279</v>
      </c>
      <c r="BD235" s="299">
        <v>12429.350050608058</v>
      </c>
      <c r="BE235" s="299">
        <v>12928.507861213151</v>
      </c>
      <c r="BF235" s="299">
        <v>13444.508988525442</v>
      </c>
      <c r="BG235" s="299">
        <v>13977.908163812839</v>
      </c>
      <c r="BH235" s="299">
        <v>14529.265321297886</v>
      </c>
      <c r="BI235" s="299">
        <v>14529.265321297886</v>
      </c>
      <c r="DR235" s="300"/>
    </row>
    <row r="236" spans="1:122" s="299" customFormat="1" ht="15" x14ac:dyDescent="0.2">
      <c r="A236" s="299" t="s">
        <v>51</v>
      </c>
      <c r="B236" s="299">
        <v>130.12404001006635</v>
      </c>
      <c r="C236" s="299">
        <v>153.89588214769699</v>
      </c>
      <c r="D236" s="299">
        <v>211.00974698490685</v>
      </c>
      <c r="E236" s="299">
        <v>277.53574042570028</v>
      </c>
      <c r="F236" s="299">
        <v>332.87612523569646</v>
      </c>
      <c r="G236" s="299">
        <v>405.54507315104672</v>
      </c>
      <c r="H236" s="299">
        <v>491.23119139656541</v>
      </c>
      <c r="I236" s="299">
        <v>585.14159867183116</v>
      </c>
      <c r="J236" s="299">
        <v>687.27540778184289</v>
      </c>
      <c r="K236" s="299">
        <v>787.8935182989992</v>
      </c>
      <c r="L236" s="299">
        <v>896.93227259448656</v>
      </c>
      <c r="M236" s="299">
        <v>998.0222373542581</v>
      </c>
      <c r="N236" s="299">
        <v>1147.2354135857545</v>
      </c>
      <c r="O236" s="299">
        <v>1295.4962114951106</v>
      </c>
      <c r="P236" s="299">
        <v>1445.4634172552658</v>
      </c>
      <c r="Q236" s="299">
        <v>1598.634855280565</v>
      </c>
      <c r="R236" s="299">
        <v>1755.8211453437757</v>
      </c>
      <c r="S236" s="299">
        <v>1917.4400958862971</v>
      </c>
      <c r="T236" s="299">
        <v>2083.6989758033351</v>
      </c>
      <c r="U236" s="299">
        <v>2254.7067771781481</v>
      </c>
      <c r="V236" s="299">
        <v>2429.9225348296277</v>
      </c>
      <c r="W236" s="299">
        <v>2609.5683422704269</v>
      </c>
      <c r="X236" s="299">
        <v>2794.5136155690843</v>
      </c>
      <c r="Y236" s="299">
        <v>2984.7475731131221</v>
      </c>
      <c r="Z236" s="299">
        <v>3180.4324900431088</v>
      </c>
      <c r="AA236" s="299">
        <v>3382.2370865244147</v>
      </c>
      <c r="AB236" s="299">
        <v>3591.9039254361542</v>
      </c>
      <c r="AC236" s="299">
        <v>3825.5138150909047</v>
      </c>
      <c r="AD236" s="299">
        <v>4076.8882603159918</v>
      </c>
      <c r="AE236" s="299">
        <v>4344.8533376844807</v>
      </c>
      <c r="AF236" s="299">
        <v>4634.7112548673558</v>
      </c>
      <c r="AG236" s="299">
        <v>4943.6745116597485</v>
      </c>
      <c r="AH236" s="299">
        <v>5262.8306538937768</v>
      </c>
      <c r="AI236" s="299">
        <v>5593.5395026336082</v>
      </c>
      <c r="AJ236" s="299">
        <v>5936.7181047905087</v>
      </c>
      <c r="AK236" s="299">
        <v>6293.0991504332242</v>
      </c>
      <c r="AL236" s="299">
        <v>6663.3707025847416</v>
      </c>
      <c r="AM236" s="299">
        <v>7048.2430786509276</v>
      </c>
      <c r="AN236" s="299">
        <v>7448.4777026652973</v>
      </c>
      <c r="AO236" s="299">
        <v>7864.8969718759281</v>
      </c>
      <c r="AP236" s="299">
        <v>8298.3853376500792</v>
      </c>
      <c r="AQ236" s="299">
        <v>8749.8869024440319</v>
      </c>
      <c r="AR236" s="299">
        <v>9220.4021638085615</v>
      </c>
      <c r="AS236" s="299">
        <v>9710.9851120787243</v>
      </c>
      <c r="AT236" s="299">
        <v>10222.741152755754</v>
      </c>
      <c r="AU236" s="299">
        <v>10756.825962947283</v>
      </c>
      <c r="AV236" s="299">
        <v>11314.445227987899</v>
      </c>
      <c r="AW236" s="299">
        <v>11896.85514290042</v>
      </c>
      <c r="AX236" s="299">
        <v>12505.363551487297</v>
      </c>
      <c r="AY236" s="299">
        <v>13141.331606051248</v>
      </c>
      <c r="AZ236" s="299">
        <v>13806.175849027304</v>
      </c>
      <c r="BA236" s="299">
        <v>14501.370637408912</v>
      </c>
      <c r="BB236" s="299">
        <v>15228.450848807559</v>
      </c>
      <c r="BC236" s="299">
        <v>15989.014823251364</v>
      </c>
      <c r="BD236" s="299">
        <v>16784.727507270258</v>
      </c>
      <c r="BE236" s="299">
        <v>17617.323776696958</v>
      </c>
      <c r="BF236" s="299">
        <v>18488.611922325203</v>
      </c>
      <c r="BG236" s="299">
        <v>19400.477288519316</v>
      </c>
      <c r="BH236" s="299">
        <v>20354.886059424018</v>
      </c>
      <c r="BI236" s="299">
        <v>20354.886059424018</v>
      </c>
      <c r="DR236" s="300"/>
    </row>
    <row r="237" spans="1:122" s="299" customFormat="1" ht="15" x14ac:dyDescent="0.2">
      <c r="A237" s="299" t="s">
        <v>52</v>
      </c>
      <c r="B237" s="299">
        <v>29.680666810329154</v>
      </c>
      <c r="C237" s="299">
        <v>47.921476346095346</v>
      </c>
      <c r="D237" s="299">
        <v>69.766540650916568</v>
      </c>
      <c r="E237" s="299">
        <v>95.652119743026674</v>
      </c>
      <c r="F237" s="299">
        <v>126.1487049832191</v>
      </c>
      <c r="G237" s="299">
        <v>162.52836030745644</v>
      </c>
      <c r="H237" s="299">
        <v>205.47954653186076</v>
      </c>
      <c r="I237" s="299">
        <v>254.44592363924136</v>
      </c>
      <c r="J237" s="299">
        <v>309.57439092802133</v>
      </c>
      <c r="K237" s="299">
        <v>365.26021603620791</v>
      </c>
      <c r="L237" s="299">
        <v>426.05873436901322</v>
      </c>
      <c r="M237" s="299">
        <v>489.75408110411382</v>
      </c>
      <c r="N237" s="299">
        <v>574.57273210742073</v>
      </c>
      <c r="O237" s="299">
        <v>662.3550257365589</v>
      </c>
      <c r="P237" s="299">
        <v>753.89665119671633</v>
      </c>
      <c r="Q237" s="299">
        <v>849.60827625089792</v>
      </c>
      <c r="R237" s="299">
        <v>949.66799649155553</v>
      </c>
      <c r="S237" s="299">
        <v>1054.1225343566216</v>
      </c>
      <c r="T237" s="299">
        <v>1162.9532168205685</v>
      </c>
      <c r="U237" s="299">
        <v>1276.1187020089103</v>
      </c>
      <c r="V237" s="299">
        <v>1394.5733609464955</v>
      </c>
      <c r="W237" s="299">
        <v>1518.0385999840573</v>
      </c>
      <c r="X237" s="299">
        <v>1645.1990569864834</v>
      </c>
      <c r="Y237" s="299">
        <v>1776.3392026321064</v>
      </c>
      <c r="Z237" s="299">
        <v>1911.7013873631779</v>
      </c>
      <c r="AA237" s="299">
        <v>2051.653250628382</v>
      </c>
      <c r="AB237" s="299">
        <v>2196.5588016470547</v>
      </c>
      <c r="AC237" s="299">
        <v>2354.6210816657813</v>
      </c>
      <c r="AD237" s="299">
        <v>2522.6200169252293</v>
      </c>
      <c r="AE237" s="299">
        <v>2700.1744795262143</v>
      </c>
      <c r="AF237" s="299">
        <v>2890.5035544808784</v>
      </c>
      <c r="AG237" s="299">
        <v>3092.3090932227392</v>
      </c>
      <c r="AH237" s="299">
        <v>3300.8206697927881</v>
      </c>
      <c r="AI237" s="299">
        <v>3516.9720241593636</v>
      </c>
      <c r="AJ237" s="299">
        <v>3741.4242964968685</v>
      </c>
      <c r="AK237" s="299">
        <v>3974.7196805375102</v>
      </c>
      <c r="AL237" s="299">
        <v>4217.3637622039978</v>
      </c>
      <c r="AM237" s="299">
        <v>4469.8673087345187</v>
      </c>
      <c r="AN237" s="299">
        <v>4732.7662697007436</v>
      </c>
      <c r="AO237" s="299">
        <v>5006.6304450793832</v>
      </c>
      <c r="AP237" s="299">
        <v>5292.0665539349893</v>
      </c>
      <c r="AQ237" s="299">
        <v>5589.7187791107608</v>
      </c>
      <c r="AR237" s="299">
        <v>5900.2683857971306</v>
      </c>
      <c r="AS237" s="299">
        <v>6224.4332043311542</v>
      </c>
      <c r="AT237" s="299">
        <v>6562.9673362794038</v>
      </c>
      <c r="AU237" s="299">
        <v>6916.6612199798847</v>
      </c>
      <c r="AV237" s="299">
        <v>7286.3420823245006</v>
      </c>
      <c r="AW237" s="299">
        <v>7672.8747545417591</v>
      </c>
      <c r="AX237" s="299">
        <v>8077.162811786704</v>
      </c>
      <c r="AY237" s="299">
        <v>8500.1499935794036</v>
      </c>
      <c r="AZ237" s="299">
        <v>8942.821866141483</v>
      </c>
      <c r="BA237" s="299">
        <v>9406.2076941577252</v>
      </c>
      <c r="BB237" s="299">
        <v>9891.3824963393272</v>
      </c>
      <c r="BC237" s="299">
        <v>10399.469265463329</v>
      </c>
      <c r="BD237" s="299">
        <v>10931.641338972859</v>
      </c>
      <c r="BE237" s="299">
        <v>11489.124910700386</v>
      </c>
      <c r="BF237" s="299">
        <v>12073.201677903195</v>
      </c>
      <c r="BG237" s="299">
        <v>12685.211620698061</v>
      </c>
      <c r="BH237" s="299">
        <v>13326.555913287719</v>
      </c>
      <c r="BI237" s="299">
        <v>13326.555913287719</v>
      </c>
      <c r="DR237" s="300"/>
    </row>
    <row r="238" spans="1:122" s="299" customFormat="1" ht="15" x14ac:dyDescent="0.2">
      <c r="A238" s="299" t="s">
        <v>53</v>
      </c>
      <c r="B238" s="299">
        <v>8.4964425453158743</v>
      </c>
      <c r="C238" s="299">
        <v>12.406024462937847</v>
      </c>
      <c r="D238" s="299">
        <v>20.647837042157548</v>
      </c>
      <c r="E238" s="299">
        <v>32.01419404456756</v>
      </c>
      <c r="F238" s="299">
        <v>47.217331224134718</v>
      </c>
      <c r="G238" s="299">
        <v>67.019944340338824</v>
      </c>
      <c r="H238" s="299">
        <v>92.257624428880334</v>
      </c>
      <c r="I238" s="299">
        <v>123.33406461654731</v>
      </c>
      <c r="J238" s="299">
        <v>160.74463420663804</v>
      </c>
      <c r="K238" s="299">
        <v>202.92012372572722</v>
      </c>
      <c r="L238" s="299">
        <v>251.50144853337753</v>
      </c>
      <c r="M238" s="299">
        <v>306.09966974853353</v>
      </c>
      <c r="N238" s="299">
        <v>373.85715147760061</v>
      </c>
      <c r="O238" s="299">
        <v>447.91947136291827</v>
      </c>
      <c r="P238" s="299">
        <v>528.44815395521778</v>
      </c>
      <c r="Q238" s="299">
        <v>615.43678701039232</v>
      </c>
      <c r="R238" s="299">
        <v>708.76541467698269</v>
      </c>
      <c r="S238" s="299">
        <v>808.24447722024922</v>
      </c>
      <c r="T238" s="299">
        <v>913.64967011199894</v>
      </c>
      <c r="U238" s="299">
        <v>1024.749405544849</v>
      </c>
      <c r="V238" s="299">
        <v>1139.9508315904557</v>
      </c>
      <c r="W238" s="299">
        <v>1259.333225329385</v>
      </c>
      <c r="X238" s="299">
        <v>1384.5488312860689</v>
      </c>
      <c r="Y238" s="299">
        <v>1515.1738390276482</v>
      </c>
      <c r="Z238" s="299">
        <v>1650.985844527273</v>
      </c>
      <c r="AA238" s="299">
        <v>1792.0551233576332</v>
      </c>
      <c r="AB238" s="299">
        <v>1939.5309009938132</v>
      </c>
      <c r="AC238" s="299">
        <v>2099.2429289917191</v>
      </c>
      <c r="AD238" s="299">
        <v>2269.3451340338693</v>
      </c>
      <c r="AE238" s="299">
        <v>2449.4558663453499</v>
      </c>
      <c r="AF238" s="299">
        <v>2642.3460551345988</v>
      </c>
      <c r="AG238" s="299">
        <v>2846.8214896416002</v>
      </c>
      <c r="AH238" s="299">
        <v>3058.539133942078</v>
      </c>
      <c r="AI238" s="299">
        <v>3278.2398234860871</v>
      </c>
      <c r="AJ238" s="299">
        <v>3506.4567538803608</v>
      </c>
      <c r="AK238" s="299">
        <v>3743.6462945620365</v>
      </c>
      <c r="AL238" s="299">
        <v>3990.2569523053803</v>
      </c>
      <c r="AM238" s="299">
        <v>4246.7633180535395</v>
      </c>
      <c r="AN238" s="299">
        <v>4513.6812597798435</v>
      </c>
      <c r="AO238" s="299">
        <v>4791.5734825246045</v>
      </c>
      <c r="AP238" s="299">
        <v>5081.050477587738</v>
      </c>
      <c r="AQ238" s="299">
        <v>5382.7695547003032</v>
      </c>
      <c r="AR238" s="299">
        <v>5697.4333474144096</v>
      </c>
      <c r="AS238" s="299">
        <v>6025.7884658288849</v>
      </c>
      <c r="AT238" s="299">
        <v>6368.6245875643945</v>
      </c>
      <c r="AU238" s="299">
        <v>6726.7740805944286</v>
      </c>
      <c r="AV238" s="299">
        <v>7101.1121560779839</v>
      </c>
      <c r="AW238" s="299">
        <v>7492.5575082729138</v>
      </c>
      <c r="AX238" s="299">
        <v>7902.0733855378676</v>
      </c>
      <c r="AY238" s="299">
        <v>8330.669036948615</v>
      </c>
      <c r="AZ238" s="299">
        <v>8779.4014854896704</v>
      </c>
      <c r="BA238" s="299">
        <v>9249.3775871925136</v>
      </c>
      <c r="BB238" s="299">
        <v>9741.756344065665</v>
      </c>
      <c r="BC238" s="299">
        <v>10257.751446360968</v>
      </c>
      <c r="BD238" s="299">
        <v>10798.63402635899</v>
      </c>
      <c r="BE238" s="299">
        <v>11365.735611418164</v>
      </c>
      <c r="BF238" s="299">
        <v>11960.451268615354</v>
      </c>
      <c r="BG238" s="299">
        <v>12584.242937053616</v>
      </c>
      <c r="BH238" s="299">
        <v>13238.642946969823</v>
      </c>
      <c r="BI238" s="299">
        <v>13238.642946969823</v>
      </c>
      <c r="DR238" s="300"/>
    </row>
    <row r="239" spans="1:122" s="299" customFormat="1" ht="15" x14ac:dyDescent="0.2">
      <c r="A239" s="299" t="s">
        <v>54</v>
      </c>
      <c r="B239" s="299">
        <v>4.2517250466567384</v>
      </c>
      <c r="C239" s="299">
        <v>17.03662997916117</v>
      </c>
      <c r="D239" s="299">
        <v>27.506348034934021</v>
      </c>
      <c r="E239" s="299">
        <v>41.416244614423363</v>
      </c>
      <c r="F239" s="299">
        <v>59.274364481189032</v>
      </c>
      <c r="G239" s="299">
        <v>81.42113954520778</v>
      </c>
      <c r="H239" s="299">
        <v>108.84587033756469</v>
      </c>
      <c r="I239" s="299">
        <v>141.55369564469905</v>
      </c>
      <c r="J239" s="299">
        <v>179.87552063015022</v>
      </c>
      <c r="K239" s="299">
        <v>220.8279496223135</v>
      </c>
      <c r="L239" s="299">
        <v>264.50838022233648</v>
      </c>
      <c r="M239" s="299">
        <v>321.59249012538447</v>
      </c>
      <c r="N239" s="299">
        <v>376.72772408925312</v>
      </c>
      <c r="O239" s="299">
        <v>435.74436817940813</v>
      </c>
      <c r="P239" s="299">
        <v>497.71564776229621</v>
      </c>
      <c r="Q239" s="299">
        <v>561.74939822717761</v>
      </c>
      <c r="R239" s="299">
        <v>626.96883846829201</v>
      </c>
      <c r="S239" s="299">
        <v>692.52262669241077</v>
      </c>
      <c r="T239" s="299">
        <v>757.59621882307943</v>
      </c>
      <c r="U239" s="299">
        <v>821.42302054250126</v>
      </c>
      <c r="V239" s="299">
        <v>882.25996346322779</v>
      </c>
      <c r="W239" s="299">
        <v>939.65803899067816</v>
      </c>
      <c r="X239" s="299">
        <v>994.27854732847777</v>
      </c>
      <c r="Y239" s="299">
        <v>1045.3625798804153</v>
      </c>
      <c r="Z239" s="299">
        <v>1092.3215753451816</v>
      </c>
      <c r="AA239" s="299">
        <v>1134.8337513991717</v>
      </c>
      <c r="AB239" s="299">
        <v>1173.225918010462</v>
      </c>
      <c r="AC239" s="299">
        <v>1212.3467484884081</v>
      </c>
      <c r="AD239" s="299">
        <v>1250.3777993231461</v>
      </c>
      <c r="AE239" s="299">
        <v>1286.9276247042644</v>
      </c>
      <c r="AF239" s="299">
        <v>1323.6591895108431</v>
      </c>
      <c r="AG239" s="299">
        <v>1359.9555630443581</v>
      </c>
      <c r="AH239" s="299">
        <v>1393.3314897409787</v>
      </c>
      <c r="AI239" s="299">
        <v>1423.9194719540244</v>
      </c>
      <c r="AJ239" s="299">
        <v>1451.8265173964323</v>
      </c>
      <c r="AK239" s="299">
        <v>1477.0788185997171</v>
      </c>
      <c r="AL239" s="299">
        <v>1499.666944919619</v>
      </c>
      <c r="AM239" s="299">
        <v>1519.5700297127503</v>
      </c>
      <c r="AN239" s="299">
        <v>1536.7667936338089</v>
      </c>
      <c r="AO239" s="299">
        <v>1551.2403281671491</v>
      </c>
      <c r="AP239" s="299">
        <v>1562.9802345556427</v>
      </c>
      <c r="AQ239" s="299">
        <v>1571.983869810718</v>
      </c>
      <c r="AR239" s="299">
        <v>1578.2575149463396</v>
      </c>
      <c r="AS239" s="299">
        <v>1581.8178209819662</v>
      </c>
      <c r="AT239" s="299">
        <v>1582.693671071642</v>
      </c>
      <c r="AU239" s="299">
        <v>1580.9284992587218</v>
      </c>
      <c r="AV239" s="299">
        <v>1576.583064806551</v>
      </c>
      <c r="AW239" s="299">
        <v>1569.7386646126536</v>
      </c>
      <c r="AX239" s="299">
        <v>1560.5007603649005</v>
      </c>
      <c r="AY239" s="299">
        <v>1549.0029961180246</v>
      </c>
      <c r="AZ239" s="299">
        <v>1535.4115849588266</v>
      </c>
      <c r="BA239" s="299">
        <v>1519.9300524709372</v>
      </c>
      <c r="BB239" s="299">
        <v>1502.8043441654097</v>
      </c>
      <c r="BC239" s="299">
        <v>1484.3283404648571</v>
      </c>
      <c r="BD239" s="299">
        <v>1464.8498852485995</v>
      </c>
      <c r="BE239" s="299">
        <v>1444.7775344777024</v>
      </c>
      <c r="BF239" s="299">
        <v>1424.5883861219443</v>
      </c>
      <c r="BG239" s="299">
        <v>1404.8375831545677</v>
      </c>
      <c r="BH239" s="299">
        <v>1386.1704175685641</v>
      </c>
      <c r="BI239" s="299">
        <v>1386.1704175685641</v>
      </c>
      <c r="DR239" s="300"/>
    </row>
    <row r="240" spans="1:122" s="299" customFormat="1" ht="15" x14ac:dyDescent="0.2">
      <c r="A240" s="299" t="s">
        <v>55</v>
      </c>
      <c r="B240" s="299">
        <v>1.9576620477276798</v>
      </c>
      <c r="C240" s="299">
        <v>4.3614055773481155</v>
      </c>
      <c r="D240" s="299">
        <v>7.8713620477658974</v>
      </c>
      <c r="E240" s="299">
        <v>13.086848102608453</v>
      </c>
      <c r="F240" s="299">
        <v>20.663369080635551</v>
      </c>
      <c r="G240" s="299">
        <v>31.00621733813005</v>
      </c>
      <c r="H240" s="299">
        <v>44.50508337655733</v>
      </c>
      <c r="I240" s="299">
        <v>61.744048465906353</v>
      </c>
      <c r="J240" s="299">
        <v>83.156240708522944</v>
      </c>
      <c r="K240" s="299">
        <v>109.12517417701315</v>
      </c>
      <c r="L240" s="299">
        <v>139.93628037811945</v>
      </c>
      <c r="M240" s="299">
        <v>175.5240843562714</v>
      </c>
      <c r="N240" s="299">
        <v>217.6522370057171</v>
      </c>
      <c r="O240" s="299">
        <v>264.77944982489913</v>
      </c>
      <c r="P240" s="299">
        <v>316.85882832833283</v>
      </c>
      <c r="Q240" s="299">
        <v>373.74235777367608</v>
      </c>
      <c r="R240" s="299">
        <v>435.20334418595183</v>
      </c>
      <c r="S240" s="299">
        <v>500.95789517212933</v>
      </c>
      <c r="T240" s="299">
        <v>570.68475844980958</v>
      </c>
      <c r="U240" s="299">
        <v>644.04324020294757</v>
      </c>
      <c r="V240" s="299">
        <v>718.06732299663565</v>
      </c>
      <c r="W240" s="299">
        <v>792.91629939320399</v>
      </c>
      <c r="X240" s="299">
        <v>871.71147130937675</v>
      </c>
      <c r="Y240" s="299">
        <v>953.55742323712741</v>
      </c>
      <c r="Z240" s="299">
        <v>1037.8418724437372</v>
      </c>
      <c r="AA240" s="299">
        <v>1124.3046265119515</v>
      </c>
      <c r="AB240" s="299">
        <v>1213.688253683885</v>
      </c>
      <c r="AC240" s="299">
        <v>1311.8832079718272</v>
      </c>
      <c r="AD240" s="299">
        <v>1416.6558316764215</v>
      </c>
      <c r="AE240" s="299">
        <v>1527.3507941130811</v>
      </c>
      <c r="AF240" s="299">
        <v>1645.1396558582751</v>
      </c>
      <c r="AG240" s="299">
        <v>1768.9179229484548</v>
      </c>
      <c r="AH240" s="299">
        <v>1895.7763370343646</v>
      </c>
      <c r="AI240" s="299">
        <v>2025.7709530517532</v>
      </c>
      <c r="AJ240" s="299">
        <v>2158.8807482363377</v>
      </c>
      <c r="AK240" s="299">
        <v>2295.0663884070136</v>
      </c>
      <c r="AL240" s="299">
        <v>2434.3036122538865</v>
      </c>
      <c r="AM240" s="299">
        <v>2576.5958270547449</v>
      </c>
      <c r="AN240" s="299">
        <v>2721.9761167410375</v>
      </c>
      <c r="AO240" s="299">
        <v>2870.504323403783</v>
      </c>
      <c r="AP240" s="299">
        <v>3022.2622277393234</v>
      </c>
      <c r="AQ240" s="299">
        <v>3177.3483649197351</v>
      </c>
      <c r="AR240" s="299">
        <v>3335.8731906863127</v>
      </c>
      <c r="AS240" s="299">
        <v>3497.9548739013667</v>
      </c>
      <c r="AT240" s="299">
        <v>3663.7157691633729</v>
      </c>
      <c r="AU240" s="299">
        <v>3833.2795192315893</v>
      </c>
      <c r="AV240" s="299">
        <v>4006.7686963415467</v>
      </c>
      <c r="AW240" s="299">
        <v>4184.3028828483884</v>
      </c>
      <c r="AX240" s="299">
        <v>4365.9970979482305</v>
      </c>
      <c r="AY240" s="299">
        <v>4551.9604894615723</v>
      </c>
      <c r="AZ240" s="299">
        <v>4742.2952232524804</v>
      </c>
      <c r="BA240" s="299">
        <v>4937.0955156730988</v>
      </c>
      <c r="BB240" s="299">
        <v>5136.4467656157703</v>
      </c>
      <c r="BC240" s="299">
        <v>5340.4247521235111</v>
      </c>
      <c r="BD240" s="299">
        <v>5549.0948711509991</v>
      </c>
      <c r="BE240" s="299">
        <v>5762.511391203283</v>
      </c>
      <c r="BF240" s="299">
        <v>5980.7167124564467</v>
      </c>
      <c r="BG240" s="299">
        <v>6203.7406178232523</v>
      </c>
      <c r="BH240" s="299">
        <v>6431.5995074746234</v>
      </c>
      <c r="BI240" s="299">
        <v>6431.5995074746234</v>
      </c>
      <c r="DR240" s="300"/>
    </row>
    <row r="241" spans="1:122" s="299" customFormat="1" ht="15" x14ac:dyDescent="0.2">
      <c r="A241" s="299" t="s">
        <v>56</v>
      </c>
      <c r="B241" s="299">
        <v>15.599047040985921</v>
      </c>
      <c r="C241" s="299">
        <v>25.312222262708076</v>
      </c>
      <c r="D241" s="299">
        <v>38.372819894635086</v>
      </c>
      <c r="E241" s="299">
        <v>54.728716792062599</v>
      </c>
      <c r="F241" s="299">
        <v>75.308899995958953</v>
      </c>
      <c r="G241" s="299">
        <v>99.673234197596258</v>
      </c>
      <c r="H241" s="299">
        <v>127.8255029919992</v>
      </c>
      <c r="I241" s="299">
        <v>160.23567793609095</v>
      </c>
      <c r="J241" s="299">
        <v>196.98110363653541</v>
      </c>
      <c r="K241" s="299">
        <v>241.25457697560881</v>
      </c>
      <c r="L241" s="299">
        <v>291.98174017265023</v>
      </c>
      <c r="M241" s="299">
        <v>337.84735030719492</v>
      </c>
      <c r="N241" s="299">
        <v>398.00411563831597</v>
      </c>
      <c r="O241" s="299">
        <v>460.41199080849077</v>
      </c>
      <c r="P241" s="299">
        <v>525.43980383102883</v>
      </c>
      <c r="Q241" s="299">
        <v>593.21420122810127</v>
      </c>
      <c r="R241" s="299">
        <v>663.71855662245696</v>
      </c>
      <c r="S241" s="299">
        <v>736.85691492963713</v>
      </c>
      <c r="T241" s="299">
        <v>812.49715238976205</v>
      </c>
      <c r="U241" s="299">
        <v>890.50002891893109</v>
      </c>
      <c r="V241" s="299">
        <v>967.44598096250172</v>
      </c>
      <c r="W241" s="299">
        <v>1044.0354895364603</v>
      </c>
      <c r="X241" s="299">
        <v>1124.4519547748848</v>
      </c>
      <c r="Y241" s="299">
        <v>1207.844656435286</v>
      </c>
      <c r="Z241" s="299">
        <v>1293.7496141267698</v>
      </c>
      <c r="AA241" s="299">
        <v>1382.12395237429</v>
      </c>
      <c r="AB241" s="299">
        <v>1473.5217635130116</v>
      </c>
      <c r="AC241" s="299">
        <v>1575.5379695248478</v>
      </c>
      <c r="AD241" s="299">
        <v>1685.1627910272296</v>
      </c>
      <c r="AE241" s="299">
        <v>1801.8029652450218</v>
      </c>
      <c r="AF241" s="299">
        <v>1926.8950870613739</v>
      </c>
      <c r="AG241" s="299">
        <v>2059.4133365062794</v>
      </c>
      <c r="AH241" s="299">
        <v>2196.4303239508026</v>
      </c>
      <c r="AI241" s="299">
        <v>2338.230986993281</v>
      </c>
      <c r="AJ241" s="299">
        <v>2485.0130702504953</v>
      </c>
      <c r="AK241" s="299">
        <v>2636.9519623181982</v>
      </c>
      <c r="AL241" s="299">
        <v>2794.2385710697167</v>
      </c>
      <c r="AM241" s="299">
        <v>2957.0948290644083</v>
      </c>
      <c r="AN241" s="299">
        <v>3125.7779453492117</v>
      </c>
      <c r="AO241" s="299">
        <v>3300.5794562224846</v>
      </c>
      <c r="AP241" s="299">
        <v>3481.8222531128376</v>
      </c>
      <c r="AQ241" s="299">
        <v>3669.8571770219155</v>
      </c>
      <c r="AR241" s="299">
        <v>3865.0599105449146</v>
      </c>
      <c r="AS241" s="299">
        <v>4067.8284495852645</v>
      </c>
      <c r="AT241" s="299">
        <v>4278.5812136456443</v>
      </c>
      <c r="AU241" s="299">
        <v>4497.755751742242</v>
      </c>
      <c r="AV241" s="299">
        <v>4725.8079622952173</v>
      </c>
      <c r="AW241" s="299">
        <v>4963.2117378568537</v>
      </c>
      <c r="AX241" s="299">
        <v>5210.4589521676653</v>
      </c>
      <c r="AY241" s="299">
        <v>5468.0597189555501</v>
      </c>
      <c r="AZ241" s="299">
        <v>5736.5428647823255</v>
      </c>
      <c r="BA241" s="299">
        <v>6016.4565701567399</v>
      </c>
      <c r="BB241" s="299">
        <v>6308.3691433549884</v>
      </c>
      <c r="BC241" s="299">
        <v>6612.8698997989713</v>
      </c>
      <c r="BD241" s="299">
        <v>6930.5701265811822</v>
      </c>
      <c r="BE241" s="299">
        <v>7262.1041170325198</v>
      </c>
      <c r="BF241" s="299">
        <v>7608.1302643594527</v>
      </c>
      <c r="BG241" s="299">
        <v>7969.3322065593948</v>
      </c>
      <c r="BH241" s="299">
        <v>8346.4200172600704</v>
      </c>
      <c r="BI241" s="299">
        <v>8346.4200172600704</v>
      </c>
      <c r="DR241" s="300"/>
    </row>
    <row r="242" spans="1:122" s="299" customFormat="1" ht="15" x14ac:dyDescent="0.2">
      <c r="A242" s="299" t="s">
        <v>57</v>
      </c>
      <c r="B242" s="299">
        <v>1.2996994918834321</v>
      </c>
      <c r="C242" s="299">
        <v>2.408920789805296</v>
      </c>
      <c r="D242" s="299">
        <v>4.4421695262226137</v>
      </c>
      <c r="E242" s="299">
        <v>7.5634494806651151</v>
      </c>
      <c r="F242" s="299">
        <v>12.350332386780075</v>
      </c>
      <c r="G242" s="299">
        <v>19.024268064497019</v>
      </c>
      <c r="H242" s="299">
        <v>27.627889215253898</v>
      </c>
      <c r="I242" s="299">
        <v>38.71398222500369</v>
      </c>
      <c r="J242" s="299">
        <v>52.578950145468269</v>
      </c>
      <c r="K242" s="299">
        <v>70.615256306548076</v>
      </c>
      <c r="L242" s="299">
        <v>92.285965314496949</v>
      </c>
      <c r="M242" s="299">
        <v>116.92353177398151</v>
      </c>
      <c r="N242" s="299">
        <v>144.49594557703864</v>
      </c>
      <c r="O242" s="299">
        <v>175.36635755403177</v>
      </c>
      <c r="P242" s="299">
        <v>209.34628567349762</v>
      </c>
      <c r="Q242" s="299">
        <v>246.18711328989673</v>
      </c>
      <c r="R242" s="299">
        <v>285.59445265452752</v>
      </c>
      <c r="S242" s="299">
        <v>327.2438329996757</v>
      </c>
      <c r="T242" s="299">
        <v>370.79593806431188</v>
      </c>
      <c r="U242" s="299">
        <v>415.91079791812678</v>
      </c>
      <c r="V242" s="299">
        <v>460.53007707565729</v>
      </c>
      <c r="W242" s="299">
        <v>504.64463275239967</v>
      </c>
      <c r="X242" s="299">
        <v>547.71180279918406</v>
      </c>
      <c r="Y242" s="299">
        <v>592.29258549323242</v>
      </c>
      <c r="Z242" s="299">
        <v>637.60807850254173</v>
      </c>
      <c r="AA242" s="299">
        <v>683.26109669917764</v>
      </c>
      <c r="AB242" s="299">
        <v>730.13961751753334</v>
      </c>
      <c r="AC242" s="299">
        <v>781.39436912023075</v>
      </c>
      <c r="AD242" s="299">
        <v>835.99395821703877</v>
      </c>
      <c r="AE242" s="299">
        <v>893.45866141942679</v>
      </c>
      <c r="AF242" s="299">
        <v>954.37866902893506</v>
      </c>
      <c r="AG242" s="299">
        <v>1018.0713180402453</v>
      </c>
      <c r="AH242" s="299">
        <v>1082.8210110500199</v>
      </c>
      <c r="AI242" s="299">
        <v>1148.5778930711549</v>
      </c>
      <c r="AJ242" s="299">
        <v>1215.2814661366922</v>
      </c>
      <c r="AK242" s="299">
        <v>1282.8705593431534</v>
      </c>
      <c r="AL242" s="299">
        <v>1351.3006844905226</v>
      </c>
      <c r="AM242" s="299">
        <v>1420.5493705752835</v>
      </c>
      <c r="AN242" s="299">
        <v>1490.615535116111</v>
      </c>
      <c r="AO242" s="299">
        <v>1561.5163539979469</v>
      </c>
      <c r="AP242" s="299">
        <v>1633.2833976934794</v>
      </c>
      <c r="AQ242" s="299">
        <v>1705.9588735919717</v>
      </c>
      <c r="AR242" s="299">
        <v>1779.5923224065518</v>
      </c>
      <c r="AS242" s="299">
        <v>1854.2378674210022</v>
      </c>
      <c r="AT242" s="299">
        <v>1929.9519978523851</v>
      </c>
      <c r="AU242" s="299">
        <v>2006.7918194335743</v>
      </c>
      <c r="AV242" s="299">
        <v>2084.8136919883832</v>
      </c>
      <c r="AW242" s="299">
        <v>2164.0721767078667</v>
      </c>
      <c r="AX242" s="299">
        <v>2244.619225357736</v>
      </c>
      <c r="AY242" s="299">
        <v>2326.5035549367949</v>
      </c>
      <c r="AZ242" s="299">
        <v>2409.7701621452306</v>
      </c>
      <c r="BA242" s="299">
        <v>2494.4599415276948</v>
      </c>
      <c r="BB242" s="299">
        <v>2580.6093791058356</v>
      </c>
      <c r="BC242" s="299">
        <v>2668.250299783228</v>
      </c>
      <c r="BD242" s="299">
        <v>2757.4096519839454</v>
      </c>
      <c r="BE242" s="299">
        <v>2848.1093170924569</v>
      </c>
      <c r="BF242" s="299">
        <v>2940.3659345044734</v>
      </c>
      <c r="BG242" s="299">
        <v>3034.1907356548368</v>
      </c>
      <c r="BH242" s="299">
        <v>3129.5893824104483</v>
      </c>
      <c r="BI242" s="299">
        <v>3129.5893824104483</v>
      </c>
      <c r="DR242" s="300"/>
    </row>
    <row r="243" spans="1:122" s="299" customFormat="1" ht="15" x14ac:dyDescent="0.2">
      <c r="A243" s="299" t="s">
        <v>58</v>
      </c>
      <c r="B243" s="299">
        <v>15.678487569688475</v>
      </c>
      <c r="C243" s="299">
        <v>25.975368031985838</v>
      </c>
      <c r="D243" s="299">
        <v>41.119139228993085</v>
      </c>
      <c r="E243" s="299">
        <v>61.272278561613838</v>
      </c>
      <c r="F243" s="299">
        <v>87.211799303039498</v>
      </c>
      <c r="G243" s="299">
        <v>119.30357124690973</v>
      </c>
      <c r="H243" s="299">
        <v>158.36731849278266</v>
      </c>
      <c r="I243" s="299">
        <v>204.88926557942017</v>
      </c>
      <c r="J243" s="299">
        <v>259.25101043755927</v>
      </c>
      <c r="K243" s="299">
        <v>321.55431725908437</v>
      </c>
      <c r="L243" s="299">
        <v>393.20063163528323</v>
      </c>
      <c r="M243" s="299">
        <v>466.02861079171004</v>
      </c>
      <c r="N243" s="299">
        <v>559.81670310576351</v>
      </c>
      <c r="O243" s="299">
        <v>659.8066337147377</v>
      </c>
      <c r="P243" s="299">
        <v>766.41599130646671</v>
      </c>
      <c r="Q243" s="299">
        <v>879.76850258479374</v>
      </c>
      <c r="R243" s="299">
        <v>999.80009033647059</v>
      </c>
      <c r="S243" s="299">
        <v>1126.3366818737245</v>
      </c>
      <c r="T243" s="299">
        <v>1259.1502882582267</v>
      </c>
      <c r="U243" s="299">
        <v>1397.9992529986114</v>
      </c>
      <c r="V243" s="299">
        <v>1538.0363337746621</v>
      </c>
      <c r="W243" s="299">
        <v>1680.1064068175058</v>
      </c>
      <c r="X243" s="299">
        <v>1830.1180689766331</v>
      </c>
      <c r="Y243" s="299">
        <v>1986.8743802124459</v>
      </c>
      <c r="Z243" s="299">
        <v>2149.7143004506838</v>
      </c>
      <c r="AA243" s="299">
        <v>2318.5400167719167</v>
      </c>
      <c r="AB243" s="299">
        <v>2493.6810010646223</v>
      </c>
      <c r="AC243" s="299">
        <v>2685.4444190983909</v>
      </c>
      <c r="AD243" s="299">
        <v>2889.7706125314294</v>
      </c>
      <c r="AE243" s="299">
        <v>3105.9930126865374</v>
      </c>
      <c r="AF243" s="299">
        <v>3337.9518069117885</v>
      </c>
      <c r="AG243" s="299">
        <v>3583.8760762967304</v>
      </c>
      <c r="AH243" s="299">
        <v>3837.5964461187577</v>
      </c>
      <c r="AI243" s="299">
        <v>4100.0970063148243</v>
      </c>
      <c r="AJ243" s="299">
        <v>4372.0459531378683</v>
      </c>
      <c r="AK243" s="299">
        <v>4653.9785558350086</v>
      </c>
      <c r="AL243" s="299">
        <v>4946.3960259267642</v>
      </c>
      <c r="AM243" s="299">
        <v>5249.8144055800713</v>
      </c>
      <c r="AN243" s="299">
        <v>5564.7866690951823</v>
      </c>
      <c r="AO243" s="299">
        <v>5891.9110079772972</v>
      </c>
      <c r="AP243" s="299">
        <v>6231.8324211791059</v>
      </c>
      <c r="AQ243" s="299">
        <v>6585.2414220192013</v>
      </c>
      <c r="AR243" s="299">
        <v>6952.8718262086695</v>
      </c>
      <c r="AS243" s="299">
        <v>7335.4985740160928</v>
      </c>
      <c r="AT243" s="299">
        <v>7733.9360000013176</v>
      </c>
      <c r="AU243" s="299">
        <v>8149.0366865849446</v>
      </c>
      <c r="AV243" s="299">
        <v>8581.6909037555251</v>
      </c>
      <c r="AW243" s="299">
        <v>9032.8265793857972</v>
      </c>
      <c r="AX243" s="299">
        <v>9503.4097257809772</v>
      </c>
      <c r="AY243" s="299">
        <v>9994.4452480346372</v>
      </c>
      <c r="AZ243" s="299">
        <v>10506.978067828884</v>
      </c>
      <c r="BA243" s="299">
        <v>11042.094507033871</v>
      </c>
      <c r="BB243" s="299">
        <v>11600.923886213553</v>
      </c>
      <c r="BC243" s="299">
        <v>12184.640302800653</v>
      </c>
      <c r="BD243" s="299">
        <v>12794.4645618911</v>
      </c>
      <c r="BE243" s="299">
        <v>13431.666239319922</v>
      </c>
      <c r="BF243" s="299">
        <v>14097.565862063178</v>
      </c>
      <c r="BG243" s="299">
        <v>14793.537195265908</v>
      </c>
      <c r="BH243" s="299">
        <v>15521.009628522559</v>
      </c>
      <c r="BI243" s="299">
        <v>15521.009628522559</v>
      </c>
      <c r="DR243" s="300"/>
    </row>
    <row r="244" spans="1:122" s="299" customFormat="1" ht="15" x14ac:dyDescent="0.2">
      <c r="A244" s="299" t="s">
        <v>114</v>
      </c>
      <c r="B244" s="299">
        <v>118.74395215537521</v>
      </c>
      <c r="C244" s="299">
        <v>157.27475529077947</v>
      </c>
      <c r="D244" s="299">
        <v>214.61660202186468</v>
      </c>
      <c r="E244" s="299">
        <v>279.52219895485052</v>
      </c>
      <c r="F244" s="299">
        <v>352.13106767370283</v>
      </c>
      <c r="G244" s="299">
        <v>433.27394518253044</v>
      </c>
      <c r="H244" s="299">
        <v>522.02710945586375</v>
      </c>
      <c r="I244" s="299">
        <v>618.62730213975533</v>
      </c>
      <c r="J244" s="299">
        <v>723.09622758227499</v>
      </c>
      <c r="K244" s="299">
        <v>827.12442313908309</v>
      </c>
      <c r="L244" s="299">
        <v>937.93752098509594</v>
      </c>
      <c r="M244" s="299">
        <v>1045.5207259200918</v>
      </c>
      <c r="N244" s="299">
        <v>1188.3732986643902</v>
      </c>
      <c r="O244" s="299">
        <v>1329.4211009643327</v>
      </c>
      <c r="P244" s="299">
        <v>1470.597167390418</v>
      </c>
      <c r="Q244" s="299">
        <v>1612.7997095543617</v>
      </c>
      <c r="R244" s="299">
        <v>1756.3541533001194</v>
      </c>
      <c r="S244" s="299">
        <v>1901.2640961911743</v>
      </c>
      <c r="T244" s="299">
        <v>2047.3652171801423</v>
      </c>
      <c r="U244" s="299">
        <v>2194.4191621649547</v>
      </c>
      <c r="V244" s="299">
        <v>2341.7319264249354</v>
      </c>
      <c r="W244" s="299">
        <v>2489.1426736275034</v>
      </c>
      <c r="X244" s="299">
        <v>2636.9375709128758</v>
      </c>
      <c r="Y244" s="299">
        <v>2784.8132393525748</v>
      </c>
      <c r="Z244" s="299">
        <v>2932.6054548018014</v>
      </c>
      <c r="AA244" s="299">
        <v>3080.6062911712661</v>
      </c>
      <c r="AB244" s="299">
        <v>3230.3458102573563</v>
      </c>
      <c r="AC244" s="299">
        <v>3396.1756898642298</v>
      </c>
      <c r="AD244" s="299">
        <v>3572.3872754735089</v>
      </c>
      <c r="AE244" s="299">
        <v>3757.6841151564004</v>
      </c>
      <c r="AF244" s="299">
        <v>3956.2056909106345</v>
      </c>
      <c r="AG244" s="299">
        <v>4165.5337112175685</v>
      </c>
      <c r="AH244" s="299">
        <v>4378.2541913810501</v>
      </c>
      <c r="AI244" s="299">
        <v>4595.0796516218761</v>
      </c>
      <c r="AJ244" s="299">
        <v>4816.4391412876139</v>
      </c>
      <c r="AK244" s="299">
        <v>5042.579297226127</v>
      </c>
      <c r="AL244" s="299">
        <v>5273.6820086353737</v>
      </c>
      <c r="AM244" s="299">
        <v>5509.9191359716542</v>
      </c>
      <c r="AN244" s="299">
        <v>5751.4744306115472</v>
      </c>
      <c r="AO244" s="299">
        <v>5998.5495841823113</v>
      </c>
      <c r="AP244" s="299">
        <v>6251.3632040490093</v>
      </c>
      <c r="AQ244" s="299">
        <v>6510.1471227910633</v>
      </c>
      <c r="AR244" s="299">
        <v>6775.142131732925</v>
      </c>
      <c r="AS244" s="299">
        <v>7046.5940367980675</v>
      </c>
      <c r="AT244" s="299">
        <v>7324.7503456589893</v>
      </c>
      <c r="AU244" s="299">
        <v>7609.8576214297927</v>
      </c>
      <c r="AV244" s="299">
        <v>7902.1594248884694</v>
      </c>
      <c r="AW244" s="299">
        <v>8201.8947320720999</v>
      </c>
      <c r="AX244" s="299">
        <v>8509.2967143588849</v>
      </c>
      <c r="AY244" s="299">
        <v>8824.5917824053558</v>
      </c>
      <c r="AZ244" s="299">
        <v>9147.9988133035422</v>
      </c>
      <c r="BA244" s="299">
        <v>9479.7284975525781</v>
      </c>
      <c r="BB244" s="299">
        <v>9819.9827572297945</v>
      </c>
      <c r="BC244" s="299">
        <v>10168.954198747828</v>
      </c>
      <c r="BD244" s="299">
        <v>10526.825573012973</v>
      </c>
      <c r="BE244" s="299">
        <v>10893.769223064297</v>
      </c>
      <c r="BF244" s="299">
        <v>11269.946504802221</v>
      </c>
      <c r="BG244" s="299">
        <v>11655.507170599092</v>
      </c>
      <c r="BH244" s="299">
        <v>12050.58870874405</v>
      </c>
      <c r="BI244" s="299">
        <v>12050.58870874405</v>
      </c>
      <c r="DR244" s="300"/>
    </row>
    <row r="245" spans="1:122" s="299" customFormat="1" ht="15" x14ac:dyDescent="0.2">
      <c r="A245" s="299" t="s">
        <v>224</v>
      </c>
      <c r="B245" s="299">
        <v>3.0776728258783042</v>
      </c>
      <c r="C245" s="299">
        <v>4.6319428884266962</v>
      </c>
      <c r="D245" s="299">
        <v>8.504066956398054</v>
      </c>
      <c r="E245" s="299">
        <v>14.45594732723918</v>
      </c>
      <c r="F245" s="299">
        <v>23.309320929744636</v>
      </c>
      <c r="G245" s="299">
        <v>35.617520413623367</v>
      </c>
      <c r="H245" s="299">
        <v>51.893575759582248</v>
      </c>
      <c r="I245" s="299">
        <v>72.970852564968169</v>
      </c>
      <c r="J245" s="299">
        <v>99.47320463390335</v>
      </c>
      <c r="K245" s="299">
        <v>132.52929605547985</v>
      </c>
      <c r="L245" s="299">
        <v>171.52136082055301</v>
      </c>
      <c r="M245" s="299">
        <v>220.97137815876658</v>
      </c>
      <c r="N245" s="299">
        <v>273.09477668659343</v>
      </c>
      <c r="O245" s="299">
        <v>332.29564883080479</v>
      </c>
      <c r="P245" s="299">
        <v>398.15743428812584</v>
      </c>
      <c r="Q245" s="299">
        <v>470.1287500887571</v>
      </c>
      <c r="R245" s="299">
        <v>547.52815271262784</v>
      </c>
      <c r="S245" s="299">
        <v>629.55603186236897</v>
      </c>
      <c r="T245" s="299">
        <v>715.31027948479868</v>
      </c>
      <c r="U245" s="299">
        <v>803.8044745862511</v>
      </c>
      <c r="V245" s="299">
        <v>890.91406183212371</v>
      </c>
      <c r="W245" s="299">
        <v>976.11740540698065</v>
      </c>
      <c r="X245" s="299">
        <v>1062.2355373426778</v>
      </c>
      <c r="Y245" s="299">
        <v>1147.3865615641218</v>
      </c>
      <c r="Z245" s="299">
        <v>1229.9652679653759</v>
      </c>
      <c r="AA245" s="299">
        <v>1308.7446418191432</v>
      </c>
      <c r="AB245" s="299">
        <v>1382.8580274863471</v>
      </c>
      <c r="AC245" s="299">
        <v>1459.9114891205706</v>
      </c>
      <c r="AD245" s="299">
        <v>1535.7530561799708</v>
      </c>
      <c r="AE245" s="299">
        <v>1609.0864562961769</v>
      </c>
      <c r="AF245" s="299">
        <v>1680.579674447059</v>
      </c>
      <c r="AG245" s="299">
        <v>1748.7439141013019</v>
      </c>
      <c r="AH245" s="299">
        <v>1810.5051142061434</v>
      </c>
      <c r="AI245" s="299">
        <v>1865.5865126658696</v>
      </c>
      <c r="AJ245" s="299">
        <v>1913.6983662101288</v>
      </c>
      <c r="AK245" s="299">
        <v>1954.541450030946</v>
      </c>
      <c r="AL245" s="299">
        <v>1987.8403242968182</v>
      </c>
      <c r="AM245" s="299">
        <v>2013.3569897408445</v>
      </c>
      <c r="AN245" s="299">
        <v>2030.8952781063135</v>
      </c>
      <c r="AO245" s="299">
        <v>2040.3021231256587</v>
      </c>
      <c r="AP245" s="299">
        <v>2041.4688145191938</v>
      </c>
      <c r="AQ245" s="299">
        <v>2034.3337333051015</v>
      </c>
      <c r="AR245" s="299">
        <v>2018.8872907502598</v>
      </c>
      <c r="AS245" s="299">
        <v>1995.179469712431</v>
      </c>
      <c r="AT245" s="299">
        <v>1963.3302756986125</v>
      </c>
      <c r="AU245" s="299">
        <v>1923.5434139522486</v>
      </c>
      <c r="AV245" s="299">
        <v>1876.1235331471921</v>
      </c>
      <c r="AW245" s="299">
        <v>1821.4973528093349</v>
      </c>
      <c r="AX245" s="299">
        <v>1760.2388685546916</v>
      </c>
      <c r="AY245" s="299">
        <v>1693.0985683672543</v>
      </c>
      <c r="AZ245" s="299">
        <v>1621.0361893156073</v>
      </c>
      <c r="BA245" s="299">
        <v>1545.2560687927103</v>
      </c>
      <c r="BB245" s="299">
        <v>1467.2438212750551</v>
      </c>
      <c r="BC245" s="299">
        <v>1388.8033903594467</v>
      </c>
      <c r="BD245" s="299">
        <v>1312.0953914588811</v>
      </c>
      <c r="BE245" s="299">
        <v>1239.6825672586651</v>
      </c>
      <c r="BF245" s="299">
        <v>1174.5984066035041</v>
      </c>
      <c r="BG245" s="299">
        <v>1120.4738971461127</v>
      </c>
      <c r="BH245" s="299">
        <v>1081.7901689548928</v>
      </c>
      <c r="BI245" s="299">
        <v>1081.7901689548928</v>
      </c>
      <c r="DR245" s="300"/>
    </row>
    <row r="246" spans="1:122" s="285" customFormat="1" ht="15" x14ac:dyDescent="0.2">
      <c r="DR246" s="286"/>
    </row>
    <row r="247" spans="1:122" s="285" customFormat="1" ht="15" x14ac:dyDescent="0.2">
      <c r="A247" s="285" t="s">
        <v>269</v>
      </c>
      <c r="DR247" s="286"/>
    </row>
    <row r="248" spans="1:122" s="285" customFormat="1" ht="15" x14ac:dyDescent="0.2">
      <c r="A248" s="285" t="s">
        <v>104</v>
      </c>
      <c r="B248" s="285">
        <f>+B234/B$234</f>
        <v>1</v>
      </c>
      <c r="C248" s="285">
        <f>+C234/C$234</f>
        <v>1</v>
      </c>
      <c r="D248" s="285">
        <f>+D234/D$234</f>
        <v>1</v>
      </c>
      <c r="E248" s="285">
        <f>+E234/E$234</f>
        <v>1</v>
      </c>
      <c r="F248" s="285">
        <f t="shared" ref="F248:BI248" si="75">+F234/F$234</f>
        <v>1</v>
      </c>
      <c r="G248" s="285">
        <f t="shared" si="75"/>
        <v>1</v>
      </c>
      <c r="H248" s="285">
        <f t="shared" si="75"/>
        <v>1</v>
      </c>
      <c r="I248" s="285">
        <f t="shared" si="75"/>
        <v>1</v>
      </c>
      <c r="J248" s="285">
        <f t="shared" si="75"/>
        <v>1</v>
      </c>
      <c r="K248" s="285">
        <f t="shared" si="75"/>
        <v>1</v>
      </c>
      <c r="L248" s="285">
        <f t="shared" si="75"/>
        <v>1</v>
      </c>
      <c r="M248" s="285">
        <f t="shared" si="75"/>
        <v>1</v>
      </c>
      <c r="N248" s="285">
        <f t="shared" si="75"/>
        <v>1</v>
      </c>
      <c r="O248" s="285">
        <f t="shared" si="75"/>
        <v>1</v>
      </c>
      <c r="P248" s="285">
        <f t="shared" si="75"/>
        <v>1</v>
      </c>
      <c r="Q248" s="285">
        <f t="shared" si="75"/>
        <v>1</v>
      </c>
      <c r="R248" s="285">
        <f t="shared" si="75"/>
        <v>1</v>
      </c>
      <c r="S248" s="285">
        <f t="shared" si="75"/>
        <v>1</v>
      </c>
      <c r="T248" s="285">
        <f t="shared" si="75"/>
        <v>1</v>
      </c>
      <c r="U248" s="285">
        <f t="shared" si="75"/>
        <v>1</v>
      </c>
      <c r="V248" s="285">
        <f t="shared" si="75"/>
        <v>1</v>
      </c>
      <c r="W248" s="285">
        <f t="shared" si="75"/>
        <v>1</v>
      </c>
      <c r="X248" s="285">
        <f t="shared" si="75"/>
        <v>1</v>
      </c>
      <c r="Y248" s="285">
        <f t="shared" si="75"/>
        <v>1</v>
      </c>
      <c r="Z248" s="285">
        <f t="shared" si="75"/>
        <v>1</v>
      </c>
      <c r="AA248" s="285">
        <f t="shared" si="75"/>
        <v>1</v>
      </c>
      <c r="AB248" s="285">
        <f t="shared" si="75"/>
        <v>1</v>
      </c>
      <c r="AC248" s="285">
        <f t="shared" si="75"/>
        <v>1</v>
      </c>
      <c r="AD248" s="285">
        <f t="shared" si="75"/>
        <v>1</v>
      </c>
      <c r="AE248" s="285">
        <f t="shared" si="75"/>
        <v>1</v>
      </c>
      <c r="AF248" s="285">
        <f t="shared" si="75"/>
        <v>1</v>
      </c>
      <c r="AG248" s="285">
        <f t="shared" si="75"/>
        <v>1</v>
      </c>
      <c r="AH248" s="285">
        <f t="shared" si="75"/>
        <v>1</v>
      </c>
      <c r="AI248" s="285">
        <f t="shared" si="75"/>
        <v>1</v>
      </c>
      <c r="AJ248" s="285">
        <f t="shared" si="75"/>
        <v>1</v>
      </c>
      <c r="AK248" s="285">
        <f t="shared" si="75"/>
        <v>1</v>
      </c>
      <c r="AL248" s="285">
        <f t="shared" si="75"/>
        <v>1</v>
      </c>
      <c r="AM248" s="285">
        <f t="shared" si="75"/>
        <v>1</v>
      </c>
      <c r="AN248" s="285">
        <f t="shared" si="75"/>
        <v>1</v>
      </c>
      <c r="AO248" s="285">
        <f t="shared" si="75"/>
        <v>1</v>
      </c>
      <c r="AP248" s="285">
        <f t="shared" si="75"/>
        <v>1</v>
      </c>
      <c r="AQ248" s="285">
        <f t="shared" si="75"/>
        <v>1</v>
      </c>
      <c r="AR248" s="285">
        <f t="shared" si="75"/>
        <v>1</v>
      </c>
      <c r="AS248" s="285">
        <f t="shared" si="75"/>
        <v>1</v>
      </c>
      <c r="AT248" s="285">
        <f t="shared" si="75"/>
        <v>1</v>
      </c>
      <c r="AU248" s="285">
        <f t="shared" si="75"/>
        <v>1</v>
      </c>
      <c r="AV248" s="285">
        <f t="shared" si="75"/>
        <v>1</v>
      </c>
      <c r="AW248" s="285">
        <f t="shared" si="75"/>
        <v>1</v>
      </c>
      <c r="AX248" s="285">
        <f t="shared" si="75"/>
        <v>1</v>
      </c>
      <c r="AY248" s="285">
        <f t="shared" si="75"/>
        <v>1</v>
      </c>
      <c r="AZ248" s="285">
        <f t="shared" si="75"/>
        <v>1</v>
      </c>
      <c r="BA248" s="285">
        <f t="shared" si="75"/>
        <v>1</v>
      </c>
      <c r="BB248" s="285">
        <f t="shared" si="75"/>
        <v>1</v>
      </c>
      <c r="BC248" s="285">
        <f t="shared" si="75"/>
        <v>1</v>
      </c>
      <c r="BD248" s="285">
        <f t="shared" si="75"/>
        <v>1</v>
      </c>
      <c r="BE248" s="285">
        <f t="shared" si="75"/>
        <v>1</v>
      </c>
      <c r="BF248" s="285">
        <f t="shared" si="75"/>
        <v>1</v>
      </c>
      <c r="BG248" s="285">
        <f t="shared" si="75"/>
        <v>1</v>
      </c>
      <c r="BH248" s="285">
        <f t="shared" si="75"/>
        <v>1</v>
      </c>
      <c r="BI248" s="285">
        <f t="shared" si="75"/>
        <v>1</v>
      </c>
      <c r="DR248" s="286"/>
    </row>
    <row r="249" spans="1:122" s="285" customFormat="1" ht="15" x14ac:dyDescent="0.2">
      <c r="A249" s="285" t="s">
        <v>105</v>
      </c>
      <c r="B249" s="285">
        <f t="shared" ref="B249:E259" si="76">+(B235/B$234)/($B235/$B$234)</f>
        <v>1</v>
      </c>
      <c r="C249" s="285">
        <f t="shared" si="76"/>
        <v>1.0389751993016931</v>
      </c>
      <c r="D249" s="285">
        <f t="shared" si="76"/>
        <v>1.0910444528781762</v>
      </c>
      <c r="E249" s="285">
        <f t="shared" si="76"/>
        <v>1.1391444171692493</v>
      </c>
      <c r="F249" s="285">
        <f t="shared" ref="F249:BI249" si="77">+(F235/F$234)/($B235/$B$234)</f>
        <v>1.1844938169792554</v>
      </c>
      <c r="G249" s="285">
        <f t="shared" si="77"/>
        <v>1.2263041928774401</v>
      </c>
      <c r="H249" s="285">
        <f t="shared" si="77"/>
        <v>1.2664269369505434</v>
      </c>
      <c r="I249" s="285">
        <f t="shared" si="77"/>
        <v>1.3032366227823804</v>
      </c>
      <c r="J249" s="285">
        <f t="shared" si="77"/>
        <v>1.3370408648351548</v>
      </c>
      <c r="K249" s="285">
        <f t="shared" si="77"/>
        <v>1.3531651014114097</v>
      </c>
      <c r="L249" s="285">
        <f t="shared" si="77"/>
        <v>1.3624680706968475</v>
      </c>
      <c r="M249" s="285">
        <f t="shared" si="77"/>
        <v>1.3953607483430353</v>
      </c>
      <c r="N249" s="285">
        <f t="shared" si="77"/>
        <v>1.4073165486866679</v>
      </c>
      <c r="O249" s="285">
        <f t="shared" si="77"/>
        <v>1.4201180604376165</v>
      </c>
      <c r="P249" s="285">
        <f t="shared" si="77"/>
        <v>1.4321650996472641</v>
      </c>
      <c r="Q249" s="285">
        <f t="shared" si="77"/>
        <v>1.4427153939131003</v>
      </c>
      <c r="R249" s="285">
        <f t="shared" si="77"/>
        <v>1.4514694832601982</v>
      </c>
      <c r="S249" s="285">
        <f t="shared" si="77"/>
        <v>1.4583519899404027</v>
      </c>
      <c r="T249" s="285">
        <f t="shared" si="77"/>
        <v>1.4634022400032194</v>
      </c>
      <c r="U249" s="285">
        <f t="shared" si="77"/>
        <v>1.4667174204992166</v>
      </c>
      <c r="V249" s="285">
        <f t="shared" si="77"/>
        <v>1.4669860039966147</v>
      </c>
      <c r="W249" s="285">
        <f t="shared" si="77"/>
        <v>1.4649990361359344</v>
      </c>
      <c r="X249" s="285">
        <f t="shared" si="77"/>
        <v>1.4626712978447931</v>
      </c>
      <c r="Y249" s="285">
        <f t="shared" si="77"/>
        <v>1.4596633448245391</v>
      </c>
      <c r="Z249" s="285">
        <f t="shared" si="77"/>
        <v>1.455856543814386</v>
      </c>
      <c r="AA249" s="285">
        <f t="shared" si="77"/>
        <v>1.4512805650876051</v>
      </c>
      <c r="AB249" s="285">
        <f t="shared" si="77"/>
        <v>1.4459945079927854</v>
      </c>
      <c r="AC249" s="285">
        <f t="shared" si="77"/>
        <v>1.4413000050803133</v>
      </c>
      <c r="AD249" s="285">
        <f t="shared" si="77"/>
        <v>1.4367107085037911</v>
      </c>
      <c r="AE249" s="285">
        <f t="shared" si="77"/>
        <v>1.4321603791281932</v>
      </c>
      <c r="AF249" s="285">
        <f t="shared" si="77"/>
        <v>1.4280792146732639</v>
      </c>
      <c r="AG249" s="285">
        <f t="shared" si="77"/>
        <v>1.4242852075105388</v>
      </c>
      <c r="AH249" s="285">
        <f t="shared" si="77"/>
        <v>1.4201962720466881</v>
      </c>
      <c r="AI249" s="285">
        <f t="shared" si="77"/>
        <v>1.4159001125012467</v>
      </c>
      <c r="AJ249" s="285">
        <f t="shared" si="77"/>
        <v>1.4114572276637918</v>
      </c>
      <c r="AK249" s="285">
        <f t="shared" si="77"/>
        <v>1.4069009178198089</v>
      </c>
      <c r="AL249" s="285">
        <f t="shared" si="77"/>
        <v>1.4022521271782142</v>
      </c>
      <c r="AM249" s="285">
        <f t="shared" si="77"/>
        <v>1.3975264349212624</v>
      </c>
      <c r="AN249" s="285">
        <f t="shared" si="77"/>
        <v>1.3927371287444865</v>
      </c>
      <c r="AO249" s="285">
        <f t="shared" si="77"/>
        <v>1.3878964447309803</v>
      </c>
      <c r="AP249" s="285">
        <f t="shared" si="77"/>
        <v>1.3830159860716968</v>
      </c>
      <c r="AQ249" s="285">
        <f t="shared" si="77"/>
        <v>1.3781068014429989</v>
      </c>
      <c r="AR249" s="285">
        <f t="shared" si="77"/>
        <v>1.3731793436096884</v>
      </c>
      <c r="AS249" s="285">
        <f t="shared" si="77"/>
        <v>1.3682434037312023</v>
      </c>
      <c r="AT249" s="285">
        <f t="shared" si="77"/>
        <v>1.3633080583329724</v>
      </c>
      <c r="AU249" s="285">
        <f t="shared" si="77"/>
        <v>1.3583816396770696</v>
      </c>
      <c r="AV249" s="285">
        <f t="shared" si="77"/>
        <v>1.3534717293560088</v>
      </c>
      <c r="AW249" s="285">
        <f t="shared" si="77"/>
        <v>1.3485851710584587</v>
      </c>
      <c r="AX249" s="285">
        <f t="shared" si="77"/>
        <v>1.3437280976472494</v>
      </c>
      <c r="AY249" s="285">
        <f t="shared" si="77"/>
        <v>1.3389059680962934</v>
      </c>
      <c r="AZ249" s="285">
        <f t="shared" si="77"/>
        <v>1.3341236106211527</v>
      </c>
      <c r="BA249" s="285">
        <f t="shared" si="77"/>
        <v>1.3293852691583774</v>
      </c>
      <c r="BB249" s="285">
        <f t="shared" si="77"/>
        <v>1.3246946510706155</v>
      </c>
      <c r="BC249" s="285">
        <f t="shared" si="77"/>
        <v>1.3200549745450527</v>
      </c>
      <c r="BD249" s="285">
        <f t="shared" si="77"/>
        <v>1.3154690146164092</v>
      </c>
      <c r="BE249" s="285">
        <f t="shared" si="77"/>
        <v>1.3109391471015868</v>
      </c>
      <c r="BF249" s="285">
        <f t="shared" si="77"/>
        <v>1.3064673900005399</v>
      </c>
      <c r="BG249" s="285">
        <f t="shared" si="77"/>
        <v>1.3020554421166695</v>
      </c>
      <c r="BH249" s="285">
        <f t="shared" si="77"/>
        <v>1.2977047187947726</v>
      </c>
      <c r="BI249" s="285">
        <f t="shared" si="77"/>
        <v>1.2977047187947726</v>
      </c>
      <c r="DR249" s="286"/>
    </row>
    <row r="250" spans="1:122" s="285" customFormat="1" ht="15" x14ac:dyDescent="0.2">
      <c r="A250" s="285" t="s">
        <v>51</v>
      </c>
      <c r="B250" s="285">
        <f t="shared" si="76"/>
        <v>1</v>
      </c>
      <c r="C250" s="285">
        <f t="shared" si="76"/>
        <v>0.97653006711031631</v>
      </c>
      <c r="D250" s="285">
        <f t="shared" si="76"/>
        <v>1.0122589580383574</v>
      </c>
      <c r="E250" s="285">
        <f t="shared" si="76"/>
        <v>1.0531826341226911</v>
      </c>
      <c r="F250" s="285">
        <f t="shared" ref="F250:BI250" si="78">+(F236/F$234)/($B236/$B$234)</f>
        <v>1.0279641131264345</v>
      </c>
      <c r="G250" s="285">
        <f t="shared" si="78"/>
        <v>1.0389769278782226</v>
      </c>
      <c r="H250" s="285">
        <f t="shared" si="78"/>
        <v>1.0631703702956141</v>
      </c>
      <c r="I250" s="285">
        <f t="shared" si="78"/>
        <v>1.0853389765318702</v>
      </c>
      <c r="J250" s="285">
        <f t="shared" si="78"/>
        <v>1.1056714459186801</v>
      </c>
      <c r="K250" s="285">
        <f t="shared" si="78"/>
        <v>1.1083888739563643</v>
      </c>
      <c r="L250" s="285">
        <f t="shared" si="78"/>
        <v>1.1080666160128139</v>
      </c>
      <c r="M250" s="285">
        <f t="shared" si="78"/>
        <v>1.1231158806566051</v>
      </c>
      <c r="N250" s="285">
        <f t="shared" si="78"/>
        <v>1.1350118300858882</v>
      </c>
      <c r="O250" s="285">
        <f t="shared" si="78"/>
        <v>1.1462790904286695</v>
      </c>
      <c r="P250" s="285">
        <f t="shared" si="78"/>
        <v>1.1567314367636228</v>
      </c>
      <c r="Q250" s="285">
        <f t="shared" si="78"/>
        <v>1.1663208949610184</v>
      </c>
      <c r="R250" s="285">
        <f t="shared" si="78"/>
        <v>1.1750699271172447</v>
      </c>
      <c r="S250" s="285">
        <f t="shared" si="78"/>
        <v>1.1830364304717635</v>
      </c>
      <c r="T250" s="285">
        <f t="shared" si="78"/>
        <v>1.1902954612310324</v>
      </c>
      <c r="U250" s="285">
        <f t="shared" si="78"/>
        <v>1.1969294548926503</v>
      </c>
      <c r="V250" s="285">
        <f t="shared" si="78"/>
        <v>1.2020536659544494</v>
      </c>
      <c r="W250" s="285">
        <f t="shared" si="78"/>
        <v>1.2061911121714373</v>
      </c>
      <c r="X250" s="285">
        <f t="shared" si="78"/>
        <v>1.2106303630542394</v>
      </c>
      <c r="Y250" s="285">
        <f t="shared" si="78"/>
        <v>1.2151289659276594</v>
      </c>
      <c r="Z250" s="285">
        <f t="shared" si="78"/>
        <v>1.2195939638676787</v>
      </c>
      <c r="AA250" s="285">
        <f t="shared" si="78"/>
        <v>1.2240314060478183</v>
      </c>
      <c r="AB250" s="285">
        <f t="shared" si="78"/>
        <v>1.2283228219048488</v>
      </c>
      <c r="AC250" s="285">
        <f t="shared" si="78"/>
        <v>1.2335638570054777</v>
      </c>
      <c r="AD250" s="285">
        <f t="shared" si="78"/>
        <v>1.2391193961542801</v>
      </c>
      <c r="AE250" s="285">
        <f t="shared" si="78"/>
        <v>1.2448639999825895</v>
      </c>
      <c r="AF250" s="285">
        <f t="shared" si="78"/>
        <v>1.25109390954694</v>
      </c>
      <c r="AG250" s="285">
        <f t="shared" si="78"/>
        <v>1.2575596846487593</v>
      </c>
      <c r="AH250" s="285">
        <f t="shared" si="78"/>
        <v>1.2637256744687293</v>
      </c>
      <c r="AI250" s="285">
        <f t="shared" si="78"/>
        <v>1.2697017818433081</v>
      </c>
      <c r="AJ250" s="285">
        <f t="shared" si="78"/>
        <v>1.2755502102348217</v>
      </c>
      <c r="AK250" s="285">
        <f t="shared" si="78"/>
        <v>1.2813110660076095</v>
      </c>
      <c r="AL250" s="285">
        <f t="shared" si="78"/>
        <v>1.2870140663337952</v>
      </c>
      <c r="AM250" s="285">
        <f t="shared" si="78"/>
        <v>1.292683999181981</v>
      </c>
      <c r="AN250" s="285">
        <f t="shared" si="78"/>
        <v>1.2983431471140168</v>
      </c>
      <c r="AO250" s="285">
        <f t="shared" si="78"/>
        <v>1.3040122799574261</v>
      </c>
      <c r="AP250" s="285">
        <f t="shared" si="78"/>
        <v>1.3097110084820758</v>
      </c>
      <c r="AQ250" s="285">
        <f t="shared" si="78"/>
        <v>1.3154578797312737</v>
      </c>
      <c r="AR250" s="285">
        <f t="shared" si="78"/>
        <v>1.321270388901814</v>
      </c>
      <c r="AS250" s="285">
        <f t="shared" si="78"/>
        <v>1.3271649819580014</v>
      </c>
      <c r="AT250" s="285">
        <f t="shared" si="78"/>
        <v>1.333157075551981</v>
      </c>
      <c r="AU250" s="285">
        <f t="shared" si="78"/>
        <v>1.3392610995971015</v>
      </c>
      <c r="AV250" s="285">
        <f t="shared" si="78"/>
        <v>1.3454905593869007</v>
      </c>
      <c r="AW250" s="285">
        <f t="shared" si="78"/>
        <v>1.3518581116228372</v>
      </c>
      <c r="AX250" s="285">
        <f t="shared" si="78"/>
        <v>1.3583756487338539</v>
      </c>
      <c r="AY250" s="285">
        <f t="shared" si="78"/>
        <v>1.3650543868288785</v>
      </c>
      <c r="AZ250" s="285">
        <f t="shared" si="78"/>
        <v>1.3719049537869119</v>
      </c>
      <c r="BA250" s="285">
        <f t="shared" si="78"/>
        <v>1.3789374750572048</v>
      </c>
      <c r="BB250" s="285">
        <f t="shared" si="78"/>
        <v>1.3861616556142626</v>
      </c>
      <c r="BC250" s="285">
        <f t="shared" si="78"/>
        <v>1.393586857179119</v>
      </c>
      <c r="BD250" s="285">
        <f t="shared" si="78"/>
        <v>1.4012221703043748</v>
      </c>
      <c r="BE250" s="285">
        <f t="shared" si="78"/>
        <v>1.4090764812611143</v>
      </c>
      <c r="BF250" s="285">
        <f t="shared" si="78"/>
        <v>1.4171585338943324</v>
      </c>
      <c r="BG250" s="285">
        <f t="shared" si="78"/>
        <v>1.4254769867594643</v>
      </c>
      <c r="BH250" s="285">
        <f t="shared" si="78"/>
        <v>1.4340404659387358</v>
      </c>
      <c r="BI250" s="285">
        <f t="shared" si="78"/>
        <v>1.4340404659387358</v>
      </c>
      <c r="DR250" s="286"/>
    </row>
    <row r="251" spans="1:122" s="285" customFormat="1" ht="15" x14ac:dyDescent="0.2">
      <c r="A251" s="285" t="s">
        <v>52</v>
      </c>
      <c r="B251" s="285">
        <f t="shared" si="76"/>
        <v>1</v>
      </c>
      <c r="C251" s="285">
        <f t="shared" si="76"/>
        <v>1.3331305913366467</v>
      </c>
      <c r="D251" s="285">
        <f t="shared" si="76"/>
        <v>1.4673042858980299</v>
      </c>
      <c r="E251" s="285">
        <f t="shared" si="76"/>
        <v>1.5913410086893762</v>
      </c>
      <c r="F251" s="285">
        <f t="shared" ref="F251:BI251" si="79">+(F237/F$234)/($B237/$B$234)</f>
        <v>1.7078982254810522</v>
      </c>
      <c r="G251" s="285">
        <f t="shared" si="79"/>
        <v>1.8254914896550103</v>
      </c>
      <c r="H251" s="285">
        <f t="shared" si="79"/>
        <v>1.9497072788107046</v>
      </c>
      <c r="I251" s="285">
        <f t="shared" si="79"/>
        <v>2.0691110889043021</v>
      </c>
      <c r="J251" s="285">
        <f t="shared" si="79"/>
        <v>2.1834547794997636</v>
      </c>
      <c r="K251" s="285">
        <f t="shared" si="79"/>
        <v>2.252739045377635</v>
      </c>
      <c r="L251" s="285">
        <f t="shared" si="79"/>
        <v>2.3075949386335162</v>
      </c>
      <c r="M251" s="285">
        <f t="shared" si="79"/>
        <v>2.4162746554737033</v>
      </c>
      <c r="N251" s="285">
        <f t="shared" si="79"/>
        <v>2.4921646985607868</v>
      </c>
      <c r="O251" s="285">
        <f t="shared" si="79"/>
        <v>2.5693835774519185</v>
      </c>
      <c r="P251" s="285">
        <f t="shared" si="79"/>
        <v>2.644972329467373</v>
      </c>
      <c r="Q251" s="285">
        <f t="shared" si="79"/>
        <v>2.7175115442561788</v>
      </c>
      <c r="R251" s="285">
        <f t="shared" si="79"/>
        <v>2.7863721738514644</v>
      </c>
      <c r="S251" s="285">
        <f t="shared" si="79"/>
        <v>2.851355031974431</v>
      </c>
      <c r="T251" s="285">
        <f t="shared" si="79"/>
        <v>2.9124999629871846</v>
      </c>
      <c r="U251" s="285">
        <f t="shared" si="79"/>
        <v>2.969979438469271</v>
      </c>
      <c r="V251" s="285">
        <f t="shared" si="79"/>
        <v>3.0245215175970723</v>
      </c>
      <c r="W251" s="285">
        <f t="shared" si="79"/>
        <v>3.0761970301187271</v>
      </c>
      <c r="X251" s="285">
        <f t="shared" si="79"/>
        <v>3.1246952614974339</v>
      </c>
      <c r="Y251" s="285">
        <f t="shared" si="79"/>
        <v>3.1704765929772156</v>
      </c>
      <c r="Z251" s="285">
        <f t="shared" si="79"/>
        <v>3.2139049244272551</v>
      </c>
      <c r="AA251" s="285">
        <f t="shared" si="79"/>
        <v>3.2551901391241858</v>
      </c>
      <c r="AB251" s="285">
        <f t="shared" si="79"/>
        <v>3.2931728615225242</v>
      </c>
      <c r="AC251" s="285">
        <f t="shared" si="79"/>
        <v>3.328716237443845</v>
      </c>
      <c r="AD251" s="285">
        <f t="shared" si="79"/>
        <v>3.3613990197671186</v>
      </c>
      <c r="AE251" s="285">
        <f t="shared" si="79"/>
        <v>3.3917395821225083</v>
      </c>
      <c r="AF251" s="285">
        <f t="shared" si="79"/>
        <v>3.420775869837382</v>
      </c>
      <c r="AG251" s="285">
        <f t="shared" si="79"/>
        <v>3.4486214028095561</v>
      </c>
      <c r="AH251" s="285">
        <f t="shared" si="79"/>
        <v>3.474875334751844</v>
      </c>
      <c r="AI251" s="285">
        <f t="shared" si="79"/>
        <v>3.4999981771882838</v>
      </c>
      <c r="AJ251" s="285">
        <f t="shared" si="79"/>
        <v>3.5242927629869913</v>
      </c>
      <c r="AK251" s="285">
        <f t="shared" si="79"/>
        <v>3.5479737068146227</v>
      </c>
      <c r="AL251" s="285">
        <f t="shared" si="79"/>
        <v>3.5712007607532379</v>
      </c>
      <c r="AM251" s="285">
        <f t="shared" si="79"/>
        <v>3.5940988330416888</v>
      </c>
      <c r="AN251" s="285">
        <f t="shared" si="79"/>
        <v>3.6167701522243334</v>
      </c>
      <c r="AO251" s="285">
        <f t="shared" si="79"/>
        <v>3.6393017323832941</v>
      </c>
      <c r="AP251" s="285">
        <f t="shared" si="79"/>
        <v>3.6617700022444741</v>
      </c>
      <c r="AQ251" s="285">
        <f t="shared" si="79"/>
        <v>3.6842437124155518</v>
      </c>
      <c r="AR251" s="285">
        <f t="shared" si="79"/>
        <v>3.7067857932811239</v>
      </c>
      <c r="AS251" s="285">
        <f t="shared" si="79"/>
        <v>3.7294545718799301</v>
      </c>
      <c r="AT251" s="285">
        <f t="shared" si="79"/>
        <v>3.7523045965594508</v>
      </c>
      <c r="AU251" s="285">
        <f t="shared" si="79"/>
        <v>3.7753872212307606</v>
      </c>
      <c r="AV251" s="285">
        <f t="shared" si="79"/>
        <v>3.7987510418378139</v>
      </c>
      <c r="AW251" s="285">
        <f t="shared" si="79"/>
        <v>3.8224422414160042</v>
      </c>
      <c r="AX251" s="285">
        <f t="shared" si="79"/>
        <v>3.8465048779194997</v>
      </c>
      <c r="AY251" s="285">
        <f t="shared" si="79"/>
        <v>3.870981135423802</v>
      </c>
      <c r="AZ251" s="285">
        <f t="shared" si="79"/>
        <v>3.8959115510380453</v>
      </c>
      <c r="BA251" s="285">
        <f t="shared" si="79"/>
        <v>3.9213352248552167</v>
      </c>
      <c r="BB251" s="285">
        <f t="shared" si="79"/>
        <v>3.9472900172677057</v>
      </c>
      <c r="BC251" s="285">
        <f t="shared" si="79"/>
        <v>3.9738127362061224</v>
      </c>
      <c r="BD251" s="285">
        <f t="shared" si="79"/>
        <v>4.0009393158390081</v>
      </c>
      <c r="BE251" s="285">
        <f t="shared" si="79"/>
        <v>4.0287049877039429</v>
      </c>
      <c r="BF251" s="285">
        <f t="shared" si="79"/>
        <v>4.0571444449433356</v>
      </c>
      <c r="BG251" s="285">
        <f t="shared" si="79"/>
        <v>4.086292000177477</v>
      </c>
      <c r="BH251" s="285">
        <f t="shared" si="79"/>
        <v>4.1161817374965812</v>
      </c>
      <c r="BI251" s="285">
        <f t="shared" si="79"/>
        <v>4.1161817374965812</v>
      </c>
      <c r="DR251" s="286"/>
    </row>
    <row r="252" spans="1:122" s="285" customFormat="1" ht="15" x14ac:dyDescent="0.2">
      <c r="A252" s="285" t="s">
        <v>53</v>
      </c>
      <c r="B252" s="285">
        <f t="shared" si="76"/>
        <v>1</v>
      </c>
      <c r="C252" s="285">
        <f t="shared" si="76"/>
        <v>1.2056233954691147</v>
      </c>
      <c r="D252" s="285">
        <f t="shared" si="76"/>
        <v>1.516994791173927</v>
      </c>
      <c r="E252" s="285">
        <f t="shared" si="76"/>
        <v>1.8605774687406837</v>
      </c>
      <c r="F252" s="285">
        <f t="shared" ref="F252:BI252" si="80">+(F238/F$234)/($B238/$B$234)</f>
        <v>2.2331461981177361</v>
      </c>
      <c r="G252" s="285">
        <f t="shared" si="80"/>
        <v>2.6296094402960861</v>
      </c>
      <c r="H252" s="285">
        <f t="shared" si="80"/>
        <v>3.0580149954867104</v>
      </c>
      <c r="I252" s="285">
        <f t="shared" si="80"/>
        <v>3.5035464816371005</v>
      </c>
      <c r="J252" s="285">
        <f t="shared" si="80"/>
        <v>3.9605197937026855</v>
      </c>
      <c r="K252" s="285">
        <f t="shared" si="80"/>
        <v>4.3718994194658105</v>
      </c>
      <c r="L252" s="285">
        <f t="shared" si="80"/>
        <v>4.7584676834295498</v>
      </c>
      <c r="M252" s="285">
        <f t="shared" si="80"/>
        <v>5.2755485560806417</v>
      </c>
      <c r="N252" s="285">
        <f t="shared" si="80"/>
        <v>5.6646613259278009</v>
      </c>
      <c r="O252" s="285">
        <f t="shared" si="80"/>
        <v>6.0698027574959426</v>
      </c>
      <c r="P252" s="285">
        <f t="shared" si="80"/>
        <v>6.4766172555350634</v>
      </c>
      <c r="Q252" s="285">
        <f t="shared" si="80"/>
        <v>6.876582285712721</v>
      </c>
      <c r="R252" s="285">
        <f t="shared" si="80"/>
        <v>7.2645106987262507</v>
      </c>
      <c r="S252" s="285">
        <f t="shared" si="80"/>
        <v>7.6372933643022547</v>
      </c>
      <c r="T252" s="285">
        <f t="shared" si="80"/>
        <v>7.9931859185439951</v>
      </c>
      <c r="U252" s="285">
        <f t="shared" si="80"/>
        <v>8.3313728928355317</v>
      </c>
      <c r="V252" s="285">
        <f t="shared" si="80"/>
        <v>8.6365036701197724</v>
      </c>
      <c r="W252" s="285">
        <f t="shared" si="80"/>
        <v>8.9147367705692879</v>
      </c>
      <c r="X252" s="285">
        <f t="shared" si="80"/>
        <v>9.1861603697035488</v>
      </c>
      <c r="Y252" s="285">
        <f t="shared" si="80"/>
        <v>9.4470810772073381</v>
      </c>
      <c r="Z252" s="285">
        <f t="shared" si="80"/>
        <v>9.6960053860768181</v>
      </c>
      <c r="AA252" s="285">
        <f t="shared" si="80"/>
        <v>9.932539289520081</v>
      </c>
      <c r="AB252" s="285">
        <f t="shared" si="80"/>
        <v>10.157923223051311</v>
      </c>
      <c r="AC252" s="285">
        <f t="shared" si="80"/>
        <v>10.367044771446567</v>
      </c>
      <c r="AD252" s="285">
        <f t="shared" si="80"/>
        <v>10.563438566728067</v>
      </c>
      <c r="AE252" s="285">
        <f t="shared" si="80"/>
        <v>10.748226726444134</v>
      </c>
      <c r="AF252" s="285">
        <f t="shared" si="80"/>
        <v>10.923890429379643</v>
      </c>
      <c r="AG252" s="285">
        <f t="shared" si="80"/>
        <v>11.090710927778632</v>
      </c>
      <c r="AH252" s="285">
        <f t="shared" si="80"/>
        <v>11.247807331230975</v>
      </c>
      <c r="AI252" s="285">
        <f t="shared" si="80"/>
        <v>11.396622285563724</v>
      </c>
      <c r="AJ252" s="285">
        <f t="shared" si="80"/>
        <v>11.538252309936922</v>
      </c>
      <c r="AK252" s="285">
        <f t="shared" si="80"/>
        <v>11.6736112199</v>
      </c>
      <c r="AL252" s="285">
        <f t="shared" si="80"/>
        <v>11.80349431049078</v>
      </c>
      <c r="AM252" s="285">
        <f t="shared" si="80"/>
        <v>11.928613593295301</v>
      </c>
      <c r="AN252" s="285">
        <f t="shared" si="80"/>
        <v>12.049617722447495</v>
      </c>
      <c r="AO252" s="285">
        <f t="shared" si="80"/>
        <v>12.167103703443162</v>
      </c>
      <c r="AP252" s="285">
        <f t="shared" si="80"/>
        <v>12.281624168014936</v>
      </c>
      <c r="AQ252" s="285">
        <f t="shared" si="80"/>
        <v>12.393692256279177</v>
      </c>
      <c r="AR252" s="285">
        <f t="shared" si="80"/>
        <v>12.503785213044729</v>
      </c>
      <c r="AS252" s="285">
        <f t="shared" si="80"/>
        <v>12.612347296565023</v>
      </c>
      <c r="AT252" s="285">
        <f t="shared" si="80"/>
        <v>12.719792318459131</v>
      </c>
      <c r="AU252" s="285">
        <f t="shared" si="80"/>
        <v>12.826505979447942</v>
      </c>
      <c r="AV252" s="285">
        <f t="shared" si="80"/>
        <v>12.932848081185575</v>
      </c>
      <c r="AW252" s="285">
        <f t="shared" si="80"/>
        <v>13.039154649198371</v>
      </c>
      <c r="AX252" s="285">
        <f t="shared" si="80"/>
        <v>13.145739978639279</v>
      </c>
      <c r="AY252" s="285">
        <f t="shared" si="80"/>
        <v>13.25289860352428</v>
      </c>
      <c r="AZ252" s="285">
        <f t="shared" si="80"/>
        <v>13.360907185779984</v>
      </c>
      <c r="BA252" s="285">
        <f t="shared" si="80"/>
        <v>13.470026319619048</v>
      </c>
      <c r="BB252" s="285">
        <f t="shared" si="80"/>
        <v>13.580502247661574</v>
      </c>
      <c r="BC252" s="285">
        <f t="shared" si="80"/>
        <v>13.692568486821543</v>
      </c>
      <c r="BD252" s="285">
        <f t="shared" si="80"/>
        <v>13.806447363730744</v>
      </c>
      <c r="BE252" s="285">
        <f t="shared" si="80"/>
        <v>13.922351461104251</v>
      </c>
      <c r="BF252" s="285">
        <f t="shared" si="80"/>
        <v>14.040484977834591</v>
      </c>
      <c r="BG252" s="285">
        <f t="shared" si="80"/>
        <v>14.161045006704258</v>
      </c>
      <c r="BH252" s="285">
        <f t="shared" si="80"/>
        <v>14.284222734433948</v>
      </c>
      <c r="BI252" s="285">
        <f t="shared" si="80"/>
        <v>14.284222734433948</v>
      </c>
      <c r="DR252" s="286"/>
    </row>
    <row r="253" spans="1:122" s="285" customFormat="1" ht="15" x14ac:dyDescent="0.2">
      <c r="A253" s="285" t="s">
        <v>54</v>
      </c>
      <c r="B253" s="285">
        <f t="shared" si="76"/>
        <v>1</v>
      </c>
      <c r="C253" s="285">
        <f t="shared" si="76"/>
        <v>3.3085269626812215</v>
      </c>
      <c r="D253" s="285">
        <f t="shared" si="76"/>
        <v>4.0384472340592232</v>
      </c>
      <c r="E253" s="285">
        <f t="shared" si="76"/>
        <v>4.8100307739783839</v>
      </c>
      <c r="F253" s="285">
        <f t="shared" ref="F253:BI253" si="81">+(F239/F$234)/($B239/$B$234)</f>
        <v>5.6021480157747705</v>
      </c>
      <c r="G253" s="285">
        <f t="shared" si="81"/>
        <v>6.3840505498025912</v>
      </c>
      <c r="H253" s="285">
        <f t="shared" si="81"/>
        <v>7.2097673845163346</v>
      </c>
      <c r="I253" s="285">
        <f t="shared" si="81"/>
        <v>8.0355943548025976</v>
      </c>
      <c r="J253" s="285">
        <f t="shared" si="81"/>
        <v>8.8564509320845204</v>
      </c>
      <c r="K253" s="285">
        <f t="shared" si="81"/>
        <v>9.5076029564605609</v>
      </c>
      <c r="L253" s="285">
        <f t="shared" si="81"/>
        <v>10.000875548629283</v>
      </c>
      <c r="M253" s="285">
        <f t="shared" si="81"/>
        <v>11.075991544559557</v>
      </c>
      <c r="N253" s="285">
        <f t="shared" si="81"/>
        <v>11.406904154987625</v>
      </c>
      <c r="O253" s="285">
        <f t="shared" si="81"/>
        <v>11.799901250590869</v>
      </c>
      <c r="P253" s="285">
        <f t="shared" si="81"/>
        <v>12.189870608531093</v>
      </c>
      <c r="Q253" s="285">
        <f t="shared" si="81"/>
        <v>12.543067555440846</v>
      </c>
      <c r="R253" s="285">
        <f t="shared" si="81"/>
        <v>12.841677526903451</v>
      </c>
      <c r="S253" s="285">
        <f t="shared" si="81"/>
        <v>13.076835133689219</v>
      </c>
      <c r="T253" s="285">
        <f t="shared" si="81"/>
        <v>13.244939069117924</v>
      </c>
      <c r="U253" s="285">
        <f t="shared" si="81"/>
        <v>13.345588240934783</v>
      </c>
      <c r="V253" s="285">
        <f t="shared" si="81"/>
        <v>13.357351887660156</v>
      </c>
      <c r="W253" s="285">
        <f t="shared" si="81"/>
        <v>13.292591225944578</v>
      </c>
      <c r="X253" s="285">
        <f t="shared" si="81"/>
        <v>13.182742473389645</v>
      </c>
      <c r="Y253" s="285">
        <f t="shared" si="81"/>
        <v>13.024890555922724</v>
      </c>
      <c r="Z253" s="285">
        <f t="shared" si="81"/>
        <v>12.819525887848696</v>
      </c>
      <c r="AA253" s="285">
        <f t="shared" si="81"/>
        <v>12.569358826050626</v>
      </c>
      <c r="AB253" s="285">
        <f t="shared" si="81"/>
        <v>12.278966787432907</v>
      </c>
      <c r="AC253" s="285">
        <f t="shared" si="81"/>
        <v>11.964404308978603</v>
      </c>
      <c r="AD253" s="285">
        <f t="shared" si="81"/>
        <v>11.631024426368587</v>
      </c>
      <c r="AE253" s="285">
        <f t="shared" si="81"/>
        <v>11.284784681593443</v>
      </c>
      <c r="AF253" s="285">
        <f t="shared" si="81"/>
        <v>10.93542769723415</v>
      </c>
      <c r="AG253" s="285">
        <f t="shared" si="81"/>
        <v>10.58755846848182</v>
      </c>
      <c r="AH253" s="285">
        <f t="shared" si="81"/>
        <v>10.239534950741351</v>
      </c>
      <c r="AI253" s="285">
        <f t="shared" si="81"/>
        <v>9.8921983426989879</v>
      </c>
      <c r="AJ253" s="285">
        <f t="shared" si="81"/>
        <v>9.5468087498170604</v>
      </c>
      <c r="AK253" s="285">
        <f t="shared" si="81"/>
        <v>9.2041998526162114</v>
      </c>
      <c r="AL253" s="285">
        <f t="shared" si="81"/>
        <v>8.8649543705703113</v>
      </c>
      <c r="AM253" s="285">
        <f t="shared" si="81"/>
        <v>8.5295198857131336</v>
      </c>
      <c r="AN253" s="285">
        <f t="shared" si="81"/>
        <v>8.1982716149838737</v>
      </c>
      <c r="AO253" s="285">
        <f t="shared" si="81"/>
        <v>7.871547075497884</v>
      </c>
      <c r="AP253" s="285">
        <f t="shared" si="81"/>
        <v>7.5496659065178475</v>
      </c>
      <c r="AQ253" s="285">
        <f t="shared" si="81"/>
        <v>7.2329416182632986</v>
      </c>
      <c r="AR253" s="285">
        <f t="shared" si="81"/>
        <v>6.9216888251283111</v>
      </c>
      <c r="AS253" s="285">
        <f t="shared" si="81"/>
        <v>6.6162279070385672</v>
      </c>
      <c r="AT253" s="285">
        <f t="shared" si="81"/>
        <v>6.3168881975023643</v>
      </c>
      <c r="AU253" s="285">
        <f t="shared" si="81"/>
        <v>6.0240103284546951</v>
      </c>
      <c r="AV253" s="285">
        <f t="shared" si="81"/>
        <v>5.7379480863125831</v>
      </c>
      <c r="AW253" s="285">
        <f t="shared" si="81"/>
        <v>5.4590699640681599</v>
      </c>
      <c r="AX253" s="285">
        <f t="shared" si="81"/>
        <v>5.1877604893947407</v>
      </c>
      <c r="AY253" s="285">
        <f t="shared" si="81"/>
        <v>4.9244213487353177</v>
      </c>
      <c r="AZ253" s="285">
        <f t="shared" si="81"/>
        <v>4.6694723029226752</v>
      </c>
      <c r="BA253" s="285">
        <f t="shared" si="81"/>
        <v>4.4233518975797379</v>
      </c>
      <c r="BB253" s="285">
        <f t="shared" si="81"/>
        <v>4.1865180115071396</v>
      </c>
      <c r="BC253" s="285">
        <f t="shared" si="81"/>
        <v>3.9594483612176568</v>
      </c>
      <c r="BD253" s="285">
        <f t="shared" si="81"/>
        <v>3.7426411945934386</v>
      </c>
      <c r="BE253" s="285">
        <f t="shared" si="81"/>
        <v>3.5366165682510684</v>
      </c>
      <c r="BF253" s="285">
        <f t="shared" si="81"/>
        <v>3.34191882097966</v>
      </c>
      <c r="BG253" s="285">
        <f t="shared" si="81"/>
        <v>3.1591211425455601</v>
      </c>
      <c r="BH253" s="285">
        <f t="shared" si="81"/>
        <v>2.9888335122262317</v>
      </c>
      <c r="BI253" s="285">
        <f t="shared" si="81"/>
        <v>2.9888335122262317</v>
      </c>
      <c r="DR253" s="286"/>
    </row>
    <row r="254" spans="1:122" s="285" customFormat="1" ht="15" x14ac:dyDescent="0.2">
      <c r="A254" s="285" t="s">
        <v>55</v>
      </c>
      <c r="B254" s="285">
        <f t="shared" si="76"/>
        <v>1</v>
      </c>
      <c r="C254" s="285">
        <f t="shared" si="76"/>
        <v>1.8395216854701428</v>
      </c>
      <c r="D254" s="285">
        <f t="shared" si="76"/>
        <v>2.5099138645971926</v>
      </c>
      <c r="E254" s="285">
        <f t="shared" si="76"/>
        <v>3.3009553476916582</v>
      </c>
      <c r="F254" s="285">
        <f t="shared" ref="F254:BI254" si="82">+(F240/F$234)/($B240/$B$234)</f>
        <v>4.2414685973242863</v>
      </c>
      <c r="G254" s="285">
        <f t="shared" si="82"/>
        <v>5.2800176925771796</v>
      </c>
      <c r="H254" s="285">
        <f t="shared" si="82"/>
        <v>6.4024525072853748</v>
      </c>
      <c r="I254" s="285">
        <f t="shared" si="82"/>
        <v>7.6123604620545784</v>
      </c>
      <c r="J254" s="285">
        <f t="shared" si="82"/>
        <v>8.8922149983604406</v>
      </c>
      <c r="K254" s="285">
        <f t="shared" si="82"/>
        <v>10.203975259073021</v>
      </c>
      <c r="L254" s="285">
        <f t="shared" si="82"/>
        <v>11.490961321280176</v>
      </c>
      <c r="M254" s="285">
        <f t="shared" si="82"/>
        <v>13.129279181541122</v>
      </c>
      <c r="N254" s="285">
        <f t="shared" si="82"/>
        <v>14.313004102873602</v>
      </c>
      <c r="O254" s="285">
        <f t="shared" si="82"/>
        <v>15.572499142204208</v>
      </c>
      <c r="P254" s="285">
        <f t="shared" si="82"/>
        <v>16.854313312808802</v>
      </c>
      <c r="Q254" s="285">
        <f t="shared" si="82"/>
        <v>18.124286412863082</v>
      </c>
      <c r="R254" s="285">
        <f t="shared" si="82"/>
        <v>19.359559790081704</v>
      </c>
      <c r="S254" s="285">
        <f t="shared" si="82"/>
        <v>20.544584217465729</v>
      </c>
      <c r="T254" s="285">
        <f t="shared" si="82"/>
        <v>21.668851344577813</v>
      </c>
      <c r="U254" s="285">
        <f t="shared" si="82"/>
        <v>22.725493744339317</v>
      </c>
      <c r="V254" s="285">
        <f t="shared" si="82"/>
        <v>23.611110271161213</v>
      </c>
      <c r="W254" s="285">
        <f t="shared" si="82"/>
        <v>24.360971932974167</v>
      </c>
      <c r="X254" s="285">
        <f t="shared" si="82"/>
        <v>25.101398025653232</v>
      </c>
      <c r="Y254" s="285">
        <f t="shared" si="82"/>
        <v>25.803667337600299</v>
      </c>
      <c r="Z254" s="285">
        <f t="shared" si="82"/>
        <v>26.453314215348545</v>
      </c>
      <c r="AA254" s="285">
        <f t="shared" si="82"/>
        <v>27.045332717149904</v>
      </c>
      <c r="AB254" s="285">
        <f t="shared" si="82"/>
        <v>27.587654286233743</v>
      </c>
      <c r="AC254" s="285">
        <f t="shared" si="82"/>
        <v>28.118157016817083</v>
      </c>
      <c r="AD254" s="285">
        <f t="shared" si="82"/>
        <v>28.619926724141884</v>
      </c>
      <c r="AE254" s="285">
        <f t="shared" si="82"/>
        <v>29.087433185710779</v>
      </c>
      <c r="AF254" s="285">
        <f t="shared" si="82"/>
        <v>29.518196233217477</v>
      </c>
      <c r="AG254" s="285">
        <f t="shared" si="82"/>
        <v>29.90929912341366</v>
      </c>
      <c r="AH254" s="285">
        <f t="shared" si="82"/>
        <v>30.258007661520519</v>
      </c>
      <c r="AI254" s="285">
        <f t="shared" si="82"/>
        <v>30.565054623240208</v>
      </c>
      <c r="AJ254" s="285">
        <f t="shared" si="82"/>
        <v>30.83185122076566</v>
      </c>
      <c r="AK254" s="285">
        <f t="shared" si="82"/>
        <v>31.060258971303632</v>
      </c>
      <c r="AL254" s="285">
        <f t="shared" si="82"/>
        <v>31.25243633493303</v>
      </c>
      <c r="AM254" s="285">
        <f t="shared" si="82"/>
        <v>31.410700061688345</v>
      </c>
      <c r="AN254" s="285">
        <f t="shared" si="82"/>
        <v>31.537415168942449</v>
      </c>
      <c r="AO254" s="285">
        <f t="shared" si="82"/>
        <v>31.634914551825307</v>
      </c>
      <c r="AP254" s="285">
        <f t="shared" si="82"/>
        <v>31.705444103585428</v>
      </c>
      <c r="AQ254" s="285">
        <f t="shared" si="82"/>
        <v>31.751127932132132</v>
      </c>
      <c r="AR254" s="285">
        <f t="shared" si="82"/>
        <v>31.773948572320581</v>
      </c>
      <c r="AS254" s="285">
        <f t="shared" si="82"/>
        <v>31.775737952154845</v>
      </c>
      <c r="AT254" s="285">
        <f t="shared" si="82"/>
        <v>31.758175806258787</v>
      </c>
      <c r="AU254" s="285">
        <f t="shared" si="82"/>
        <v>31.722793058907719</v>
      </c>
      <c r="AV254" s="285">
        <f t="shared" si="82"/>
        <v>31.670978370204914</v>
      </c>
      <c r="AW254" s="285">
        <f t="shared" si="82"/>
        <v>31.603986556560315</v>
      </c>
      <c r="AX254" s="285">
        <f t="shared" si="82"/>
        <v>31.52294798386604</v>
      </c>
      <c r="AY254" s="285">
        <f t="shared" si="82"/>
        <v>31.428878315742004</v>
      </c>
      <c r="AZ254" s="285">
        <f t="shared" si="82"/>
        <v>31.322688204410671</v>
      </c>
      <c r="BA254" s="285">
        <f t="shared" si="82"/>
        <v>31.205192658228395</v>
      </c>
      <c r="BB254" s="285">
        <f t="shared" si="82"/>
        <v>31.077119923238257</v>
      </c>
      <c r="BC254" s="285">
        <f t="shared" si="82"/>
        <v>30.939119788121165</v>
      </c>
      <c r="BD254" s="285">
        <f t="shared" si="82"/>
        <v>30.79177127134643</v>
      </c>
      <c r="BE254" s="285">
        <f t="shared" si="82"/>
        <v>30.635589682594841</v>
      </c>
      <c r="BF254" s="285">
        <f t="shared" si="82"/>
        <v>30.471033072309734</v>
      </c>
      <c r="BG254" s="285">
        <f t="shared" si="82"/>
        <v>30.298508096929364</v>
      </c>
      <c r="BH254" s="285">
        <f t="shared" si="82"/>
        <v>30.118375335396347</v>
      </c>
      <c r="BI254" s="285">
        <f t="shared" si="82"/>
        <v>30.118375335396347</v>
      </c>
      <c r="DR254" s="286"/>
    </row>
    <row r="255" spans="1:122" s="285" customFormat="1" ht="15" x14ac:dyDescent="0.2">
      <c r="A255" s="285" t="s">
        <v>56</v>
      </c>
      <c r="B255" s="285">
        <f t="shared" si="76"/>
        <v>1</v>
      </c>
      <c r="C255" s="285">
        <f t="shared" si="76"/>
        <v>1.3398258922976234</v>
      </c>
      <c r="D255" s="285">
        <f t="shared" si="76"/>
        <v>1.5355794732301189</v>
      </c>
      <c r="E255" s="285">
        <f t="shared" si="76"/>
        <v>1.7324452043883556</v>
      </c>
      <c r="F255" s="285">
        <f t="shared" ref="F255:BI255" si="83">+(F241/F$234)/($B241/$B$234)</f>
        <v>1.9399971002922036</v>
      </c>
      <c r="G255" s="285">
        <f t="shared" si="83"/>
        <v>2.1301235561171583</v>
      </c>
      <c r="H255" s="285">
        <f t="shared" si="83"/>
        <v>2.3077773715928966</v>
      </c>
      <c r="I255" s="285">
        <f t="shared" si="83"/>
        <v>2.4792659656052547</v>
      </c>
      <c r="J255" s="285">
        <f t="shared" si="83"/>
        <v>2.64350007460712</v>
      </c>
      <c r="K255" s="285">
        <f t="shared" si="83"/>
        <v>2.8311290240066915</v>
      </c>
      <c r="L255" s="285">
        <f t="shared" si="83"/>
        <v>3.0089944261905002</v>
      </c>
      <c r="M255" s="285">
        <f t="shared" si="83"/>
        <v>3.1714972413775286</v>
      </c>
      <c r="N255" s="285">
        <f t="shared" si="83"/>
        <v>3.2846936985257278</v>
      </c>
      <c r="O255" s="285">
        <f t="shared" si="83"/>
        <v>3.3982890773851513</v>
      </c>
      <c r="P255" s="285">
        <f t="shared" si="83"/>
        <v>3.5075823307161378</v>
      </c>
      <c r="Q255" s="285">
        <f t="shared" si="83"/>
        <v>3.6102708808285118</v>
      </c>
      <c r="R255" s="285">
        <f t="shared" si="83"/>
        <v>3.7053297865855148</v>
      </c>
      <c r="S255" s="285">
        <f t="shared" si="83"/>
        <v>3.7924420036623068</v>
      </c>
      <c r="T255" s="285">
        <f t="shared" si="83"/>
        <v>3.8716948218727967</v>
      </c>
      <c r="U255" s="285">
        <f t="shared" si="83"/>
        <v>3.9434096328268966</v>
      </c>
      <c r="V255" s="285">
        <f t="shared" si="83"/>
        <v>3.9922490312555943</v>
      </c>
      <c r="W255" s="285">
        <f t="shared" si="83"/>
        <v>4.0255217865665802</v>
      </c>
      <c r="X255" s="285">
        <f t="shared" si="83"/>
        <v>4.0635509232698821</v>
      </c>
      <c r="Y255" s="285">
        <f t="shared" si="83"/>
        <v>4.1019023650543325</v>
      </c>
      <c r="Z255" s="285">
        <f t="shared" si="83"/>
        <v>4.1384602571981945</v>
      </c>
      <c r="AA255" s="285">
        <f t="shared" si="83"/>
        <v>4.1724868622819162</v>
      </c>
      <c r="AB255" s="285">
        <f t="shared" si="83"/>
        <v>4.2034301460871397</v>
      </c>
      <c r="AC255" s="285">
        <f t="shared" si="83"/>
        <v>4.2379927185090693</v>
      </c>
      <c r="AD255" s="285">
        <f t="shared" si="83"/>
        <v>4.2725354875899137</v>
      </c>
      <c r="AE255" s="285">
        <f t="shared" si="83"/>
        <v>4.3063919469771239</v>
      </c>
      <c r="AF255" s="285">
        <f t="shared" si="83"/>
        <v>4.3389512191503385</v>
      </c>
      <c r="AG255" s="285">
        <f t="shared" si="83"/>
        <v>4.370002932531694</v>
      </c>
      <c r="AH255" s="285">
        <f t="shared" si="83"/>
        <v>4.3995708411851702</v>
      </c>
      <c r="AI255" s="285">
        <f t="shared" si="83"/>
        <v>4.4275339698974046</v>
      </c>
      <c r="AJ255" s="285">
        <f t="shared" si="83"/>
        <v>4.4538878694543014</v>
      </c>
      <c r="AK255" s="285">
        <f t="shared" si="83"/>
        <v>4.4786971014294545</v>
      </c>
      <c r="AL255" s="285">
        <f t="shared" si="83"/>
        <v>4.5020703033624709</v>
      </c>
      <c r="AM255" s="285">
        <f t="shared" si="83"/>
        <v>4.5241419426372333</v>
      </c>
      <c r="AN255" s="285">
        <f t="shared" si="83"/>
        <v>4.5450593779009489</v>
      </c>
      <c r="AO255" s="285">
        <f t="shared" si="83"/>
        <v>4.5649739784221834</v>
      </c>
      <c r="AP255" s="285">
        <f t="shared" si="83"/>
        <v>4.5840352414043535</v>
      </c>
      <c r="AQ255" s="285">
        <f t="shared" si="83"/>
        <v>4.6023870685449859</v>
      </c>
      <c r="AR255" s="285">
        <f t="shared" si="83"/>
        <v>4.620165566025805</v>
      </c>
      <c r="AS255" s="285">
        <f t="shared" si="83"/>
        <v>4.6374978991376192</v>
      </c>
      <c r="AT255" s="285">
        <f t="shared" si="83"/>
        <v>4.6545018623810437</v>
      </c>
      <c r="AU255" s="285">
        <f t="shared" si="83"/>
        <v>4.6712859230541888</v>
      </c>
      <c r="AV255" s="285">
        <f t="shared" si="83"/>
        <v>4.6879495676135745</v>
      </c>
      <c r="AW255" s="285">
        <f t="shared" si="83"/>
        <v>4.7045838316639639</v>
      </c>
      <c r="AX255" s="285">
        <f t="shared" si="83"/>
        <v>4.721271931405191</v>
      </c>
      <c r="AY255" s="285">
        <f t="shared" si="83"/>
        <v>4.7380899407015669</v>
      </c>
      <c r="AZ255" s="285">
        <f t="shared" si="83"/>
        <v>4.7551074765948416</v>
      </c>
      <c r="BA255" s="285">
        <f t="shared" si="83"/>
        <v>4.7723883692240916</v>
      </c>
      <c r="BB255" s="285">
        <f t="shared" si="83"/>
        <v>4.7899913013099269</v>
      </c>
      <c r="BC255" s="285">
        <f t="shared" si="83"/>
        <v>4.8079704087357449</v>
      </c>
      <c r="BD255" s="285">
        <f t="shared" si="83"/>
        <v>4.8263758381245774</v>
      </c>
      <c r="BE255" s="285">
        <f t="shared" si="83"/>
        <v>4.8452542602487316</v>
      </c>
      <c r="BF255" s="285">
        <f t="shared" si="83"/>
        <v>4.8646493400380466</v>
      </c>
      <c r="BG255" s="285">
        <f t="shared" si="83"/>
        <v>4.8846021651695972</v>
      </c>
      <c r="BH255" s="285">
        <f t="shared" si="83"/>
        <v>4.9051516359444527</v>
      </c>
      <c r="BI255" s="285">
        <f t="shared" si="83"/>
        <v>4.9051516359444527</v>
      </c>
      <c r="DR255" s="286"/>
    </row>
    <row r="256" spans="1:122" s="285" customFormat="1" ht="15" x14ac:dyDescent="0.2">
      <c r="A256" s="285" t="s">
        <v>57</v>
      </c>
      <c r="B256" s="285">
        <f t="shared" si="76"/>
        <v>1</v>
      </c>
      <c r="C256" s="285">
        <f t="shared" si="76"/>
        <v>1.5303674832507947</v>
      </c>
      <c r="D256" s="285">
        <f t="shared" si="76"/>
        <v>2.1335303730784552</v>
      </c>
      <c r="E256" s="285">
        <f t="shared" si="76"/>
        <v>2.8735533903692572</v>
      </c>
      <c r="F256" s="285">
        <f t="shared" ref="F256:BI256" si="84">+(F242/F$234)/($B242/$B$234)</f>
        <v>3.8184626003139668</v>
      </c>
      <c r="G256" s="285">
        <f t="shared" si="84"/>
        <v>4.8796572728234775</v>
      </c>
      <c r="H256" s="285">
        <f t="shared" si="84"/>
        <v>5.9865859869355456</v>
      </c>
      <c r="I256" s="285">
        <f t="shared" si="84"/>
        <v>7.1893042190675756</v>
      </c>
      <c r="J256" s="285">
        <f t="shared" si="84"/>
        <v>8.4687982994649129</v>
      </c>
      <c r="K256" s="285">
        <f t="shared" si="84"/>
        <v>9.9457550531478969</v>
      </c>
      <c r="L256" s="285">
        <f t="shared" si="84"/>
        <v>11.414488860234785</v>
      </c>
      <c r="M256" s="285">
        <f t="shared" si="84"/>
        <v>13.173490558861388</v>
      </c>
      <c r="N256" s="285">
        <f t="shared" si="84"/>
        <v>14.312585507018253</v>
      </c>
      <c r="O256" s="285">
        <f t="shared" si="84"/>
        <v>15.535137233263093</v>
      </c>
      <c r="P256" s="285">
        <f t="shared" si="84"/>
        <v>16.772788980670864</v>
      </c>
      <c r="Q256" s="285">
        <f t="shared" si="84"/>
        <v>17.982442645838656</v>
      </c>
      <c r="R256" s="285">
        <f t="shared" si="84"/>
        <v>19.135851573038227</v>
      </c>
      <c r="S256" s="285">
        <f t="shared" si="84"/>
        <v>20.214470695371304</v>
      </c>
      <c r="T256" s="285">
        <f t="shared" si="84"/>
        <v>21.206517568910172</v>
      </c>
      <c r="U256" s="285">
        <f t="shared" si="84"/>
        <v>22.105139979031232</v>
      </c>
      <c r="V256" s="285">
        <f t="shared" si="84"/>
        <v>22.808882980703448</v>
      </c>
      <c r="W256" s="285">
        <f t="shared" si="84"/>
        <v>23.353269806952451</v>
      </c>
      <c r="X256" s="285">
        <f t="shared" si="84"/>
        <v>23.755929139497482</v>
      </c>
      <c r="Y256" s="285">
        <f t="shared" si="84"/>
        <v>24.141577842155527</v>
      </c>
      <c r="Z256" s="285">
        <f t="shared" si="84"/>
        <v>24.479214911942805</v>
      </c>
      <c r="AA256" s="285">
        <f t="shared" si="84"/>
        <v>24.75653143020768</v>
      </c>
      <c r="AB256" s="285">
        <f t="shared" si="84"/>
        <v>24.998175488676399</v>
      </c>
      <c r="AC256" s="285">
        <f t="shared" si="84"/>
        <v>25.226484248368269</v>
      </c>
      <c r="AD256" s="285">
        <f t="shared" si="84"/>
        <v>25.439119465767146</v>
      </c>
      <c r="AE256" s="285">
        <f t="shared" si="84"/>
        <v>25.629246570911047</v>
      </c>
      <c r="AF256" s="285">
        <f t="shared" si="84"/>
        <v>25.793040541344958</v>
      </c>
      <c r="AG256" s="285">
        <f t="shared" si="84"/>
        <v>25.928149877121736</v>
      </c>
      <c r="AH256" s="285">
        <f t="shared" si="84"/>
        <v>26.03182864800139</v>
      </c>
      <c r="AI256" s="285">
        <f t="shared" si="84"/>
        <v>26.102978279766553</v>
      </c>
      <c r="AJ256" s="285">
        <f t="shared" si="84"/>
        <v>26.142227819856306</v>
      </c>
      <c r="AK256" s="285">
        <f t="shared" si="84"/>
        <v>26.15094760786787</v>
      </c>
      <c r="AL256" s="285">
        <f t="shared" si="84"/>
        <v>26.130992461468207</v>
      </c>
      <c r="AM256" s="285">
        <f t="shared" si="84"/>
        <v>26.084494272909811</v>
      </c>
      <c r="AN256" s="285">
        <f t="shared" si="84"/>
        <v>26.013704371092</v>
      </c>
      <c r="AO256" s="285">
        <f t="shared" si="84"/>
        <v>25.920881684386526</v>
      </c>
      <c r="AP256" s="285">
        <f t="shared" si="84"/>
        <v>25.808217923260923</v>
      </c>
      <c r="AQ256" s="285">
        <f t="shared" si="84"/>
        <v>25.67779065280045</v>
      </c>
      <c r="AR256" s="285">
        <f t="shared" si="84"/>
        <v>25.531536457626437</v>
      </c>
      <c r="AS256" s="285">
        <f t="shared" si="84"/>
        <v>25.371238107055753</v>
      </c>
      <c r="AT256" s="285">
        <f t="shared" si="84"/>
        <v>25.198521189660962</v>
      </c>
      <c r="AU256" s="285">
        <f t="shared" si="84"/>
        <v>25.01485694881665</v>
      </c>
      <c r="AV256" s="285">
        <f t="shared" si="84"/>
        <v>24.82156901002951</v>
      </c>
      <c r="AW256" s="285">
        <f t="shared" si="84"/>
        <v>24.619842394587657</v>
      </c>
      <c r="AX256" s="285">
        <f t="shared" si="84"/>
        <v>24.410733719736804</v>
      </c>
      <c r="AY256" s="285">
        <f t="shared" si="84"/>
        <v>24.195181844318057</v>
      </c>
      <c r="AZ256" s="285">
        <f t="shared" si="84"/>
        <v>23.974018471156032</v>
      </c>
      <c r="BA256" s="285">
        <f t="shared" si="84"/>
        <v>23.747978393888381</v>
      </c>
      <c r="BB256" s="285">
        <f t="shared" si="84"/>
        <v>23.517709198476791</v>
      </c>
      <c r="BC256" s="285">
        <f t="shared" si="84"/>
        <v>23.283780314132326</v>
      </c>
      <c r="BD256" s="285">
        <f t="shared" si="84"/>
        <v>23.046691366027027</v>
      </c>
      <c r="BE256" s="285">
        <f t="shared" si="84"/>
        <v>22.806879820865209</v>
      </c>
      <c r="BF256" s="285">
        <f t="shared" si="84"/>
        <v>22.564727941759763</v>
      </c>
      <c r="BG256" s="285">
        <f t="shared" si="84"/>
        <v>22.320569084869202</v>
      </c>
      <c r="BH256" s="285">
        <f t="shared" si="84"/>
        <v>22.074693379732633</v>
      </c>
      <c r="BI256" s="285">
        <f t="shared" si="84"/>
        <v>22.074693379732633</v>
      </c>
      <c r="DR256" s="286"/>
    </row>
    <row r="257" spans="1:122" s="285" customFormat="1" ht="15" x14ac:dyDescent="0.2">
      <c r="A257" s="285" t="s">
        <v>58</v>
      </c>
      <c r="B257" s="285">
        <f t="shared" si="76"/>
        <v>1</v>
      </c>
      <c r="C257" s="285">
        <f t="shared" si="76"/>
        <v>1.3679609569253086</v>
      </c>
      <c r="D257" s="285">
        <f t="shared" si="76"/>
        <v>1.6371425618494169</v>
      </c>
      <c r="E257" s="285">
        <f t="shared" si="76"/>
        <v>1.9297549978152382</v>
      </c>
      <c r="F257" s="285">
        <f t="shared" ref="F257:BI257" si="85">+(F243/F$234)/($B243/$B$234)</f>
        <v>2.2352387879567472</v>
      </c>
      <c r="G257" s="285">
        <f t="shared" si="85"/>
        <v>2.5367261764868601</v>
      </c>
      <c r="H257" s="285">
        <f t="shared" si="85"/>
        <v>2.8446960207862526</v>
      </c>
      <c r="I257" s="285">
        <f t="shared" si="85"/>
        <v>3.1541112245190783</v>
      </c>
      <c r="J257" s="285">
        <f t="shared" si="85"/>
        <v>3.4615381318549825</v>
      </c>
      <c r="K257" s="285">
        <f t="shared" si="85"/>
        <v>3.7543291662572447</v>
      </c>
      <c r="L257" s="285">
        <f t="shared" si="85"/>
        <v>4.0315662346740027</v>
      </c>
      <c r="M257" s="285">
        <f t="shared" si="85"/>
        <v>4.3526154832089903</v>
      </c>
      <c r="N257" s="285">
        <f t="shared" si="85"/>
        <v>4.5967096054729675</v>
      </c>
      <c r="O257" s="285">
        <f t="shared" si="85"/>
        <v>4.84534018010386</v>
      </c>
      <c r="P257" s="285">
        <f t="shared" si="85"/>
        <v>5.0902998321158677</v>
      </c>
      <c r="Q257" s="285">
        <f t="shared" si="85"/>
        <v>5.3270964539978518</v>
      </c>
      <c r="R257" s="285">
        <f t="shared" si="85"/>
        <v>5.5532852371130614</v>
      </c>
      <c r="S257" s="285">
        <f t="shared" si="85"/>
        <v>5.7676369372784091</v>
      </c>
      <c r="T257" s="285">
        <f t="shared" si="85"/>
        <v>5.9696757295376672</v>
      </c>
      <c r="U257" s="285">
        <f t="shared" si="85"/>
        <v>6.1594054953335586</v>
      </c>
      <c r="V257" s="285">
        <f t="shared" si="85"/>
        <v>6.3146807116354919</v>
      </c>
      <c r="W257" s="285">
        <f t="shared" si="85"/>
        <v>6.445217971127871</v>
      </c>
      <c r="X257" s="285">
        <f t="shared" si="85"/>
        <v>6.5801805996422251</v>
      </c>
      <c r="Y257" s="285">
        <f t="shared" si="85"/>
        <v>6.713338537085134</v>
      </c>
      <c r="Z257" s="285">
        <f t="shared" si="85"/>
        <v>6.8416870171064028</v>
      </c>
      <c r="AA257" s="285">
        <f t="shared" si="85"/>
        <v>6.9639634362184575</v>
      </c>
      <c r="AB257" s="285">
        <f t="shared" si="85"/>
        <v>7.0775358542096622</v>
      </c>
      <c r="AC257" s="285">
        <f t="shared" si="85"/>
        <v>7.186896693407272</v>
      </c>
      <c r="AD257" s="285">
        <f t="shared" si="85"/>
        <v>7.2895562139299992</v>
      </c>
      <c r="AE257" s="285">
        <f t="shared" si="85"/>
        <v>7.3858525547333489</v>
      </c>
      <c r="AF257" s="285">
        <f t="shared" si="85"/>
        <v>7.4782617490373653</v>
      </c>
      <c r="AG257" s="285">
        <f t="shared" si="85"/>
        <v>7.5663267706810577</v>
      </c>
      <c r="AH257" s="285">
        <f t="shared" si="85"/>
        <v>7.647968474589975</v>
      </c>
      <c r="AI257" s="285">
        <f t="shared" si="85"/>
        <v>7.7243603181794827</v>
      </c>
      <c r="AJ257" s="285">
        <f t="shared" si="85"/>
        <v>7.7963121931171138</v>
      </c>
      <c r="AK257" s="285">
        <f t="shared" si="85"/>
        <v>7.8644390869037455</v>
      </c>
      <c r="AL257" s="285">
        <f t="shared" si="85"/>
        <v>7.9292402272744313</v>
      </c>
      <c r="AM257" s="285">
        <f t="shared" si="85"/>
        <v>7.9911415283792335</v>
      </c>
      <c r="AN257" s="285">
        <f t="shared" si="85"/>
        <v>8.0505186496743129</v>
      </c>
      <c r="AO257" s="285">
        <f t="shared" si="85"/>
        <v>8.1077097791973802</v>
      </c>
      <c r="AP257" s="285">
        <f t="shared" si="85"/>
        <v>8.1630229814112791</v>
      </c>
      <c r="AQ257" s="285">
        <f t="shared" si="85"/>
        <v>8.2167406828545282</v>
      </c>
      <c r="AR257" s="285">
        <f t="shared" si="85"/>
        <v>8.2691226587626474</v>
      </c>
      <c r="AS257" s="285">
        <f t="shared" si="85"/>
        <v>8.3204082367178192</v>
      </c>
      <c r="AT257" s="285">
        <f t="shared" si="85"/>
        <v>8.3708180879451035</v>
      </c>
      <c r="AU257" s="285">
        <f t="shared" si="85"/>
        <v>8.42055579357665</v>
      </c>
      <c r="AV257" s="285">
        <f t="shared" si="85"/>
        <v>8.469809277090258</v>
      </c>
      <c r="AW257" s="285">
        <f t="shared" si="85"/>
        <v>8.5187521447692127</v>
      </c>
      <c r="AX257" s="285">
        <f t="shared" si="85"/>
        <v>8.5675449515650737</v>
      </c>
      <c r="AY257" s="285">
        <f t="shared" si="85"/>
        <v>8.6163363983672987</v>
      </c>
      <c r="AZ257" s="285">
        <f t="shared" si="85"/>
        <v>8.6652644620168626</v>
      </c>
      <c r="BA257" s="285">
        <f t="shared" si="85"/>
        <v>8.7144574580430216</v>
      </c>
      <c r="BB257" s="285">
        <f t="shared" si="85"/>
        <v>8.7640350362509061</v>
      </c>
      <c r="BC257" s="285">
        <f t="shared" si="85"/>
        <v>8.8141091100178581</v>
      </c>
      <c r="BD257" s="285">
        <f t="shared" si="85"/>
        <v>8.8647847210099666</v>
      </c>
      <c r="BE257" s="285">
        <f t="shared" si="85"/>
        <v>8.9161608418010623</v>
      </c>
      <c r="BF257" s="285">
        <f t="shared" si="85"/>
        <v>8.9683311194838726</v>
      </c>
      <c r="BG257" s="285">
        <f t="shared" si="85"/>
        <v>9.0213845637954204</v>
      </c>
      <c r="BH257" s="285">
        <f t="shared" si="85"/>
        <v>9.0754061835490898</v>
      </c>
      <c r="BI257" s="285">
        <f t="shared" si="85"/>
        <v>9.0754061835490898</v>
      </c>
      <c r="DR257" s="286"/>
    </row>
    <row r="258" spans="1:122" s="285" customFormat="1" ht="15" x14ac:dyDescent="0.2">
      <c r="A258" s="285" t="s">
        <v>114</v>
      </c>
      <c r="B258" s="285">
        <f t="shared" si="76"/>
        <v>1</v>
      </c>
      <c r="C258" s="285">
        <f t="shared" si="76"/>
        <v>1.0936130334923775</v>
      </c>
      <c r="D258" s="285">
        <f t="shared" si="76"/>
        <v>1.1282321354882701</v>
      </c>
      <c r="E258" s="285">
        <f t="shared" si="76"/>
        <v>1.1623772841889271</v>
      </c>
      <c r="F258" s="285">
        <f t="shared" ref="F258:BI258" si="86">+(F244/F$234)/($B244/$B$234)</f>
        <v>1.1916416893022472</v>
      </c>
      <c r="G258" s="285">
        <f t="shared" si="86"/>
        <v>1.2163971292481159</v>
      </c>
      <c r="H258" s="285">
        <f t="shared" si="86"/>
        <v>1.2381008609356075</v>
      </c>
      <c r="I258" s="285">
        <f t="shared" si="86"/>
        <v>1.2574176373657715</v>
      </c>
      <c r="J258" s="285">
        <f t="shared" si="86"/>
        <v>1.2747864092745411</v>
      </c>
      <c r="K258" s="285">
        <f t="shared" si="86"/>
        <v>1.2750919789053421</v>
      </c>
      <c r="L258" s="285">
        <f t="shared" si="86"/>
        <v>1.2697732351306583</v>
      </c>
      <c r="M258" s="285">
        <f t="shared" si="86"/>
        <v>1.2893268759425807</v>
      </c>
      <c r="N258" s="285">
        <f t="shared" si="86"/>
        <v>1.2883882866012668</v>
      </c>
      <c r="O258" s="285">
        <f t="shared" si="86"/>
        <v>1.2890294211719679</v>
      </c>
      <c r="P258" s="285">
        <f t="shared" si="86"/>
        <v>1.2896302101425554</v>
      </c>
      <c r="Q258" s="285">
        <f t="shared" si="86"/>
        <v>1.2894225292736636</v>
      </c>
      <c r="R258" s="285">
        <f t="shared" si="86"/>
        <v>1.2880762361194988</v>
      </c>
      <c r="S258" s="285">
        <f t="shared" si="86"/>
        <v>1.2854784481959178</v>
      </c>
      <c r="T258" s="285">
        <f t="shared" si="86"/>
        <v>1.2816255570290185</v>
      </c>
      <c r="U258" s="285">
        <f t="shared" si="86"/>
        <v>1.2765684605004413</v>
      </c>
      <c r="V258" s="285">
        <f t="shared" si="86"/>
        <v>1.2694472078739361</v>
      </c>
      <c r="W258" s="285">
        <f t="shared" si="86"/>
        <v>1.2607915178097393</v>
      </c>
      <c r="X258" s="285">
        <f t="shared" si="86"/>
        <v>1.2518469027325925</v>
      </c>
      <c r="Y258" s="285">
        <f t="shared" si="86"/>
        <v>1.242386947006801</v>
      </c>
      <c r="Z258" s="285">
        <f t="shared" si="86"/>
        <v>1.2323349397275392</v>
      </c>
      <c r="AA258" s="285">
        <f t="shared" si="86"/>
        <v>1.2217173761773259</v>
      </c>
      <c r="AB258" s="285">
        <f t="shared" si="86"/>
        <v>1.210550369189106</v>
      </c>
      <c r="AC258" s="285">
        <f t="shared" si="86"/>
        <v>1.2000740630891169</v>
      </c>
      <c r="AD258" s="285">
        <f t="shared" si="86"/>
        <v>1.1898409714948031</v>
      </c>
      <c r="AE258" s="285">
        <f t="shared" si="86"/>
        <v>1.1798127754285128</v>
      </c>
      <c r="AF258" s="285">
        <f t="shared" si="86"/>
        <v>1.1702863237212162</v>
      </c>
      <c r="AG258" s="285">
        <f t="shared" si="86"/>
        <v>1.1611689906756077</v>
      </c>
      <c r="AH258" s="285">
        <f t="shared" si="86"/>
        <v>1.152074129700893</v>
      </c>
      <c r="AI258" s="285">
        <f t="shared" si="86"/>
        <v>1.1430207184934562</v>
      </c>
      <c r="AJ258" s="285">
        <f t="shared" si="86"/>
        <v>1.1340266145199434</v>
      </c>
      <c r="AK258" s="285">
        <f t="shared" si="86"/>
        <v>1.1250939210107018</v>
      </c>
      <c r="AL258" s="285">
        <f t="shared" si="86"/>
        <v>1.1162187073761245</v>
      </c>
      <c r="AM258" s="285">
        <f t="shared" si="86"/>
        <v>1.1073955241039355</v>
      </c>
      <c r="AN258" s="285">
        <f t="shared" si="86"/>
        <v>1.0986192398078065</v>
      </c>
      <c r="AO258" s="285">
        <f t="shared" si="86"/>
        <v>1.0898856525831702</v>
      </c>
      <c r="AP258" s="285">
        <f t="shared" si="86"/>
        <v>1.0811915717282372</v>
      </c>
      <c r="AQ258" s="285">
        <f t="shared" si="86"/>
        <v>1.072534694222502</v>
      </c>
      <c r="AR258" s="285">
        <f t="shared" si="86"/>
        <v>1.0639134214800559</v>
      </c>
      <c r="AS258" s="285">
        <f t="shared" si="86"/>
        <v>1.0553266775181105</v>
      </c>
      <c r="AT258" s="285">
        <f t="shared" si="86"/>
        <v>1.0467737510004502</v>
      </c>
      <c r="AU258" s="285">
        <f t="shared" si="86"/>
        <v>1.0382541666434408</v>
      </c>
      <c r="AV258" s="285">
        <f t="shared" si="86"/>
        <v>1.0297675845727658</v>
      </c>
      <c r="AW258" s="285">
        <f t="shared" si="86"/>
        <v>1.0213137238428511</v>
      </c>
      <c r="AX258" s="285">
        <f t="shared" si="86"/>
        <v>1.012892305885817</v>
      </c>
      <c r="AY258" s="285">
        <f t="shared" si="86"/>
        <v>1.0045030139655178</v>
      </c>
      <c r="AZ258" s="285">
        <f t="shared" si="86"/>
        <v>0.99614546525929937</v>
      </c>
      <c r="BA258" s="285">
        <f t="shared" si="86"/>
        <v>0.98781919276362384</v>
      </c>
      <c r="BB258" s="285">
        <f t="shared" si="86"/>
        <v>0.97952363474115645</v>
      </c>
      <c r="BC258" s="285">
        <f t="shared" si="86"/>
        <v>0.97125812987434434</v>
      </c>
      <c r="BD258" s="285">
        <f t="shared" si="86"/>
        <v>0.96302191666432091</v>
      </c>
      <c r="BE258" s="285">
        <f t="shared" si="86"/>
        <v>0.95481413592215414</v>
      </c>
      <c r="BF258" s="285">
        <f t="shared" si="86"/>
        <v>0.94663383545115276</v>
      </c>
      <c r="BG258" s="285">
        <f t="shared" si="86"/>
        <v>0.93847997622360613</v>
      </c>
      <c r="BH258" s="285">
        <f t="shared" si="86"/>
        <v>0.93035143952077926</v>
      </c>
      <c r="BI258" s="285">
        <f t="shared" si="86"/>
        <v>0.93035143952077926</v>
      </c>
      <c r="DR258" s="286"/>
    </row>
    <row r="259" spans="1:122" s="285" customFormat="1" ht="15" x14ac:dyDescent="0.2">
      <c r="A259" s="285" t="s">
        <v>224</v>
      </c>
      <c r="B259" s="285">
        <f t="shared" si="76"/>
        <v>1</v>
      </c>
      <c r="C259" s="285">
        <f t="shared" si="76"/>
        <v>1.2426731211885542</v>
      </c>
      <c r="D259" s="285">
        <f t="shared" si="76"/>
        <v>1.7248481670032452</v>
      </c>
      <c r="E259" s="285">
        <f t="shared" si="76"/>
        <v>2.3193506733103466</v>
      </c>
      <c r="F259" s="285">
        <f t="shared" ref="F259:BI259" si="87">+(F245/F$234)/($B245/$B$234)</f>
        <v>3.0434068646690577</v>
      </c>
      <c r="G259" s="285">
        <f t="shared" si="87"/>
        <v>3.8580295012662944</v>
      </c>
      <c r="H259" s="285">
        <f t="shared" si="87"/>
        <v>4.7486002948794219</v>
      </c>
      <c r="I259" s="285">
        <f t="shared" si="87"/>
        <v>5.722541286458922</v>
      </c>
      <c r="J259" s="285">
        <f t="shared" si="87"/>
        <v>6.7660700194965333</v>
      </c>
      <c r="K259" s="285">
        <f t="shared" si="87"/>
        <v>7.882638491207091</v>
      </c>
      <c r="L259" s="285">
        <f t="shared" si="87"/>
        <v>8.9589997010020017</v>
      </c>
      <c r="M259" s="285">
        <f t="shared" si="87"/>
        <v>10.513697150150939</v>
      </c>
      <c r="N259" s="285">
        <f t="shared" si="87"/>
        <v>11.423424766760656</v>
      </c>
      <c r="O259" s="285">
        <f t="shared" si="87"/>
        <v>12.431226120166867</v>
      </c>
      <c r="P259" s="285">
        <f t="shared" si="87"/>
        <v>13.471481270639691</v>
      </c>
      <c r="Q259" s="285">
        <f t="shared" si="87"/>
        <v>14.501758808396609</v>
      </c>
      <c r="R259" s="285">
        <f t="shared" si="87"/>
        <v>15.492623968136668</v>
      </c>
      <c r="S259" s="285">
        <f t="shared" si="87"/>
        <v>16.422746592646515</v>
      </c>
      <c r="T259" s="285">
        <f t="shared" si="87"/>
        <v>17.27624499051376</v>
      </c>
      <c r="U259" s="285">
        <f t="shared" si="87"/>
        <v>18.041140650468758</v>
      </c>
      <c r="V259" s="285">
        <f t="shared" si="87"/>
        <v>18.633838661649971</v>
      </c>
      <c r="W259" s="285">
        <f t="shared" si="87"/>
        <v>19.075880551600402</v>
      </c>
      <c r="X259" s="285">
        <f t="shared" si="87"/>
        <v>19.456344496257437</v>
      </c>
      <c r="Y259" s="285">
        <f t="shared" si="87"/>
        <v>19.749659544250918</v>
      </c>
      <c r="Z259" s="285">
        <f t="shared" si="87"/>
        <v>19.941463196115247</v>
      </c>
      <c r="AA259" s="285">
        <f t="shared" si="87"/>
        <v>20.025276387317678</v>
      </c>
      <c r="AB259" s="285">
        <f t="shared" si="87"/>
        <v>19.994037062523343</v>
      </c>
      <c r="AC259" s="285">
        <f t="shared" si="87"/>
        <v>19.903684387185361</v>
      </c>
      <c r="AD259" s="285">
        <f t="shared" si="87"/>
        <v>19.735167804657024</v>
      </c>
      <c r="AE259" s="285">
        <f t="shared" si="87"/>
        <v>19.492217760366774</v>
      </c>
      <c r="AF259" s="285">
        <f t="shared" si="87"/>
        <v>19.180566177035217</v>
      </c>
      <c r="AG259" s="285">
        <f t="shared" si="87"/>
        <v>18.807888497733551</v>
      </c>
      <c r="AH259" s="285">
        <f t="shared" si="87"/>
        <v>18.380962870204279</v>
      </c>
      <c r="AI259" s="285">
        <f t="shared" si="87"/>
        <v>17.904636213906141</v>
      </c>
      <c r="AJ259" s="285">
        <f t="shared" si="87"/>
        <v>17.384399979463151</v>
      </c>
      <c r="AK259" s="285">
        <f t="shared" si="87"/>
        <v>16.825577376878986</v>
      </c>
      <c r="AL259" s="285">
        <f t="shared" si="87"/>
        <v>16.233265932467784</v>
      </c>
      <c r="AM259" s="285">
        <f t="shared" si="87"/>
        <v>15.612317507352186</v>
      </c>
      <c r="AN259" s="285">
        <f t="shared" si="87"/>
        <v>14.967338694237702</v>
      </c>
      <c r="AO259" s="285">
        <f t="shared" si="87"/>
        <v>14.302706059549468</v>
      </c>
      <c r="AP259" s="285">
        <f t="shared" si="87"/>
        <v>13.622591038378006</v>
      </c>
      <c r="AQ259" s="285">
        <f t="shared" si="87"/>
        <v>12.930990611589044</v>
      </c>
      <c r="AR259" s="285">
        <f t="shared" si="87"/>
        <v>12.231761396262662</v>
      </c>
      <c r="AS259" s="285">
        <f t="shared" si="87"/>
        <v>11.528656026062892</v>
      </c>
      <c r="AT259" s="285">
        <f t="shared" si="87"/>
        <v>10.825361548364441</v>
      </c>
      <c r="AU259" s="285">
        <f t="shared" si="87"/>
        <v>10.125539997251032</v>
      </c>
      <c r="AV259" s="285">
        <f t="shared" si="87"/>
        <v>9.4328713223388281</v>
      </c>
      <c r="AW259" s="285">
        <f t="shared" si="87"/>
        <v>8.7510984693964406</v>
      </c>
      <c r="AX259" s="285">
        <f t="shared" si="87"/>
        <v>8.0840736353646623</v>
      </c>
      <c r="AY259" s="285">
        <f t="shared" si="87"/>
        <v>7.4358036228636362</v>
      </c>
      <c r="AZ259" s="285">
        <f t="shared" si="87"/>
        <v>6.8104909888833403</v>
      </c>
      <c r="BA259" s="285">
        <f t="shared" si="87"/>
        <v>6.2125667531531388</v>
      </c>
      <c r="BB259" s="285">
        <f t="shared" si="87"/>
        <v>5.6467106365393303</v>
      </c>
      <c r="BC259" s="285">
        <f t="shared" si="87"/>
        <v>5.1178575466397112</v>
      </c>
      <c r="BD259" s="285">
        <f t="shared" si="87"/>
        <v>4.6311964509725527</v>
      </c>
      <c r="BE259" s="285">
        <f t="shared" si="87"/>
        <v>4.1921828100012206</v>
      </c>
      <c r="BF259" s="285">
        <f t="shared" si="87"/>
        <v>3.806612116431463</v>
      </c>
      <c r="BG259" s="285">
        <f t="shared" si="87"/>
        <v>3.480844543808816</v>
      </c>
      <c r="BH259" s="285">
        <f t="shared" si="87"/>
        <v>3.222336196199314</v>
      </c>
      <c r="BI259" s="285">
        <f t="shared" si="87"/>
        <v>3.222336196199314</v>
      </c>
      <c r="DR259" s="286"/>
    </row>
    <row r="260" spans="1:122" s="290" customFormat="1" ht="15" x14ac:dyDescent="0.2">
      <c r="DR260" s="291"/>
    </row>
    <row r="261" spans="1:122" s="290" customFormat="1" ht="15" x14ac:dyDescent="0.2">
      <c r="A261" s="289" t="s">
        <v>785</v>
      </c>
      <c r="DR261" s="291"/>
    </row>
    <row r="262" spans="1:122" s="290" customFormat="1" ht="15" x14ac:dyDescent="0.2">
      <c r="A262" s="290" t="s">
        <v>104</v>
      </c>
      <c r="B262" s="290">
        <f t="shared" ref="B262:B273" si="88">1/B248</f>
        <v>1</v>
      </c>
      <c r="C262" s="290">
        <f t="shared" ref="C262:BI266" si="89">1/C248</f>
        <v>1</v>
      </c>
      <c r="D262" s="290">
        <f t="shared" si="89"/>
        <v>1</v>
      </c>
      <c r="E262" s="290">
        <f t="shared" si="89"/>
        <v>1</v>
      </c>
      <c r="F262" s="290">
        <f t="shared" si="89"/>
        <v>1</v>
      </c>
      <c r="G262" s="290">
        <f t="shared" si="89"/>
        <v>1</v>
      </c>
      <c r="H262" s="290">
        <f t="shared" si="89"/>
        <v>1</v>
      </c>
      <c r="I262" s="290">
        <f t="shared" si="89"/>
        <v>1</v>
      </c>
      <c r="J262" s="290">
        <f t="shared" si="89"/>
        <v>1</v>
      </c>
      <c r="K262" s="290">
        <f t="shared" si="89"/>
        <v>1</v>
      </c>
      <c r="L262" s="290">
        <f t="shared" si="89"/>
        <v>1</v>
      </c>
      <c r="M262" s="290">
        <f t="shared" si="89"/>
        <v>1</v>
      </c>
      <c r="N262" s="290">
        <f t="shared" si="89"/>
        <v>1</v>
      </c>
      <c r="O262" s="290">
        <f t="shared" si="89"/>
        <v>1</v>
      </c>
      <c r="P262" s="290">
        <f t="shared" si="89"/>
        <v>1</v>
      </c>
      <c r="Q262" s="290">
        <f t="shared" si="89"/>
        <v>1</v>
      </c>
      <c r="R262" s="290">
        <f t="shared" si="89"/>
        <v>1</v>
      </c>
      <c r="S262" s="290">
        <f t="shared" si="89"/>
        <v>1</v>
      </c>
      <c r="T262" s="290">
        <f t="shared" si="89"/>
        <v>1</v>
      </c>
      <c r="U262" s="290">
        <f t="shared" si="89"/>
        <v>1</v>
      </c>
      <c r="V262" s="290">
        <f t="shared" si="89"/>
        <v>1</v>
      </c>
      <c r="W262" s="290">
        <f t="shared" si="89"/>
        <v>1</v>
      </c>
      <c r="X262" s="290">
        <f t="shared" si="89"/>
        <v>1</v>
      </c>
      <c r="Y262" s="290">
        <f t="shared" si="89"/>
        <v>1</v>
      </c>
      <c r="Z262" s="290">
        <f t="shared" si="89"/>
        <v>1</v>
      </c>
      <c r="AA262" s="290">
        <f t="shared" si="89"/>
        <v>1</v>
      </c>
      <c r="AB262" s="290">
        <f t="shared" si="89"/>
        <v>1</v>
      </c>
      <c r="AC262" s="290">
        <f t="shared" si="89"/>
        <v>1</v>
      </c>
      <c r="AD262" s="290">
        <f t="shared" si="89"/>
        <v>1</v>
      </c>
      <c r="AE262" s="290">
        <f t="shared" si="89"/>
        <v>1</v>
      </c>
      <c r="AF262" s="290">
        <f t="shared" si="89"/>
        <v>1</v>
      </c>
      <c r="AG262" s="290">
        <f t="shared" si="89"/>
        <v>1</v>
      </c>
      <c r="AH262" s="290">
        <f t="shared" si="89"/>
        <v>1</v>
      </c>
      <c r="AI262" s="290">
        <f t="shared" si="89"/>
        <v>1</v>
      </c>
      <c r="AJ262" s="290">
        <f t="shared" si="89"/>
        <v>1</v>
      </c>
      <c r="AK262" s="290">
        <f t="shared" si="89"/>
        <v>1</v>
      </c>
      <c r="AL262" s="290">
        <f t="shared" si="89"/>
        <v>1</v>
      </c>
      <c r="AM262" s="290">
        <f t="shared" si="89"/>
        <v>1</v>
      </c>
      <c r="AN262" s="290">
        <f t="shared" si="89"/>
        <v>1</v>
      </c>
      <c r="AO262" s="290">
        <f t="shared" si="89"/>
        <v>1</v>
      </c>
      <c r="AP262" s="290">
        <f t="shared" si="89"/>
        <v>1</v>
      </c>
      <c r="AQ262" s="290">
        <f t="shared" si="89"/>
        <v>1</v>
      </c>
      <c r="AR262" s="290">
        <f t="shared" si="89"/>
        <v>1</v>
      </c>
      <c r="AS262" s="290">
        <f t="shared" si="89"/>
        <v>1</v>
      </c>
      <c r="AT262" s="290">
        <f t="shared" si="89"/>
        <v>1</v>
      </c>
      <c r="AU262" s="290">
        <f t="shared" si="89"/>
        <v>1</v>
      </c>
      <c r="AV262" s="290">
        <f t="shared" si="89"/>
        <v>1</v>
      </c>
      <c r="AW262" s="290">
        <f t="shared" si="89"/>
        <v>1</v>
      </c>
      <c r="AX262" s="290">
        <f t="shared" si="89"/>
        <v>1</v>
      </c>
      <c r="AY262" s="290">
        <f t="shared" si="89"/>
        <v>1</v>
      </c>
      <c r="AZ262" s="290">
        <f t="shared" si="89"/>
        <v>1</v>
      </c>
      <c r="BA262" s="290">
        <f t="shared" si="89"/>
        <v>1</v>
      </c>
      <c r="BB262" s="290">
        <f t="shared" si="89"/>
        <v>1</v>
      </c>
      <c r="BC262" s="290">
        <f t="shared" si="89"/>
        <v>1</v>
      </c>
      <c r="BD262" s="290">
        <f t="shared" si="89"/>
        <v>1</v>
      </c>
      <c r="BE262" s="290">
        <f t="shared" si="89"/>
        <v>1</v>
      </c>
      <c r="BF262" s="290">
        <f t="shared" si="89"/>
        <v>1</v>
      </c>
      <c r="BG262" s="290">
        <f t="shared" si="89"/>
        <v>1</v>
      </c>
      <c r="BH262" s="290">
        <f t="shared" si="89"/>
        <v>1</v>
      </c>
      <c r="BI262" s="290">
        <f t="shared" si="89"/>
        <v>1</v>
      </c>
      <c r="DR262" s="291"/>
    </row>
    <row r="263" spans="1:122" s="290" customFormat="1" ht="15" x14ac:dyDescent="0.2">
      <c r="A263" s="290" t="s">
        <v>105</v>
      </c>
      <c r="B263" s="290">
        <f t="shared" si="88"/>
        <v>1</v>
      </c>
      <c r="C263" s="290">
        <f t="shared" ref="C263:Q263" si="90">1/C249</f>
        <v>0.96248688195070609</v>
      </c>
      <c r="D263" s="290">
        <f t="shared" si="90"/>
        <v>0.91655293912360691</v>
      </c>
      <c r="E263" s="290">
        <f t="shared" si="90"/>
        <v>0.87785182012740726</v>
      </c>
      <c r="F263" s="290">
        <f t="shared" si="90"/>
        <v>0.84424248203358376</v>
      </c>
      <c r="G263" s="290">
        <f t="shared" si="90"/>
        <v>0.81545835511951359</v>
      </c>
      <c r="H263" s="290">
        <f t="shared" si="90"/>
        <v>0.78962312852245664</v>
      </c>
      <c r="I263" s="290">
        <f t="shared" si="90"/>
        <v>0.76732036417532745</v>
      </c>
      <c r="J263" s="290">
        <f t="shared" si="90"/>
        <v>0.747920296455031</v>
      </c>
      <c r="K263" s="290">
        <f t="shared" si="90"/>
        <v>0.73900812174135799</v>
      </c>
      <c r="L263" s="290">
        <f t="shared" si="90"/>
        <v>0.73396215405513343</v>
      </c>
      <c r="M263" s="290">
        <f t="shared" si="90"/>
        <v>0.7166605490282576</v>
      </c>
      <c r="N263" s="290">
        <f t="shared" si="90"/>
        <v>0.71057218856213789</v>
      </c>
      <c r="O263" s="290">
        <f t="shared" si="90"/>
        <v>0.70416680687227162</v>
      </c>
      <c r="P263" s="290">
        <f t="shared" si="90"/>
        <v>0.698243519721501</v>
      </c>
      <c r="Q263" s="290">
        <f t="shared" si="90"/>
        <v>0.69313740202610841</v>
      </c>
      <c r="R263" s="290">
        <f t="shared" si="89"/>
        <v>0.68895695812623203</v>
      </c>
      <c r="S263" s="290">
        <f t="shared" si="89"/>
        <v>0.68570551341371722</v>
      </c>
      <c r="T263" s="290">
        <f t="shared" si="89"/>
        <v>0.68333912075862346</v>
      </c>
      <c r="U263" s="290">
        <f t="shared" si="89"/>
        <v>0.6817945883942913</v>
      </c>
      <c r="V263" s="290">
        <f t="shared" si="89"/>
        <v>0.68166976186250494</v>
      </c>
      <c r="W263" s="290">
        <f t="shared" si="89"/>
        <v>0.68259430575298474</v>
      </c>
      <c r="X263" s="290">
        <f t="shared" si="89"/>
        <v>0.68368060648586815</v>
      </c>
      <c r="Y263" s="290">
        <f t="shared" si="89"/>
        <v>0.68508947871141235</v>
      </c>
      <c r="Z263" s="290">
        <f t="shared" si="89"/>
        <v>0.68688086353616351</v>
      </c>
      <c r="AA263" s="290">
        <f t="shared" si="89"/>
        <v>0.68904664201827581</v>
      </c>
      <c r="AB263" s="290">
        <f t="shared" si="89"/>
        <v>0.6915655588402756</v>
      </c>
      <c r="AC263" s="290">
        <f t="shared" si="89"/>
        <v>0.6938180784536091</v>
      </c>
      <c r="AD263" s="290">
        <f t="shared" si="89"/>
        <v>0.69603434712435097</v>
      </c>
      <c r="AE263" s="290">
        <f t="shared" si="89"/>
        <v>0.69824582118989742</v>
      </c>
      <c r="AF263" s="290">
        <f t="shared" si="89"/>
        <v>0.70024126793890362</v>
      </c>
      <c r="AG263" s="290">
        <f t="shared" si="89"/>
        <v>0.70210656877344602</v>
      </c>
      <c r="AH263" s="290">
        <f t="shared" si="89"/>
        <v>0.70412802771188066</v>
      </c>
      <c r="AI263" s="290">
        <f t="shared" si="89"/>
        <v>0.70626451058998663</v>
      </c>
      <c r="AJ263" s="290">
        <f t="shared" si="89"/>
        <v>0.70848763986647656</v>
      </c>
      <c r="AK263" s="290">
        <f t="shared" si="89"/>
        <v>0.71078210791819008</v>
      </c>
      <c r="AL263" s="290">
        <f t="shared" si="89"/>
        <v>0.71313851526281802</v>
      </c>
      <c r="AM263" s="290">
        <f t="shared" si="89"/>
        <v>0.71554997101456663</v>
      </c>
      <c r="AN263" s="290">
        <f t="shared" si="89"/>
        <v>0.71801058459716083</v>
      </c>
      <c r="AO263" s="290">
        <f t="shared" si="89"/>
        <v>0.72051485094324363</v>
      </c>
      <c r="AP263" s="290">
        <f t="shared" si="89"/>
        <v>0.72305744117997428</v>
      </c>
      <c r="AQ263" s="290">
        <f t="shared" si="89"/>
        <v>0.72563316497162056</v>
      </c>
      <c r="AR263" s="290">
        <f t="shared" si="89"/>
        <v>0.72823699588379431</v>
      </c>
      <c r="AS263" s="290">
        <f t="shared" si="89"/>
        <v>0.73086411180422872</v>
      </c>
      <c r="AT263" s="290">
        <f t="shared" si="89"/>
        <v>0.7335099311470229</v>
      </c>
      <c r="AU263" s="290">
        <f t="shared" si="89"/>
        <v>0.73617013863477399</v>
      </c>
      <c r="AV263" s="290">
        <f t="shared" si="89"/>
        <v>0.73884070003871227</v>
      </c>
      <c r="AW263" s="290">
        <f t="shared" si="89"/>
        <v>0.74151786736252923</v>
      </c>
      <c r="AX263" s="290">
        <f t="shared" si="89"/>
        <v>0.74419817651421649</v>
      </c>
      <c r="AY263" s="290">
        <f t="shared" si="89"/>
        <v>0.74687843943353049</v>
      </c>
      <c r="AZ263" s="290">
        <f t="shared" si="89"/>
        <v>0.7495557323465788</v>
      </c>
      <c r="BA263" s="290">
        <f t="shared" si="89"/>
        <v>0.75222738148218804</v>
      </c>
      <c r="BB263" s="290">
        <f t="shared" si="89"/>
        <v>0.75489094727739869</v>
      </c>
      <c r="BC263" s="290">
        <f t="shared" si="89"/>
        <v>0.75754420784228527</v>
      </c>
      <c r="BD263" s="290">
        <f t="shared" si="89"/>
        <v>0.76018514224875156</v>
      </c>
      <c r="BE263" s="290">
        <f t="shared" si="89"/>
        <v>0.76281191404722648</v>
      </c>
      <c r="BF263" s="290">
        <f t="shared" si="89"/>
        <v>0.76542285529192333</v>
      </c>
      <c r="BG263" s="290">
        <f t="shared" si="89"/>
        <v>0.76801645126137108</v>
      </c>
      <c r="BH263" s="290">
        <f t="shared" si="89"/>
        <v>0.77059132599035152</v>
      </c>
      <c r="BI263" s="290">
        <f t="shared" si="89"/>
        <v>0.77059132599035152</v>
      </c>
      <c r="DR263" s="291"/>
    </row>
    <row r="264" spans="1:122" s="290" customFormat="1" ht="15" x14ac:dyDescent="0.2">
      <c r="A264" s="290" t="s">
        <v>51</v>
      </c>
      <c r="B264" s="290">
        <f t="shared" si="88"/>
        <v>1</v>
      </c>
      <c r="C264" s="290">
        <f t="shared" si="89"/>
        <v>1.0240340094792313</v>
      </c>
      <c r="D264" s="290">
        <f t="shared" si="89"/>
        <v>0.98788950402364051</v>
      </c>
      <c r="E264" s="290">
        <f t="shared" si="89"/>
        <v>0.9495029329200888</v>
      </c>
      <c r="F264" s="290">
        <f t="shared" si="89"/>
        <v>0.97279660567003168</v>
      </c>
      <c r="G264" s="290">
        <f t="shared" si="89"/>
        <v>0.96248528063291983</v>
      </c>
      <c r="H264" s="290">
        <f t="shared" si="89"/>
        <v>0.94058302219422307</v>
      </c>
      <c r="I264" s="290">
        <f t="shared" si="89"/>
        <v>0.92137113070004606</v>
      </c>
      <c r="J264" s="290">
        <f t="shared" si="89"/>
        <v>0.90442780600987682</v>
      </c>
      <c r="K264" s="290">
        <f t="shared" si="89"/>
        <v>0.90221042767284987</v>
      </c>
      <c r="L264" s="290">
        <f t="shared" si="89"/>
        <v>0.90247281666000112</v>
      </c>
      <c r="M264" s="290">
        <f t="shared" si="89"/>
        <v>0.89038007317229984</v>
      </c>
      <c r="N264" s="290">
        <f t="shared" si="89"/>
        <v>0.88104808557310665</v>
      </c>
      <c r="O264" s="290">
        <f t="shared" si="89"/>
        <v>0.8723878925733819</v>
      </c>
      <c r="P264" s="290">
        <f t="shared" si="89"/>
        <v>0.86450490426530113</v>
      </c>
      <c r="Q264" s="290">
        <f t="shared" si="89"/>
        <v>0.85739696881056282</v>
      </c>
      <c r="R264" s="290">
        <f t="shared" si="89"/>
        <v>0.85101318391600977</v>
      </c>
      <c r="S264" s="290">
        <f t="shared" si="89"/>
        <v>0.84528250715087994</v>
      </c>
      <c r="T264" s="290">
        <f t="shared" si="89"/>
        <v>0.84012754191784933</v>
      </c>
      <c r="U264" s="290">
        <f t="shared" si="89"/>
        <v>0.83547112648312893</v>
      </c>
      <c r="V264" s="290">
        <f t="shared" si="89"/>
        <v>0.83190961295890598</v>
      </c>
      <c r="W264" s="290">
        <f t="shared" si="89"/>
        <v>0.82905601766519144</v>
      </c>
      <c r="X264" s="290">
        <f t="shared" si="89"/>
        <v>0.82601595872513023</v>
      </c>
      <c r="Y264" s="290">
        <f t="shared" si="89"/>
        <v>0.82295791478937819</v>
      </c>
      <c r="Z264" s="290">
        <f t="shared" si="89"/>
        <v>0.81994502238164257</v>
      </c>
      <c r="AA264" s="290">
        <f t="shared" si="89"/>
        <v>0.81697250173410474</v>
      </c>
      <c r="AB264" s="290">
        <f t="shared" si="89"/>
        <v>0.81411822866665284</v>
      </c>
      <c r="AC264" s="290">
        <f t="shared" si="89"/>
        <v>0.81065928960300226</v>
      </c>
      <c r="AD264" s="290">
        <f t="shared" si="89"/>
        <v>0.80702473313192502</v>
      </c>
      <c r="AE264" s="290">
        <f t="shared" si="89"/>
        <v>0.80330060152272531</v>
      </c>
      <c r="AF264" s="290">
        <f t="shared" si="89"/>
        <v>0.79930051003296076</v>
      </c>
      <c r="AG264" s="290">
        <f t="shared" si="89"/>
        <v>0.79519088613221833</v>
      </c>
      <c r="AH264" s="290">
        <f t="shared" si="89"/>
        <v>0.79131097848463061</v>
      </c>
      <c r="AI264" s="290">
        <f t="shared" si="89"/>
        <v>0.78758651385700618</v>
      </c>
      <c r="AJ264" s="290">
        <f t="shared" si="89"/>
        <v>0.7839754107491429</v>
      </c>
      <c r="AK264" s="290">
        <f t="shared" si="89"/>
        <v>0.7804506076076152</v>
      </c>
      <c r="AL264" s="290">
        <f t="shared" si="89"/>
        <v>0.77699228482297233</v>
      </c>
      <c r="AM264" s="290">
        <f t="shared" si="89"/>
        <v>0.7735842639290087</v>
      </c>
      <c r="AN264" s="290">
        <f t="shared" si="89"/>
        <v>0.77021240665291002</v>
      </c>
      <c r="AO264" s="290">
        <f t="shared" si="89"/>
        <v>0.76686394397501256</v>
      </c>
      <c r="AP264" s="290">
        <f t="shared" si="89"/>
        <v>0.76352721594588757</v>
      </c>
      <c r="AQ264" s="290">
        <f t="shared" si="89"/>
        <v>0.76019157694679174</v>
      </c>
      <c r="AR264" s="290">
        <f t="shared" si="89"/>
        <v>0.756847355696179</v>
      </c>
      <c r="AS264" s="290">
        <f t="shared" si="89"/>
        <v>0.75348582398902186</v>
      </c>
      <c r="AT264" s="290">
        <f t="shared" si="89"/>
        <v>0.75009915811005201</v>
      </c>
      <c r="AU264" s="290">
        <f t="shared" si="89"/>
        <v>0.74668038988128338</v>
      </c>
      <c r="AV264" s="290">
        <f t="shared" si="89"/>
        <v>0.74322334930069656</v>
      </c>
      <c r="AW264" s="290">
        <f t="shared" si="89"/>
        <v>0.73972260210026819</v>
      </c>
      <c r="AX264" s="290">
        <f t="shared" si="89"/>
        <v>0.73617338541963928</v>
      </c>
      <c r="AY264" s="290">
        <f t="shared" si="89"/>
        <v>0.73257154414416659</v>
      </c>
      <c r="AZ264" s="290">
        <f t="shared" si="89"/>
        <v>0.72891346972665194</v>
      </c>
      <c r="BA264" s="290">
        <f t="shared" si="89"/>
        <v>0.72519604266938598</v>
      </c>
      <c r="BB264" s="290">
        <f t="shared" si="89"/>
        <v>0.72141657933602321</v>
      </c>
      <c r="BC264" s="290">
        <f t="shared" si="89"/>
        <v>0.71757278338874941</v>
      </c>
      <c r="BD264" s="290">
        <f t="shared" si="89"/>
        <v>0.71366270188458336</v>
      </c>
      <c r="BE264" s="290">
        <f t="shared" si="89"/>
        <v>0.70968468589086553</v>
      </c>
      <c r="BF264" s="290">
        <f t="shared" si="89"/>
        <v>0.70563735537195937</v>
      </c>
      <c r="BG264" s="290">
        <f t="shared" si="89"/>
        <v>0.70151956803827409</v>
      </c>
      <c r="BH264" s="290">
        <f t="shared" si="89"/>
        <v>0.697330391820841</v>
      </c>
      <c r="BI264" s="290">
        <f t="shared" si="89"/>
        <v>0.697330391820841</v>
      </c>
      <c r="DR264" s="291"/>
    </row>
    <row r="265" spans="1:122" s="290" customFormat="1" ht="15" x14ac:dyDescent="0.2">
      <c r="A265" s="290" t="s">
        <v>52</v>
      </c>
      <c r="B265" s="290">
        <f t="shared" si="88"/>
        <v>1</v>
      </c>
      <c r="C265" s="290">
        <f t="shared" si="89"/>
        <v>0.75011405971665723</v>
      </c>
      <c r="D265" s="290">
        <f t="shared" si="89"/>
        <v>0.68152189672639918</v>
      </c>
      <c r="E265" s="290">
        <f t="shared" si="89"/>
        <v>0.62840082329280078</v>
      </c>
      <c r="F265" s="290">
        <f t="shared" si="89"/>
        <v>0.58551498273167701</v>
      </c>
      <c r="G265" s="290">
        <f t="shared" si="89"/>
        <v>0.54779767841535354</v>
      </c>
      <c r="H265" s="290">
        <f t="shared" si="89"/>
        <v>0.51289750562452974</v>
      </c>
      <c r="I265" s="290">
        <f t="shared" si="89"/>
        <v>0.48329932856797458</v>
      </c>
      <c r="J265" s="290">
        <f t="shared" si="89"/>
        <v>0.4579897918605409</v>
      </c>
      <c r="K265" s="290">
        <f t="shared" si="89"/>
        <v>0.44390405628733898</v>
      </c>
      <c r="L265" s="290">
        <f t="shared" si="89"/>
        <v>0.43335161785030085</v>
      </c>
      <c r="M265" s="290">
        <f t="shared" si="89"/>
        <v>0.41386023634964336</v>
      </c>
      <c r="N265" s="290">
        <f t="shared" si="89"/>
        <v>0.40125758966792813</v>
      </c>
      <c r="O265" s="290">
        <f t="shared" si="89"/>
        <v>0.3891984088229089</v>
      </c>
      <c r="P265" s="290">
        <f t="shared" si="89"/>
        <v>0.37807578886897975</v>
      </c>
      <c r="Q265" s="290">
        <f t="shared" si="89"/>
        <v>0.36798371735113056</v>
      </c>
      <c r="R265" s="290">
        <f t="shared" si="89"/>
        <v>0.35888960182147867</v>
      </c>
      <c r="S265" s="290">
        <f t="shared" si="89"/>
        <v>0.35071044776474097</v>
      </c>
      <c r="T265" s="290">
        <f t="shared" si="89"/>
        <v>0.34334764384833061</v>
      </c>
      <c r="U265" s="290">
        <f t="shared" si="89"/>
        <v>0.33670266771792889</v>
      </c>
      <c r="V265" s="290">
        <f t="shared" si="89"/>
        <v>0.33063081025605728</v>
      </c>
      <c r="W265" s="290">
        <f t="shared" si="89"/>
        <v>0.32507670679384426</v>
      </c>
      <c r="X265" s="290">
        <f t="shared" si="89"/>
        <v>0.32003120826597803</v>
      </c>
      <c r="Y265" s="290">
        <f t="shared" si="89"/>
        <v>0.31540999300075462</v>
      </c>
      <c r="Z265" s="290">
        <f t="shared" si="89"/>
        <v>0.31114797217537743</v>
      </c>
      <c r="AA265" s="290">
        <f t="shared" si="89"/>
        <v>0.30720171703059151</v>
      </c>
      <c r="AB265" s="290">
        <f t="shared" si="89"/>
        <v>0.30365852083989076</v>
      </c>
      <c r="AC265" s="290">
        <f t="shared" si="89"/>
        <v>0.30041611500291482</v>
      </c>
      <c r="AD265" s="290">
        <f t="shared" si="89"/>
        <v>0.2974951780848919</v>
      </c>
      <c r="AE265" s="290">
        <f t="shared" si="89"/>
        <v>0.29483395637769233</v>
      </c>
      <c r="AF265" s="290">
        <f t="shared" si="89"/>
        <v>0.29233134179221698</v>
      </c>
      <c r="AG265" s="290">
        <f t="shared" si="89"/>
        <v>0.28997094293543224</v>
      </c>
      <c r="AH265" s="290">
        <f t="shared" si="89"/>
        <v>0.28778010825283734</v>
      </c>
      <c r="AI265" s="290">
        <f t="shared" si="89"/>
        <v>0.28571443451531964</v>
      </c>
      <c r="AJ265" s="290">
        <f t="shared" si="89"/>
        <v>0.28374487230523282</v>
      </c>
      <c r="AK265" s="290">
        <f t="shared" si="89"/>
        <v>0.28185101768913667</v>
      </c>
      <c r="AL265" s="290">
        <f t="shared" si="89"/>
        <v>0.28001786149627722</v>
      </c>
      <c r="AM265" s="290">
        <f t="shared" si="89"/>
        <v>0.27823386235422448</v>
      </c>
      <c r="AN265" s="290">
        <f t="shared" si="89"/>
        <v>0.27648978450703993</v>
      </c>
      <c r="AO265" s="290">
        <f t="shared" si="89"/>
        <v>0.27477798587069152</v>
      </c>
      <c r="AP265" s="290">
        <f t="shared" si="89"/>
        <v>0.27309197447874994</v>
      </c>
      <c r="AQ265" s="290">
        <f t="shared" si="89"/>
        <v>0.27142612651548942</v>
      </c>
      <c r="AR265" s="290">
        <f t="shared" si="89"/>
        <v>0.26977550248859489</v>
      </c>
      <c r="AS265" s="290">
        <f t="shared" si="89"/>
        <v>0.26813572352911746</v>
      </c>
      <c r="AT265" s="290">
        <f t="shared" si="89"/>
        <v>0.26650288489823459</v>
      </c>
      <c r="AU265" s="290">
        <f t="shared" si="89"/>
        <v>0.26487349281062728</v>
      </c>
      <c r="AV265" s="290">
        <f t="shared" si="89"/>
        <v>0.26324441612162236</v>
      </c>
      <c r="AW265" s="290">
        <f t="shared" si="89"/>
        <v>0.26161284771422866</v>
      </c>
      <c r="AX265" s="290">
        <f t="shared" si="89"/>
        <v>0.25997627241821691</v>
      </c>
      <c r="AY265" s="290">
        <f t="shared" si="89"/>
        <v>0.25833243950710139</v>
      </c>
      <c r="AZ265" s="290">
        <f t="shared" si="89"/>
        <v>0.25667933855776454</v>
      </c>
      <c r="BA265" s="290">
        <f t="shared" si="89"/>
        <v>0.25501517790714306</v>
      </c>
      <c r="BB265" s="290">
        <f t="shared" si="89"/>
        <v>0.25333836521396391</v>
      </c>
      <c r="BC265" s="290">
        <f t="shared" si="89"/>
        <v>0.25164748979961238</v>
      </c>
      <c r="BD265" s="290">
        <f t="shared" si="89"/>
        <v>0.24994130654298544</v>
      </c>
      <c r="BE265" s="290">
        <f t="shared" si="89"/>
        <v>0.24821872116526567</v>
      </c>
      <c r="BF265" s="290">
        <f t="shared" si="89"/>
        <v>0.24647877677768176</v>
      </c>
      <c r="BG265" s="290">
        <f t="shared" si="89"/>
        <v>0.24472064158816054</v>
      </c>
      <c r="BH265" s="290">
        <f t="shared" si="89"/>
        <v>0.24294359767705243</v>
      </c>
      <c r="BI265" s="290">
        <f t="shared" si="89"/>
        <v>0.24294359767705243</v>
      </c>
      <c r="DR265" s="291"/>
    </row>
    <row r="266" spans="1:122" s="290" customFormat="1" ht="15" x14ac:dyDescent="0.2">
      <c r="A266" s="290" t="s">
        <v>53</v>
      </c>
      <c r="B266" s="290">
        <f t="shared" si="88"/>
        <v>1</v>
      </c>
      <c r="C266" s="290">
        <f t="shared" si="89"/>
        <v>0.82944641233583105</v>
      </c>
      <c r="D266" s="290">
        <f t="shared" si="89"/>
        <v>0.65919804459325115</v>
      </c>
      <c r="E266" s="290">
        <f t="shared" si="89"/>
        <v>0.53746754263171936</v>
      </c>
      <c r="F266" s="290">
        <f t="shared" si="89"/>
        <v>0.44779871592951476</v>
      </c>
      <c r="G266" s="290">
        <f t="shared" si="89"/>
        <v>0.38028460982685058</v>
      </c>
      <c r="H266" s="290">
        <f t="shared" si="89"/>
        <v>0.3270095148244494</v>
      </c>
      <c r="I266" s="290">
        <f t="shared" si="89"/>
        <v>0.28542507006578388</v>
      </c>
      <c r="J266" s="290">
        <f t="shared" si="89"/>
        <v>0.25249211014928452</v>
      </c>
      <c r="K266" s="290">
        <f t="shared" si="89"/>
        <v>0.22873353296910637</v>
      </c>
      <c r="L266" s="290">
        <f t="shared" si="89"/>
        <v>0.21015168464468256</v>
      </c>
      <c r="M266" s="290">
        <f t="shared" si="89"/>
        <v>0.18955374770409261</v>
      </c>
      <c r="N266" s="290">
        <f t="shared" si="89"/>
        <v>0.17653306040078443</v>
      </c>
      <c r="O266" s="290">
        <f t="shared" si="89"/>
        <v>0.16474999929199405</v>
      </c>
      <c r="P266" s="290">
        <f t="shared" si="89"/>
        <v>0.15440158967945455</v>
      </c>
      <c r="Q266" s="290">
        <f t="shared" si="89"/>
        <v>0.14542107669934692</v>
      </c>
      <c r="R266" s="290">
        <f t="shared" si="89"/>
        <v>0.13765552030577072</v>
      </c>
      <c r="S266" s="290">
        <f t="shared" si="89"/>
        <v>0.13093643942946276</v>
      </c>
      <c r="T266" s="290">
        <f t="shared" si="89"/>
        <v>0.1251065607869854</v>
      </c>
      <c r="U266" s="290">
        <f t="shared" si="89"/>
        <v>0.12002823698600006</v>
      </c>
      <c r="V266" s="290">
        <f t="shared" si="89"/>
        <v>0.1157875962537664</v>
      </c>
      <c r="W266" s="290">
        <f t="shared" si="89"/>
        <v>0.11217381126735622</v>
      </c>
      <c r="X266" s="290">
        <f t="shared" si="89"/>
        <v>0.1088594102164876</v>
      </c>
      <c r="Y266" s="290">
        <f t="shared" si="89"/>
        <v>0.10585280170958489</v>
      </c>
      <c r="Z266" s="290">
        <f t="shared" si="89"/>
        <v>0.10313525624026271</v>
      </c>
      <c r="AA266" s="290">
        <f t="shared" si="89"/>
        <v>0.10067918896179044</v>
      </c>
      <c r="AB266" s="290">
        <f t="shared" si="89"/>
        <v>9.8445319780593177E-2</v>
      </c>
      <c r="AC266" s="290">
        <f t="shared" si="89"/>
        <v>9.645950432800772E-2</v>
      </c>
      <c r="AD266" s="290">
        <f t="shared" si="89"/>
        <v>9.4666144331991067E-2</v>
      </c>
      <c r="AE266" s="290">
        <f t="shared" si="89"/>
        <v>9.3038603059951708E-2</v>
      </c>
      <c r="AF266" s="290">
        <f t="shared" si="89"/>
        <v>9.1542478063539948E-2</v>
      </c>
      <c r="AG266" s="290">
        <f t="shared" si="89"/>
        <v>9.0165545429132452E-2</v>
      </c>
      <c r="AH266" s="290">
        <f t="shared" si="89"/>
        <v>8.8906217056489947E-2</v>
      </c>
      <c r="AI266" s="290">
        <f t="shared" si="89"/>
        <v>8.7745296364407491E-2</v>
      </c>
      <c r="AJ266" s="290">
        <f t="shared" si="89"/>
        <v>8.666823823386012E-2</v>
      </c>
      <c r="AK266" s="290">
        <f t="shared" ref="C266:BI270" si="91">1/AK252</f>
        <v>8.566329485903218E-2</v>
      </c>
      <c r="AL266" s="290">
        <f t="shared" si="91"/>
        <v>8.4720674547300284E-2</v>
      </c>
      <c r="AM266" s="290">
        <f t="shared" si="91"/>
        <v>8.3832039002593603E-2</v>
      </c>
      <c r="AN266" s="290">
        <f t="shared" si="91"/>
        <v>8.2990184670927628E-2</v>
      </c>
      <c r="AO266" s="290">
        <f t="shared" si="91"/>
        <v>8.2188828530902591E-2</v>
      </c>
      <c r="AP266" s="290">
        <f t="shared" si="91"/>
        <v>8.1422455720824155E-2</v>
      </c>
      <c r="AQ266" s="290">
        <f t="shared" si="91"/>
        <v>8.0686205476286299E-2</v>
      </c>
      <c r="AR266" s="290">
        <f t="shared" si="91"/>
        <v>7.9975781970145932E-2</v>
      </c>
      <c r="AS266" s="290">
        <f t="shared" si="91"/>
        <v>7.9287382157035138E-2</v>
      </c>
      <c r="AT266" s="290">
        <f t="shared" si="91"/>
        <v>7.8617635804382344E-2</v>
      </c>
      <c r="AU266" s="290">
        <f t="shared" si="91"/>
        <v>7.7963554658011427E-2</v>
      </c>
      <c r="AV266" s="290">
        <f t="shared" si="91"/>
        <v>7.7322488729669542E-2</v>
      </c>
      <c r="AW266" s="290">
        <f t="shared" si="91"/>
        <v>7.6692088321958701E-2</v>
      </c>
      <c r="AX266" s="290">
        <f t="shared" si="91"/>
        <v>7.6070270796844891E-2</v>
      </c>
      <c r="AY266" s="290">
        <f t="shared" si="91"/>
        <v>7.5455191344637226E-2</v>
      </c>
      <c r="AZ266" s="290">
        <f t="shared" si="91"/>
        <v>7.4845217176892007E-2</v>
      </c>
      <c r="BA266" s="290">
        <f t="shared" si="91"/>
        <v>7.4238904681537501E-2</v>
      </c>
      <c r="BB266" s="290">
        <f t="shared" si="91"/>
        <v>7.3634979160817848E-2</v>
      </c>
      <c r="BC266" s="290">
        <f t="shared" si="91"/>
        <v>7.3032316833941943E-2</v>
      </c>
      <c r="BD266" s="290">
        <f t="shared" si="91"/>
        <v>7.2429928833609991E-2</v>
      </c>
      <c r="BE266" s="290">
        <f t="shared" si="91"/>
        <v>7.182694696321687E-2</v>
      </c>
      <c r="BF266" s="290">
        <f t="shared" si="91"/>
        <v>7.1222611012274742E-2</v>
      </c>
      <c r="BG266" s="290">
        <f t="shared" si="91"/>
        <v>7.0616257453215522E-2</v>
      </c>
      <c r="BH266" s="290">
        <f t="shared" si="91"/>
        <v>7.0007309364434084E-2</v>
      </c>
      <c r="BI266" s="290">
        <f t="shared" si="91"/>
        <v>7.0007309364434084E-2</v>
      </c>
      <c r="DR266" s="291"/>
    </row>
    <row r="267" spans="1:122" s="290" customFormat="1" ht="15" x14ac:dyDescent="0.2">
      <c r="A267" s="290" t="s">
        <v>54</v>
      </c>
      <c r="B267" s="290">
        <f t="shared" si="88"/>
        <v>1</v>
      </c>
      <c r="C267" s="290">
        <f t="shared" si="91"/>
        <v>0.30224931254288545</v>
      </c>
      <c r="D267" s="290">
        <f t="shared" si="91"/>
        <v>0.24761992469933933</v>
      </c>
      <c r="E267" s="290">
        <f t="shared" si="91"/>
        <v>0.20789887778054661</v>
      </c>
      <c r="F267" s="290">
        <f t="shared" si="91"/>
        <v>0.17850295943344532</v>
      </c>
      <c r="G267" s="290">
        <f t="shared" si="91"/>
        <v>0.15664036369995882</v>
      </c>
      <c r="H267" s="290">
        <f t="shared" si="91"/>
        <v>0.13870073008840697</v>
      </c>
      <c r="I267" s="290">
        <f t="shared" si="91"/>
        <v>0.12444630177260435</v>
      </c>
      <c r="J267" s="290">
        <f t="shared" si="91"/>
        <v>0.11291204656001323</v>
      </c>
      <c r="K267" s="290">
        <f t="shared" si="91"/>
        <v>0.10517898197678573</v>
      </c>
      <c r="L267" s="290">
        <f t="shared" si="91"/>
        <v>9.999124528022546E-2</v>
      </c>
      <c r="M267" s="290">
        <f t="shared" si="91"/>
        <v>9.0285370476938687E-2</v>
      </c>
      <c r="N267" s="290">
        <f t="shared" si="91"/>
        <v>8.7666205169502881E-2</v>
      </c>
      <c r="O267" s="290">
        <f t="shared" si="91"/>
        <v>8.4746471920680341E-2</v>
      </c>
      <c r="P267" s="290">
        <f t="shared" si="91"/>
        <v>8.2035325239641924E-2</v>
      </c>
      <c r="Q267" s="290">
        <f t="shared" si="91"/>
        <v>7.9725314049371193E-2</v>
      </c>
      <c r="R267" s="290">
        <f t="shared" si="91"/>
        <v>7.7871446149071211E-2</v>
      </c>
      <c r="S267" s="290">
        <f t="shared" si="91"/>
        <v>7.6471102508874511E-2</v>
      </c>
      <c r="T267" s="290">
        <f t="shared" si="91"/>
        <v>7.5500536075066835E-2</v>
      </c>
      <c r="U267" s="290">
        <f t="shared" si="91"/>
        <v>7.4931129444913522E-2</v>
      </c>
      <c r="V267" s="290">
        <f t="shared" si="91"/>
        <v>7.4865138570155074E-2</v>
      </c>
      <c r="W267" s="290">
        <f t="shared" si="91"/>
        <v>7.5229876778892632E-2</v>
      </c>
      <c r="X267" s="290">
        <f t="shared" si="91"/>
        <v>7.5856749991026151E-2</v>
      </c>
      <c r="Y267" s="290">
        <f t="shared" si="91"/>
        <v>7.677607698171994E-2</v>
      </c>
      <c r="Z267" s="290">
        <f t="shared" si="91"/>
        <v>7.8006004960594885E-2</v>
      </c>
      <c r="AA267" s="290">
        <f t="shared" si="91"/>
        <v>7.9558552973080052E-2</v>
      </c>
      <c r="AB267" s="290">
        <f t="shared" si="91"/>
        <v>8.1440076947147139E-2</v>
      </c>
      <c r="AC267" s="290">
        <f t="shared" si="91"/>
        <v>8.3581261061995121E-2</v>
      </c>
      <c r="AD267" s="290">
        <f t="shared" si="91"/>
        <v>8.5976949522426363E-2</v>
      </c>
      <c r="AE267" s="290">
        <f t="shared" si="91"/>
        <v>8.8614894144244963E-2</v>
      </c>
      <c r="AF267" s="290">
        <f t="shared" si="91"/>
        <v>9.1445897470743248E-2</v>
      </c>
      <c r="AG267" s="290">
        <f t="shared" si="91"/>
        <v>9.4450481947930418E-2</v>
      </c>
      <c r="AH267" s="290">
        <f t="shared" si="91"/>
        <v>9.7660685256765412E-2</v>
      </c>
      <c r="AI267" s="290">
        <f t="shared" si="91"/>
        <v>0.10108976441399981</v>
      </c>
      <c r="AJ267" s="290">
        <f t="shared" si="91"/>
        <v>0.10474704440048224</v>
      </c>
      <c r="AK267" s="290">
        <f t="shared" si="91"/>
        <v>0.10864605462861163</v>
      </c>
      <c r="AL267" s="290">
        <f t="shared" si="91"/>
        <v>0.11280373910550277</v>
      </c>
      <c r="AM267" s="290">
        <f t="shared" si="91"/>
        <v>0.11723989314744324</v>
      </c>
      <c r="AN267" s="290">
        <f t="shared" si="91"/>
        <v>0.12197692964603821</v>
      </c>
      <c r="AO267" s="290">
        <f t="shared" si="91"/>
        <v>0.12703982970676053</v>
      </c>
      <c r="AP267" s="290">
        <f t="shared" si="91"/>
        <v>0.13245619241729237</v>
      </c>
      <c r="AQ267" s="290">
        <f t="shared" si="91"/>
        <v>0.13825633508156396</v>
      </c>
      <c r="AR267" s="290">
        <f t="shared" si="91"/>
        <v>0.14447341180227968</v>
      </c>
      <c r="AS267" s="290">
        <f t="shared" si="91"/>
        <v>0.15114352377979093</v>
      </c>
      <c r="AT267" s="290">
        <f t="shared" si="91"/>
        <v>0.15830579372853079</v>
      </c>
      <c r="AU267" s="290">
        <f t="shared" si="91"/>
        <v>0.16600237142297933</v>
      </c>
      <c r="AV267" s="290">
        <f t="shared" si="91"/>
        <v>0.17427832823817632</v>
      </c>
      <c r="AW267" s="290">
        <f t="shared" si="91"/>
        <v>0.18318138558070227</v>
      </c>
      <c r="AX267" s="290">
        <f t="shared" si="91"/>
        <v>0.19276140485750734</v>
      </c>
      <c r="AY267" s="290">
        <f t="shared" si="91"/>
        <v>0.20306954445659253</v>
      </c>
      <c r="AZ267" s="290">
        <f t="shared" si="91"/>
        <v>0.21415696145667013</v>
      </c>
      <c r="BA267" s="290">
        <f t="shared" si="91"/>
        <v>0.226072901988005</v>
      </c>
      <c r="BB267" s="290">
        <f t="shared" si="91"/>
        <v>0.23886198441076373</v>
      </c>
      <c r="BC267" s="290">
        <f t="shared" si="91"/>
        <v>0.25256043488150659</v>
      </c>
      <c r="BD267" s="290">
        <f t="shared" si="91"/>
        <v>0.26719098839733407</v>
      </c>
      <c r="BE267" s="290">
        <f t="shared" si="91"/>
        <v>0.28275612600393407</v>
      </c>
      <c r="BF267" s="290">
        <f t="shared" si="91"/>
        <v>0.29922929118513331</v>
      </c>
      <c r="BG267" s="290">
        <f t="shared" si="91"/>
        <v>0.31654373317074475</v>
      </c>
      <c r="BH267" s="290">
        <f t="shared" si="91"/>
        <v>0.33457868961565218</v>
      </c>
      <c r="BI267" s="290">
        <f t="shared" si="91"/>
        <v>0.33457868961565218</v>
      </c>
      <c r="DR267" s="291"/>
    </row>
    <row r="268" spans="1:122" s="290" customFormat="1" ht="15" x14ac:dyDescent="0.2">
      <c r="A268" s="290" t="s">
        <v>55</v>
      </c>
      <c r="B268" s="290">
        <f t="shared" si="88"/>
        <v>1</v>
      </c>
      <c r="C268" s="290">
        <f t="shared" si="91"/>
        <v>0.54361957670774685</v>
      </c>
      <c r="D268" s="290">
        <f t="shared" si="91"/>
        <v>0.39842004704033401</v>
      </c>
      <c r="E268" s="290">
        <f t="shared" si="91"/>
        <v>0.30294260135911716</v>
      </c>
      <c r="F268" s="290">
        <f t="shared" si="91"/>
        <v>0.23576739448945727</v>
      </c>
      <c r="G268" s="290">
        <f t="shared" si="91"/>
        <v>0.18939330476218527</v>
      </c>
      <c r="H268" s="290">
        <f t="shared" si="91"/>
        <v>0.15619014726967459</v>
      </c>
      <c r="I268" s="290">
        <f t="shared" si="91"/>
        <v>0.13136529792364821</v>
      </c>
      <c r="J268" s="290">
        <f t="shared" si="91"/>
        <v>0.1124579196729253</v>
      </c>
      <c r="K268" s="290">
        <f t="shared" si="91"/>
        <v>9.800102162251273E-2</v>
      </c>
      <c r="L268" s="290">
        <f t="shared" si="91"/>
        <v>8.702492089570385E-2</v>
      </c>
      <c r="M268" s="290">
        <f t="shared" si="91"/>
        <v>7.6165643686359599E-2</v>
      </c>
      <c r="N268" s="290">
        <f t="shared" si="91"/>
        <v>6.9866534852682072E-2</v>
      </c>
      <c r="O268" s="290">
        <f t="shared" si="91"/>
        <v>6.4215768507562429E-2</v>
      </c>
      <c r="P268" s="290">
        <f t="shared" si="91"/>
        <v>5.9331993029940189E-2</v>
      </c>
      <c r="Q268" s="290">
        <f t="shared" si="91"/>
        <v>5.5174586034476079E-2</v>
      </c>
      <c r="R268" s="290">
        <f t="shared" si="91"/>
        <v>5.1654067078132651E-2</v>
      </c>
      <c r="S268" s="290">
        <f t="shared" si="91"/>
        <v>4.8674628282321823E-2</v>
      </c>
      <c r="T268" s="290">
        <f t="shared" si="91"/>
        <v>4.6149192871279242E-2</v>
      </c>
      <c r="U268" s="290">
        <f t="shared" si="91"/>
        <v>4.4003444380568829E-2</v>
      </c>
      <c r="V268" s="290">
        <f t="shared" si="91"/>
        <v>4.2352942683148938E-2</v>
      </c>
      <c r="W268" s="290">
        <f t="shared" si="91"/>
        <v>4.1049265306464834E-2</v>
      </c>
      <c r="X268" s="290">
        <f t="shared" si="91"/>
        <v>3.9838418520674261E-2</v>
      </c>
      <c r="Y268" s="290">
        <f t="shared" si="91"/>
        <v>3.8754181214498577E-2</v>
      </c>
      <c r="Z268" s="290">
        <f t="shared" si="91"/>
        <v>3.7802446674896691E-2</v>
      </c>
      <c r="AA268" s="290">
        <f t="shared" si="91"/>
        <v>3.6974956472466805E-2</v>
      </c>
      <c r="AB268" s="290">
        <f t="shared" si="91"/>
        <v>3.6248098139282564E-2</v>
      </c>
      <c r="AC268" s="290">
        <f t="shared" si="91"/>
        <v>3.5564208543323581E-2</v>
      </c>
      <c r="AD268" s="290">
        <f t="shared" si="91"/>
        <v>3.4940690437074595E-2</v>
      </c>
      <c r="AE268" s="290">
        <f t="shared" si="91"/>
        <v>3.4379107761603751E-2</v>
      </c>
      <c r="AF268" s="290">
        <f t="shared" si="91"/>
        <v>3.3877408771836738E-2</v>
      </c>
      <c r="AG268" s="290">
        <f t="shared" si="91"/>
        <v>3.3434417699784141E-2</v>
      </c>
      <c r="AH268" s="290">
        <f t="shared" si="91"/>
        <v>3.3049102610668984E-2</v>
      </c>
      <c r="AI268" s="290">
        <f t="shared" si="91"/>
        <v>3.2717101681200587E-2</v>
      </c>
      <c r="AJ268" s="290">
        <f t="shared" si="91"/>
        <v>3.2433991486261672E-2</v>
      </c>
      <c r="AK268" s="290">
        <f t="shared" si="91"/>
        <v>3.2195481722283557E-2</v>
      </c>
      <c r="AL268" s="290">
        <f t="shared" si="91"/>
        <v>3.1997505387515349E-2</v>
      </c>
      <c r="AM268" s="290">
        <f t="shared" si="91"/>
        <v>3.1836285025041537E-2</v>
      </c>
      <c r="AN268" s="290">
        <f t="shared" si="91"/>
        <v>3.1708369079809187E-2</v>
      </c>
      <c r="AO268" s="290">
        <f t="shared" si="91"/>
        <v>3.1610643308733102E-2</v>
      </c>
      <c r="AP268" s="290">
        <f t="shared" si="91"/>
        <v>3.1540324643707304E-2</v>
      </c>
      <c r="AQ268" s="290">
        <f t="shared" si="91"/>
        <v>3.149494412096146E-2</v>
      </c>
      <c r="AR268" s="290">
        <f t="shared" si="91"/>
        <v>3.1472323866953561E-2</v>
      </c>
      <c r="AS268" s="290">
        <f t="shared" si="91"/>
        <v>3.1470551573207002E-2</v>
      </c>
      <c r="AT268" s="290">
        <f t="shared" si="91"/>
        <v>3.1487954664037206E-2</v>
      </c>
      <c r="AU268" s="290">
        <f t="shared" si="91"/>
        <v>3.1523075478979659E-2</v>
      </c>
      <c r="AV268" s="290">
        <f t="shared" si="91"/>
        <v>3.1574648194031461E-2</v>
      </c>
      <c r="AW268" s="290">
        <f t="shared" si="91"/>
        <v>3.1641577818366122E-2</v>
      </c>
      <c r="AX268" s="290">
        <f t="shared" si="91"/>
        <v>3.1722921362298234E-2</v>
      </c>
      <c r="AY268" s="290">
        <f t="shared" si="91"/>
        <v>3.181787112965858E-2</v>
      </c>
      <c r="AZ268" s="290">
        <f t="shared" si="91"/>
        <v>3.1925740009096218E-2</v>
      </c>
      <c r="BA268" s="290">
        <f t="shared" si="91"/>
        <v>3.2045948600683077E-2</v>
      </c>
      <c r="BB268" s="290">
        <f t="shared" si="91"/>
        <v>3.2178014000976939E-2</v>
      </c>
      <c r="BC268" s="290">
        <f t="shared" si="91"/>
        <v>3.2321540071218909E-2</v>
      </c>
      <c r="BD268" s="290">
        <f t="shared" si="91"/>
        <v>3.2476209023108694E-2</v>
      </c>
      <c r="BE268" s="290">
        <f t="shared" si="91"/>
        <v>3.2641774170520874E-2</v>
      </c>
      <c r="BF268" s="290">
        <f t="shared" si="91"/>
        <v>3.28180537111077E-2</v>
      </c>
      <c r="BG268" s="290">
        <f t="shared" si="91"/>
        <v>3.3004925417477772E-2</v>
      </c>
      <c r="BH268" s="290">
        <f t="shared" si="91"/>
        <v>3.3202322132720057E-2</v>
      </c>
      <c r="BI268" s="290">
        <f t="shared" si="91"/>
        <v>3.3202322132720057E-2</v>
      </c>
      <c r="DR268" s="291"/>
    </row>
    <row r="269" spans="1:122" s="290" customFormat="1" ht="15" x14ac:dyDescent="0.2">
      <c r="A269" s="290" t="s">
        <v>56</v>
      </c>
      <c r="B269" s="290">
        <f t="shared" si="88"/>
        <v>1</v>
      </c>
      <c r="C269" s="290">
        <f t="shared" si="91"/>
        <v>0.74636563283990043</v>
      </c>
      <c r="D269" s="290">
        <f t="shared" si="91"/>
        <v>0.65121995795924659</v>
      </c>
      <c r="E269" s="290">
        <f t="shared" si="91"/>
        <v>0.57721883351170844</v>
      </c>
      <c r="F269" s="290">
        <f t="shared" si="91"/>
        <v>0.51546468798813116</v>
      </c>
      <c r="G269" s="290">
        <f t="shared" si="91"/>
        <v>0.46945633605537168</v>
      </c>
      <c r="H269" s="290">
        <f t="shared" si="91"/>
        <v>0.43331736081187511</v>
      </c>
      <c r="I269" s="290">
        <f t="shared" si="91"/>
        <v>0.40334518921041757</v>
      </c>
      <c r="J269" s="290">
        <f t="shared" si="91"/>
        <v>0.37828635210030065</v>
      </c>
      <c r="K269" s="290">
        <f t="shared" si="91"/>
        <v>0.35321597550675121</v>
      </c>
      <c r="L269" s="290">
        <f t="shared" si="91"/>
        <v>0.33233693997434138</v>
      </c>
      <c r="M269" s="290">
        <f t="shared" si="91"/>
        <v>0.31530848803943889</v>
      </c>
      <c r="N269" s="290">
        <f t="shared" si="91"/>
        <v>0.30444239000087919</v>
      </c>
      <c r="O269" s="290">
        <f t="shared" si="91"/>
        <v>0.29426572526003597</v>
      </c>
      <c r="P269" s="290">
        <f t="shared" si="91"/>
        <v>0.28509665795808464</v>
      </c>
      <c r="Q269" s="290">
        <f t="shared" si="91"/>
        <v>0.2769875261466565</v>
      </c>
      <c r="R269" s="290">
        <f t="shared" si="91"/>
        <v>0.26988151057979282</v>
      </c>
      <c r="S269" s="290">
        <f t="shared" si="91"/>
        <v>0.26368234478848046</v>
      </c>
      <c r="T269" s="290">
        <f t="shared" si="91"/>
        <v>0.25828481995806812</v>
      </c>
      <c r="U269" s="290">
        <f t="shared" si="91"/>
        <v>0.25358765462139776</v>
      </c>
      <c r="V269" s="290">
        <f t="shared" si="91"/>
        <v>0.25048537608023214</v>
      </c>
      <c r="W269" s="290">
        <f t="shared" si="91"/>
        <v>0.24841500133897251</v>
      </c>
      <c r="X269" s="290">
        <f t="shared" si="91"/>
        <v>0.24609018537789459</v>
      </c>
      <c r="Y269" s="290">
        <f t="shared" si="91"/>
        <v>0.24378932285648255</v>
      </c>
      <c r="Z269" s="290">
        <f t="shared" si="91"/>
        <v>0.2416357625425202</v>
      </c>
      <c r="AA269" s="290">
        <f t="shared" si="91"/>
        <v>0.23966522436288848</v>
      </c>
      <c r="AB269" s="290">
        <f t="shared" si="91"/>
        <v>0.23790094404943857</v>
      </c>
      <c r="AC269" s="290">
        <f t="shared" si="91"/>
        <v>0.23596076407413016</v>
      </c>
      <c r="AD269" s="290">
        <f t="shared" si="91"/>
        <v>0.23405305886975514</v>
      </c>
      <c r="AE269" s="290">
        <f t="shared" si="91"/>
        <v>0.23221295514031207</v>
      </c>
      <c r="AF269" s="290">
        <f t="shared" si="91"/>
        <v>0.23047044077988549</v>
      </c>
      <c r="AG269" s="290">
        <f t="shared" si="91"/>
        <v>0.22883279838456891</v>
      </c>
      <c r="AH269" s="290">
        <f t="shared" si="91"/>
        <v>0.22729489672920392</v>
      </c>
      <c r="AI269" s="290">
        <f t="shared" si="91"/>
        <v>0.2258593625252687</v>
      </c>
      <c r="AJ269" s="290">
        <f t="shared" si="91"/>
        <v>0.2245229402514172</v>
      </c>
      <c r="AK269" s="290">
        <f t="shared" si="91"/>
        <v>0.2232792210218531</v>
      </c>
      <c r="AL269" s="290">
        <f t="shared" si="91"/>
        <v>0.22212003203351308</v>
      </c>
      <c r="AM269" s="290">
        <f t="shared" si="91"/>
        <v>0.22103638937046158</v>
      </c>
      <c r="AN269" s="290">
        <f t="shared" si="91"/>
        <v>0.2200191277725026</v>
      </c>
      <c r="AO269" s="290">
        <f t="shared" si="91"/>
        <v>0.21905929907307717</v>
      </c>
      <c r="AP269" s="290">
        <f t="shared" si="91"/>
        <v>0.21814841015350539</v>
      </c>
      <c r="AQ269" s="290">
        <f t="shared" si="91"/>
        <v>0.21727855243521343</v>
      </c>
      <c r="AR269" s="290">
        <f t="shared" si="91"/>
        <v>0.21644245984461213</v>
      </c>
      <c r="AS269" s="290">
        <f t="shared" si="91"/>
        <v>0.21563352086605975</v>
      </c>
      <c r="AT269" s="290">
        <f t="shared" si="91"/>
        <v>0.21484576213886031</v>
      </c>
      <c r="AU269" s="290">
        <f t="shared" si="91"/>
        <v>0.21407381532025302</v>
      </c>
      <c r="AV269" s="290">
        <f t="shared" si="91"/>
        <v>0.21331287497383536</v>
      </c>
      <c r="AW269" s="290">
        <f t="shared" si="91"/>
        <v>0.21255865253575684</v>
      </c>
      <c r="AX269" s="290">
        <f t="shared" si="91"/>
        <v>0.2118073295774705</v>
      </c>
      <c r="AY269" s="290">
        <f t="shared" si="91"/>
        <v>0.21105551235102354</v>
      </c>
      <c r="AZ269" s="290">
        <f t="shared" si="91"/>
        <v>0.2103001887806131</v>
      </c>
      <c r="BA269" s="290">
        <f t="shared" si="91"/>
        <v>0.20953868852098112</v>
      </c>
      <c r="BB269" s="290">
        <f t="shared" si="91"/>
        <v>0.20876864634942621</v>
      </c>
      <c r="BC269" s="290">
        <f t="shared" si="91"/>
        <v>0.20798796893239405</v>
      </c>
      <c r="BD269" s="290">
        <f t="shared" si="91"/>
        <v>0.20719480486803071</v>
      </c>
      <c r="BE269" s="290">
        <f t="shared" si="91"/>
        <v>0.20638751782422765</v>
      </c>
      <c r="BF269" s="290">
        <f t="shared" si="91"/>
        <v>0.20556466254814967</v>
      </c>
      <c r="BG269" s="290">
        <f t="shared" si="91"/>
        <v>0.20472496350483832</v>
      </c>
      <c r="BH269" s="290">
        <f t="shared" si="91"/>
        <v>0.20386729590011074</v>
      </c>
      <c r="BI269" s="290">
        <f t="shared" si="91"/>
        <v>0.20386729590011074</v>
      </c>
      <c r="DR269" s="291"/>
    </row>
    <row r="270" spans="1:122" s="290" customFormat="1" ht="15" x14ac:dyDescent="0.2">
      <c r="A270" s="290" t="s">
        <v>57</v>
      </c>
      <c r="B270" s="290">
        <f t="shared" si="88"/>
        <v>1</v>
      </c>
      <c r="C270" s="290">
        <f t="shared" si="91"/>
        <v>0.6534378251920302</v>
      </c>
      <c r="D270" s="290">
        <f t="shared" si="91"/>
        <v>0.46870670913257606</v>
      </c>
      <c r="E270" s="290">
        <f t="shared" si="91"/>
        <v>0.34800119021679221</v>
      </c>
      <c r="F270" s="290">
        <f t="shared" si="91"/>
        <v>0.26188550332214244</v>
      </c>
      <c r="G270" s="290">
        <f t="shared" si="91"/>
        <v>0.20493242539170747</v>
      </c>
      <c r="H270" s="290">
        <f t="shared" si="91"/>
        <v>0.16704011304310803</v>
      </c>
      <c r="I270" s="290">
        <f t="shared" si="91"/>
        <v>0.13909551877743409</v>
      </c>
      <c r="J270" s="290">
        <f t="shared" si="91"/>
        <v>0.1180805073682276</v>
      </c>
      <c r="K270" s="290">
        <f t="shared" si="91"/>
        <v>0.10054540803148912</v>
      </c>
      <c r="L270" s="290">
        <f t="shared" si="91"/>
        <v>8.7607952685796478E-2</v>
      </c>
      <c r="M270" s="290">
        <f t="shared" si="91"/>
        <v>7.5910025177596666E-2</v>
      </c>
      <c r="N270" s="290">
        <f t="shared" si="91"/>
        <v>6.98685782180756E-2</v>
      </c>
      <c r="O270" s="290">
        <f t="shared" si="91"/>
        <v>6.4370207033565677E-2</v>
      </c>
      <c r="P270" s="290">
        <f t="shared" si="91"/>
        <v>5.9620376858756784E-2</v>
      </c>
      <c r="Q270" s="290">
        <f t="shared" si="91"/>
        <v>5.5609797828628779E-2</v>
      </c>
      <c r="R270" s="290">
        <f t="shared" si="91"/>
        <v>5.2257930418365413E-2</v>
      </c>
      <c r="S270" s="290">
        <f t="shared" si="91"/>
        <v>4.9469511968422669E-2</v>
      </c>
      <c r="T270" s="290">
        <f t="shared" si="91"/>
        <v>4.7155314244807955E-2</v>
      </c>
      <c r="U270" s="290">
        <f t="shared" si="91"/>
        <v>4.5238347323228553E-2</v>
      </c>
      <c r="V270" s="290">
        <f t="shared" si="91"/>
        <v>4.3842567864722286E-2</v>
      </c>
      <c r="W270" s="290">
        <f t="shared" si="91"/>
        <v>4.2820556104836857E-2</v>
      </c>
      <c r="X270" s="290">
        <f t="shared" si="91"/>
        <v>4.2094754287567024E-2</v>
      </c>
      <c r="Y270" s="290">
        <f t="shared" si="91"/>
        <v>4.1422313261307242E-2</v>
      </c>
      <c r="Z270" s="290">
        <f t="shared" si="91"/>
        <v>4.0850983317774814E-2</v>
      </c>
      <c r="AA270" s="290">
        <f t="shared" si="91"/>
        <v>4.0393380745568003E-2</v>
      </c>
      <c r="AB270" s="290">
        <f t="shared" si="91"/>
        <v>4.0002919431179174E-2</v>
      </c>
      <c r="AC270" s="290">
        <f t="shared" si="91"/>
        <v>3.9640878616079178E-2</v>
      </c>
      <c r="AD270" s="290">
        <f t="shared" si="91"/>
        <v>3.9309536689965924E-2</v>
      </c>
      <c r="AE270" s="290">
        <f t="shared" si="91"/>
        <v>3.901792419973011E-2</v>
      </c>
      <c r="AF270" s="290">
        <f t="shared" si="91"/>
        <v>3.8770148032646633E-2</v>
      </c>
      <c r="AG270" s="290">
        <f t="shared" si="91"/>
        <v>3.8568120160489029E-2</v>
      </c>
      <c r="AH270" s="290">
        <f t="shared" si="91"/>
        <v>3.841451223123258E-2</v>
      </c>
      <c r="AI270" s="290">
        <f t="shared" si="91"/>
        <v>3.8309804700528728E-2</v>
      </c>
      <c r="AJ270" s="290">
        <f t="shared" si="91"/>
        <v>3.8252286947038652E-2</v>
      </c>
      <c r="AK270" s="290">
        <f t="shared" si="91"/>
        <v>3.8239532081014778E-2</v>
      </c>
      <c r="AL270" s="290">
        <f t="shared" si="91"/>
        <v>3.8268734012860892E-2</v>
      </c>
      <c r="AM270" s="290">
        <f t="shared" si="91"/>
        <v>3.8336951812730953E-2</v>
      </c>
      <c r="AN270" s="290">
        <f t="shared" si="91"/>
        <v>3.8441276403189249E-2</v>
      </c>
      <c r="AO270" s="290">
        <f t="shared" si="91"/>
        <v>3.8578934627920128E-2</v>
      </c>
      <c r="AP270" s="290">
        <f t="shared" si="91"/>
        <v>3.8747347956121406E-2</v>
      </c>
      <c r="AQ270" s="290">
        <f t="shared" si="91"/>
        <v>3.8944160481771774E-2</v>
      </c>
      <c r="AR270" s="290">
        <f t="shared" si="91"/>
        <v>3.9167247206593141E-2</v>
      </c>
      <c r="AS270" s="290">
        <f t="shared" si="91"/>
        <v>3.9414710302289095E-2</v>
      </c>
      <c r="AT270" s="290">
        <f t="shared" si="91"/>
        <v>3.968486850769256E-2</v>
      </c>
      <c r="AU270" s="290">
        <f t="shared" si="91"/>
        <v>3.9976243000154586E-2</v>
      </c>
      <c r="AV270" s="290">
        <f t="shared" si="91"/>
        <v>4.0287541838952071E-2</v>
      </c>
      <c r="AW270" s="290">
        <f t="shared" si="91"/>
        <v>4.0617644255100373E-2</v>
      </c>
      <c r="AX270" s="290">
        <f t="shared" si="91"/>
        <v>4.0965585528118326E-2</v>
      </c>
      <c r="AY270" s="290">
        <f t="shared" si="91"/>
        <v>4.1330542850821259E-2</v>
      </c>
      <c r="AZ270" s="290">
        <f t="shared" si="91"/>
        <v>4.1711822371503317E-2</v>
      </c>
      <c r="BA270" s="290">
        <f t="shared" si="91"/>
        <v>4.2108847473827635E-2</v>
      </c>
      <c r="BB270" s="290">
        <f t="shared" si="91"/>
        <v>4.2521148278539332E-2</v>
      </c>
      <c r="BC270" s="290">
        <f t="shared" si="91"/>
        <v>4.2948352308282166E-2</v>
      </c>
      <c r="BD270" s="290">
        <f t="shared" ref="C270:BI273" si="92">1/BD256</f>
        <v>4.3390176234758507E-2</v>
      </c>
      <c r="BE270" s="290">
        <f t="shared" si="92"/>
        <v>4.3846418618172192E-2</v>
      </c>
      <c r="BF270" s="290">
        <f t="shared" si="92"/>
        <v>4.4316953547192318E-2</v>
      </c>
      <c r="BG270" s="290">
        <f t="shared" si="92"/>
        <v>4.4801725090328717E-2</v>
      </c>
      <c r="BH270" s="290">
        <f t="shared" si="92"/>
        <v>4.5300742474553547E-2</v>
      </c>
      <c r="BI270" s="290">
        <f t="shared" si="92"/>
        <v>4.5300742474553547E-2</v>
      </c>
      <c r="DR270" s="291"/>
    </row>
    <row r="271" spans="1:122" s="290" customFormat="1" ht="15" x14ac:dyDescent="0.2">
      <c r="A271" s="290" t="s">
        <v>58</v>
      </c>
      <c r="B271" s="290">
        <f t="shared" si="88"/>
        <v>1</v>
      </c>
      <c r="C271" s="290">
        <f t="shared" si="92"/>
        <v>0.73101501540485891</v>
      </c>
      <c r="D271" s="290">
        <f t="shared" si="92"/>
        <v>0.61082035450250494</v>
      </c>
      <c r="E271" s="290">
        <f t="shared" si="92"/>
        <v>0.51820049754095454</v>
      </c>
      <c r="F271" s="290">
        <f t="shared" si="92"/>
        <v>0.44737949492819484</v>
      </c>
      <c r="G271" s="290">
        <f t="shared" si="92"/>
        <v>0.39420888595272469</v>
      </c>
      <c r="H271" s="290">
        <f t="shared" si="92"/>
        <v>0.35153140887215339</v>
      </c>
      <c r="I271" s="290">
        <f t="shared" si="92"/>
        <v>0.31704652398631711</v>
      </c>
      <c r="J271" s="290">
        <f t="shared" si="92"/>
        <v>0.2888889164032164</v>
      </c>
      <c r="K271" s="290">
        <f t="shared" si="92"/>
        <v>0.26635916983190827</v>
      </c>
      <c r="L271" s="290">
        <f t="shared" si="92"/>
        <v>0.24804255760438007</v>
      </c>
      <c r="M271" s="290">
        <f t="shared" si="92"/>
        <v>0.22974691972164385</v>
      </c>
      <c r="N271" s="290">
        <f t="shared" si="92"/>
        <v>0.21754691634411119</v>
      </c>
      <c r="O271" s="290">
        <f t="shared" si="92"/>
        <v>0.20638385806351475</v>
      </c>
      <c r="P271" s="290">
        <f t="shared" si="92"/>
        <v>0.19645208199540054</v>
      </c>
      <c r="Q271" s="290">
        <f t="shared" si="92"/>
        <v>0.18771952200143197</v>
      </c>
      <c r="R271" s="290">
        <f t="shared" si="92"/>
        <v>0.18007358838997101</v>
      </c>
      <c r="S271" s="290">
        <f t="shared" si="92"/>
        <v>0.17338123236166678</v>
      </c>
      <c r="T271" s="290">
        <f t="shared" si="92"/>
        <v>0.16751328636697105</v>
      </c>
      <c r="U271" s="290">
        <f t="shared" si="92"/>
        <v>0.16235333113846984</v>
      </c>
      <c r="V271" s="290">
        <f t="shared" si="92"/>
        <v>0.15836113426247986</v>
      </c>
      <c r="W271" s="290">
        <f t="shared" si="92"/>
        <v>0.15515379068320423</v>
      </c>
      <c r="X271" s="290">
        <f t="shared" si="92"/>
        <v>0.15197151276583071</v>
      </c>
      <c r="Y271" s="290">
        <f t="shared" si="92"/>
        <v>0.14895718344545011</v>
      </c>
      <c r="Z271" s="290">
        <f t="shared" si="92"/>
        <v>0.14616278083164</v>
      </c>
      <c r="AA271" s="290">
        <f t="shared" si="92"/>
        <v>0.14359638863110055</v>
      </c>
      <c r="AB271" s="290">
        <f t="shared" si="92"/>
        <v>0.14129211361115293</v>
      </c>
      <c r="AC271" s="290">
        <f t="shared" si="92"/>
        <v>0.13914211413631786</v>
      </c>
      <c r="AD271" s="290">
        <f t="shared" si="92"/>
        <v>0.13718256237451698</v>
      </c>
      <c r="AE271" s="290">
        <f t="shared" si="92"/>
        <v>0.13539398364500696</v>
      </c>
      <c r="AF271" s="290">
        <f t="shared" si="92"/>
        <v>0.13372091450646595</v>
      </c>
      <c r="AG271" s="290">
        <f t="shared" si="92"/>
        <v>0.13216452716196769</v>
      </c>
      <c r="AH271" s="290">
        <f t="shared" si="92"/>
        <v>0.13075367704802318</v>
      </c>
      <c r="AI271" s="290">
        <f t="shared" si="92"/>
        <v>0.12946055839037882</v>
      </c>
      <c r="AJ271" s="290">
        <f t="shared" si="92"/>
        <v>0.12826577171740747</v>
      </c>
      <c r="AK271" s="290">
        <f t="shared" si="92"/>
        <v>0.1271546500582921</v>
      </c>
      <c r="AL271" s="290">
        <f t="shared" si="92"/>
        <v>0.12611548790769028</v>
      </c>
      <c r="AM271" s="290">
        <f t="shared" si="92"/>
        <v>0.12513856705561568</v>
      </c>
      <c r="AN271" s="290">
        <f t="shared" si="92"/>
        <v>0.12421559945587549</v>
      </c>
      <c r="AO271" s="290">
        <f t="shared" si="92"/>
        <v>0.12333939265633095</v>
      </c>
      <c r="AP271" s="290">
        <f t="shared" si="92"/>
        <v>0.12250363649314548</v>
      </c>
      <c r="AQ271" s="290">
        <f t="shared" si="92"/>
        <v>0.12170275765020201</v>
      </c>
      <c r="AR271" s="290">
        <f t="shared" si="92"/>
        <v>0.12093181359939281</v>
      </c>
      <c r="AS271" s="290">
        <f t="shared" si="92"/>
        <v>0.12018641051613514</v>
      </c>
      <c r="AT271" s="290">
        <f t="shared" si="92"/>
        <v>0.1194626366854286</v>
      </c>
      <c r="AU271" s="290">
        <f t="shared" si="92"/>
        <v>0.11875700660552808</v>
      </c>
      <c r="AV271" s="290">
        <f t="shared" si="92"/>
        <v>0.11806641298345065</v>
      </c>
      <c r="AW271" s="290">
        <f t="shared" si="92"/>
        <v>0.11738808489856488</v>
      </c>
      <c r="AX271" s="290">
        <f t="shared" si="92"/>
        <v>0.11671955100945521</v>
      </c>
      <c r="AY271" s="290">
        <f t="shared" si="92"/>
        <v>0.11605860701881243</v>
      </c>
      <c r="AZ271" s="290">
        <f t="shared" si="92"/>
        <v>0.11540328681061944</v>
      </c>
      <c r="BA271" s="290">
        <f t="shared" si="92"/>
        <v>0.11475183679702843</v>
      </c>
      <c r="BB271" s="290">
        <f t="shared" si="92"/>
        <v>0.1141026930932697</v>
      </c>
      <c r="BC271" s="290">
        <f t="shared" si="92"/>
        <v>0.11345446119601915</v>
      </c>
      <c r="BD271" s="290">
        <f t="shared" si="92"/>
        <v>0.11280589788378638</v>
      </c>
      <c r="BE271" s="290">
        <f t="shared" si="92"/>
        <v>0.11215589509239945</v>
      </c>
      <c r="BF271" s="290">
        <f t="shared" si="92"/>
        <v>0.11150346554750645</v>
      </c>
      <c r="BG271" s="290">
        <f t="shared" si="92"/>
        <v>0.11084772996078622</v>
      </c>
      <c r="BH271" s="290">
        <f t="shared" si="92"/>
        <v>0.11018790561822911</v>
      </c>
      <c r="BI271" s="290">
        <f t="shared" si="92"/>
        <v>0.11018790561822911</v>
      </c>
      <c r="DR271" s="291"/>
    </row>
    <row r="272" spans="1:122" s="290" customFormat="1" ht="15" x14ac:dyDescent="0.2">
      <c r="A272" s="290" t="s">
        <v>114</v>
      </c>
      <c r="B272" s="290">
        <f t="shared" si="88"/>
        <v>1</v>
      </c>
      <c r="C272" s="290">
        <f t="shared" si="92"/>
        <v>0.91440022144448041</v>
      </c>
      <c r="D272" s="290">
        <f t="shared" si="92"/>
        <v>0.88634241885622722</v>
      </c>
      <c r="E272" s="290">
        <f t="shared" si="92"/>
        <v>0.8603058693613157</v>
      </c>
      <c r="F272" s="290">
        <f t="shared" si="92"/>
        <v>0.8391784283625886</v>
      </c>
      <c r="G272" s="290">
        <f t="shared" si="92"/>
        <v>0.82209993426910155</v>
      </c>
      <c r="H272" s="290">
        <f t="shared" si="92"/>
        <v>0.80768863955422865</v>
      </c>
      <c r="I272" s="290">
        <f t="shared" si="92"/>
        <v>0.79528071683084633</v>
      </c>
      <c r="J272" s="290">
        <f t="shared" si="92"/>
        <v>0.78444513741645761</v>
      </c>
      <c r="K272" s="290">
        <f t="shared" si="92"/>
        <v>0.78425714893014487</v>
      </c>
      <c r="L272" s="290">
        <f t="shared" si="92"/>
        <v>0.78754219441166684</v>
      </c>
      <c r="M272" s="290">
        <f t="shared" si="92"/>
        <v>0.77559850698755961</v>
      </c>
      <c r="N272" s="290">
        <f t="shared" si="92"/>
        <v>0.77616352958157731</v>
      </c>
      <c r="O272" s="290">
        <f t="shared" si="92"/>
        <v>0.77577748310105576</v>
      </c>
      <c r="P272" s="290">
        <f t="shared" si="92"/>
        <v>0.77541607829538994</v>
      </c>
      <c r="Q272" s="290">
        <f t="shared" si="92"/>
        <v>0.77554097070360917</v>
      </c>
      <c r="R272" s="290">
        <f t="shared" si="92"/>
        <v>0.77635156364085489</v>
      </c>
      <c r="S272" s="290">
        <f t="shared" si="92"/>
        <v>0.77792047109263673</v>
      </c>
      <c r="T272" s="290">
        <f t="shared" si="92"/>
        <v>0.78025909714077124</v>
      </c>
      <c r="U272" s="290">
        <f t="shared" si="92"/>
        <v>0.78335007556741554</v>
      </c>
      <c r="V272" s="290">
        <f t="shared" si="92"/>
        <v>0.78774445585239816</v>
      </c>
      <c r="W272" s="290">
        <f t="shared" si="92"/>
        <v>0.79315254415512793</v>
      </c>
      <c r="X272" s="290">
        <f t="shared" si="92"/>
        <v>0.7988197261319665</v>
      </c>
      <c r="Y272" s="290">
        <f t="shared" si="92"/>
        <v>0.80490221054658739</v>
      </c>
      <c r="Z272" s="290">
        <f t="shared" si="92"/>
        <v>0.81146770067323837</v>
      </c>
      <c r="AA272" s="290">
        <f t="shared" si="92"/>
        <v>0.81851991262409218</v>
      </c>
      <c r="AB272" s="290">
        <f t="shared" si="92"/>
        <v>0.8260705423350998</v>
      </c>
      <c r="AC272" s="290">
        <f t="shared" si="92"/>
        <v>0.83328190380674905</v>
      </c>
      <c r="AD272" s="290">
        <f t="shared" si="92"/>
        <v>0.84044844979887945</v>
      </c>
      <c r="AE272" s="290">
        <f t="shared" si="92"/>
        <v>0.84759211022850289</v>
      </c>
      <c r="AF272" s="290">
        <f t="shared" si="92"/>
        <v>0.8544917425166958</v>
      </c>
      <c r="AG272" s="290">
        <f t="shared" si="92"/>
        <v>0.86120108961759811</v>
      </c>
      <c r="AH272" s="290">
        <f t="shared" si="92"/>
        <v>0.86799970090433753</v>
      </c>
      <c r="AI272" s="290">
        <f t="shared" si="92"/>
        <v>0.87487478032597443</v>
      </c>
      <c r="AJ272" s="290">
        <f t="shared" si="92"/>
        <v>0.88181351936199526</v>
      </c>
      <c r="AK272" s="290">
        <f t="shared" si="92"/>
        <v>0.8888146858901107</v>
      </c>
      <c r="AL272" s="290">
        <f t="shared" si="92"/>
        <v>0.89588177781994194</v>
      </c>
      <c r="AM272" s="290">
        <f t="shared" si="92"/>
        <v>0.90301972351672988</v>
      </c>
      <c r="AN272" s="290">
        <f t="shared" si="92"/>
        <v>0.91023346739762268</v>
      </c>
      <c r="AO272" s="290">
        <f t="shared" si="92"/>
        <v>0.91752744669119235</v>
      </c>
      <c r="AP272" s="290">
        <f t="shared" si="92"/>
        <v>0.92490547110124433</v>
      </c>
      <c r="AQ272" s="290">
        <f t="shared" si="92"/>
        <v>0.93237077120840028</v>
      </c>
      <c r="AR272" s="290">
        <f t="shared" si="92"/>
        <v>0.93992610658944109</v>
      </c>
      <c r="AS272" s="290">
        <f t="shared" si="92"/>
        <v>0.94757388522743846</v>
      </c>
      <c r="AT272" s="290">
        <f t="shared" si="92"/>
        <v>0.95531627445209977</v>
      </c>
      <c r="AU272" s="290">
        <f t="shared" si="92"/>
        <v>0.96315529677370593</v>
      </c>
      <c r="AV272" s="290">
        <f t="shared" si="92"/>
        <v>0.97109290968299811</v>
      </c>
      <c r="AW272" s="290">
        <f t="shared" si="92"/>
        <v>0.97913107075203598</v>
      </c>
      <c r="AX272" s="290">
        <f t="shared" si="92"/>
        <v>0.9872717900897251</v>
      </c>
      <c r="AY272" s="290">
        <f t="shared" si="92"/>
        <v>0.99551717227035386</v>
      </c>
      <c r="AZ272" s="290">
        <f t="shared" si="92"/>
        <v>1.0038694496688767</v>
      </c>
      <c r="BA272" s="290">
        <f t="shared" si="92"/>
        <v>1.012331008878556</v>
      </c>
      <c r="BB272" s="290">
        <f t="shared" si="92"/>
        <v>1.0209044116268358</v>
      </c>
      <c r="BC272" s="290">
        <f t="shared" si="92"/>
        <v>1.0295924113699559</v>
      </c>
      <c r="BD272" s="290">
        <f t="shared" si="92"/>
        <v>1.0383979665424048</v>
      </c>
      <c r="BE272" s="290">
        <f t="shared" si="92"/>
        <v>1.0473242512630017</v>
      </c>
      <c r="BF272" s="290">
        <f t="shared" si="92"/>
        <v>1.0563746641523897</v>
      </c>
      <c r="BG272" s="290">
        <f t="shared" si="92"/>
        <v>1.0655528357929887</v>
      </c>
      <c r="BH272" s="290">
        <f t="shared" si="92"/>
        <v>1.0748626352586679</v>
      </c>
      <c r="BI272" s="290">
        <f t="shared" si="92"/>
        <v>1.0748626352586679</v>
      </c>
      <c r="DR272" s="291"/>
    </row>
    <row r="273" spans="1:122" s="290" customFormat="1" ht="15" x14ac:dyDescent="0.2">
      <c r="A273" s="290" t="s">
        <v>224</v>
      </c>
      <c r="B273" s="290">
        <f t="shared" si="88"/>
        <v>1</v>
      </c>
      <c r="C273" s="290">
        <f t="shared" si="92"/>
        <v>0.80471685027157458</v>
      </c>
      <c r="D273" s="290">
        <f t="shared" si="92"/>
        <v>0.57976117500092894</v>
      </c>
      <c r="E273" s="290">
        <f t="shared" si="92"/>
        <v>0.43115515540939181</v>
      </c>
      <c r="F273" s="290">
        <f t="shared" si="92"/>
        <v>0.3285791366277741</v>
      </c>
      <c r="G273" s="290">
        <f t="shared" si="92"/>
        <v>0.25919967684844736</v>
      </c>
      <c r="H273" s="290">
        <f t="shared" si="92"/>
        <v>0.21058837086758686</v>
      </c>
      <c r="I273" s="290">
        <f t="shared" si="92"/>
        <v>0.17474753784062161</v>
      </c>
      <c r="J273" s="290">
        <f t="shared" si="92"/>
        <v>0.14779628308877751</v>
      </c>
      <c r="K273" s="290">
        <f t="shared" si="92"/>
        <v>0.12686107590947851</v>
      </c>
      <c r="L273" s="290">
        <f t="shared" si="92"/>
        <v>0.11161960412702737</v>
      </c>
      <c r="M273" s="290">
        <f t="shared" si="92"/>
        <v>9.5114019903611499E-2</v>
      </c>
      <c r="N273" s="290">
        <f t="shared" si="92"/>
        <v>8.7539421882459709E-2</v>
      </c>
      <c r="O273" s="290">
        <f t="shared" si="92"/>
        <v>8.0442587909950819E-2</v>
      </c>
      <c r="P273" s="290">
        <f t="shared" si="92"/>
        <v>7.4230886708757243E-2</v>
      </c>
      <c r="Q273" s="290">
        <f t="shared" si="92"/>
        <v>6.8957152936579919E-2</v>
      </c>
      <c r="R273" s="290">
        <f t="shared" si="92"/>
        <v>6.4546845134605832E-2</v>
      </c>
      <c r="S273" s="290">
        <f t="shared" si="92"/>
        <v>6.0891154494691055E-2</v>
      </c>
      <c r="T273" s="290">
        <f t="shared" si="92"/>
        <v>5.7882948554451009E-2</v>
      </c>
      <c r="U273" s="290">
        <f t="shared" si="92"/>
        <v>5.5428867795785257E-2</v>
      </c>
      <c r="V273" s="290">
        <f t="shared" si="92"/>
        <v>5.3665807575015947E-2</v>
      </c>
      <c r="W273" s="290">
        <f t="shared" si="92"/>
        <v>5.2422219634631929E-2</v>
      </c>
      <c r="X273" s="290">
        <f t="shared" si="92"/>
        <v>5.1397116256466209E-2</v>
      </c>
      <c r="Y273" s="290">
        <f t="shared" si="92"/>
        <v>5.0633784231034901E-2</v>
      </c>
      <c r="Z273" s="290">
        <f t="shared" si="92"/>
        <v>5.0146771586691181E-2</v>
      </c>
      <c r="AA273" s="290">
        <f t="shared" si="92"/>
        <v>4.993688879287158E-2</v>
      </c>
      <c r="AB273" s="290">
        <f t="shared" si="92"/>
        <v>5.0014911789595093E-2</v>
      </c>
      <c r="AC273" s="290">
        <f t="shared" si="92"/>
        <v>5.0241954230535957E-2</v>
      </c>
      <c r="AD273" s="290">
        <f t="shared" si="92"/>
        <v>5.0670965147001389E-2</v>
      </c>
      <c r="AE273" s="290">
        <f t="shared" si="92"/>
        <v>5.130252556655121E-2</v>
      </c>
      <c r="AF273" s="290">
        <f t="shared" si="92"/>
        <v>5.2136104365745693E-2</v>
      </c>
      <c r="AG273" s="290">
        <f t="shared" si="92"/>
        <v>5.3169179523820831E-2</v>
      </c>
      <c r="AH273" s="290">
        <f t="shared" si="92"/>
        <v>5.4404114031534757E-2</v>
      </c>
      <c r="AI273" s="290">
        <f t="shared" si="92"/>
        <v>5.5851455905220893E-2</v>
      </c>
      <c r="AJ273" s="290">
        <f t="shared" si="92"/>
        <v>5.7522836634070651E-2</v>
      </c>
      <c r="AK273" s="290">
        <f t="shared" si="92"/>
        <v>5.9433324491684827E-2</v>
      </c>
      <c r="AL273" s="290">
        <f t="shared" si="92"/>
        <v>6.1601898481803523E-2</v>
      </c>
      <c r="AM273" s="290">
        <f t="shared" si="92"/>
        <v>6.4051989688851632E-2</v>
      </c>
      <c r="AN273" s="290">
        <f t="shared" si="92"/>
        <v>6.6812144792647174E-2</v>
      </c>
      <c r="AO273" s="290">
        <f t="shared" si="92"/>
        <v>6.9916839221647251E-2</v>
      </c>
      <c r="AP273" s="290">
        <f t="shared" si="92"/>
        <v>7.3407474186281269E-2</v>
      </c>
      <c r="AQ273" s="290">
        <f t="shared" si="92"/>
        <v>7.7333595703315841E-2</v>
      </c>
      <c r="AR273" s="290">
        <f t="shared" si="92"/>
        <v>8.1754374337742047E-2</v>
      </c>
      <c r="AS273" s="290">
        <f t="shared" si="92"/>
        <v>8.6740379601862941E-2</v>
      </c>
      <c r="AT273" s="290">
        <f t="shared" si="92"/>
        <v>9.2375667596163183E-2</v>
      </c>
      <c r="AU273" s="290">
        <f t="shared" si="92"/>
        <v>9.8760164916783549E-2</v>
      </c>
      <c r="AV273" s="290">
        <f t="shared" si="92"/>
        <v>0.10601225923985737</v>
      </c>
      <c r="AW273" s="290">
        <f t="shared" si="92"/>
        <v>0.11427136873126392</v>
      </c>
      <c r="AX273" s="290">
        <f t="shared" si="92"/>
        <v>0.12370001129447793</v>
      </c>
      <c r="AY273" s="290">
        <f t="shared" si="92"/>
        <v>0.13448445530825967</v>
      </c>
      <c r="AZ273" s="290">
        <f t="shared" si="92"/>
        <v>0.14683229177342494</v>
      </c>
      <c r="BA273" s="290">
        <f t="shared" si="92"/>
        <v>0.16096406521385995</v>
      </c>
      <c r="BB273" s="290">
        <f t="shared" si="92"/>
        <v>0.17709425263074305</v>
      </c>
      <c r="BC273" s="290">
        <f t="shared" si="92"/>
        <v>0.1953942623230264</v>
      </c>
      <c r="BD273" s="290">
        <f t="shared" si="92"/>
        <v>0.21592692311508394</v>
      </c>
      <c r="BE273" s="290">
        <f t="shared" si="92"/>
        <v>0.23853921580287879</v>
      </c>
      <c r="BF273" s="290">
        <f t="shared" si="92"/>
        <v>0.26270078731779412</v>
      </c>
      <c r="BG273" s="290">
        <f t="shared" si="92"/>
        <v>0.28728660168942166</v>
      </c>
      <c r="BH273" s="290">
        <f t="shared" si="92"/>
        <v>0.31033385069487213</v>
      </c>
      <c r="BI273" s="290">
        <f t="shared" si="92"/>
        <v>0.31033385069487213</v>
      </c>
      <c r="DR273" s="291"/>
    </row>
    <row r="274" spans="1:122" s="290" customFormat="1" ht="15" x14ac:dyDescent="0.2">
      <c r="DR274" s="291"/>
    </row>
    <row r="275" spans="1:122" s="290" customFormat="1" ht="15" x14ac:dyDescent="0.2">
      <c r="A275" s="289" t="s">
        <v>781</v>
      </c>
      <c r="DR275" s="291"/>
    </row>
    <row r="276" spans="1:122" s="292" customFormat="1" ht="15" x14ac:dyDescent="0.2">
      <c r="A276" s="292" t="s">
        <v>104</v>
      </c>
      <c r="B276" s="292">
        <f>+US!B74</f>
        <v>22.851099741812224</v>
      </c>
      <c r="C276" s="292">
        <f>+US!C74</f>
        <v>25.980549827973991</v>
      </c>
      <c r="D276" s="292">
        <f>+US!D74</f>
        <v>29.66399396833139</v>
      </c>
      <c r="E276" s="292">
        <f>+US!E74</f>
        <v>31.304563381963437</v>
      </c>
      <c r="F276" s="292">
        <f>+US!F74</f>
        <v>32.218373841836922</v>
      </c>
      <c r="G276" s="292">
        <f>+US!G74</f>
        <v>33.238695253832937</v>
      </c>
      <c r="H276" s="292">
        <f>+US!H74</f>
        <v>34.208564357315026</v>
      </c>
      <c r="I276" s="292">
        <f>+US!I74</f>
        <v>35.676767528955338</v>
      </c>
      <c r="J276" s="292">
        <f>+US!J74</f>
        <v>37.544231824004292</v>
      </c>
      <c r="K276" s="292">
        <f>+US!K74</f>
        <v>39.668755853879617</v>
      </c>
      <c r="L276" s="292">
        <f>+US!L74</f>
        <v>41.97016973914635</v>
      </c>
      <c r="M276" s="292">
        <f>+US!M74</f>
        <v>43.898903332929152</v>
      </c>
      <c r="N276" s="292">
        <f>+US!N74</f>
        <v>46.759612258124051</v>
      </c>
      <c r="O276" s="292">
        <f>+US!O74</f>
        <v>48.282513176188971</v>
      </c>
      <c r="P276" s="292">
        <f>+US!P74</f>
        <v>49.708178726910717</v>
      </c>
      <c r="Q276" s="292">
        <f>+US!Q74</f>
        <v>51.478690821963426</v>
      </c>
      <c r="R276" s="292">
        <f>+US!R74</f>
        <v>53.272841306606473</v>
      </c>
      <c r="S276" s="292">
        <f>+US!S74</f>
        <v>54.883770877744013</v>
      </c>
      <c r="T276" s="292">
        <f>+US!T74</f>
        <v>56.173027980811838</v>
      </c>
      <c r="U276" s="292">
        <f>+US!U74</f>
        <v>56.678264802836509</v>
      </c>
      <c r="V276" s="292">
        <f>+US!V74</f>
        <v>55.879910031246297</v>
      </c>
      <c r="W276" s="292">
        <f>+US!W74</f>
        <v>56.572419740005053</v>
      </c>
      <c r="X276" s="292">
        <f>+US!X74</f>
        <v>57.399071863436475</v>
      </c>
      <c r="Y276" s="292">
        <f>+US!Y74</f>
        <v>58.542027246224777</v>
      </c>
      <c r="Z276" s="292">
        <f>+US!Z74</f>
        <v>59.646444968588384</v>
      </c>
      <c r="AA276" s="292">
        <f>+US!AA74</f>
        <v>60.921765732114679</v>
      </c>
      <c r="AB276" s="292">
        <f>+US!AB74</f>
        <v>62.431238922106189</v>
      </c>
      <c r="AC276" s="292">
        <f>+US!AC74</f>
        <v>63.538227545663986</v>
      </c>
      <c r="AD276" s="292">
        <f>+US!AD74</f>
        <v>64.879359287183675</v>
      </c>
      <c r="AE276" s="292">
        <f>+US!AE74</f>
        <v>66.620326034901495</v>
      </c>
      <c r="AF276" s="292">
        <f>+US!AF74</f>
        <v>68.22162084318434</v>
      </c>
      <c r="AG276" s="292">
        <f>+US!AG74</f>
        <v>67.533702324349349</v>
      </c>
      <c r="AH276" s="292">
        <f>+US!AH74</f>
        <v>69.92380010072759</v>
      </c>
      <c r="AI276" s="292">
        <f>+US!AI74</f>
        <v>0</v>
      </c>
      <c r="AJ276" s="292">
        <f>+US!AJ74</f>
        <v>0</v>
      </c>
      <c r="AK276" s="292">
        <f>+US!AK74</f>
        <v>0</v>
      </c>
      <c r="AL276" s="292">
        <f>+US!AL74</f>
        <v>0</v>
      </c>
      <c r="AM276" s="292">
        <f>+US!AM74</f>
        <v>0</v>
      </c>
      <c r="AN276" s="292">
        <f>+US!AN74</f>
        <v>0</v>
      </c>
      <c r="AO276" s="292">
        <f>+US!AO74</f>
        <v>0</v>
      </c>
      <c r="AP276" s="292">
        <f>+US!AP74</f>
        <v>0</v>
      </c>
      <c r="AQ276" s="292">
        <f>+US!AQ74</f>
        <v>0</v>
      </c>
      <c r="AR276" s="292">
        <f>+US!AR74</f>
        <v>0</v>
      </c>
      <c r="AS276" s="292">
        <f>+US!AS74</f>
        <v>0</v>
      </c>
      <c r="AT276" s="292">
        <f>+US!AT74</f>
        <v>0</v>
      </c>
      <c r="AU276" s="292">
        <f>+US!AU74</f>
        <v>0</v>
      </c>
      <c r="AV276" s="292">
        <f>+US!AV74</f>
        <v>0</v>
      </c>
      <c r="AW276" s="292">
        <f>+US!AW74</f>
        <v>0</v>
      </c>
      <c r="AX276" s="292">
        <f>+US!AX74</f>
        <v>0</v>
      </c>
      <c r="AY276" s="292">
        <f>+US!AY74</f>
        <v>0</v>
      </c>
      <c r="AZ276" s="292">
        <f>+US!AZ74</f>
        <v>0</v>
      </c>
      <c r="BA276" s="292">
        <f>+US!BA74</f>
        <v>0</v>
      </c>
      <c r="BB276" s="292">
        <f>+US!BB74</f>
        <v>0</v>
      </c>
      <c r="BC276" s="292">
        <f>+US!BC74</f>
        <v>0</v>
      </c>
      <c r="BD276" s="292">
        <f>+US!BD74</f>
        <v>0</v>
      </c>
      <c r="BE276" s="292">
        <f>+US!BE74</f>
        <v>0</v>
      </c>
      <c r="BF276" s="292">
        <f>+US!BF74</f>
        <v>0</v>
      </c>
      <c r="BG276" s="292">
        <f>+US!BG74</f>
        <v>0</v>
      </c>
      <c r="BH276" s="292">
        <f>+US!BH74</f>
        <v>0</v>
      </c>
      <c r="BI276" s="292">
        <f>+US!BI74</f>
        <v>0</v>
      </c>
      <c r="DR276" s="293"/>
    </row>
    <row r="277" spans="1:122" s="292" customFormat="1" ht="15" x14ac:dyDescent="0.2">
      <c r="A277" s="292" t="s">
        <v>105</v>
      </c>
      <c r="B277" s="293">
        <f>+EU!B74</f>
        <v>23.302275318288661</v>
      </c>
      <c r="C277" s="293">
        <f>+EU!C74</f>
        <v>32.806845994961527</v>
      </c>
      <c r="D277" s="293">
        <f>+EU!D74</f>
        <v>40.345276421771004</v>
      </c>
      <c r="E277" s="293">
        <f>+EU!E74</f>
        <v>43.005009683321092</v>
      </c>
      <c r="F277" s="293">
        <f>+EU!F74</f>
        <v>43.742196869877489</v>
      </c>
      <c r="G277" s="293">
        <f>+EU!G74</f>
        <v>44.479029248972893</v>
      </c>
      <c r="H277" s="293">
        <f>+EU!H74</f>
        <v>45.634758670273442</v>
      </c>
      <c r="I277" s="293">
        <f>+EU!I74</f>
        <v>46.97579770619236</v>
      </c>
      <c r="J277" s="293">
        <f>+EU!J74</f>
        <v>48.750839057764964</v>
      </c>
      <c r="K277" s="293">
        <f>+EU!K74</f>
        <v>50.663045137297111</v>
      </c>
      <c r="L277" s="293">
        <f>+EU!L74</f>
        <v>53.355875524666445</v>
      </c>
      <c r="M277" s="293">
        <f>+EU!M74</f>
        <v>56.762884986864769</v>
      </c>
      <c r="N277" s="293">
        <f>+EU!N74</f>
        <v>60.370258353143363</v>
      </c>
      <c r="O277" s="293">
        <f>+EU!O74</f>
        <v>62.17640345927277</v>
      </c>
      <c r="P277" s="293">
        <f>+EU!P74</f>
        <v>63.392704275557008</v>
      </c>
      <c r="Q277" s="293">
        <f>+EU!Q74</f>
        <v>65.042958761449313</v>
      </c>
      <c r="R277" s="293">
        <f>+EU!R74</f>
        <v>66.643529708611425</v>
      </c>
      <c r="S277" s="293">
        <f>+EU!S74</f>
        <v>68.751041764923741</v>
      </c>
      <c r="T277" s="293">
        <f>+EU!T74</f>
        <v>70.925392158700035</v>
      </c>
      <c r="U277" s="293">
        <f>+EU!U74</f>
        <v>71.956453581422679</v>
      </c>
      <c r="V277" s="293">
        <f>+EU!V74</f>
        <v>70.333986851989479</v>
      </c>
      <c r="W277" s="293">
        <f>+EU!W74</f>
        <v>70.950966498699771</v>
      </c>
      <c r="X277" s="293">
        <f>+EU!X74</f>
        <v>72.261335171311885</v>
      </c>
      <c r="Y277" s="293">
        <f>+EU!Y74</f>
        <v>72.695905732691259</v>
      </c>
      <c r="Z277" s="293">
        <f>+EU!Z74</f>
        <v>73.238554446668402</v>
      </c>
      <c r="AA277" s="293">
        <f>+EU!AA74</f>
        <v>74.424637502581319</v>
      </c>
      <c r="AB277" s="293">
        <f>+EU!AB74</f>
        <v>76.087099784031807</v>
      </c>
      <c r="AC277" s="293">
        <f>+EU!AC74</f>
        <v>77.538915218129901</v>
      </c>
      <c r="AD277" s="293">
        <f>+EU!AD74</f>
        <v>79.684055101852664</v>
      </c>
      <c r="AE277" s="293">
        <f>+EU!AE74</f>
        <v>81.549975510870269</v>
      </c>
      <c r="AF277" s="293">
        <f>+EU!AF74</f>
        <v>83.075943184646448</v>
      </c>
      <c r="AG277" s="293">
        <f>+EU!AG74</f>
        <v>80.590061941937222</v>
      </c>
      <c r="AH277" s="293">
        <f>+EU!AH74</f>
        <v>83.271063135244674</v>
      </c>
      <c r="AI277" s="293">
        <f>+EU!AI74</f>
        <v>86.290479085188053</v>
      </c>
      <c r="AJ277" s="293">
        <f>+EU!AJ74</f>
        <v>303.41750920528125</v>
      </c>
      <c r="AK277" s="293">
        <f>+EU!AK74</f>
        <v>514.70391608900741</v>
      </c>
      <c r="AL277" s="293">
        <f>+EU!AL74</f>
        <v>670.84431792295959</v>
      </c>
      <c r="AM277" s="293">
        <f>+EU!AM74</f>
        <v>779.7256911510774</v>
      </c>
      <c r="AN277" s="293">
        <f>+EU!AN74</f>
        <v>857.67300582005373</v>
      </c>
      <c r="AO277" s="293">
        <f>+EU!AO74</f>
        <v>917.3610060817075</v>
      </c>
      <c r="AP277" s="293">
        <f>+EU!AP74</f>
        <v>966.90507260529921</v>
      </c>
      <c r="AQ277" s="293">
        <f>+EU!AQ74</f>
        <v>1011.1395057863591</v>
      </c>
      <c r="AR277" s="293">
        <f>+EU!AR74</f>
        <v>1052.8570048820216</v>
      </c>
      <c r="AS277" s="293">
        <f>+EU!AS74</f>
        <v>1093.6530549566151</v>
      </c>
      <c r="AT277" s="293">
        <f>+EU!AT74</f>
        <v>1134.4405650472193</v>
      </c>
      <c r="AU277" s="293">
        <f>+EU!AU74</f>
        <v>1175.7489139559152</v>
      </c>
      <c r="AV277" s="293">
        <f>+EU!AV74</f>
        <v>1217.8937723572863</v>
      </c>
      <c r="AW277" s="293">
        <f>+EU!AW74</f>
        <v>1261.0724226211537</v>
      </c>
      <c r="AX277" s="293">
        <f>+EU!AX74</f>
        <v>1305.4169393434315</v>
      </c>
      <c r="AY277" s="293">
        <f>+EU!AY74</f>
        <v>1351.02377048627</v>
      </c>
      <c r="AZ277" s="293">
        <f>+EU!AZ74</f>
        <v>1397.9701722027248</v>
      </c>
      <c r="BA277" s="293">
        <f>+EU!BA74</f>
        <v>1446.3233420291106</v>
      </c>
      <c r="BB277" s="293">
        <f>+EU!BB74</f>
        <v>1496.1455037379003</v>
      </c>
      <c r="BC277" s="293">
        <f>+EU!BC74</f>
        <v>1547.4967501723586</v>
      </c>
      <c r="BD277" s="293">
        <f>+EU!BD74</f>
        <v>1600.4366455215322</v>
      </c>
      <c r="BE277" s="293">
        <f>+EU!BE74</f>
        <v>1655.0251417658596</v>
      </c>
      <c r="BF277" s="293">
        <f>+EU!BF74</f>
        <v>1711.6192423234634</v>
      </c>
      <c r="BG277" s="293">
        <f>+EU!BG74</f>
        <v>1769.9996640578265</v>
      </c>
      <c r="BH277" s="293">
        <f>+EU!BH74</f>
        <v>1830.1479447983952</v>
      </c>
      <c r="BI277" s="293">
        <f>+EU!BI74</f>
        <v>1892.1215711563873</v>
      </c>
      <c r="DR277" s="293"/>
    </row>
    <row r="278" spans="1:122" s="292" customFormat="1" ht="15" x14ac:dyDescent="0.2">
      <c r="A278" s="292" t="s">
        <v>51</v>
      </c>
      <c r="B278" s="293">
        <f>+Japan!B74</f>
        <v>7.1334854586257519</v>
      </c>
      <c r="C278" s="293">
        <f>+Japan!C74</f>
        <v>8.6187969977625443</v>
      </c>
      <c r="D278" s="293">
        <f>+Japan!D74</f>
        <v>10.568513679030048</v>
      </c>
      <c r="E278" s="293">
        <f>+Japan!E74</f>
        <v>11.12077180872968</v>
      </c>
      <c r="F278" s="293">
        <f>+Japan!F74</f>
        <v>10.972853489827576</v>
      </c>
      <c r="G278" s="293">
        <f>+Japan!G74</f>
        <v>11.466084555903072</v>
      </c>
      <c r="H278" s="293">
        <f>+Japan!H74</f>
        <v>12.177087697564245</v>
      </c>
      <c r="I278" s="293">
        <f>+Japan!I74</f>
        <v>12.760427399462714</v>
      </c>
      <c r="J278" s="293">
        <f>+Japan!J74</f>
        <v>13.132183361756862</v>
      </c>
      <c r="K278" s="293">
        <f>+Japan!K74</f>
        <v>13.24720273866579</v>
      </c>
      <c r="L278" s="293">
        <f>+Japan!L74</f>
        <v>13.666706832330718</v>
      </c>
      <c r="M278" s="293">
        <f>+Japan!M74</f>
        <v>14.401237275661806</v>
      </c>
      <c r="N278" s="293">
        <f>+Japan!N74</f>
        <v>15.286732097523215</v>
      </c>
      <c r="O278" s="293">
        <f>+Japan!O74</f>
        <v>15.596699550317851</v>
      </c>
      <c r="P278" s="293">
        <f>+Japan!P74</f>
        <v>15.862395516231455</v>
      </c>
      <c r="Q278" s="293">
        <f>+Japan!Q74</f>
        <v>16.185237331709185</v>
      </c>
      <c r="R278" s="293">
        <f>+Japan!R74</f>
        <v>16.485420913930451</v>
      </c>
      <c r="S278" s="293">
        <f>+Japan!S74</f>
        <v>16.73953019308933</v>
      </c>
      <c r="T278" s="293">
        <f>+Japan!T74</f>
        <v>16.990251258610918</v>
      </c>
      <c r="U278" s="293">
        <f>+Japan!U74</f>
        <v>16.944520547845286</v>
      </c>
      <c r="V278" s="293">
        <f>+Japan!V74</f>
        <v>16.297722820033158</v>
      </c>
      <c r="W278" s="293">
        <f>+Japan!W74</f>
        <v>16.495425218510455</v>
      </c>
      <c r="X278" s="293">
        <f>+Japan!X74</f>
        <v>16.570165654609184</v>
      </c>
      <c r="Y278" s="293">
        <f>+Japan!Y74</f>
        <v>16.743400243214182</v>
      </c>
      <c r="Z278" s="293">
        <f>+Japan!Z74</f>
        <v>17.022344546339127</v>
      </c>
      <c r="AA278" s="293">
        <f>+Japan!AA74</f>
        <v>17.150259214709802</v>
      </c>
      <c r="AB278" s="293">
        <f>+Japan!AB74</f>
        <v>17.363122099981531</v>
      </c>
      <c r="AC278" s="293">
        <f>+Japan!AC74</f>
        <v>17.485460152716279</v>
      </c>
      <c r="AD278" s="293">
        <f>+Japan!AD74</f>
        <v>17.725657603963448</v>
      </c>
      <c r="AE278" s="293">
        <f>+Japan!AE74</f>
        <v>17.88895048729832</v>
      </c>
      <c r="AF278" s="293">
        <f>+Japan!AF74</f>
        <v>17.8944697761447</v>
      </c>
      <c r="AG278" s="293">
        <f>+Japan!AG74</f>
        <v>17.412881672080481</v>
      </c>
      <c r="AH278" s="293">
        <f>+Japan!AH74</f>
        <v>17.539382615333519</v>
      </c>
      <c r="AI278" s="293">
        <f>+Japan!AI74</f>
        <v>17.692304305691572</v>
      </c>
      <c r="AJ278" s="293">
        <f>+Japan!AJ74</f>
        <v>57.021478087177144</v>
      </c>
      <c r="AK278" s="293">
        <f>+Japan!AK74</f>
        <v>94.297856535847558</v>
      </c>
      <c r="AL278" s="293">
        <f>+Japan!AL74</f>
        <v>121.72231714005163</v>
      </c>
      <c r="AM278" s="293">
        <f>+Japan!AM74</f>
        <v>140.88732446428008</v>
      </c>
      <c r="AN278" s="293">
        <f>+Japan!AN74</f>
        <v>154.67168249013645</v>
      </c>
      <c r="AO278" s="293">
        <f>+Japan!AO74</f>
        <v>165.28395560609562</v>
      </c>
      <c r="AP278" s="293">
        <f>+Japan!AP74</f>
        <v>174.13570024370713</v>
      </c>
      <c r="AQ278" s="293">
        <f>+Japan!AQ74</f>
        <v>182.06860782432679</v>
      </c>
      <c r="AR278" s="293">
        <f>+Japan!AR74</f>
        <v>189.56995143232143</v>
      </c>
      <c r="AS278" s="293">
        <f>+Japan!AS74</f>
        <v>196.91890240096973</v>
      </c>
      <c r="AT278" s="293">
        <f>+Japan!AT74</f>
        <v>204.2757547614587</v>
      </c>
      <c r="AU278" s="293">
        <f>+Japan!AU74</f>
        <v>211.73386090622901</v>
      </c>
      <c r="AV278" s="293">
        <f>+Japan!AV74</f>
        <v>219.34918987088275</v>
      </c>
      <c r="AW278" s="293">
        <f>+Japan!AW74</f>
        <v>227.15695865733719</v>
      </c>
      <c r="AX278" s="293">
        <f>+Japan!AX74</f>
        <v>235.18093508132091</v>
      </c>
      <c r="AY278" s="293">
        <f>+Japan!AY74</f>
        <v>243.43862634801738</v>
      </c>
      <c r="AZ278" s="293">
        <f>+Japan!AZ74</f>
        <v>251.94416990331183</v>
      </c>
      <c r="BA278" s="293">
        <f>+Japan!BA74</f>
        <v>260.70994479161277</v>
      </c>
      <c r="BB278" s="293">
        <f>+Japan!BB74</f>
        <v>269.74747174396708</v>
      </c>
      <c r="BC278" s="293">
        <f>+Japan!BC74</f>
        <v>279.06791831454632</v>
      </c>
      <c r="BD278" s="293">
        <f>+Japan!BD74</f>
        <v>288.68238490469696</v>
      </c>
      <c r="BE278" s="293">
        <f>+Japan!BE74</f>
        <v>298.60206933987331</v>
      </c>
      <c r="BF278" s="293">
        <f>+Japan!BF74</f>
        <v>308.89525437902427</v>
      </c>
      <c r="BG278" s="293">
        <f>+Japan!BG74</f>
        <v>319.519525095468</v>
      </c>
      <c r="BH278" s="293">
        <f>+Japan!BH74</f>
        <v>330.47111563220142</v>
      </c>
      <c r="BI278" s="293">
        <f>+Japan!BI74</f>
        <v>341.76078433440517</v>
      </c>
      <c r="DR278" s="293"/>
    </row>
    <row r="279" spans="1:122" s="292" customFormat="1" ht="15" x14ac:dyDescent="0.2">
      <c r="A279" s="292" t="s">
        <v>52</v>
      </c>
      <c r="B279" s="293">
        <f>+Russia!B74</f>
        <v>2.7871074321283404</v>
      </c>
      <c r="C279" s="293">
        <f>+Russia!C74</f>
        <v>7.0450327832563868</v>
      </c>
      <c r="D279" s="293">
        <f>+Russia!D74</f>
        <v>8.1591457946058217</v>
      </c>
      <c r="E279" s="293">
        <f>+Russia!E74</f>
        <v>7.6195931882210246</v>
      </c>
      <c r="F279" s="293">
        <f>+Russia!F74</f>
        <v>7.027648570473735</v>
      </c>
      <c r="G279" s="293">
        <f>+Russia!G74</f>
        <v>6.3190295313506279</v>
      </c>
      <c r="H279" s="293">
        <f>+Russia!H74</f>
        <v>5.9507429239920011</v>
      </c>
      <c r="I279" s="293">
        <f>+Russia!I74</f>
        <v>5.6965852441905129</v>
      </c>
      <c r="J279" s="293">
        <f>+Russia!J74</f>
        <v>5.6778705845708952</v>
      </c>
      <c r="K279" s="293">
        <f>+Russia!K74</f>
        <v>5.5002623117696814</v>
      </c>
      <c r="L279" s="293">
        <f>+Russia!L74</f>
        <v>5.8602110436795662</v>
      </c>
      <c r="M279" s="293">
        <f>+Russia!M74</f>
        <v>6.5781080268925223</v>
      </c>
      <c r="N279" s="293">
        <f>+Russia!N74</f>
        <v>7.2786993133184401</v>
      </c>
      <c r="O279" s="293">
        <f>+Russia!O74</f>
        <v>7.7562486581264984</v>
      </c>
      <c r="P279" s="293">
        <f>+Russia!P74</f>
        <v>8.3038013934361743</v>
      </c>
      <c r="Q279" s="293">
        <f>+Russia!Q74</f>
        <v>8.8989133519018271</v>
      </c>
      <c r="R279" s="293">
        <f>+Russia!R74</f>
        <v>9.4888387181331453</v>
      </c>
      <c r="S279" s="293">
        <f>+Russia!S74</f>
        <v>10.218615182545799</v>
      </c>
      <c r="T279" s="293">
        <f>+Russia!T74</f>
        <v>11.060091914251847</v>
      </c>
      <c r="U279" s="293">
        <f>+Russia!U74</f>
        <v>11.745220438204587</v>
      </c>
      <c r="V279" s="293">
        <f>+Russia!V74</f>
        <v>11.367174518664086</v>
      </c>
      <c r="W279" s="293">
        <f>+Russia!W74</f>
        <v>11.561410488381629</v>
      </c>
      <c r="X279" s="293">
        <f>+Russia!X74</f>
        <v>11.957706849057516</v>
      </c>
      <c r="Y279" s="293">
        <f>+Russia!Y74</f>
        <v>12.414152244328402</v>
      </c>
      <c r="Z279" s="293">
        <f>+Russia!Z74</f>
        <v>12.717471749598033</v>
      </c>
      <c r="AA279" s="293">
        <f>+Russia!AA74</f>
        <v>12.883831797822232</v>
      </c>
      <c r="AB279" s="293">
        <f>+Russia!AB74</f>
        <v>12.771802900038942</v>
      </c>
      <c r="AC279" s="293">
        <f>+Russia!AC74</f>
        <v>12.723975534207309</v>
      </c>
      <c r="AD279" s="293">
        <f>+Russia!AD74</f>
        <v>12.861977352762603</v>
      </c>
      <c r="AE279" s="293">
        <f>+Russia!AE74</f>
        <v>13.149647884606425</v>
      </c>
      <c r="AF279" s="293">
        <f>+Russia!AF74</f>
        <v>13.438580972512106</v>
      </c>
      <c r="AG279" s="293">
        <f>+Russia!AG74</f>
        <v>13.304796900636834</v>
      </c>
      <c r="AH279" s="293">
        <f>+Russia!AH74</f>
        <v>13.747223564609243</v>
      </c>
      <c r="AI279" s="293">
        <f>+Russia!AI74</f>
        <v>13.713052417132879</v>
      </c>
      <c r="AJ279" s="293">
        <f>+Russia!AJ74</f>
        <v>44.824348133518626</v>
      </c>
      <c r="AK279" s="293">
        <f>+Russia!AK74</f>
        <v>74.503912378925392</v>
      </c>
      <c r="AL279" s="293">
        <f>+Russia!AL74</f>
        <v>96.445997708611884</v>
      </c>
      <c r="AM279" s="293">
        <f>+Russia!AM74</f>
        <v>111.84797691719993</v>
      </c>
      <c r="AN279" s="293">
        <f>+Russia!AN74</f>
        <v>122.97368360148971</v>
      </c>
      <c r="AO279" s="293">
        <f>+Russia!AO74</f>
        <v>131.57159835932032</v>
      </c>
      <c r="AP279" s="293">
        <f>+Russia!AP74</f>
        <v>138.76275864694418</v>
      </c>
      <c r="AQ279" s="293">
        <f>+Russia!AQ74</f>
        <v>145.21706010789671</v>
      </c>
      <c r="AR279" s="293">
        <f>+Russia!AR74</f>
        <v>151.32302706196157</v>
      </c>
      <c r="AS279" s="293">
        <f>+Russia!AS74</f>
        <v>157.30366146844253</v>
      </c>
      <c r="AT279" s="293">
        <f>+Russia!AT74</f>
        <v>163.28727257574158</v>
      </c>
      <c r="AU279" s="293">
        <f>+Russia!AU74</f>
        <v>169.34877973907587</v>
      </c>
      <c r="AV279" s="293">
        <f>+Russia!AV74</f>
        <v>175.53325250530997</v>
      </c>
      <c r="AW279" s="293">
        <f>+Russia!AW74</f>
        <v>181.86917157448229</v>
      </c>
      <c r="AX279" s="293">
        <f>+Russia!AX74</f>
        <v>188.37585423933069</v>
      </c>
      <c r="AY279" s="293">
        <f>+Russia!AY74</f>
        <v>195.06759982387479</v>
      </c>
      <c r="AZ279" s="293">
        <f>+Russia!AZ74</f>
        <v>201.95600141311397</v>
      </c>
      <c r="BA279" s="293">
        <f>+Russia!BA74</f>
        <v>209.05123553397101</v>
      </c>
      <c r="BB279" s="293">
        <f>+Russia!BB74</f>
        <v>216.36278321375346</v>
      </c>
      <c r="BC279" s="293">
        <f>+Russia!BC74</f>
        <v>223.8998350687952</v>
      </c>
      <c r="BD279" s="293">
        <f>+Russia!BD74</f>
        <v>231.67152099139327</v>
      </c>
      <c r="BE279" s="293">
        <f>+Russia!BE74</f>
        <v>239.68704256954277</v>
      </c>
      <c r="BF279" s="293">
        <f>+Russia!BF74</f>
        <v>247.99921012052079</v>
      </c>
      <c r="BG279" s="293">
        <f>+Russia!BG74</f>
        <v>256.57628939826725</v>
      </c>
      <c r="BH279" s="293">
        <f>+Russia!BH74</f>
        <v>265.41606447756106</v>
      </c>
      <c r="BI279" s="293">
        <f>+Russia!BI74</f>
        <v>274.52741377354278</v>
      </c>
      <c r="DR279" s="293"/>
    </row>
    <row r="280" spans="1:122" s="292" customFormat="1" ht="15" x14ac:dyDescent="0.2">
      <c r="A280" s="292" t="s">
        <v>53</v>
      </c>
      <c r="B280" s="293">
        <f>+Eurasia!B74</f>
        <v>1.3624722059165122</v>
      </c>
      <c r="C280" s="293">
        <f>+Eurasia!C74</f>
        <v>4.1646793275526228</v>
      </c>
      <c r="D280" s="293">
        <f>+Eurasia!D74</f>
        <v>5.3333419233425543</v>
      </c>
      <c r="E280" s="293">
        <f>+Eurasia!E74</f>
        <v>5.2010254345268168</v>
      </c>
      <c r="F280" s="293">
        <f>+Eurasia!F74</f>
        <v>4.7782000664676563</v>
      </c>
      <c r="G280" s="293">
        <f>+Eurasia!G74</f>
        <v>4.2351678949886962</v>
      </c>
      <c r="H280" s="293">
        <f>+Eurasia!H74</f>
        <v>4.479641650999703</v>
      </c>
      <c r="I280" s="293">
        <f>+Eurasia!I74</f>
        <v>4.5637464477914582</v>
      </c>
      <c r="J280" s="293">
        <f>+Eurasia!J74</f>
        <v>4.6073340683663089</v>
      </c>
      <c r="K280" s="293">
        <f>+Eurasia!K74</f>
        <v>4.6671958036478376</v>
      </c>
      <c r="L280" s="293">
        <f>+Eurasia!L74</f>
        <v>4.7902363499000185</v>
      </c>
      <c r="M280" s="293">
        <f>+Eurasia!M74</f>
        <v>5.0933235550919749</v>
      </c>
      <c r="N280" s="293">
        <f>+Eurasia!N74</f>
        <v>5.5290876286639294</v>
      </c>
      <c r="O280" s="293">
        <f>+Eurasia!O74</f>
        <v>5.9033837890489425</v>
      </c>
      <c r="P280" s="293">
        <f>+Eurasia!P74</f>
        <v>6.299294147201115</v>
      </c>
      <c r="Q280" s="293">
        <f>+Eurasia!Q74</f>
        <v>6.8265677939973877</v>
      </c>
      <c r="R280" s="293">
        <f>+Eurasia!R74</f>
        <v>7.3036620474186993</v>
      </c>
      <c r="S280" s="293">
        <f>+Eurasia!S74</f>
        <v>7.8972578085176259</v>
      </c>
      <c r="T280" s="293">
        <f>+Eurasia!T74</f>
        <v>8.5636002505435975</v>
      </c>
      <c r="U280" s="293">
        <f>+Eurasia!U74</f>
        <v>9.1012424953430333</v>
      </c>
      <c r="V280" s="293">
        <f>+Eurasia!V74</f>
        <v>8.9463366291504833</v>
      </c>
      <c r="W280" s="293">
        <f>+Eurasia!W74</f>
        <v>9.0520298398753276</v>
      </c>
      <c r="X280" s="293">
        <f>+Eurasia!X74</f>
        <v>9.3742480800217383</v>
      </c>
      <c r="Y280" s="293">
        <f>+Eurasia!Y74</f>
        <v>9.6178906244507267</v>
      </c>
      <c r="Z280" s="293">
        <f>+Eurasia!Z74</f>
        <v>9.8586562410487435</v>
      </c>
      <c r="AA280" s="293">
        <f>+Eurasia!AA74</f>
        <v>9.9782711340838866</v>
      </c>
      <c r="AB280" s="293">
        <f>+Eurasia!AB74</f>
        <v>10.026596451071887</v>
      </c>
      <c r="AC280" s="293">
        <f>+Eurasia!AC74</f>
        <v>10.179863182538742</v>
      </c>
      <c r="AD280" s="293">
        <f>+Eurasia!AD74</f>
        <v>10.516696578234583</v>
      </c>
      <c r="AE280" s="293">
        <f>+Eurasia!AE74</f>
        <v>10.93481341297591</v>
      </c>
      <c r="AF280" s="293">
        <f>+Eurasia!AF74</f>
        <v>11.361984742981141</v>
      </c>
      <c r="AG280" s="293">
        <f>+Eurasia!AG74</f>
        <v>11.281683318436631</v>
      </c>
      <c r="AH280" s="293">
        <f>+Eurasia!AH74</f>
        <v>11.690918813656136</v>
      </c>
      <c r="AI280" s="293">
        <f>+Eurasia!AI74</f>
        <v>11.710760773148085</v>
      </c>
      <c r="AJ280" s="293">
        <f>+Eurasia!AJ74</f>
        <v>50.140666296289155</v>
      </c>
      <c r="AK280" s="293">
        <f>+Eurasia!AK74</f>
        <v>91.074693239916058</v>
      </c>
      <c r="AL280" s="293">
        <f>+Eurasia!AL74</f>
        <v>122.37458337317736</v>
      </c>
      <c r="AM280" s="293">
        <f>+Eurasia!AM74</f>
        <v>144.54918691332358</v>
      </c>
      <c r="AN280" s="293">
        <f>+Eurasia!AN74</f>
        <v>160.54012451935802</v>
      </c>
      <c r="AO280" s="293">
        <f>+Eurasia!AO74</f>
        <v>172.80861099209127</v>
      </c>
      <c r="AP280" s="293">
        <f>+Eurasia!AP74</f>
        <v>182.9754995911984</v>
      </c>
      <c r="AQ280" s="293">
        <f>+Eurasia!AQ74</f>
        <v>192.02119536452011</v>
      </c>
      <c r="AR280" s="293">
        <f>+Eurasia!AR74</f>
        <v>200.5178902622126</v>
      </c>
      <c r="AS280" s="293">
        <f>+Eurasia!AS74</f>
        <v>208.79510681370317</v>
      </c>
      <c r="AT280" s="293">
        <f>+Eurasia!AT74</f>
        <v>217.04272553260159</v>
      </c>
      <c r="AU280" s="293">
        <f>+Eurasia!AU74</f>
        <v>225.37160180608851</v>
      </c>
      <c r="AV280" s="293">
        <f>+Eurasia!AV74</f>
        <v>233.84828944589333</v>
      </c>
      <c r="AW280" s="293">
        <f>+Eurasia!AW74</f>
        <v>242.51466338521493</v>
      </c>
      <c r="AX280" s="293">
        <f>+Eurasia!AX74</f>
        <v>251.39893028204261</v>
      </c>
      <c r="AY280" s="293">
        <f>+Eurasia!AY74</f>
        <v>260.52178419538421</v>
      </c>
      <c r="AZ280" s="293">
        <f>+Eurasia!AZ74</f>
        <v>269.89984252816674</v>
      </c>
      <c r="BA280" s="293">
        <f>+Eurasia!BA74</f>
        <v>279.5475638256234</v>
      </c>
      <c r="BB280" s="293">
        <f>+Eurasia!BB74</f>
        <v>289.47832001639625</v>
      </c>
      <c r="BC280" s="293">
        <f>+Eurasia!BC74</f>
        <v>299.70499842684342</v>
      </c>
      <c r="BD280" s="293">
        <f>+Eurasia!BD74</f>
        <v>310.24034263061066</v>
      </c>
      <c r="BE280" s="293">
        <f>+Eurasia!BE74</f>
        <v>321.09714844087353</v>
      </c>
      <c r="BF280" s="293">
        <f>+Eurasia!BF74</f>
        <v>332.32450108414253</v>
      </c>
      <c r="BG280" s="293">
        <f>+Eurasia!BG74</f>
        <v>343.9012967357354</v>
      </c>
      <c r="BH280" s="293">
        <f>+Eurasia!BH74</f>
        <v>355.83104903797266</v>
      </c>
      <c r="BI280" s="293">
        <f>+Eurasia!BI74</f>
        <v>368.12660205877916</v>
      </c>
      <c r="DR280" s="293"/>
    </row>
    <row r="281" spans="1:122" s="292" customFormat="1" ht="15" x14ac:dyDescent="0.2">
      <c r="A281" s="292" t="s">
        <v>54</v>
      </c>
      <c r="B281" s="293">
        <f>+China!B74</f>
        <v>9.2609350350421433</v>
      </c>
      <c r="C281" s="293">
        <f>+China!C74</f>
        <v>8.9938832101734327</v>
      </c>
      <c r="D281" s="293">
        <f>+China!D74</f>
        <v>7.1251523624088442</v>
      </c>
      <c r="E281" s="293">
        <f>+China!E74</f>
        <v>6.8074672532312732</v>
      </c>
      <c r="F281" s="293">
        <f>+China!F74</f>
        <v>7.1193559707016476</v>
      </c>
      <c r="G281" s="293">
        <f>+China!G74</f>
        <v>7.731820755006467</v>
      </c>
      <c r="H281" s="293">
        <f>+China!H74</f>
        <v>8.5276851978317847</v>
      </c>
      <c r="I281" s="293">
        <f>+China!I74</f>
        <v>9.3694288360463656</v>
      </c>
      <c r="J281" s="293">
        <f>+China!J74</f>
        <v>10.242900929099894</v>
      </c>
      <c r="K281" s="293">
        <f>+China!K74</f>
        <v>11.0783765114546</v>
      </c>
      <c r="L281" s="293">
        <f>+China!L74</f>
        <v>12.182146903950073</v>
      </c>
      <c r="M281" s="293">
        <f>+China!M74</f>
        <v>13.665832772538316</v>
      </c>
      <c r="N281" s="293">
        <f>+China!N74</f>
        <v>14.708749089429169</v>
      </c>
      <c r="O281" s="293">
        <f>+China!O74</f>
        <v>15.967708763818763</v>
      </c>
      <c r="P281" s="293">
        <f>+China!P74</f>
        <v>17.48305791211439</v>
      </c>
      <c r="Q281" s="293">
        <f>+China!Q74</f>
        <v>19.206118452325562</v>
      </c>
      <c r="R281" s="293">
        <f>+China!R74</f>
        <v>21.279525003946475</v>
      </c>
      <c r="S281" s="293">
        <f>+China!S74</f>
        <v>23.839191044771535</v>
      </c>
      <c r="T281" s="293">
        <f>+China!T74</f>
        <v>27.043027729419961</v>
      </c>
      <c r="U281" s="293">
        <f>+China!U74</f>
        <v>29.94616909161978</v>
      </c>
      <c r="V281" s="293">
        <f>+China!V74</f>
        <v>32.852792721366015</v>
      </c>
      <c r="W281" s="293">
        <f>+China!W74</f>
        <v>36.212267455839992</v>
      </c>
      <c r="X281" s="293">
        <f>+China!X74</f>
        <v>39.718512785814902</v>
      </c>
      <c r="Y281" s="293">
        <f>+China!Y74</f>
        <v>43.028534010957998</v>
      </c>
      <c r="Z281" s="293">
        <f>+China!Z74</f>
        <v>46.404306137908719</v>
      </c>
      <c r="AA281" s="293">
        <f>+China!AA74</f>
        <v>49.860251335142792</v>
      </c>
      <c r="AB281" s="293">
        <f>+China!AB74</f>
        <v>53.364432741433788</v>
      </c>
      <c r="AC281" s="293">
        <f>+China!AC74</f>
        <v>56.890526979440892</v>
      </c>
      <c r="AD281" s="293">
        <f>+China!AD74</f>
        <v>60.732360975469589</v>
      </c>
      <c r="AE281" s="293">
        <f>+China!AE74</f>
        <v>64.778913062041667</v>
      </c>
      <c r="AF281" s="293">
        <f>+China!AF74</f>
        <v>68.693657840645628</v>
      </c>
      <c r="AG281" s="293">
        <f>+China!AG74</f>
        <v>71.012364120534755</v>
      </c>
      <c r="AH281" s="293">
        <f>+China!AH74</f>
        <v>75.76510398176994</v>
      </c>
      <c r="AI281" s="293">
        <f>+China!AI74</f>
        <v>78.848988277098698</v>
      </c>
      <c r="AJ281" s="293">
        <f>+China!AJ74</f>
        <v>378.53309270540274</v>
      </c>
      <c r="AK281" s="293">
        <f>+China!AK74</f>
        <v>696.96885086330656</v>
      </c>
      <c r="AL281" s="293">
        <f>+China!AL74</f>
        <v>934.62931418966082</v>
      </c>
      <c r="AM281" s="293">
        <f>+China!AM74</f>
        <v>1099.1887443538146</v>
      </c>
      <c r="AN281" s="293">
        <f>+China!AN74</f>
        <v>1215.6847317654165</v>
      </c>
      <c r="AO281" s="293">
        <f>+China!AO74</f>
        <v>1303.9024775684877</v>
      </c>
      <c r="AP281" s="293">
        <f>+China!AP74</f>
        <v>1376.44503705682</v>
      </c>
      <c r="AQ281" s="293">
        <f>+China!AQ74</f>
        <v>1440.7422332793551</v>
      </c>
      <c r="AR281" s="293">
        <f>+China!AR74</f>
        <v>1501.033607563244</v>
      </c>
      <c r="AS281" s="293">
        <f>+China!AS74</f>
        <v>1559.7088716793119</v>
      </c>
      <c r="AT281" s="293">
        <f>+China!AT74</f>
        <v>1618.1155398452283</v>
      </c>
      <c r="AU281" s="293">
        <f>+China!AU74</f>
        <v>1677.0224594833751</v>
      </c>
      <c r="AV281" s="293">
        <f>+China!AV74</f>
        <v>1736.8797419948285</v>
      </c>
      <c r="AW281" s="293">
        <f>+China!AW74</f>
        <v>1797.9628087961928</v>
      </c>
      <c r="AX281" s="293">
        <f>+China!AX74</f>
        <v>1860.4517200364708</v>
      </c>
      <c r="AY281" s="293">
        <f>+China!AY74</f>
        <v>1924.4747162249425</v>
      </c>
      <c r="AZ281" s="293">
        <f>+China!AZ74</f>
        <v>1990.1320767392981</v>
      </c>
      <c r="BA281" s="293">
        <f>+China!BA74</f>
        <v>2057.5091860687917</v>
      </c>
      <c r="BB281" s="293">
        <f>+China!BB74</f>
        <v>2126.6836940936946</v>
      </c>
      <c r="BC281" s="293">
        <f>+China!BC74</f>
        <v>2197.7294486958508</v>
      </c>
      <c r="BD281" s="293">
        <f>+China!BD74</f>
        <v>2270.7186662385211</v>
      </c>
      <c r="BE281" s="293">
        <f>+China!BE74</f>
        <v>2345.7231408698331</v>
      </c>
      <c r="BF281" s="293">
        <f>+China!BF74</f>
        <v>2423.1675357435251</v>
      </c>
      <c r="BG281" s="293">
        <f>+China!BG74</f>
        <v>2502.7891206870795</v>
      </c>
      <c r="BH281" s="293">
        <f>+China!BH74</f>
        <v>2584.5620952511599</v>
      </c>
      <c r="BI281" s="293">
        <f>+China!BI74</f>
        <v>2668.552737542268</v>
      </c>
      <c r="DR281" s="293"/>
    </row>
    <row r="282" spans="1:122" s="292" customFormat="1" ht="15" x14ac:dyDescent="0.2">
      <c r="A282" s="292" t="s">
        <v>55</v>
      </c>
      <c r="B282" s="293">
        <f>+India!B74</f>
        <v>4.1191882823091737</v>
      </c>
      <c r="C282" s="293">
        <f>+India!C74</f>
        <v>6.0860352117775953</v>
      </c>
      <c r="D282" s="293">
        <f>+India!D74</f>
        <v>6.4049310938539303</v>
      </c>
      <c r="E282" s="293">
        <f>+India!E74</f>
        <v>6.5048682043216566</v>
      </c>
      <c r="F282" s="293">
        <f>+India!F74</f>
        <v>6.5609228108348319</v>
      </c>
      <c r="G282" s="293">
        <f>+India!G74</f>
        <v>6.6523400461171907</v>
      </c>
      <c r="H282" s="293">
        <f>+India!H74</f>
        <v>6.8951061293888483</v>
      </c>
      <c r="I282" s="293">
        <f>+India!I74</f>
        <v>7.3027411642299782</v>
      </c>
      <c r="J282" s="293">
        <f>+India!J74</f>
        <v>7.6225088472784757</v>
      </c>
      <c r="K282" s="293">
        <f>+India!K74</f>
        <v>8.038943785062493</v>
      </c>
      <c r="L282" s="293">
        <f>+India!L74</f>
        <v>8.6782849454465953</v>
      </c>
      <c r="M282" s="293">
        <f>+India!M74</f>
        <v>9.1531200584896695</v>
      </c>
      <c r="N282" s="293">
        <f>+India!N74</f>
        <v>9.6780043367166151</v>
      </c>
      <c r="O282" s="293">
        <f>+India!O74</f>
        <v>10.10278584659795</v>
      </c>
      <c r="P282" s="293">
        <f>+India!P74</f>
        <v>10.780219558763864</v>
      </c>
      <c r="Q282" s="293">
        <f>+India!Q74</f>
        <v>11.596464364522721</v>
      </c>
      <c r="R282" s="293">
        <f>+India!R74</f>
        <v>12.49325257110816</v>
      </c>
      <c r="S282" s="293">
        <f>+India!S74</f>
        <v>13.488981632183021</v>
      </c>
      <c r="T282" s="293">
        <f>+India!T74</f>
        <v>14.53417461777074</v>
      </c>
      <c r="U282" s="293">
        <f>+India!U74</f>
        <v>15.21083474079045</v>
      </c>
      <c r="V282" s="293">
        <f>+India!V74</f>
        <v>16.235207499039955</v>
      </c>
      <c r="W282" s="293">
        <f>+India!W74</f>
        <v>17.51471016725236</v>
      </c>
      <c r="X282" s="293">
        <f>+India!X74</f>
        <v>18.592279964516699</v>
      </c>
      <c r="Y282" s="293">
        <f>+India!Y74</f>
        <v>19.645059134752344</v>
      </c>
      <c r="Z282" s="293">
        <f>+India!Z74</f>
        <v>20.84921482912798</v>
      </c>
      <c r="AA282" s="293">
        <f>+India!AA74</f>
        <v>22.299129173625634</v>
      </c>
      <c r="AB282" s="293">
        <f>+India!AB74</f>
        <v>23.984963681367496</v>
      </c>
      <c r="AC282" s="293">
        <f>+India!AC74</f>
        <v>25.845601618403482</v>
      </c>
      <c r="AD282" s="293">
        <f>+India!AD74</f>
        <v>27.69991485095651</v>
      </c>
      <c r="AE282" s="293">
        <f>+India!AE74</f>
        <v>29.567099770636609</v>
      </c>
      <c r="AF282" s="293">
        <f>+India!AF74</f>
        <v>30.968779145453034</v>
      </c>
      <c r="AG282" s="293">
        <f>+India!AG74</f>
        <v>30.24994186466224</v>
      </c>
      <c r="AH282" s="293">
        <f>+India!AH74</f>
        <v>31.791057189103086</v>
      </c>
      <c r="AI282" s="293">
        <f>+India!AI74</f>
        <v>33.860714879165769</v>
      </c>
      <c r="AJ282" s="293">
        <f>+India!AJ74</f>
        <v>289.45028603504289</v>
      </c>
      <c r="AK282" s="293">
        <f>+India!AK74</f>
        <v>651.10975504291241</v>
      </c>
      <c r="AL282" s="293">
        <f>+India!AL74</f>
        <v>950.00442446147508</v>
      </c>
      <c r="AM282" s="293">
        <f>+India!AM74</f>
        <v>1165.0990409380179</v>
      </c>
      <c r="AN282" s="293">
        <f>+India!AN74</f>
        <v>1318.6216014223799</v>
      </c>
      <c r="AO282" s="293">
        <f>+India!AO74</f>
        <v>1433.7771744536631</v>
      </c>
      <c r="AP282" s="293">
        <f>+India!AP74</f>
        <v>1526.7879440940596</v>
      </c>
      <c r="AQ282" s="293">
        <f>+India!AQ74</f>
        <v>1607.70332782886</v>
      </c>
      <c r="AR282" s="293">
        <f>+India!AR74</f>
        <v>1682.45012390075</v>
      </c>
      <c r="AS282" s="293">
        <f>+India!AS74</f>
        <v>1754.4544364385529</v>
      </c>
      <c r="AT282" s="293">
        <f>+India!AT74</f>
        <v>1825.6889293011427</v>
      </c>
      <c r="AU282" s="293">
        <f>+India!AU74</f>
        <v>1897.2992724739256</v>
      </c>
      <c r="AV282" s="293">
        <f>+India!AV74</f>
        <v>1969.965987175191</v>
      </c>
      <c r="AW282" s="293">
        <f>+India!AW74</f>
        <v>2044.109835846944</v>
      </c>
      <c r="AX282" s="293">
        <f>+India!AX74</f>
        <v>2120.0073493498785</v>
      </c>
      <c r="AY282" s="293">
        <f>+India!AY74</f>
        <v>2197.855497653296</v>
      </c>
      <c r="AZ282" s="293">
        <f>+India!AZ74</f>
        <v>2277.8078063224434</v>
      </c>
      <c r="BA282" s="293">
        <f>+India!BA74</f>
        <v>2359.9945122597655</v>
      </c>
      <c r="BB282" s="293">
        <f>+India!BB74</f>
        <v>2444.5338220414496</v>
      </c>
      <c r="BC282" s="293">
        <f>+India!BC74</f>
        <v>2531.5382194004042</v>
      </c>
      <c r="BD282" s="293">
        <f>+India!BD74</f>
        <v>2621.118021894205</v>
      </c>
      <c r="BE282" s="293">
        <f>+India!BE74</f>
        <v>2713.3834113547091</v>
      </c>
      <c r="BF282" s="293">
        <f>+India!BF74</f>
        <v>2808.9358206969964</v>
      </c>
      <c r="BG282" s="293">
        <f>+India!BG74</f>
        <v>2907.422863263314</v>
      </c>
      <c r="BH282" s="293">
        <f>+India!BH74</f>
        <v>3008.8242777636583</v>
      </c>
      <c r="BI282" s="293">
        <f>+India!BI74</f>
        <v>3113.2446556053756</v>
      </c>
      <c r="DR282" s="293"/>
    </row>
    <row r="283" spans="1:122" s="292" customFormat="1" ht="15" x14ac:dyDescent="0.2">
      <c r="A283" s="292" t="s">
        <v>56</v>
      </c>
      <c r="B283" s="293">
        <f>+MidEast!B74</f>
        <v>5.4160684888199055</v>
      </c>
      <c r="C283" s="293">
        <f>+MidEast!C74</f>
        <v>6.1931690586071575</v>
      </c>
      <c r="D283" s="293">
        <f>+MidEast!D74</f>
        <v>6.6040939641994765</v>
      </c>
      <c r="E283" s="293">
        <f>+MidEast!E74</f>
        <v>6.9296730435635006</v>
      </c>
      <c r="F283" s="293">
        <f>+MidEast!F74</f>
        <v>6.9649806469790594</v>
      </c>
      <c r="G283" s="293">
        <f>+MidEast!G74</f>
        <v>6.8463026137332648</v>
      </c>
      <c r="H283" s="293">
        <f>+MidEast!H74</f>
        <v>7.16501014955006</v>
      </c>
      <c r="I283" s="293">
        <f>+MidEast!I74</f>
        <v>7.5206551717333241</v>
      </c>
      <c r="J283" s="293">
        <f>+MidEast!J74</f>
        <v>7.8331779317894954</v>
      </c>
      <c r="K283" s="293">
        <f>+MidEast!K74</f>
        <v>8.1872362335265674</v>
      </c>
      <c r="L283" s="293">
        <f>+MidEast!L74</f>
        <v>8.2420526713162339</v>
      </c>
      <c r="M283" s="293">
        <f>+MidEast!M74</f>
        <v>8.5845579993962566</v>
      </c>
      <c r="N283" s="293">
        <f>+MidEast!N74</f>
        <v>9.014796438132155</v>
      </c>
      <c r="O283" s="293">
        <f>+MidEast!O74</f>
        <v>9.2444127990438822</v>
      </c>
      <c r="P283" s="293">
        <f>+MidEast!P74</f>
        <v>9.6472556391042144</v>
      </c>
      <c r="Q283" s="293">
        <f>+MidEast!Q74</f>
        <v>10.364428618864174</v>
      </c>
      <c r="R283" s="293">
        <f>+MidEast!R74</f>
        <v>10.934887981855194</v>
      </c>
      <c r="S283" s="293">
        <f>+MidEast!S74</f>
        <v>11.544921939499806</v>
      </c>
      <c r="T283" s="293">
        <f>+MidEast!T74</f>
        <v>12.151444892221072</v>
      </c>
      <c r="U283" s="293">
        <f>+MidEast!U74</f>
        <v>12.719680428426994</v>
      </c>
      <c r="V283" s="293">
        <f>+MidEast!V74</f>
        <v>12.894356159014274</v>
      </c>
      <c r="W283" s="293">
        <f>+MidEast!W74</f>
        <v>13.377971881957739</v>
      </c>
      <c r="X283" s="293">
        <f>+MidEast!X74</f>
        <v>14.150831069352964</v>
      </c>
      <c r="Y283" s="293">
        <f>+MidEast!Y74</f>
        <v>14.683884676745793</v>
      </c>
      <c r="Z283" s="293">
        <f>+MidEast!Z74</f>
        <v>15.115518656393586</v>
      </c>
      <c r="AA283" s="293">
        <f>+MidEast!AA74</f>
        <v>15.634109109118022</v>
      </c>
      <c r="AB283" s="293">
        <f>+MidEast!AB74</f>
        <v>16.110883164761294</v>
      </c>
      <c r="AC283" s="293">
        <f>+MidEast!AC74</f>
        <v>16.804876187810155</v>
      </c>
      <c r="AD283" s="293">
        <f>+MidEast!AD74</f>
        <v>17.139746423924862</v>
      </c>
      <c r="AE283" s="293">
        <f>+MidEast!AE74</f>
        <v>17.409112444997636</v>
      </c>
      <c r="AF283" s="293">
        <f>+MidEast!AF74</f>
        <v>17.530069232781177</v>
      </c>
      <c r="AG283" s="293">
        <f>+MidEast!AG74</f>
        <v>17.173344564579349</v>
      </c>
      <c r="AH283" s="293">
        <f>+MidEast!AH74</f>
        <v>17.513107374790856</v>
      </c>
      <c r="AI283" s="293">
        <f>+MidEast!AI74</f>
        <v>18.215525356840885</v>
      </c>
      <c r="AJ283" s="293">
        <f>+MidEast!AJ74</f>
        <v>168.32241822972586</v>
      </c>
      <c r="AK283" s="293">
        <f>+MidEast!AK74</f>
        <v>384.71617381552778</v>
      </c>
      <c r="AL283" s="293">
        <f>+MidEast!AL74</f>
        <v>563.1620272854783</v>
      </c>
      <c r="AM283" s="293">
        <f>+MidEast!AM74</f>
        <v>690.38272583211017</v>
      </c>
      <c r="AN283" s="293">
        <f>+MidEast!AN74</f>
        <v>780.02374341925213</v>
      </c>
      <c r="AO283" s="293">
        <f>+MidEast!AO74</f>
        <v>846.32411358409922</v>
      </c>
      <c r="AP283" s="293">
        <f>+MidEast!AP74</f>
        <v>899.20618321951463</v>
      </c>
      <c r="AQ283" s="293">
        <f>+MidEast!AQ74</f>
        <v>944.79418731767964</v>
      </c>
      <c r="AR283" s="293">
        <f>+MidEast!AR74</f>
        <v>986.68570281731365</v>
      </c>
      <c r="AS283" s="293">
        <f>+MidEast!AS74</f>
        <v>1026.9512201976231</v>
      </c>
      <c r="AT283" s="293">
        <f>+MidEast!AT74</f>
        <v>1066.7766519024042</v>
      </c>
      <c r="AU283" s="293">
        <f>+MidEast!AU74</f>
        <v>1106.8461807267583</v>
      </c>
      <c r="AV283" s="293">
        <f>+MidEast!AV74</f>
        <v>1147.5626230749549</v>
      </c>
      <c r="AW283" s="293">
        <f>+MidEast!AW74</f>
        <v>1189.1721068492875</v>
      </c>
      <c r="AX283" s="293">
        <f>+MidEast!AX74</f>
        <v>1231.8339901748702</v>
      </c>
      <c r="AY283" s="293">
        <f>+MidEast!AY74</f>
        <v>1275.6598927561822</v>
      </c>
      <c r="AZ283" s="293">
        <f>+MidEast!AZ74</f>
        <v>1320.7354378380398</v>
      </c>
      <c r="BA283" s="293">
        <f>+MidEast!BA74</f>
        <v>1367.1323569411579</v>
      </c>
      <c r="BB283" s="293">
        <f>+MidEast!BB74</f>
        <v>1414.915235765739</v>
      </c>
      <c r="BC283" s="293">
        <f>+MidEast!BC74</f>
        <v>1464.1452848121364</v>
      </c>
      <c r="BD283" s="293">
        <f>+MidEast!BD74</f>
        <v>1514.8824599006393</v>
      </c>
      <c r="BE283" s="293">
        <f>+MidEast!BE74</f>
        <v>1567.1866684345046</v>
      </c>
      <c r="BF283" s="293">
        <f>+MidEast!BF74</f>
        <v>1621.4628295131661</v>
      </c>
      <c r="BG283" s="293">
        <f>+MidEast!BG74</f>
        <v>1677.4454353321369</v>
      </c>
      <c r="BH283" s="293">
        <f>+MidEast!BH74</f>
        <v>1735.1021838891663</v>
      </c>
      <c r="BI283" s="293">
        <f>+MidEast!BI74</f>
        <v>1794.488454082069</v>
      </c>
      <c r="DR283" s="293"/>
    </row>
    <row r="284" spans="1:122" s="292" customFormat="1" ht="15" x14ac:dyDescent="0.2">
      <c r="A284" s="292" t="s">
        <v>57</v>
      </c>
      <c r="B284" s="293">
        <f>+Africa!B74</f>
        <v>2.1347524454330222</v>
      </c>
      <c r="C284" s="293">
        <f>+Africa!C74</f>
        <v>7.1633449239914491</v>
      </c>
      <c r="D284" s="293">
        <f>+Africa!D74</f>
        <v>9.1061691758178576</v>
      </c>
      <c r="E284" s="293">
        <f>+Africa!E74</f>
        <v>9.5354512075484479</v>
      </c>
      <c r="F284" s="293">
        <f>+Africa!F74</f>
        <v>9.4099385359252743</v>
      </c>
      <c r="G284" s="293">
        <f>+Africa!G74</f>
        <v>9.0375416006022142</v>
      </c>
      <c r="H284" s="293">
        <f>+Africa!H74</f>
        <v>8.8133371382399766</v>
      </c>
      <c r="I284" s="293">
        <f>+Africa!I74</f>
        <v>9.0161142991682599</v>
      </c>
      <c r="J284" s="293">
        <f>+Africa!J74</f>
        <v>9.2998411357736224</v>
      </c>
      <c r="K284" s="293">
        <f>+Africa!K74</f>
        <v>9.6015116065550217</v>
      </c>
      <c r="L284" s="293">
        <f>+Africa!L74</f>
        <v>9.9912078137053228</v>
      </c>
      <c r="M284" s="293">
        <f>+Africa!M74</f>
        <v>10.202077116669043</v>
      </c>
      <c r="N284" s="293">
        <f>+Africa!N74</f>
        <v>10.500573785945031</v>
      </c>
      <c r="O284" s="293">
        <f>+Africa!O74</f>
        <v>10.933607284351135</v>
      </c>
      <c r="P284" s="293">
        <f>+Africa!P74</f>
        <v>11.427254563081949</v>
      </c>
      <c r="Q284" s="293">
        <f>+Africa!Q74</f>
        <v>12.039410856355241</v>
      </c>
      <c r="R284" s="293">
        <f>+Africa!R74</f>
        <v>12.714012333380538</v>
      </c>
      <c r="S284" s="293">
        <f>+Africa!S74</f>
        <v>13.456674176356991</v>
      </c>
      <c r="T284" s="293">
        <f>+Africa!T74</f>
        <v>14.254605585854417</v>
      </c>
      <c r="U284" s="293">
        <f>+Africa!U74</f>
        <v>15.024996576237095</v>
      </c>
      <c r="V284" s="293">
        <f>+Africa!V74</f>
        <v>15.565743140674297</v>
      </c>
      <c r="W284" s="293">
        <f>+Africa!W74</f>
        <v>16.297328681975902</v>
      </c>
      <c r="X284" s="293">
        <f>+Africa!X74</f>
        <v>16.710689212259524</v>
      </c>
      <c r="Y284" s="293">
        <f>+Africa!Y74</f>
        <v>17.395094967992588</v>
      </c>
      <c r="Z284" s="293">
        <f>+Africa!Z74</f>
        <v>18.060595018985193</v>
      </c>
      <c r="AA284" s="293">
        <f>+Africa!AA74</f>
        <v>18.701409731618092</v>
      </c>
      <c r="AB284" s="293">
        <f>+Africa!AB74</f>
        <v>19.30546677265809</v>
      </c>
      <c r="AC284" s="293">
        <f>+Africa!AC74</f>
        <v>19.750025026367791</v>
      </c>
      <c r="AD284" s="293">
        <f>+Africa!AD74</f>
        <v>20.373941729386502</v>
      </c>
      <c r="AE284" s="293">
        <f>+Africa!AE74</f>
        <v>21.038524798798957</v>
      </c>
      <c r="AF284" s="293">
        <f>+Africa!AF74</f>
        <v>21.632713172197391</v>
      </c>
      <c r="AG284" s="293">
        <f>+Africa!AG74</f>
        <v>21.52715637091806</v>
      </c>
      <c r="AH284" s="293">
        <f>+Africa!AH74</f>
        <v>22.150189077139718</v>
      </c>
      <c r="AI284" s="293">
        <f>+Africa!AI74</f>
        <v>22.931779777198955</v>
      </c>
      <c r="AJ284" s="293">
        <f>+Africa!AJ74</f>
        <v>232.6644959840774</v>
      </c>
      <c r="AK284" s="293">
        <f>+Africa!AK74</f>
        <v>546.0027131747687</v>
      </c>
      <c r="AL284" s="293">
        <f>+Africa!AL74</f>
        <v>807.32353206625771</v>
      </c>
      <c r="AM284" s="293">
        <f>+Africa!AM74</f>
        <v>995.08233661893928</v>
      </c>
      <c r="AN284" s="293">
        <f>+Africa!AN74</f>
        <v>1128.4932166221347</v>
      </c>
      <c r="AO284" s="293">
        <f>+Africa!AO74</f>
        <v>1228.0504288730949</v>
      </c>
      <c r="AP284" s="293">
        <f>+Africa!AP74</f>
        <v>1308.0917833685703</v>
      </c>
      <c r="AQ284" s="293">
        <f>+Africa!AQ74</f>
        <v>1377.4765972275618</v>
      </c>
      <c r="AR284" s="293">
        <f>+Africa!AR74</f>
        <v>1441.4110462847002</v>
      </c>
      <c r="AS284" s="293">
        <f>+Africa!AS74</f>
        <v>1502.8923102600224</v>
      </c>
      <c r="AT284" s="293">
        <f>+Africa!AT74</f>
        <v>1563.6382050132652</v>
      </c>
      <c r="AU284" s="293">
        <f>+Africa!AU74</f>
        <v>1624.641239256639</v>
      </c>
      <c r="AV284" s="293">
        <f>+Africa!AV74</f>
        <v>1686.4874287259904</v>
      </c>
      <c r="AW284" s="293">
        <f>+Africa!AW74</f>
        <v>1749.5365640751893</v>
      </c>
      <c r="AX284" s="293">
        <f>+Africa!AX74</f>
        <v>1814.0232131571033</v>
      </c>
      <c r="AY284" s="293">
        <f>+Africa!AY74</f>
        <v>1880.1130374632935</v>
      </c>
      <c r="AZ284" s="293">
        <f>+Africa!AZ74</f>
        <v>1947.934115408963</v>
      </c>
      <c r="BA284" s="293">
        <f>+Africa!BA74</f>
        <v>2017.5943490792497</v>
      </c>
      <c r="BB284" s="293">
        <f>+Africa!BB74</f>
        <v>2089.1911430886312</v>
      </c>
      <c r="BC284" s="293">
        <f>+Africa!BC74</f>
        <v>2162.816800066923</v>
      </c>
      <c r="BD284" s="293">
        <f>+Africa!BD74</f>
        <v>2238.5615455004299</v>
      </c>
      <c r="BE284" s="293">
        <f>+Africa!BE74</f>
        <v>2316.5152424212629</v>
      </c>
      <c r="BF284" s="293">
        <f>+Africa!BF74</f>
        <v>2397.0385593981318</v>
      </c>
      <c r="BG284" s="293">
        <f>+Africa!BG74</f>
        <v>2479.9666413378127</v>
      </c>
      <c r="BH284" s="293">
        <f>+Africa!BH74</f>
        <v>2565.3177582223143</v>
      </c>
      <c r="BI284" s="293">
        <f>+Africa!BI74</f>
        <v>2653.1799840268186</v>
      </c>
      <c r="DR284" s="293"/>
    </row>
    <row r="285" spans="1:122" s="292" customFormat="1" ht="15" x14ac:dyDescent="0.2">
      <c r="A285" s="292" t="s">
        <v>58</v>
      </c>
      <c r="B285" s="293">
        <f>+LatAm!B74</f>
        <v>7.6929611347491704</v>
      </c>
      <c r="C285" s="293">
        <f>+LatAm!C74</f>
        <v>13.000479135123344</v>
      </c>
      <c r="D285" s="293">
        <f>+LatAm!D74</f>
        <v>15.292651771072261</v>
      </c>
      <c r="E285" s="293">
        <f>+LatAm!E74</f>
        <v>15.996079801414311</v>
      </c>
      <c r="F285" s="293">
        <f>+LatAm!F74</f>
        <v>16.325324729036293</v>
      </c>
      <c r="G285" s="293">
        <f>+LatAm!G74</f>
        <v>16.667821325262466</v>
      </c>
      <c r="H285" s="293">
        <f>+LatAm!H74</f>
        <v>16.773623758552695</v>
      </c>
      <c r="I285" s="293">
        <f>+LatAm!I74</f>
        <v>17.273688027774753</v>
      </c>
      <c r="J285" s="293">
        <f>+LatAm!J74</f>
        <v>18.10956245564282</v>
      </c>
      <c r="K285" s="293">
        <f>+LatAm!K74</f>
        <v>18.830628176444669</v>
      </c>
      <c r="L285" s="293">
        <f>+LatAm!L74</f>
        <v>19.264016786779084</v>
      </c>
      <c r="M285" s="293">
        <f>+LatAm!M74</f>
        <v>19.92690239852703</v>
      </c>
      <c r="N285" s="293">
        <f>+LatAm!N74</f>
        <v>20.708155799210637</v>
      </c>
      <c r="O285" s="293">
        <f>+LatAm!O74</f>
        <v>21.04313082201076</v>
      </c>
      <c r="P285" s="293">
        <f>+LatAm!P74</f>
        <v>21.505871505953781</v>
      </c>
      <c r="Q285" s="293">
        <f>+LatAm!Q74</f>
        <v>22.417055542834049</v>
      </c>
      <c r="R285" s="293">
        <f>+LatAm!R74</f>
        <v>23.321982713569938</v>
      </c>
      <c r="S285" s="293">
        <f>+LatAm!S74</f>
        <v>24.454449162710759</v>
      </c>
      <c r="T285" s="293">
        <f>+LatAm!T74</f>
        <v>25.703785064435198</v>
      </c>
      <c r="U285" s="293">
        <f>+LatAm!U74</f>
        <v>26.780791854435698</v>
      </c>
      <c r="V285" s="293">
        <f>+LatAm!V74</f>
        <v>26.723254240552855</v>
      </c>
      <c r="W285" s="293">
        <f>+LatAm!W74</f>
        <v>27.832530285559788</v>
      </c>
      <c r="X285" s="293">
        <f>+LatAm!X74</f>
        <v>29.073505395809022</v>
      </c>
      <c r="Y285" s="293">
        <f>+LatAm!Y74</f>
        <v>30.033406812870336</v>
      </c>
      <c r="Z285" s="293">
        <f>+LatAm!Z74</f>
        <v>30.92841561394318</v>
      </c>
      <c r="AA285" s="293">
        <f>+LatAm!AA74</f>
        <v>31.552388153634951</v>
      </c>
      <c r="AB285" s="293">
        <f>+LatAm!AB74</f>
        <v>31.882449248697121</v>
      </c>
      <c r="AC285" s="293">
        <f>+LatAm!AC74</f>
        <v>31.905901298923744</v>
      </c>
      <c r="AD285" s="293">
        <f>+LatAm!AD74</f>
        <v>32.333858339017361</v>
      </c>
      <c r="AE285" s="293">
        <f>+LatAm!AE74</f>
        <v>32.866252763772252</v>
      </c>
      <c r="AF285" s="293">
        <f>+LatAm!AF74</f>
        <v>33.206569647436027</v>
      </c>
      <c r="AG285" s="293">
        <f>+LatAm!AG74</f>
        <v>31.868839687622923</v>
      </c>
      <c r="AH285" s="293">
        <f>+LatAm!AH74</f>
        <v>32.911622227620242</v>
      </c>
      <c r="AI285" s="293">
        <f>+LatAm!AI74</f>
        <v>34.144855745422703</v>
      </c>
      <c r="AJ285" s="293">
        <f>+LatAm!AJ74</f>
        <v>229.22439067318152</v>
      </c>
      <c r="AK285" s="293">
        <f>+LatAm!AK74</f>
        <v>477.39711131832252</v>
      </c>
      <c r="AL285" s="293">
        <f>+LatAm!AL74</f>
        <v>676.0302154882072</v>
      </c>
      <c r="AM285" s="293">
        <f>+LatAm!AM74</f>
        <v>817.32684264394038</v>
      </c>
      <c r="AN285" s="293">
        <f>+LatAm!AN74</f>
        <v>917.77876154649493</v>
      </c>
      <c r="AO285" s="293">
        <f>+LatAm!AO74</f>
        <v>993.12166978355481</v>
      </c>
      <c r="AP285" s="293">
        <f>+LatAm!AP74</f>
        <v>1054.1041595177655</v>
      </c>
      <c r="AQ285" s="293">
        <f>+LatAm!AQ74</f>
        <v>1107.3199310557134</v>
      </c>
      <c r="AR285" s="293">
        <f>+LatAm!AR74</f>
        <v>1156.6379873692817</v>
      </c>
      <c r="AS285" s="293">
        <f>+LatAm!AS74</f>
        <v>1204.2881945021109</v>
      </c>
      <c r="AT285" s="293">
        <f>+LatAm!AT74</f>
        <v>1251.5519996129508</v>
      </c>
      <c r="AU285" s="293">
        <f>+LatAm!AU74</f>
        <v>1299.1727073330085</v>
      </c>
      <c r="AV285" s="293">
        <f>+LatAm!AV74</f>
        <v>1347.5915286727263</v>
      </c>
      <c r="AW285" s="293">
        <f>+LatAm!AW74</f>
        <v>1397.0812391063164</v>
      </c>
      <c r="AX285" s="293">
        <f>+LatAm!AX74</f>
        <v>1447.8212364805249</v>
      </c>
      <c r="AY285" s="293">
        <f>+LatAm!AY74</f>
        <v>1499.9395116030637</v>
      </c>
      <c r="AZ285" s="293">
        <f>+LatAm!AZ74</f>
        <v>1553.5360711665585</v>
      </c>
      <c r="BA285" s="293">
        <f>+LatAm!BA74</f>
        <v>1608.6960051338503</v>
      </c>
      <c r="BB285" s="293">
        <f>+LatAm!BB74</f>
        <v>1665.4967860883189</v>
      </c>
      <c r="BC285" s="293">
        <f>+LatAm!BC74</f>
        <v>1724.0123607294122</v>
      </c>
      <c r="BD285" s="293">
        <f>+LatAm!BD74</f>
        <v>1784.3154594379023</v>
      </c>
      <c r="BE285" s="293">
        <f>+LatAm!BE74</f>
        <v>1846.4789171091656</v>
      </c>
      <c r="BF285" s="293">
        <f>+LatAm!BF74</f>
        <v>1910.9312527931104</v>
      </c>
      <c r="BG285" s="293">
        <f>+LatAm!BG74</f>
        <v>1977.410617263798</v>
      </c>
      <c r="BH285" s="293">
        <f>+LatAm!BH74</f>
        <v>2045.8957142398867</v>
      </c>
      <c r="BI285" s="293">
        <f>+LatAm!BI74</f>
        <v>2116.4555916458303</v>
      </c>
      <c r="DR285" s="293"/>
    </row>
    <row r="286" spans="1:122" s="292" customFormat="1" ht="15" x14ac:dyDescent="0.2">
      <c r="A286" s="292" t="s">
        <v>114</v>
      </c>
      <c r="B286" s="293">
        <f>+OHI!B74</f>
        <v>6.870394150413591</v>
      </c>
      <c r="C286" s="293">
        <f>+OHI!C74</f>
        <v>6.9046991829261302</v>
      </c>
      <c r="D286" s="293">
        <f>+OHI!D74</f>
        <v>7.4071792516910779</v>
      </c>
      <c r="E286" s="293">
        <f>+OHI!E74</f>
        <v>7.5951619162477195</v>
      </c>
      <c r="F286" s="293">
        <f>+OHI!F74</f>
        <v>7.7725379025164258</v>
      </c>
      <c r="G286" s="293">
        <f>+OHI!G74</f>
        <v>8.058183844375689</v>
      </c>
      <c r="H286" s="293">
        <f>+OHI!H74</f>
        <v>8.4075256137641539</v>
      </c>
      <c r="I286" s="293">
        <f>+OHI!I74</f>
        <v>8.826814131337569</v>
      </c>
      <c r="J286" s="293">
        <f>+OHI!J74</f>
        <v>9.319208525998409</v>
      </c>
      <c r="K286" s="293">
        <f>+OHI!K74</f>
        <v>9.5619982468679652</v>
      </c>
      <c r="L286" s="293">
        <f>+OHI!L74</f>
        <v>10.30573303799085</v>
      </c>
      <c r="M286" s="293">
        <f>+OHI!M74</f>
        <v>11.224634159616015</v>
      </c>
      <c r="N286" s="293">
        <f>+OHI!N74</f>
        <v>12.081842847422571</v>
      </c>
      <c r="O286" s="293">
        <f>+OHI!O74</f>
        <v>12.756775211216755</v>
      </c>
      <c r="P286" s="293">
        <f>+OHI!P74</f>
        <v>13.234104651239818</v>
      </c>
      <c r="Q286" s="293">
        <f>+OHI!Q74</f>
        <v>13.831064170557422</v>
      </c>
      <c r="R286" s="293">
        <f>+OHI!R74</f>
        <v>14.411026566581626</v>
      </c>
      <c r="S286" s="293">
        <f>+OHI!S74</f>
        <v>15.019744435193729</v>
      </c>
      <c r="T286" s="293">
        <f>+OHI!T74</f>
        <v>15.673859192878835</v>
      </c>
      <c r="U286" s="293">
        <f>+OHI!U74</f>
        <v>16.132061229078495</v>
      </c>
      <c r="V286" s="293">
        <f>+OHI!V74</f>
        <v>16.238799035628233</v>
      </c>
      <c r="W286" s="293">
        <f>+OHI!W74</f>
        <v>16.837887255122055</v>
      </c>
      <c r="X286" s="293">
        <f>+OHI!X74</f>
        <v>17.46179012562871</v>
      </c>
      <c r="Y286" s="293">
        <f>+OHI!Y74</f>
        <v>17.986552091687344</v>
      </c>
      <c r="Z286" s="293">
        <f>+OHI!Z74</f>
        <v>18.526297969866427</v>
      </c>
      <c r="AA286" s="293">
        <f>+OHI!AA74</f>
        <v>19.069548408087876</v>
      </c>
      <c r="AB286" s="293">
        <f>+OHI!AB74</f>
        <v>19.462286741341153</v>
      </c>
      <c r="AC286" s="293">
        <f>+OHI!AC74</f>
        <v>19.8557825939215</v>
      </c>
      <c r="AD286" s="293">
        <f>+OHI!AD74</f>
        <v>20.413898864355364</v>
      </c>
      <c r="AE286" s="293">
        <f>+OHI!AE74</f>
        <v>21.009412671267128</v>
      </c>
      <c r="AF286" s="293">
        <f>+OHI!AF74</f>
        <v>21.446580547056612</v>
      </c>
      <c r="AG286" s="293">
        <f>+OHI!AG74</f>
        <v>21.145595974686437</v>
      </c>
      <c r="AH286" s="293">
        <f>+OHI!AH74</f>
        <v>21.70475758032125</v>
      </c>
      <c r="AI286" s="293">
        <f>+OHI!AI74</f>
        <v>22.291831870883332</v>
      </c>
      <c r="AJ286" s="293">
        <f>+OHI!AJ74</f>
        <v>82.740224221170791</v>
      </c>
      <c r="AK286" s="293">
        <f>+OHI!AK74</f>
        <v>142.46887947091926</v>
      </c>
      <c r="AL286" s="293">
        <f>+OHI!AL74</f>
        <v>186.65598554360326</v>
      </c>
      <c r="AM286" s="293">
        <f>+OHI!AM74</f>
        <v>217.36827657333333</v>
      </c>
      <c r="AN286" s="293">
        <f>+OHI!AN74</f>
        <v>239.24498148524154</v>
      </c>
      <c r="AO286" s="293">
        <f>+OHI!AO74</f>
        <v>255.90765591241455</v>
      </c>
      <c r="AP286" s="293">
        <f>+OHI!AP74</f>
        <v>269.67524074161361</v>
      </c>
      <c r="AQ286" s="293">
        <f>+OHI!AQ74</f>
        <v>281.92719926964099</v>
      </c>
      <c r="AR286" s="293">
        <f>+OHI!AR74</f>
        <v>293.45881350493266</v>
      </c>
      <c r="AS286" s="293">
        <f>+OHI!AS74</f>
        <v>304.72330295495897</v>
      </c>
      <c r="AT286" s="293">
        <f>+OHI!AT74</f>
        <v>315.97920677549132</v>
      </c>
      <c r="AU286" s="293">
        <f>+OHI!AU74</f>
        <v>327.37587682265956</v>
      </c>
      <c r="AV286" s="293">
        <f>+OHI!AV74</f>
        <v>339.00193548779441</v>
      </c>
      <c r="AW286" s="293">
        <f>+OHI!AW74</f>
        <v>350.91242139998491</v>
      </c>
      <c r="AX286" s="293">
        <f>+OHI!AX74</f>
        <v>363.14390429870366</v>
      </c>
      <c r="AY286" s="293">
        <f>+OHI!AY74</f>
        <v>375.72287551547834</v>
      </c>
      <c r="AZ286" s="293">
        <f>+OHI!AZ74</f>
        <v>388.67039990926355</v>
      </c>
      <c r="BA286" s="293">
        <f>+OHI!BA74</f>
        <v>402.00469540832671</v>
      </c>
      <c r="BB286" s="293">
        <f>+OHI!BB74</f>
        <v>415.74256573898589</v>
      </c>
      <c r="BC286" s="293">
        <f>+OHI!BC74</f>
        <v>429.90019923736668</v>
      </c>
      <c r="BD286" s="293">
        <f>+OHI!BD74</f>
        <v>444.4936175469403</v>
      </c>
      <c r="BE286" s="293">
        <f>+OHI!BE74</f>
        <v>459.53893110050723</v>
      </c>
      <c r="BF286" s="293">
        <f>+OHI!BF74</f>
        <v>475.1349262880417</v>
      </c>
      <c r="BG286" s="293">
        <f>+OHI!BG74</f>
        <v>491.21990114003597</v>
      </c>
      <c r="BH286" s="293">
        <f>+OHI!BH74</f>
        <v>507.78802841832658</v>
      </c>
      <c r="BI286" s="293">
        <f>+OHI!BI74</f>
        <v>524.85467784827961</v>
      </c>
      <c r="DR286" s="293"/>
    </row>
    <row r="287" spans="1:122" s="292" customFormat="1" ht="15" x14ac:dyDescent="0.2">
      <c r="A287" s="292" t="s">
        <v>224</v>
      </c>
      <c r="B287" s="293">
        <f>+OthAsia!B74</f>
        <v>4.4201869312950182</v>
      </c>
      <c r="C287" s="293">
        <f>+OthAsia!C74</f>
        <v>7.6255706753448509</v>
      </c>
      <c r="D287" s="293">
        <f>+OthAsia!D74</f>
        <v>10.105319676824436</v>
      </c>
      <c r="E287" s="293">
        <f>+OthAsia!E74</f>
        <v>11.090327299272332</v>
      </c>
      <c r="F287" s="293">
        <f>+OthAsia!F74</f>
        <v>11.574821382100048</v>
      </c>
      <c r="G287" s="293">
        <f>+OthAsia!G74</f>
        <v>11.821292601003819</v>
      </c>
      <c r="H287" s="293">
        <f>+OthAsia!H74</f>
        <v>12.233725212737507</v>
      </c>
      <c r="I287" s="293">
        <f>+OthAsia!I74</f>
        <v>12.870107838921257</v>
      </c>
      <c r="J287" s="293">
        <f>+OthAsia!J74</f>
        <v>13.337343534076346</v>
      </c>
      <c r="K287" s="293">
        <f>+OthAsia!K74</f>
        <v>13.017316703223761</v>
      </c>
      <c r="L287" s="293">
        <f>+OthAsia!L74</f>
        <v>13.106459043569922</v>
      </c>
      <c r="M287" s="293">
        <f>+OthAsia!M74</f>
        <v>13.624071340482791</v>
      </c>
      <c r="N287" s="293">
        <f>+OthAsia!N74</f>
        <v>13.883076513654309</v>
      </c>
      <c r="O287" s="293">
        <f>+OthAsia!O74</f>
        <v>14.450976992903165</v>
      </c>
      <c r="P287" s="293">
        <f>+OthAsia!P74</f>
        <v>15.196587885959039</v>
      </c>
      <c r="Q287" s="293">
        <f>+OthAsia!Q74</f>
        <v>16.091601035357375</v>
      </c>
      <c r="R287" s="293">
        <f>+OthAsia!R74</f>
        <v>17.033745434613589</v>
      </c>
      <c r="S287" s="293">
        <f>+OthAsia!S74</f>
        <v>18.037145963121681</v>
      </c>
      <c r="T287" s="293">
        <f>+OthAsia!T74</f>
        <v>19.137973407420724</v>
      </c>
      <c r="U287" s="293">
        <f>+OthAsia!U74</f>
        <v>20.119404508345781</v>
      </c>
      <c r="V287" s="293">
        <f>+OthAsia!V74</f>
        <v>20.867957207085468</v>
      </c>
      <c r="W287" s="293">
        <f>+OthAsia!W74</f>
        <v>21.976846410109502</v>
      </c>
      <c r="X287" s="293">
        <f>+OthAsia!X74</f>
        <v>23.066844778709793</v>
      </c>
      <c r="Y287" s="293">
        <f>+OthAsia!Y74</f>
        <v>24.368451357897847</v>
      </c>
      <c r="Z287" s="293">
        <f>+OthAsia!Z74</f>
        <v>25.646532538087861</v>
      </c>
      <c r="AA287" s="293">
        <f>+OthAsia!AA74</f>
        <v>26.924730198526582</v>
      </c>
      <c r="AB287" s="293">
        <f>+OthAsia!AB74</f>
        <v>28.255292005986739</v>
      </c>
      <c r="AC287" s="293">
        <f>+OthAsia!AC74</f>
        <v>29.645638976951368</v>
      </c>
      <c r="AD287" s="293">
        <f>+OthAsia!AD74</f>
        <v>31.232691944930156</v>
      </c>
      <c r="AE287" s="293">
        <f>+OthAsia!AE74</f>
        <v>32.956489862631244</v>
      </c>
      <c r="AF287" s="293">
        <f>+OthAsia!AF74</f>
        <v>34.596079876767931</v>
      </c>
      <c r="AG287" s="293">
        <f>+OthAsia!AG74</f>
        <v>34.514038748169511</v>
      </c>
      <c r="AH287" s="293">
        <f>+OthAsia!AH74</f>
        <v>35.289370660484579</v>
      </c>
      <c r="AI287" s="293">
        <f>+OthAsia!AI74</f>
        <v>36.650412891676055</v>
      </c>
      <c r="AJ287" s="293">
        <f>+OthAsia!AJ74</f>
        <v>332.85311725042408</v>
      </c>
      <c r="AK287" s="293">
        <f>+OthAsia!AK74</f>
        <v>758.42798082816955</v>
      </c>
      <c r="AL287" s="293">
        <f>+OthAsia!AL74</f>
        <v>1111.4182748433966</v>
      </c>
      <c r="AM287" s="293">
        <f>+OthAsia!AM74</f>
        <v>1365.5963395510062</v>
      </c>
      <c r="AN287" s="293">
        <f>+OthAsia!AN74</f>
        <v>1546.9862598149987</v>
      </c>
      <c r="AO287" s="293">
        <f>+OthAsia!AO74</f>
        <v>1682.9959928299572</v>
      </c>
      <c r="AP287" s="293">
        <f>+OthAsia!AP74</f>
        <v>1792.8070097815139</v>
      </c>
      <c r="AQ287" s="293">
        <f>+OthAsia!AQ74</f>
        <v>1888.2995488005333</v>
      </c>
      <c r="AR287" s="293">
        <f>+OthAsia!AR74</f>
        <v>1976.4757689773928</v>
      </c>
      <c r="AS287" s="293">
        <f>+OthAsia!AS74</f>
        <v>2061.3800352813237</v>
      </c>
      <c r="AT287" s="293">
        <f>+OthAsia!AT74</f>
        <v>2145.3386797877083</v>
      </c>
      <c r="AU287" s="293">
        <f>+OthAsia!AU74</f>
        <v>2229.7011891829256</v>
      </c>
      <c r="AV287" s="293">
        <f>+OthAsia!AV74</f>
        <v>2315.2680187023134</v>
      </c>
      <c r="AW287" s="293">
        <f>+OthAsia!AW74</f>
        <v>2402.5332331686886</v>
      </c>
      <c r="AX287" s="293">
        <f>+OthAsia!AX74</f>
        <v>2491.8208696390366</v>
      </c>
      <c r="AY287" s="293">
        <f>+OthAsia!AY74</f>
        <v>2583.3612008853761</v>
      </c>
      <c r="AZ287" s="293">
        <f>+OthAsia!AZ74</f>
        <v>2677.3332830664253</v>
      </c>
      <c r="BA287" s="293">
        <f>+OthAsia!BA74</f>
        <v>2773.8886736863351</v>
      </c>
      <c r="BB287" s="293">
        <f>+OthAsia!BB74</f>
        <v>2873.1646622130083</v>
      </c>
      <c r="BC287" s="293">
        <f>+OthAsia!BC74</f>
        <v>2975.2916705783705</v>
      </c>
      <c r="BD287" s="293">
        <f>+OthAsia!BD74</f>
        <v>3080.3974174595969</v>
      </c>
      <c r="BE287" s="293">
        <f>+OthAsia!BE74</f>
        <v>3188.6092888198882</v>
      </c>
      <c r="BF287" s="293">
        <f>+OthAsia!BF74</f>
        <v>3300.853668103925</v>
      </c>
      <c r="BG287" s="293">
        <f>+OthAsia!BG74</f>
        <v>3416.5034225020581</v>
      </c>
      <c r="BH287" s="293">
        <f>+OthAsia!BH74</f>
        <v>3535.4703553091522</v>
      </c>
      <c r="BI287" s="293">
        <f>+OthAsia!BI74</f>
        <v>3657.868543327857</v>
      </c>
      <c r="DR287" s="293"/>
    </row>
    <row r="288" spans="1:122" s="290" customFormat="1" ht="15" x14ac:dyDescent="0.2">
      <c r="B288" s="290">
        <f>SUM(B276:B287)</f>
        <v>97.350926624833491</v>
      </c>
      <c r="C288" s="290">
        <f t="shared" ref="C288:BI288" si="93">SUM(C276:C287)</f>
        <v>134.58308632945102</v>
      </c>
      <c r="D288" s="290">
        <f t="shared" si="93"/>
        <v>156.1157690829487</v>
      </c>
      <c r="E288" s="290">
        <f t="shared" si="93"/>
        <v>162.70999222236128</v>
      </c>
      <c r="F288" s="290">
        <f t="shared" si="93"/>
        <v>164.46715481657697</v>
      </c>
      <c r="G288" s="290">
        <f t="shared" si="93"/>
        <v>166.55330927114932</v>
      </c>
      <c r="H288" s="290">
        <f t="shared" si="93"/>
        <v>171.26680850020946</v>
      </c>
      <c r="I288" s="290">
        <f t="shared" si="93"/>
        <v>177.85287379580387</v>
      </c>
      <c r="J288" s="290">
        <f t="shared" si="93"/>
        <v>185.4770022561224</v>
      </c>
      <c r="K288" s="290">
        <f t="shared" si="93"/>
        <v>192.0624731083951</v>
      </c>
      <c r="L288" s="290">
        <f t="shared" si="93"/>
        <v>201.41310069248118</v>
      </c>
      <c r="M288" s="290">
        <f t="shared" si="93"/>
        <v>213.11565302315933</v>
      </c>
      <c r="N288" s="290">
        <f t="shared" si="93"/>
        <v>225.79958846128346</v>
      </c>
      <c r="O288" s="290">
        <f t="shared" si="93"/>
        <v>234.21464635289749</v>
      </c>
      <c r="P288" s="290">
        <f t="shared" si="93"/>
        <v>242.84072577555355</v>
      </c>
      <c r="Q288" s="290">
        <f t="shared" si="93"/>
        <v>253.97851110183765</v>
      </c>
      <c r="R288" s="290">
        <f t="shared" si="93"/>
        <v>265.38272529975569</v>
      </c>
      <c r="S288" s="290">
        <f t="shared" si="93"/>
        <v>278.33132418065804</v>
      </c>
      <c r="T288" s="290">
        <f t="shared" si="93"/>
        <v>292.21123405291911</v>
      </c>
      <c r="U288" s="290">
        <f t="shared" si="93"/>
        <v>302.35964029458637</v>
      </c>
      <c r="V288" s="290">
        <f t="shared" si="93"/>
        <v>304.20324085444457</v>
      </c>
      <c r="W288" s="290">
        <f t="shared" si="93"/>
        <v>314.68179392328955</v>
      </c>
      <c r="X288" s="290">
        <f t="shared" si="93"/>
        <v>326.33698095052841</v>
      </c>
      <c r="Y288" s="290">
        <f t="shared" si="93"/>
        <v>337.15435914381368</v>
      </c>
      <c r="Z288" s="290">
        <f t="shared" si="93"/>
        <v>348.01435271655566</v>
      </c>
      <c r="AA288" s="290">
        <f t="shared" si="93"/>
        <v>359.4003314910658</v>
      </c>
      <c r="AB288" s="290">
        <f t="shared" si="93"/>
        <v>371.04563451347599</v>
      </c>
      <c r="AC288" s="290">
        <f t="shared" si="93"/>
        <v>382.1647943150752</v>
      </c>
      <c r="AD288" s="290">
        <f t="shared" si="93"/>
        <v>395.5941590520373</v>
      </c>
      <c r="AE288" s="290">
        <f t="shared" si="93"/>
        <v>409.76951870479792</v>
      </c>
      <c r="AF288" s="290">
        <f t="shared" si="93"/>
        <v>422.06704898180652</v>
      </c>
      <c r="AG288" s="290">
        <f t="shared" si="93"/>
        <v>417.61440748861378</v>
      </c>
      <c r="AH288" s="290">
        <f t="shared" si="93"/>
        <v>433.29759632080084</v>
      </c>
      <c r="AI288" s="290">
        <f t="shared" si="93"/>
        <v>376.35070537944699</v>
      </c>
      <c r="AJ288" s="290">
        <f t="shared" si="93"/>
        <v>2169.1920268212912</v>
      </c>
      <c r="AK288" s="290">
        <f t="shared" si="93"/>
        <v>4431.6718427576234</v>
      </c>
      <c r="AL288" s="290">
        <f t="shared" si="93"/>
        <v>6240.6109900228803</v>
      </c>
      <c r="AM288" s="290">
        <f t="shared" si="93"/>
        <v>7527.0544859570437</v>
      </c>
      <c r="AN288" s="290">
        <f t="shared" si="93"/>
        <v>8442.6917925069556</v>
      </c>
      <c r="AO288" s="290">
        <f t="shared" si="93"/>
        <v>9131.1046840444851</v>
      </c>
      <c r="AP288" s="290">
        <f t="shared" si="93"/>
        <v>9689.896388867006</v>
      </c>
      <c r="AQ288" s="290">
        <f t="shared" si="93"/>
        <v>10178.709393862446</v>
      </c>
      <c r="AR288" s="290">
        <f t="shared" si="93"/>
        <v>10632.42092405613</v>
      </c>
      <c r="AS288" s="290">
        <f t="shared" si="93"/>
        <v>11071.069096953634</v>
      </c>
      <c r="AT288" s="290">
        <f t="shared" si="93"/>
        <v>11506.135530155212</v>
      </c>
      <c r="AU288" s="290">
        <f t="shared" si="93"/>
        <v>11944.2620816866</v>
      </c>
      <c r="AV288" s="290">
        <f t="shared" si="93"/>
        <v>12389.381768013172</v>
      </c>
      <c r="AW288" s="290">
        <f t="shared" si="93"/>
        <v>12843.921425480792</v>
      </c>
      <c r="AX288" s="290">
        <f t="shared" si="93"/>
        <v>13309.474942082714</v>
      </c>
      <c r="AY288" s="290">
        <f t="shared" si="93"/>
        <v>13787.178512955181</v>
      </c>
      <c r="AZ288" s="290">
        <f t="shared" si="93"/>
        <v>14277.919376498308</v>
      </c>
      <c r="BA288" s="290">
        <f t="shared" si="93"/>
        <v>14782.451864757793</v>
      </c>
      <c r="BB288" s="290">
        <f t="shared" si="93"/>
        <v>15301.461987741846</v>
      </c>
      <c r="BC288" s="290">
        <f t="shared" si="93"/>
        <v>15835.603485503007</v>
      </c>
      <c r="BD288" s="290">
        <f t="shared" si="93"/>
        <v>16385.518082026472</v>
      </c>
      <c r="BE288" s="290">
        <f t="shared" si="93"/>
        <v>16951.847002226019</v>
      </c>
      <c r="BF288" s="290">
        <f t="shared" si="93"/>
        <v>17538.362800444047</v>
      </c>
      <c r="BG288" s="290">
        <f t="shared" si="93"/>
        <v>18142.754776813534</v>
      </c>
      <c r="BH288" s="290">
        <f t="shared" si="93"/>
        <v>18764.826587039795</v>
      </c>
      <c r="BI288" s="290">
        <f t="shared" si="93"/>
        <v>19405.181015401613</v>
      </c>
      <c r="DR288" s="291"/>
    </row>
    <row r="289" spans="1:122" s="290" customFormat="1" ht="15" x14ac:dyDescent="0.2">
      <c r="A289" s="289" t="s">
        <v>782</v>
      </c>
      <c r="DR289" s="291"/>
    </row>
    <row r="290" spans="1:122" s="290" customFormat="1" ht="15" x14ac:dyDescent="0.2">
      <c r="A290" s="290" t="s">
        <v>104</v>
      </c>
      <c r="B290" s="290">
        <f>+B276/B$288</f>
        <v>0.23472914469396616</v>
      </c>
      <c r="C290" s="290">
        <f t="shared" ref="C290:BI290" si="94">+C276/C$288</f>
        <v>0.19304468738646119</v>
      </c>
      <c r="D290" s="290">
        <f t="shared" si="94"/>
        <v>0.19001279718623476</v>
      </c>
      <c r="E290" s="290">
        <f t="shared" si="94"/>
        <v>0.19239484283904504</v>
      </c>
      <c r="F290" s="290">
        <f t="shared" si="94"/>
        <v>0.19589548975762769</v>
      </c>
      <c r="G290" s="290">
        <f t="shared" si="94"/>
        <v>0.1995679065116637</v>
      </c>
      <c r="H290" s="290">
        <f t="shared" si="94"/>
        <v>0.19973843535055533</v>
      </c>
      <c r="I290" s="290">
        <f t="shared" si="94"/>
        <v>0.20059708211359287</v>
      </c>
      <c r="J290" s="290">
        <f t="shared" si="94"/>
        <v>0.20241987614270382</v>
      </c>
      <c r="K290" s="290">
        <f t="shared" si="94"/>
        <v>0.20654089896828307</v>
      </c>
      <c r="L290" s="290">
        <f t="shared" si="94"/>
        <v>0.2083785493339218</v>
      </c>
      <c r="M290" s="290">
        <f t="shared" si="94"/>
        <v>0.20598629293625206</v>
      </c>
      <c r="N290" s="290">
        <f t="shared" si="94"/>
        <v>0.20708457697717039</v>
      </c>
      <c r="O290" s="290">
        <f t="shared" si="94"/>
        <v>0.20614642990105927</v>
      </c>
      <c r="P290" s="290">
        <f t="shared" si="94"/>
        <v>0.20469457323584878</v>
      </c>
      <c r="Q290" s="290">
        <f t="shared" si="94"/>
        <v>0.20268915901047249</v>
      </c>
      <c r="R290" s="290">
        <f t="shared" si="94"/>
        <v>0.20073967228437198</v>
      </c>
      <c r="S290" s="290">
        <f t="shared" si="94"/>
        <v>0.197188624166931</v>
      </c>
      <c r="T290" s="290">
        <f t="shared" si="94"/>
        <v>0.19223432036373717</v>
      </c>
      <c r="U290" s="290">
        <f t="shared" si="94"/>
        <v>0.18745314271314573</v>
      </c>
      <c r="V290" s="290">
        <f t="shared" si="94"/>
        <v>0.18369268477972517</v>
      </c>
      <c r="W290" s="290">
        <f t="shared" si="94"/>
        <v>0.17977658966122392</v>
      </c>
      <c r="X290" s="290">
        <f t="shared" si="94"/>
        <v>0.17588895900258997</v>
      </c>
      <c r="Y290" s="290">
        <f t="shared" si="94"/>
        <v>0.17363568246570879</v>
      </c>
      <c r="Z290" s="290">
        <f t="shared" si="94"/>
        <v>0.17139076162519115</v>
      </c>
      <c r="AA290" s="290">
        <f t="shared" si="94"/>
        <v>0.16950948675913816</v>
      </c>
      <c r="AB290" s="290">
        <f t="shared" si="94"/>
        <v>0.16825757565903596</v>
      </c>
      <c r="AC290" s="290">
        <f t="shared" si="94"/>
        <v>0.16625871480270366</v>
      </c>
      <c r="AD290" s="290">
        <f t="shared" si="94"/>
        <v>0.16400484638765686</v>
      </c>
      <c r="AE290" s="290">
        <f t="shared" si="94"/>
        <v>0.16257999434773832</v>
      </c>
      <c r="AF290" s="290">
        <f t="shared" si="94"/>
        <v>0.16163692713696085</v>
      </c>
      <c r="AG290" s="290">
        <f t="shared" si="94"/>
        <v>0.16171305662195251</v>
      </c>
      <c r="AH290" s="290">
        <f t="shared" si="94"/>
        <v>0.16137592429420738</v>
      </c>
      <c r="AI290" s="290">
        <f t="shared" si="94"/>
        <v>0</v>
      </c>
      <c r="AJ290" s="290">
        <f t="shared" si="94"/>
        <v>0</v>
      </c>
      <c r="AK290" s="290">
        <f t="shared" si="94"/>
        <v>0</v>
      </c>
      <c r="AL290" s="290">
        <f t="shared" si="94"/>
        <v>0</v>
      </c>
      <c r="AM290" s="290">
        <f t="shared" si="94"/>
        <v>0</v>
      </c>
      <c r="AN290" s="290">
        <f t="shared" si="94"/>
        <v>0</v>
      </c>
      <c r="AO290" s="290">
        <f t="shared" si="94"/>
        <v>0</v>
      </c>
      <c r="AP290" s="290">
        <f t="shared" si="94"/>
        <v>0</v>
      </c>
      <c r="AQ290" s="290">
        <f t="shared" si="94"/>
        <v>0</v>
      </c>
      <c r="AR290" s="290">
        <f t="shared" si="94"/>
        <v>0</v>
      </c>
      <c r="AS290" s="290">
        <f t="shared" si="94"/>
        <v>0</v>
      </c>
      <c r="AT290" s="290">
        <f t="shared" si="94"/>
        <v>0</v>
      </c>
      <c r="AU290" s="290">
        <f t="shared" si="94"/>
        <v>0</v>
      </c>
      <c r="AV290" s="290">
        <f t="shared" si="94"/>
        <v>0</v>
      </c>
      <c r="AW290" s="290">
        <f t="shared" si="94"/>
        <v>0</v>
      </c>
      <c r="AX290" s="290">
        <f t="shared" si="94"/>
        <v>0</v>
      </c>
      <c r="AY290" s="290">
        <f t="shared" si="94"/>
        <v>0</v>
      </c>
      <c r="AZ290" s="290">
        <f t="shared" si="94"/>
        <v>0</v>
      </c>
      <c r="BA290" s="290">
        <f t="shared" si="94"/>
        <v>0</v>
      </c>
      <c r="BB290" s="290">
        <f t="shared" si="94"/>
        <v>0</v>
      </c>
      <c r="BC290" s="290">
        <f t="shared" si="94"/>
        <v>0</v>
      </c>
      <c r="BD290" s="290">
        <f t="shared" si="94"/>
        <v>0</v>
      </c>
      <c r="BE290" s="290">
        <f t="shared" si="94"/>
        <v>0</v>
      </c>
      <c r="BF290" s="290">
        <f t="shared" si="94"/>
        <v>0</v>
      </c>
      <c r="BG290" s="290">
        <f t="shared" si="94"/>
        <v>0</v>
      </c>
      <c r="BH290" s="290">
        <f t="shared" si="94"/>
        <v>0</v>
      </c>
      <c r="BI290" s="290">
        <f t="shared" si="94"/>
        <v>0</v>
      </c>
      <c r="DR290" s="291"/>
    </row>
    <row r="291" spans="1:122" s="290" customFormat="1" ht="15" x14ac:dyDescent="0.2">
      <c r="A291" s="290" t="s">
        <v>105</v>
      </c>
      <c r="B291" s="290">
        <f t="shared" ref="B291:BI291" si="95">+B277/B$288</f>
        <v>0.23936367250092949</v>
      </c>
      <c r="C291" s="290">
        <f t="shared" si="95"/>
        <v>0.24376648574288459</v>
      </c>
      <c r="D291" s="290">
        <f t="shared" si="95"/>
        <v>0.25843178212403656</v>
      </c>
      <c r="E291" s="290">
        <f t="shared" si="95"/>
        <v>0.26430466313679107</v>
      </c>
      <c r="F291" s="290">
        <f t="shared" si="95"/>
        <v>0.26596311536282885</v>
      </c>
      <c r="G291" s="290">
        <f t="shared" si="95"/>
        <v>0.26705581200167505</v>
      </c>
      <c r="H291" s="290">
        <f t="shared" si="95"/>
        <v>0.26645418963486805</v>
      </c>
      <c r="I291" s="290">
        <f t="shared" si="95"/>
        <v>0.26412729074103197</v>
      </c>
      <c r="J291" s="290">
        <f t="shared" si="95"/>
        <v>0.26284034389581984</v>
      </c>
      <c r="K291" s="290">
        <f t="shared" si="95"/>
        <v>0.26378419645103807</v>
      </c>
      <c r="L291" s="290">
        <f t="shared" si="95"/>
        <v>0.26490767155275835</v>
      </c>
      <c r="M291" s="290">
        <f t="shared" si="95"/>
        <v>0.26634779839797285</v>
      </c>
      <c r="N291" s="290">
        <f t="shared" si="95"/>
        <v>0.26736212747125843</v>
      </c>
      <c r="O291" s="290">
        <f t="shared" si="95"/>
        <v>0.26546761454699941</v>
      </c>
      <c r="P291" s="290">
        <f t="shared" si="95"/>
        <v>0.26104642898385977</v>
      </c>
      <c r="Q291" s="290">
        <f t="shared" si="95"/>
        <v>0.25609630704295716</v>
      </c>
      <c r="R291" s="290">
        <f t="shared" si="95"/>
        <v>0.25112233523616156</v>
      </c>
      <c r="S291" s="290">
        <f t="shared" si="95"/>
        <v>0.24701151394766879</v>
      </c>
      <c r="T291" s="290">
        <f t="shared" si="95"/>
        <v>0.24271959422975342</v>
      </c>
      <c r="U291" s="290">
        <f t="shared" si="95"/>
        <v>0.23798299770206147</v>
      </c>
      <c r="V291" s="290">
        <f t="shared" si="95"/>
        <v>0.23120722400733049</v>
      </c>
      <c r="W291" s="290">
        <f t="shared" si="95"/>
        <v>0.22546892724272316</v>
      </c>
      <c r="X291" s="290">
        <f t="shared" si="95"/>
        <v>0.22143164700744247</v>
      </c>
      <c r="Y291" s="290">
        <f t="shared" si="95"/>
        <v>0.21561609322595979</v>
      </c>
      <c r="Z291" s="290">
        <f t="shared" si="95"/>
        <v>0.21044693667079414</v>
      </c>
      <c r="AA291" s="290">
        <f t="shared" si="95"/>
        <v>0.20708004690427342</v>
      </c>
      <c r="AB291" s="290">
        <f t="shared" si="95"/>
        <v>0.20506129895261818</v>
      </c>
      <c r="AC291" s="290">
        <f t="shared" si="95"/>
        <v>0.20289392526880187</v>
      </c>
      <c r="AD291" s="290">
        <f t="shared" si="95"/>
        <v>0.20142879584673254</v>
      </c>
      <c r="AE291" s="290">
        <f t="shared" si="95"/>
        <v>0.19901425505887785</v>
      </c>
      <c r="AF291" s="290">
        <f t="shared" si="95"/>
        <v>0.19683115131839513</v>
      </c>
      <c r="AG291" s="290">
        <f t="shared" si="95"/>
        <v>0.19297720695647816</v>
      </c>
      <c r="AH291" s="290">
        <f t="shared" si="95"/>
        <v>0.19217984092760398</v>
      </c>
      <c r="AI291" s="290">
        <f t="shared" si="95"/>
        <v>0.22928209739420483</v>
      </c>
      <c r="AJ291" s="290">
        <f t="shared" si="95"/>
        <v>0.13987581802515922</v>
      </c>
      <c r="AK291" s="290">
        <f t="shared" si="95"/>
        <v>0.116142154552836</v>
      </c>
      <c r="AL291" s="290">
        <f t="shared" si="95"/>
        <v>0.1074965766966513</v>
      </c>
      <c r="AM291" s="290">
        <f t="shared" si="95"/>
        <v>0.10358974982920394</v>
      </c>
      <c r="AN291" s="290">
        <f t="shared" si="95"/>
        <v>0.10158762476456316</v>
      </c>
      <c r="AO291" s="290">
        <f t="shared" si="95"/>
        <v>0.10046550092506182</v>
      </c>
      <c r="AP291" s="290">
        <f t="shared" si="95"/>
        <v>9.9784872180491382E-2</v>
      </c>
      <c r="AQ291" s="290">
        <f t="shared" si="95"/>
        <v>9.9338675136560597E-2</v>
      </c>
      <c r="AR291" s="290">
        <f t="shared" si="95"/>
        <v>9.902326219044856E-2</v>
      </c>
      <c r="AS291" s="290">
        <f t="shared" si="95"/>
        <v>9.8784773663597641E-2</v>
      </c>
      <c r="AT291" s="290">
        <f t="shared" si="95"/>
        <v>9.8594403140314493E-2</v>
      </c>
      <c r="AU291" s="290">
        <f t="shared" si="95"/>
        <v>9.8436295680301461E-2</v>
      </c>
      <c r="AV291" s="290">
        <f t="shared" si="95"/>
        <v>9.8301416096615635E-2</v>
      </c>
      <c r="AW291" s="290">
        <f t="shared" si="95"/>
        <v>9.8184376939533274E-2</v>
      </c>
      <c r="AX291" s="290">
        <f t="shared" si="95"/>
        <v>9.8081775954653491E-2</v>
      </c>
      <c r="AY291" s="290">
        <f t="shared" si="95"/>
        <v>9.799131629555495E-2</v>
      </c>
      <c r="AZ291" s="290">
        <f t="shared" si="95"/>
        <v>9.7911336752875E-2</v>
      </c>
      <c r="BA291" s="290">
        <f t="shared" si="95"/>
        <v>9.7840558201121405E-2</v>
      </c>
      <c r="BB291" s="290">
        <f t="shared" si="95"/>
        <v>9.7777944678520093E-2</v>
      </c>
      <c r="BC291" s="290">
        <f t="shared" si="95"/>
        <v>9.7722625575276806E-2</v>
      </c>
      <c r="BD291" s="290">
        <f t="shared" si="95"/>
        <v>9.7673850622829919E-2</v>
      </c>
      <c r="BE291" s="290">
        <f t="shared" si="95"/>
        <v>9.7630962664335713E-2</v>
      </c>
      <c r="BF291" s="290">
        <f t="shared" si="95"/>
        <v>9.7592874648489286E-2</v>
      </c>
      <c r="BG291" s="290">
        <f t="shared" si="95"/>
        <v>9.7559587054546343E-2</v>
      </c>
      <c r="BH291" s="290">
        <f t="shared" si="95"/>
        <v>9.7530767806957186E-2</v>
      </c>
      <c r="BI291" s="290">
        <f t="shared" si="95"/>
        <v>9.7505999539743413E-2</v>
      </c>
      <c r="DR291" s="291"/>
    </row>
    <row r="292" spans="1:122" s="290" customFormat="1" ht="15" x14ac:dyDescent="0.2">
      <c r="A292" s="290" t="s">
        <v>51</v>
      </c>
      <c r="B292" s="290">
        <f t="shared" ref="B292:BI292" si="96">+B278/B$288</f>
        <v>7.3275989309443859E-2</v>
      </c>
      <c r="C292" s="290">
        <f t="shared" si="96"/>
        <v>6.4040714422793563E-2</v>
      </c>
      <c r="D292" s="290">
        <f t="shared" si="96"/>
        <v>6.7696644234668563E-2</v>
      </c>
      <c r="E292" s="290">
        <f t="shared" si="96"/>
        <v>6.8347196486445091E-2</v>
      </c>
      <c r="F292" s="290">
        <f t="shared" si="96"/>
        <v>6.671759782106719E-2</v>
      </c>
      <c r="G292" s="290">
        <f t="shared" si="96"/>
        <v>6.8843330739446609E-2</v>
      </c>
      <c r="H292" s="290">
        <f t="shared" si="96"/>
        <v>7.1100102840705129E-2</v>
      </c>
      <c r="I292" s="290">
        <f t="shared" si="96"/>
        <v>7.1747097064696258E-2</v>
      </c>
      <c r="J292" s="290">
        <f t="shared" si="96"/>
        <v>7.08022191539565E-2</v>
      </c>
      <c r="K292" s="290">
        <f t="shared" si="96"/>
        <v>6.8973404977397179E-2</v>
      </c>
      <c r="L292" s="290">
        <f t="shared" si="96"/>
        <v>6.7854110707511198E-2</v>
      </c>
      <c r="M292" s="290">
        <f t="shared" si="96"/>
        <v>6.7574751414889361E-2</v>
      </c>
      <c r="N292" s="290">
        <f t="shared" si="96"/>
        <v>6.7700442687672752E-2</v>
      </c>
      <c r="O292" s="290">
        <f t="shared" si="96"/>
        <v>6.6591478343407631E-2</v>
      </c>
      <c r="P292" s="290">
        <f t="shared" si="96"/>
        <v>6.5320161869769466E-2</v>
      </c>
      <c r="Q292" s="290">
        <f t="shared" si="96"/>
        <v>6.3726798229868348E-2</v>
      </c>
      <c r="R292" s="290">
        <f t="shared" si="96"/>
        <v>6.2119419775005333E-2</v>
      </c>
      <c r="S292" s="290">
        <f t="shared" si="96"/>
        <v>6.0142458784926814E-2</v>
      </c>
      <c r="T292" s="290">
        <f t="shared" si="96"/>
        <v>5.8143730557374818E-2</v>
      </c>
      <c r="U292" s="290">
        <f t="shared" si="96"/>
        <v>5.6040946904607994E-2</v>
      </c>
      <c r="V292" s="290">
        <f t="shared" si="96"/>
        <v>5.3575112396094776E-2</v>
      </c>
      <c r="W292" s="290">
        <f t="shared" si="96"/>
        <v>5.2419382172873875E-2</v>
      </c>
      <c r="X292" s="290">
        <f t="shared" si="96"/>
        <v>5.077624241771473E-2</v>
      </c>
      <c r="Y292" s="290">
        <f t="shared" si="96"/>
        <v>4.9660933602440123E-2</v>
      </c>
      <c r="Z292" s="290">
        <f t="shared" si="96"/>
        <v>4.8912765848491239E-2</v>
      </c>
      <c r="AA292" s="290">
        <f t="shared" si="96"/>
        <v>4.77190968176281E-2</v>
      </c>
      <c r="AB292" s="290">
        <f t="shared" si="96"/>
        <v>4.6795112204320845E-2</v>
      </c>
      <c r="AC292" s="290">
        <f t="shared" si="96"/>
        <v>4.5753717801384965E-2</v>
      </c>
      <c r="AD292" s="290">
        <f t="shared" si="96"/>
        <v>4.4807682819279888E-2</v>
      </c>
      <c r="AE292" s="290">
        <f t="shared" si="96"/>
        <v>4.3656127824836334E-2</v>
      </c>
      <c r="AF292" s="290">
        <f t="shared" si="96"/>
        <v>4.2397220582164073E-2</v>
      </c>
      <c r="AG292" s="290">
        <f t="shared" si="96"/>
        <v>4.1696075039162152E-2</v>
      </c>
      <c r="AH292" s="290">
        <f t="shared" si="96"/>
        <v>4.0478836633905245E-2</v>
      </c>
      <c r="AI292" s="290">
        <f t="shared" si="96"/>
        <v>4.7010153170441681E-2</v>
      </c>
      <c r="AJ292" s="290">
        <f t="shared" si="96"/>
        <v>2.6286966475133029E-2</v>
      </c>
      <c r="AK292" s="290">
        <f t="shared" si="96"/>
        <v>2.1278167671632108E-2</v>
      </c>
      <c r="AL292" s="290">
        <f t="shared" si="96"/>
        <v>1.9504871772115594E-2</v>
      </c>
      <c r="AM292" s="290">
        <f t="shared" si="96"/>
        <v>1.8717457768789709E-2</v>
      </c>
      <c r="AN292" s="290">
        <f t="shared" si="96"/>
        <v>1.8320185823603133E-2</v>
      </c>
      <c r="AO292" s="290">
        <f t="shared" si="96"/>
        <v>1.8101200383225217E-2</v>
      </c>
      <c r="AP292" s="290">
        <f t="shared" si="96"/>
        <v>1.7970852654707076E-2</v>
      </c>
      <c r="AQ292" s="290">
        <f t="shared" si="96"/>
        <v>1.7887199720439062E-2</v>
      </c>
      <c r="AR292" s="290">
        <f t="shared" si="96"/>
        <v>1.7829424999852524E-2</v>
      </c>
      <c r="AS292" s="290">
        <f t="shared" si="96"/>
        <v>1.7786800956301037E-2</v>
      </c>
      <c r="AT292" s="290">
        <f t="shared" si="96"/>
        <v>1.7753637111790836E-2</v>
      </c>
      <c r="AU292" s="290">
        <f t="shared" si="96"/>
        <v>1.7726826442536578E-2</v>
      </c>
      <c r="AV292" s="290">
        <f t="shared" si="96"/>
        <v>1.7704611414687141E-2</v>
      </c>
      <c r="AW292" s="290">
        <f t="shared" si="96"/>
        <v>1.7685950507816496E-2</v>
      </c>
      <c r="AX292" s="290">
        <f t="shared" si="96"/>
        <v>1.7670188801942249E-2</v>
      </c>
      <c r="AY292" s="290">
        <f t="shared" si="96"/>
        <v>1.7656885063123628E-2</v>
      </c>
      <c r="AZ292" s="290">
        <f t="shared" si="96"/>
        <v>1.7645720168305203E-2</v>
      </c>
      <c r="BA292" s="290">
        <f t="shared" si="96"/>
        <v>1.7636448078898206E-2</v>
      </c>
      <c r="BB292" s="290">
        <f t="shared" si="96"/>
        <v>1.7628869186491099E-2</v>
      </c>
      <c r="BC292" s="290">
        <f t="shared" si="96"/>
        <v>1.7622815484741341E-2</v>
      </c>
      <c r="BD292" s="290">
        <f t="shared" si="96"/>
        <v>1.7618142036128666E-2</v>
      </c>
      <c r="BE292" s="290">
        <f t="shared" si="96"/>
        <v>1.7614721823566635E-2</v>
      </c>
      <c r="BF292" s="290">
        <f t="shared" si="96"/>
        <v>1.7612547869702153E-2</v>
      </c>
      <c r="BG292" s="290">
        <f t="shared" si="96"/>
        <v>1.7611411774347212E-2</v>
      </c>
      <c r="BH292" s="290">
        <f t="shared" si="96"/>
        <v>1.761120008753218E-2</v>
      </c>
      <c r="BI292" s="290">
        <f t="shared" si="96"/>
        <v>1.7611831812501751E-2</v>
      </c>
      <c r="DR292" s="291"/>
    </row>
    <row r="293" spans="1:122" s="290" customFormat="1" ht="15" x14ac:dyDescent="0.2">
      <c r="A293" s="290" t="s">
        <v>52</v>
      </c>
      <c r="B293" s="290">
        <f t="shared" ref="B293:BI293" si="97">+B279/B$288</f>
        <v>2.8629490532423654E-2</v>
      </c>
      <c r="C293" s="290">
        <f t="shared" si="97"/>
        <v>5.2347088890580089E-2</v>
      </c>
      <c r="D293" s="290">
        <f t="shared" si="97"/>
        <v>5.2263431442794467E-2</v>
      </c>
      <c r="E293" s="290">
        <f t="shared" si="97"/>
        <v>4.6829288626650561E-2</v>
      </c>
      <c r="F293" s="290">
        <f t="shared" si="97"/>
        <v>4.2729799626626756E-2</v>
      </c>
      <c r="G293" s="290">
        <f t="shared" si="97"/>
        <v>3.7939981853276947E-2</v>
      </c>
      <c r="H293" s="290">
        <f t="shared" si="97"/>
        <v>3.4745453460030599E-2</v>
      </c>
      <c r="I293" s="290">
        <f t="shared" si="97"/>
        <v>3.2029762143348135E-2</v>
      </c>
      <c r="J293" s="290">
        <f t="shared" si="97"/>
        <v>3.0612261981301646E-2</v>
      </c>
      <c r="K293" s="290">
        <f t="shared" si="97"/>
        <v>2.8637881324507758E-2</v>
      </c>
      <c r="L293" s="290">
        <f t="shared" si="97"/>
        <v>2.9095480996675457E-2</v>
      </c>
      <c r="M293" s="290">
        <f t="shared" si="97"/>
        <v>3.0866376700061905E-2</v>
      </c>
      <c r="N293" s="290">
        <f t="shared" si="97"/>
        <v>3.2235219572007659E-2</v>
      </c>
      <c r="O293" s="290">
        <f t="shared" si="97"/>
        <v>3.3115984755453555E-2</v>
      </c>
      <c r="P293" s="290">
        <f t="shared" si="97"/>
        <v>3.4194434919911226E-2</v>
      </c>
      <c r="Q293" s="290">
        <f t="shared" si="97"/>
        <v>3.503805622489705E-2</v>
      </c>
      <c r="R293" s="290">
        <f t="shared" si="97"/>
        <v>3.5755299096485241E-2</v>
      </c>
      <c r="S293" s="290">
        <f t="shared" si="97"/>
        <v>3.6713852501607566E-2</v>
      </c>
      <c r="T293" s="290">
        <f t="shared" si="97"/>
        <v>3.7849646506913137E-2</v>
      </c>
      <c r="U293" s="290">
        <f t="shared" si="97"/>
        <v>3.8845199136899752E-2</v>
      </c>
      <c r="V293" s="290">
        <f t="shared" si="97"/>
        <v>3.7367039505351821E-2</v>
      </c>
      <c r="W293" s="290">
        <f t="shared" si="97"/>
        <v>3.6740004384238294E-2</v>
      </c>
      <c r="X293" s="290">
        <f t="shared" si="97"/>
        <v>3.6642205900869883E-2</v>
      </c>
      <c r="Y293" s="290">
        <f t="shared" si="97"/>
        <v>3.6820381844842549E-2</v>
      </c>
      <c r="Z293" s="290">
        <f t="shared" si="97"/>
        <v>3.6542951893584474E-2</v>
      </c>
      <c r="AA293" s="290">
        <f t="shared" si="97"/>
        <v>3.5848135543922022E-2</v>
      </c>
      <c r="AB293" s="290">
        <f t="shared" si="97"/>
        <v>3.4421110806991811E-2</v>
      </c>
      <c r="AC293" s="290">
        <f t="shared" si="97"/>
        <v>3.3294473283473215E-2</v>
      </c>
      <c r="AD293" s="290">
        <f t="shared" si="97"/>
        <v>3.2513061829789837E-2</v>
      </c>
      <c r="AE293" s="290">
        <f t="shared" si="97"/>
        <v>3.2090351488734244E-2</v>
      </c>
      <c r="AF293" s="290">
        <f t="shared" si="97"/>
        <v>3.1839919759031901E-2</v>
      </c>
      <c r="AG293" s="290">
        <f t="shared" si="97"/>
        <v>3.1859046675729426E-2</v>
      </c>
      <c r="AH293" s="290">
        <f t="shared" si="97"/>
        <v>3.1726978597017653E-2</v>
      </c>
      <c r="AI293" s="290">
        <f t="shared" si="97"/>
        <v>3.6436898406519543E-2</v>
      </c>
      <c r="AJ293" s="290">
        <f t="shared" si="97"/>
        <v>2.0664075646268949E-2</v>
      </c>
      <c r="AK293" s="290">
        <f t="shared" si="97"/>
        <v>1.681169432720566E-2</v>
      </c>
      <c r="AL293" s="290">
        <f t="shared" si="97"/>
        <v>1.5454576140509966E-2</v>
      </c>
      <c r="AM293" s="290">
        <f t="shared" si="97"/>
        <v>1.4859461576353764E-2</v>
      </c>
      <c r="AN293" s="290">
        <f t="shared" si="97"/>
        <v>1.4565696181238206E-2</v>
      </c>
      <c r="AO293" s="290">
        <f t="shared" si="97"/>
        <v>1.4409165474712602E-2</v>
      </c>
      <c r="AP293" s="290">
        <f t="shared" si="97"/>
        <v>1.4320355252340222E-2</v>
      </c>
      <c r="AQ293" s="290">
        <f t="shared" si="97"/>
        <v>1.4266745860281623E-2</v>
      </c>
      <c r="AR293" s="290">
        <f t="shared" si="97"/>
        <v>1.4232226897600458E-2</v>
      </c>
      <c r="AS293" s="290">
        <f t="shared" si="97"/>
        <v>1.4208533980853477E-2</v>
      </c>
      <c r="AT293" s="290">
        <f t="shared" si="97"/>
        <v>1.4191321851528627E-2</v>
      </c>
      <c r="AU293" s="290">
        <f t="shared" si="97"/>
        <v>1.4178253841124928E-2</v>
      </c>
      <c r="AV293" s="290">
        <f t="shared" si="97"/>
        <v>1.4168039680438343E-2</v>
      </c>
      <c r="AW293" s="290">
        <f t="shared" si="97"/>
        <v>1.4159941154239372E-2</v>
      </c>
      <c r="AX293" s="290">
        <f t="shared" si="97"/>
        <v>1.4153515075467957E-2</v>
      </c>
      <c r="AY293" s="290">
        <f t="shared" si="97"/>
        <v>1.414847857671377E-2</v>
      </c>
      <c r="AZ293" s="290">
        <f t="shared" si="97"/>
        <v>1.4144638030771969E-2</v>
      </c>
      <c r="BA293" s="290">
        <f t="shared" si="97"/>
        <v>1.4141851260301484E-2</v>
      </c>
      <c r="BB293" s="290">
        <f t="shared" si="97"/>
        <v>1.4140007235065763E-2</v>
      </c>
      <c r="BC293" s="290">
        <f t="shared" si="97"/>
        <v>1.4139014990730754E-2</v>
      </c>
      <c r="BD293" s="290">
        <f t="shared" si="97"/>
        <v>1.4138797432686449E-2</v>
      </c>
      <c r="BE293" s="290">
        <f t="shared" si="97"/>
        <v>1.4139287744755391E-2</v>
      </c>
      <c r="BF293" s="290">
        <f t="shared" si="97"/>
        <v>1.4140385447736421E-2</v>
      </c>
      <c r="BG293" s="290">
        <f t="shared" si="97"/>
        <v>1.4142079995821368E-2</v>
      </c>
      <c r="BH293" s="290">
        <f t="shared" si="97"/>
        <v>1.4144338784397538E-2</v>
      </c>
      <c r="BI293" s="290">
        <f t="shared" si="97"/>
        <v>1.4147119449988862E-2</v>
      </c>
      <c r="DR293" s="291"/>
    </row>
    <row r="294" spans="1:122" s="290" customFormat="1" ht="15" x14ac:dyDescent="0.2">
      <c r="A294" s="290" t="s">
        <v>53</v>
      </c>
      <c r="B294" s="290">
        <f t="shared" ref="B294:BI294" si="98">+B280/B$288</f>
        <v>1.3995472392031199E-2</v>
      </c>
      <c r="C294" s="290">
        <f t="shared" si="98"/>
        <v>3.0945042509708441E-2</v>
      </c>
      <c r="D294" s="290">
        <f t="shared" si="98"/>
        <v>3.4162736760492141E-2</v>
      </c>
      <c r="E294" s="290">
        <f t="shared" si="98"/>
        <v>3.1965003276621377E-2</v>
      </c>
      <c r="F294" s="290">
        <f t="shared" si="98"/>
        <v>2.9052609755404198E-2</v>
      </c>
      <c r="G294" s="290">
        <f t="shared" si="98"/>
        <v>2.5428302286650033E-2</v>
      </c>
      <c r="H294" s="290">
        <f t="shared" si="98"/>
        <v>2.6155924140982778E-2</v>
      </c>
      <c r="I294" s="290">
        <f t="shared" si="98"/>
        <v>2.5660234498269499E-2</v>
      </c>
      <c r="J294" s="290">
        <f t="shared" si="98"/>
        <v>2.4840460069567603E-2</v>
      </c>
      <c r="K294" s="290">
        <f t="shared" si="98"/>
        <v>2.430040459290448E-2</v>
      </c>
      <c r="L294" s="290">
        <f t="shared" si="98"/>
        <v>2.3783141878212691E-2</v>
      </c>
      <c r="M294" s="290">
        <f t="shared" si="98"/>
        <v>2.3899340488793108E-2</v>
      </c>
      <c r="N294" s="290">
        <f t="shared" si="98"/>
        <v>2.4486703746193807E-2</v>
      </c>
      <c r="O294" s="290">
        <f t="shared" si="98"/>
        <v>2.5205015488886873E-2</v>
      </c>
      <c r="P294" s="290">
        <f t="shared" si="98"/>
        <v>2.5940023556935261E-2</v>
      </c>
      <c r="Q294" s="290">
        <f t="shared" si="98"/>
        <v>2.6878525133412337E-2</v>
      </c>
      <c r="R294" s="290">
        <f t="shared" si="98"/>
        <v>2.752124140397251E-2</v>
      </c>
      <c r="S294" s="290">
        <f t="shared" si="98"/>
        <v>2.8373586163056908E-2</v>
      </c>
      <c r="T294" s="290">
        <f t="shared" si="98"/>
        <v>2.9306197888999502E-2</v>
      </c>
      <c r="U294" s="290">
        <f t="shared" si="98"/>
        <v>3.0100718754909789E-2</v>
      </c>
      <c r="V294" s="290">
        <f t="shared" si="98"/>
        <v>2.9409077312990015E-2</v>
      </c>
      <c r="W294" s="290">
        <f t="shared" si="98"/>
        <v>2.8765661104887291E-2</v>
      </c>
      <c r="X294" s="290">
        <f t="shared" si="98"/>
        <v>2.8725668947224964E-2</v>
      </c>
      <c r="Y294" s="290">
        <f t="shared" si="98"/>
        <v>2.8526668463889567E-2</v>
      </c>
      <c r="Z294" s="290">
        <f t="shared" si="98"/>
        <v>2.8328303600392714E-2</v>
      </c>
      <c r="AA294" s="290">
        <f t="shared" si="98"/>
        <v>2.7763667030262416E-2</v>
      </c>
      <c r="AB294" s="290">
        <f t="shared" si="98"/>
        <v>2.7022542561965464E-2</v>
      </c>
      <c r="AC294" s="290">
        <f t="shared" si="98"/>
        <v>2.6637365173271216E-2</v>
      </c>
      <c r="AD294" s="290">
        <f t="shared" si="98"/>
        <v>2.6584559800973184E-2</v>
      </c>
      <c r="AE294" s="290">
        <f t="shared" si="98"/>
        <v>2.6685277732562289E-2</v>
      </c>
      <c r="AF294" s="290">
        <f t="shared" si="98"/>
        <v>2.6919857331650893E-2</v>
      </c>
      <c r="AG294" s="290">
        <f t="shared" si="98"/>
        <v>2.7014593165692505E-2</v>
      </c>
      <c r="AH294" s="290">
        <f t="shared" si="98"/>
        <v>2.6981268562128194E-2</v>
      </c>
      <c r="AI294" s="290">
        <f t="shared" si="98"/>
        <v>3.111661704298117E-2</v>
      </c>
      <c r="AJ294" s="290">
        <f t="shared" si="98"/>
        <v>2.3114904386664515E-2</v>
      </c>
      <c r="AK294" s="290">
        <f t="shared" si="98"/>
        <v>2.0550865784151679E-2</v>
      </c>
      <c r="AL294" s="290">
        <f t="shared" si="98"/>
        <v>1.9609391383122999E-2</v>
      </c>
      <c r="AM294" s="290">
        <f t="shared" si="98"/>
        <v>1.9203951184756776E-2</v>
      </c>
      <c r="AN294" s="290">
        <f t="shared" si="98"/>
        <v>1.9015277172837262E-2</v>
      </c>
      <c r="AO294" s="290">
        <f t="shared" si="98"/>
        <v>1.892526884442073E-2</v>
      </c>
      <c r="AP294" s="290">
        <f t="shared" si="98"/>
        <v>1.8883122403808579E-2</v>
      </c>
      <c r="AQ294" s="290">
        <f t="shared" si="98"/>
        <v>1.8864984541193893E-2</v>
      </c>
      <c r="AR294" s="290">
        <f t="shared" si="98"/>
        <v>1.885910007649675E-2</v>
      </c>
      <c r="AS294" s="290">
        <f t="shared" si="98"/>
        <v>1.8859525217050286E-2</v>
      </c>
      <c r="AT294" s="290">
        <f t="shared" si="98"/>
        <v>1.8863216495562503E-2</v>
      </c>
      <c r="AU294" s="290">
        <f t="shared" si="98"/>
        <v>1.8868608229187876E-2</v>
      </c>
      <c r="AV294" s="290">
        <f t="shared" si="98"/>
        <v>1.88748957635353E-2</v>
      </c>
      <c r="AW294" s="290">
        <f t="shared" si="98"/>
        <v>1.8881668250017091E-2</v>
      </c>
      <c r="AX294" s="290">
        <f t="shared" si="98"/>
        <v>1.8888718854502221E-2</v>
      </c>
      <c r="AY294" s="290">
        <f t="shared" si="98"/>
        <v>1.8895946255470895E-2</v>
      </c>
      <c r="AZ294" s="290">
        <f t="shared" si="98"/>
        <v>1.8903303444367837E-2</v>
      </c>
      <c r="BA294" s="290">
        <f t="shared" si="98"/>
        <v>1.8910771121269855E-2</v>
      </c>
      <c r="BB294" s="290">
        <f t="shared" si="98"/>
        <v>1.8918343897354396E-2</v>
      </c>
      <c r="BC294" s="290">
        <f t="shared" si="98"/>
        <v>1.8926023166797139E-2</v>
      </c>
      <c r="BD294" s="290">
        <f t="shared" si="98"/>
        <v>1.8933813449018622E-2</v>
      </c>
      <c r="BE294" s="290">
        <f t="shared" si="98"/>
        <v>1.894172053338547E-2</v>
      </c>
      <c r="BF294" s="290">
        <f t="shared" si="98"/>
        <v>1.8948433492077636E-2</v>
      </c>
      <c r="BG294" s="290">
        <f t="shared" si="98"/>
        <v>1.8955296533867159E-2</v>
      </c>
      <c r="BH294" s="290">
        <f t="shared" si="98"/>
        <v>1.8962661199530224E-2</v>
      </c>
      <c r="BI294" s="290">
        <f t="shared" si="98"/>
        <v>1.8970531723801101E-2</v>
      </c>
      <c r="DR294" s="291"/>
    </row>
    <row r="295" spans="1:122" s="290" customFormat="1" ht="15" x14ac:dyDescent="0.2">
      <c r="A295" s="290" t="s">
        <v>54</v>
      </c>
      <c r="B295" s="290">
        <f t="shared" ref="B295:BI295" si="99">+B281/B$288</f>
        <v>9.5129397902204954E-2</v>
      </c>
      <c r="C295" s="290">
        <f t="shared" si="99"/>
        <v>6.6827737834433118E-2</v>
      </c>
      <c r="D295" s="290">
        <f t="shared" si="99"/>
        <v>4.5640183591082656E-2</v>
      </c>
      <c r="E295" s="290">
        <f t="shared" si="99"/>
        <v>4.1838040554559877E-2</v>
      </c>
      <c r="F295" s="290">
        <f t="shared" si="99"/>
        <v>4.3287402756140306E-2</v>
      </c>
      <c r="G295" s="290">
        <f t="shared" si="99"/>
        <v>4.6422498531200229E-2</v>
      </c>
      <c r="H295" s="290">
        <f t="shared" si="99"/>
        <v>4.9791814727611711E-2</v>
      </c>
      <c r="I295" s="290">
        <f t="shared" si="99"/>
        <v>5.2680784044027186E-2</v>
      </c>
      <c r="J295" s="290">
        <f t="shared" si="99"/>
        <v>5.5224641354487854E-2</v>
      </c>
      <c r="K295" s="290">
        <f t="shared" si="99"/>
        <v>5.7681109339887814E-2</v>
      </c>
      <c r="L295" s="290">
        <f t="shared" si="99"/>
        <v>6.0483388925876541E-2</v>
      </c>
      <c r="M295" s="290">
        <f t="shared" si="99"/>
        <v>6.412402176321251E-2</v>
      </c>
      <c r="N295" s="290">
        <f t="shared" si="99"/>
        <v>6.5140725851903808E-2</v>
      </c>
      <c r="O295" s="290">
        <f t="shared" si="99"/>
        <v>6.8175534760365877E-2</v>
      </c>
      <c r="P295" s="290">
        <f t="shared" si="99"/>
        <v>7.1993928762481021E-2</v>
      </c>
      <c r="Q295" s="290">
        <f t="shared" si="99"/>
        <v>7.5621037264150634E-2</v>
      </c>
      <c r="R295" s="290">
        <f t="shared" si="99"/>
        <v>8.0184288483399882E-2</v>
      </c>
      <c r="S295" s="290">
        <f t="shared" si="99"/>
        <v>8.5650406453346595E-2</v>
      </c>
      <c r="T295" s="290">
        <f t="shared" si="99"/>
        <v>9.2546160372884573E-2</v>
      </c>
      <c r="U295" s="290">
        <f t="shared" si="99"/>
        <v>9.9041555488171257E-2</v>
      </c>
      <c r="V295" s="290">
        <f t="shared" si="99"/>
        <v>0.10799619566540203</v>
      </c>
      <c r="W295" s="290">
        <f t="shared" si="99"/>
        <v>0.11507582629539576</v>
      </c>
      <c r="X295" s="290">
        <f t="shared" si="99"/>
        <v>0.12171011900069056</v>
      </c>
      <c r="Y295" s="290">
        <f t="shared" si="99"/>
        <v>0.12762265367182785</v>
      </c>
      <c r="Z295" s="290">
        <f t="shared" si="99"/>
        <v>0.13334020788419393</v>
      </c>
      <c r="AA295" s="290">
        <f t="shared" si="99"/>
        <v>0.1387317900578571</v>
      </c>
      <c r="AB295" s="290">
        <f t="shared" si="99"/>
        <v>0.14382175068952507</v>
      </c>
      <c r="AC295" s="290">
        <f t="shared" si="99"/>
        <v>0.14886386141717067</v>
      </c>
      <c r="AD295" s="290">
        <f t="shared" si="99"/>
        <v>0.15352188495654892</v>
      </c>
      <c r="AE295" s="290">
        <f t="shared" si="99"/>
        <v>0.1580862170197414</v>
      </c>
      <c r="AF295" s="290">
        <f t="shared" si="99"/>
        <v>0.16275532052635247</v>
      </c>
      <c r="AG295" s="290">
        <f t="shared" si="99"/>
        <v>0.17004289805894904</v>
      </c>
      <c r="AH295" s="290">
        <f t="shared" si="99"/>
        <v>0.17485696810945536</v>
      </c>
      <c r="AI295" s="290">
        <f t="shared" si="99"/>
        <v>0.2095093410216968</v>
      </c>
      <c r="AJ295" s="290">
        <f t="shared" si="99"/>
        <v>0.17450418774593263</v>
      </c>
      <c r="AK295" s="290">
        <f t="shared" si="99"/>
        <v>0.15726995941775671</v>
      </c>
      <c r="AL295" s="290">
        <f t="shared" si="99"/>
        <v>0.14976567449627784</v>
      </c>
      <c r="AM295" s="290">
        <f t="shared" si="99"/>
        <v>0.14603172414980278</v>
      </c>
      <c r="AN295" s="290">
        <f t="shared" si="99"/>
        <v>0.14399255138560893</v>
      </c>
      <c r="AO295" s="290">
        <f t="shared" si="99"/>
        <v>0.14279788948722727</v>
      </c>
      <c r="AP295" s="290">
        <f t="shared" si="99"/>
        <v>0.14204951031656607</v>
      </c>
      <c r="AQ295" s="290">
        <f t="shared" si="99"/>
        <v>0.14154468680951765</v>
      </c>
      <c r="AR295" s="290">
        <f t="shared" si="99"/>
        <v>0.14117514894158453</v>
      </c>
      <c r="AS295" s="290">
        <f t="shared" si="99"/>
        <v>0.14088150457921797</v>
      </c>
      <c r="AT295" s="290">
        <f t="shared" si="99"/>
        <v>0.14063066922899359</v>
      </c>
      <c r="AU295" s="290">
        <f t="shared" si="99"/>
        <v>0.1404040239584704</v>
      </c>
      <c r="AV295" s="290">
        <f t="shared" si="99"/>
        <v>0.14019099374910649</v>
      </c>
      <c r="AW295" s="290">
        <f t="shared" si="99"/>
        <v>0.13998550358843298</v>
      </c>
      <c r="AX295" s="290">
        <f t="shared" si="99"/>
        <v>0.13978400561497586</v>
      </c>
      <c r="AY295" s="290">
        <f t="shared" si="99"/>
        <v>0.13958437648548624</v>
      </c>
      <c r="AZ295" s="290">
        <f t="shared" si="99"/>
        <v>0.13938530007495969</v>
      </c>
      <c r="BA295" s="290">
        <f t="shared" si="99"/>
        <v>0.13918592158409193</v>
      </c>
      <c r="BB295" s="290">
        <f t="shared" si="99"/>
        <v>0.13898565351450745</v>
      </c>
      <c r="BC295" s="290">
        <f t="shared" si="99"/>
        <v>0.13878406659448139</v>
      </c>
      <c r="BD295" s="290">
        <f t="shared" si="99"/>
        <v>0.13858082819665662</v>
      </c>
      <c r="BE295" s="290">
        <f t="shared" si="99"/>
        <v>0.13837566729818918</v>
      </c>
      <c r="BF295" s="290">
        <f t="shared" si="99"/>
        <v>0.138163839083211</v>
      </c>
      <c r="BG295" s="290">
        <f t="shared" si="99"/>
        <v>0.13794978499547642</v>
      </c>
      <c r="BH295" s="290">
        <f t="shared" si="99"/>
        <v>0.13773439809117266</v>
      </c>
      <c r="BI295" s="290">
        <f t="shared" si="99"/>
        <v>0.13751753902343278</v>
      </c>
      <c r="DR295" s="291"/>
    </row>
    <row r="296" spans="1:122" s="290" customFormat="1" ht="15" x14ac:dyDescent="0.2">
      <c r="A296" s="290" t="s">
        <v>55</v>
      </c>
      <c r="B296" s="290">
        <f t="shared" ref="B296:BI296" si="100">+B282/B$288</f>
        <v>4.2312779396374019E-2</v>
      </c>
      <c r="C296" s="290">
        <f t="shared" si="100"/>
        <v>4.5221397262946994E-2</v>
      </c>
      <c r="D296" s="290">
        <f t="shared" si="100"/>
        <v>4.10268042202118E-2</v>
      </c>
      <c r="E296" s="290">
        <f t="shared" si="100"/>
        <v>3.9978295834665348E-2</v>
      </c>
      <c r="F296" s="290">
        <f t="shared" si="100"/>
        <v>3.9891994350798751E-2</v>
      </c>
      <c r="G296" s="290">
        <f t="shared" si="100"/>
        <v>3.9941206063262062E-2</v>
      </c>
      <c r="H296" s="290">
        <f t="shared" si="100"/>
        <v>4.0259441918545559E-2</v>
      </c>
      <c r="I296" s="290">
        <f t="shared" si="100"/>
        <v>4.1060574442077266E-2</v>
      </c>
      <c r="J296" s="290">
        <f t="shared" si="100"/>
        <v>4.1096786957731113E-2</v>
      </c>
      <c r="K296" s="290">
        <f t="shared" si="100"/>
        <v>4.1855879782020308E-2</v>
      </c>
      <c r="L296" s="290">
        <f t="shared" si="100"/>
        <v>4.3086993425996936E-2</v>
      </c>
      <c r="M296" s="290">
        <f t="shared" si="100"/>
        <v>4.2949074498507149E-2</v>
      </c>
      <c r="N296" s="290">
        <f t="shared" si="100"/>
        <v>4.2861036207672475E-2</v>
      </c>
      <c r="O296" s="290">
        <f t="shared" si="100"/>
        <v>4.3134731341163912E-2</v>
      </c>
      <c r="P296" s="290">
        <f t="shared" si="100"/>
        <v>4.4392140257098076E-2</v>
      </c>
      <c r="Q296" s="290">
        <f t="shared" si="100"/>
        <v>4.5659234374647119E-2</v>
      </c>
      <c r="R296" s="290">
        <f t="shared" si="100"/>
        <v>4.7076359461591756E-2</v>
      </c>
      <c r="S296" s="290">
        <f t="shared" si="100"/>
        <v>4.8463756897975503E-2</v>
      </c>
      <c r="T296" s="290">
        <f t="shared" si="100"/>
        <v>4.9738589499740513E-2</v>
      </c>
      <c r="U296" s="290">
        <f t="shared" si="100"/>
        <v>5.0307093651687985E-2</v>
      </c>
      <c r="V296" s="290">
        <f t="shared" si="100"/>
        <v>5.3369607284388505E-2</v>
      </c>
      <c r="W296" s="290">
        <f t="shared" si="100"/>
        <v>5.565847947187548E-2</v>
      </c>
      <c r="X296" s="290">
        <f t="shared" si="100"/>
        <v>5.6972641930934653E-2</v>
      </c>
      <c r="Y296" s="290">
        <f t="shared" si="100"/>
        <v>5.8267255344525197E-2</v>
      </c>
      <c r="Z296" s="290">
        <f t="shared" si="100"/>
        <v>5.9909066009438024E-2</v>
      </c>
      <c r="AA296" s="290">
        <f t="shared" si="100"/>
        <v>6.2045377312569226E-2</v>
      </c>
      <c r="AB296" s="290">
        <f t="shared" si="100"/>
        <v>6.4641546619507217E-2</v>
      </c>
      <c r="AC296" s="290">
        <f t="shared" si="100"/>
        <v>6.7629467713593502E-2</v>
      </c>
      <c r="AD296" s="290">
        <f t="shared" si="100"/>
        <v>7.0021041052107158E-2</v>
      </c>
      <c r="AE296" s="290">
        <f t="shared" si="100"/>
        <v>7.215543963370552E-2</v>
      </c>
      <c r="AF296" s="290">
        <f t="shared" si="100"/>
        <v>7.3374074617201315E-2</v>
      </c>
      <c r="AG296" s="290">
        <f t="shared" si="100"/>
        <v>7.2435101189575218E-2</v>
      </c>
      <c r="AH296" s="290">
        <f t="shared" si="100"/>
        <v>7.3370028957109465E-2</v>
      </c>
      <c r="AI296" s="290">
        <f t="shared" si="100"/>
        <v>8.9971174213760219E-2</v>
      </c>
      <c r="AJ296" s="290">
        <f t="shared" si="100"/>
        <v>0.13343691220329626</v>
      </c>
      <c r="AK296" s="290">
        <f t="shared" si="100"/>
        <v>0.14692192430876314</v>
      </c>
      <c r="AL296" s="290">
        <f t="shared" si="100"/>
        <v>0.15222939324054743</v>
      </c>
      <c r="AM296" s="290">
        <f t="shared" si="100"/>
        <v>0.15478817685081217</v>
      </c>
      <c r="AN296" s="290">
        <f t="shared" si="100"/>
        <v>0.15618497439320014</v>
      </c>
      <c r="AO296" s="290">
        <f t="shared" si="100"/>
        <v>0.15702121748303</v>
      </c>
      <c r="AP296" s="290">
        <f t="shared" si="100"/>
        <v>0.15756494010072483</v>
      </c>
      <c r="AQ296" s="290">
        <f t="shared" si="100"/>
        <v>0.1579476597296581</v>
      </c>
      <c r="AR296" s="290">
        <f t="shared" si="100"/>
        <v>0.15823772741108871</v>
      </c>
      <c r="AS296" s="290">
        <f t="shared" si="100"/>
        <v>0.1584719976972519</v>
      </c>
      <c r="AT296" s="290">
        <f t="shared" si="100"/>
        <v>0.15867090427679981</v>
      </c>
      <c r="AU296" s="290">
        <f t="shared" si="100"/>
        <v>0.15884608521634314</v>
      </c>
      <c r="AV296" s="290">
        <f t="shared" si="100"/>
        <v>0.15900438166020817</v>
      </c>
      <c r="AW296" s="290">
        <f t="shared" si="100"/>
        <v>0.15914997983339235</v>
      </c>
      <c r="AX296" s="290">
        <f t="shared" si="100"/>
        <v>0.15928557351625564</v>
      </c>
      <c r="AY296" s="290">
        <f t="shared" si="100"/>
        <v>0.15941300067944081</v>
      </c>
      <c r="AZ296" s="290">
        <f t="shared" si="100"/>
        <v>0.15953359493483013</v>
      </c>
      <c r="BA296" s="290">
        <f t="shared" si="100"/>
        <v>0.15964838132746617</v>
      </c>
      <c r="BB296" s="290">
        <f t="shared" si="100"/>
        <v>0.15975818676671485</v>
      </c>
      <c r="BC296" s="290">
        <f t="shared" si="100"/>
        <v>0.15986370344003292</v>
      </c>
      <c r="BD296" s="290">
        <f t="shared" si="100"/>
        <v>0.15996552619043214</v>
      </c>
      <c r="BE296" s="290">
        <f t="shared" si="100"/>
        <v>0.16006417536675521</v>
      </c>
      <c r="BF296" s="290">
        <f t="shared" si="100"/>
        <v>0.16015952302149195</v>
      </c>
      <c r="BG296" s="290">
        <f t="shared" si="100"/>
        <v>0.16025255806130415</v>
      </c>
      <c r="BH296" s="290">
        <f t="shared" si="100"/>
        <v>0.16034383604918295</v>
      </c>
      <c r="BI296" s="290">
        <f t="shared" si="100"/>
        <v>0.16043368279504519</v>
      </c>
      <c r="DR296" s="291"/>
    </row>
    <row r="297" spans="1:122" s="290" customFormat="1" ht="15" x14ac:dyDescent="0.2">
      <c r="A297" s="290" t="s">
        <v>56</v>
      </c>
      <c r="B297" s="290">
        <f t="shared" ref="B297:BI297" si="101">+B283/B$288</f>
        <v>5.5634483169247073E-2</v>
      </c>
      <c r="C297" s="290">
        <f t="shared" si="101"/>
        <v>4.6017439691096583E-2</v>
      </c>
      <c r="D297" s="290">
        <f t="shared" si="101"/>
        <v>4.2302542548988346E-2</v>
      </c>
      <c r="E297" s="290">
        <f t="shared" si="101"/>
        <v>4.2589105616164816E-2</v>
      </c>
      <c r="F297" s="290">
        <f t="shared" si="101"/>
        <v>4.2348763525135447E-2</v>
      </c>
      <c r="G297" s="290">
        <f t="shared" si="101"/>
        <v>4.1105773542976932E-2</v>
      </c>
      <c r="H297" s="290">
        <f t="shared" si="101"/>
        <v>4.1835369107968735E-2</v>
      </c>
      <c r="I297" s="290">
        <f t="shared" si="101"/>
        <v>4.2285823170717642E-2</v>
      </c>
      <c r="J297" s="290">
        <f t="shared" si="101"/>
        <v>4.2232610170034872E-2</v>
      </c>
      <c r="K297" s="290">
        <f t="shared" si="101"/>
        <v>4.2627985056226482E-2</v>
      </c>
      <c r="L297" s="290">
        <f t="shared" si="101"/>
        <v>4.0921134936005243E-2</v>
      </c>
      <c r="M297" s="290">
        <f t="shared" si="101"/>
        <v>4.0281217628173799E-2</v>
      </c>
      <c r="N297" s="290">
        <f t="shared" si="101"/>
        <v>3.992388338510134E-2</v>
      </c>
      <c r="O297" s="290">
        <f t="shared" si="101"/>
        <v>3.9469832237199534E-2</v>
      </c>
      <c r="P297" s="290">
        <f t="shared" si="101"/>
        <v>3.9726679321576093E-2</v>
      </c>
      <c r="Q297" s="290">
        <f t="shared" si="101"/>
        <v>4.0808289543473833E-2</v>
      </c>
      <c r="R297" s="290">
        <f t="shared" si="101"/>
        <v>4.1204219187605355E-2</v>
      </c>
      <c r="S297" s="290">
        <f t="shared" si="101"/>
        <v>4.1479060876404558E-2</v>
      </c>
      <c r="T297" s="290">
        <f t="shared" si="101"/>
        <v>4.1584454928999953E-2</v>
      </c>
      <c r="U297" s="290">
        <f t="shared" si="101"/>
        <v>4.2068049876082404E-2</v>
      </c>
      <c r="V297" s="290">
        <f t="shared" si="101"/>
        <v>4.2387306995141372E-2</v>
      </c>
      <c r="W297" s="290">
        <f t="shared" si="101"/>
        <v>4.2512697398753574E-2</v>
      </c>
      <c r="X297" s="290">
        <f t="shared" si="101"/>
        <v>4.3362634011430604E-2</v>
      </c>
      <c r="Y297" s="290">
        <f t="shared" si="101"/>
        <v>4.355240938908448E-2</v>
      </c>
      <c r="Z297" s="290">
        <f t="shared" si="101"/>
        <v>4.3433607086615179E-2</v>
      </c>
      <c r="AA297" s="290">
        <f t="shared" si="101"/>
        <v>4.3500541705834971E-2</v>
      </c>
      <c r="AB297" s="290">
        <f t="shared" si="101"/>
        <v>4.3420220226782276E-2</v>
      </c>
      <c r="AC297" s="290">
        <f t="shared" si="101"/>
        <v>4.3972852648366659E-2</v>
      </c>
      <c r="AD297" s="290">
        <f t="shared" si="101"/>
        <v>4.3326591234301472E-2</v>
      </c>
      <c r="AE297" s="290">
        <f t="shared" si="101"/>
        <v>4.2485132862064678E-2</v>
      </c>
      <c r="AF297" s="290">
        <f t="shared" si="101"/>
        <v>4.1533849361305678E-2</v>
      </c>
      <c r="AG297" s="290">
        <f t="shared" si="101"/>
        <v>4.1122490643591067E-2</v>
      </c>
      <c r="AH297" s="290">
        <f t="shared" si="101"/>
        <v>4.0418196462425476E-2</v>
      </c>
      <c r="AI297" s="290">
        <f t="shared" si="101"/>
        <v>4.8400401796711123E-2</v>
      </c>
      <c r="AJ297" s="290">
        <f t="shared" si="101"/>
        <v>7.7596826905354049E-2</v>
      </c>
      <c r="AK297" s="290">
        <f t="shared" si="101"/>
        <v>8.6810618535359957E-2</v>
      </c>
      <c r="AL297" s="290">
        <f t="shared" si="101"/>
        <v>9.0241488883993637E-2</v>
      </c>
      <c r="AM297" s="290">
        <f t="shared" si="101"/>
        <v>9.1720171166574188E-2</v>
      </c>
      <c r="AN297" s="290">
        <f t="shared" si="101"/>
        <v>9.2390408484594636E-2</v>
      </c>
      <c r="AO297" s="290">
        <f t="shared" si="101"/>
        <v>9.2685840636889158E-2</v>
      </c>
      <c r="AP297" s="290">
        <f t="shared" si="101"/>
        <v>9.2798327983427964E-2</v>
      </c>
      <c r="AQ297" s="290">
        <f t="shared" si="101"/>
        <v>9.2820626934036574E-2</v>
      </c>
      <c r="AR297" s="290">
        <f t="shared" si="101"/>
        <v>9.2799721706362415E-2</v>
      </c>
      <c r="AS297" s="290">
        <f t="shared" si="101"/>
        <v>9.275989619468672E-2</v>
      </c>
      <c r="AT297" s="290">
        <f t="shared" si="101"/>
        <v>9.2713722092582884E-2</v>
      </c>
      <c r="AU297" s="290">
        <f t="shared" si="101"/>
        <v>9.2667606684871492E-2</v>
      </c>
      <c r="AV297" s="290">
        <f t="shared" si="101"/>
        <v>9.2624688185630438E-2</v>
      </c>
      <c r="AW297" s="290">
        <f t="shared" si="101"/>
        <v>9.2586373542438011E-2</v>
      </c>
      <c r="AX297" s="290">
        <f t="shared" si="101"/>
        <v>9.2553161979364196E-2</v>
      </c>
      <c r="AY297" s="290">
        <f t="shared" si="101"/>
        <v>9.2525087098676712E-2</v>
      </c>
      <c r="AZ297" s="290">
        <f t="shared" si="101"/>
        <v>9.2501953751888549E-2</v>
      </c>
      <c r="BA297" s="290">
        <f t="shared" si="101"/>
        <v>9.248346414037574E-2</v>
      </c>
      <c r="BB297" s="290">
        <f t="shared" si="101"/>
        <v>9.2469284104959498E-2</v>
      </c>
      <c r="BC297" s="290">
        <f t="shared" si="101"/>
        <v>9.2459077177103804E-2</v>
      </c>
      <c r="BD297" s="290">
        <f t="shared" si="101"/>
        <v>9.245252132505577E-2</v>
      </c>
      <c r="BE297" s="290">
        <f t="shared" si="101"/>
        <v>9.2449316480305105E-2</v>
      </c>
      <c r="BF297" s="290">
        <f t="shared" si="101"/>
        <v>9.2452348486719238E-2</v>
      </c>
      <c r="BG297" s="290">
        <f t="shared" si="101"/>
        <v>9.2458144089337224E-2</v>
      </c>
      <c r="BH297" s="290">
        <f t="shared" si="101"/>
        <v>9.2465665794510474E-2</v>
      </c>
      <c r="BI297" s="290">
        <f t="shared" si="101"/>
        <v>9.2474708308972198E-2</v>
      </c>
      <c r="DR297" s="291"/>
    </row>
    <row r="298" spans="1:122" s="290" customFormat="1" ht="15" x14ac:dyDescent="0.2">
      <c r="A298" s="290" t="s">
        <v>57</v>
      </c>
      <c r="B298" s="290">
        <f t="shared" ref="B298:BI298" si="102">+B284/B$288</f>
        <v>2.1928424509607726E-2</v>
      </c>
      <c r="C298" s="290">
        <f t="shared" si="102"/>
        <v>5.3226190001736375E-2</v>
      </c>
      <c r="D298" s="290">
        <f t="shared" si="102"/>
        <v>5.8329592387169379E-2</v>
      </c>
      <c r="E298" s="290">
        <f t="shared" si="102"/>
        <v>5.8603968184800813E-2</v>
      </c>
      <c r="F298" s="290">
        <f t="shared" si="102"/>
        <v>5.7214697648413554E-2</v>
      </c>
      <c r="G298" s="290">
        <f t="shared" si="102"/>
        <v>5.4262155703487511E-2</v>
      </c>
      <c r="H298" s="290">
        <f t="shared" si="102"/>
        <v>5.1459691550386995E-2</v>
      </c>
      <c r="I298" s="290">
        <f t="shared" si="102"/>
        <v>5.0694228924969886E-2</v>
      </c>
      <c r="J298" s="290">
        <f t="shared" si="102"/>
        <v>5.0140130704353372E-2</v>
      </c>
      <c r="K298" s="290">
        <f t="shared" si="102"/>
        <v>4.9991606643199772E-2</v>
      </c>
      <c r="L298" s="290">
        <f t="shared" si="102"/>
        <v>4.9605550877050264E-2</v>
      </c>
      <c r="M298" s="290">
        <f t="shared" si="102"/>
        <v>4.7871083010314508E-2</v>
      </c>
      <c r="N298" s="290">
        <f t="shared" si="102"/>
        <v>4.650395449124347E-2</v>
      </c>
      <c r="O298" s="290">
        <f t="shared" si="102"/>
        <v>4.6681996427657968E-2</v>
      </c>
      <c r="P298" s="290">
        <f t="shared" si="102"/>
        <v>4.7056582155184427E-2</v>
      </c>
      <c r="Q298" s="290">
        <f t="shared" si="102"/>
        <v>4.7403265749234209E-2</v>
      </c>
      <c r="R298" s="290">
        <f t="shared" si="102"/>
        <v>4.7908213765684174E-2</v>
      </c>
      <c r="S298" s="290">
        <f t="shared" si="102"/>
        <v>4.8347681368492296E-2</v>
      </c>
      <c r="T298" s="290">
        <f t="shared" si="102"/>
        <v>4.8781853415234971E-2</v>
      </c>
      <c r="U298" s="290">
        <f t="shared" si="102"/>
        <v>4.969246742587196E-2</v>
      </c>
      <c r="V298" s="290">
        <f t="shared" si="102"/>
        <v>5.1168893194409482E-2</v>
      </c>
      <c r="W298" s="290">
        <f t="shared" si="102"/>
        <v>5.1789868358093592E-2</v>
      </c>
      <c r="X298" s="290">
        <f t="shared" si="102"/>
        <v>5.1206851162212623E-2</v>
      </c>
      <c r="Y298" s="290">
        <f t="shared" si="102"/>
        <v>5.1593860486237063E-2</v>
      </c>
      <c r="Z298" s="290">
        <f t="shared" si="102"/>
        <v>5.1896121174332295E-2</v>
      </c>
      <c r="AA298" s="290">
        <f t="shared" si="102"/>
        <v>5.2035037513823171E-2</v>
      </c>
      <c r="AB298" s="290">
        <f t="shared" si="102"/>
        <v>5.2029898688801132E-2</v>
      </c>
      <c r="AC298" s="290">
        <f t="shared" si="102"/>
        <v>5.1679341792234559E-2</v>
      </c>
      <c r="AD298" s="290">
        <f t="shared" si="102"/>
        <v>5.1502129804465765E-2</v>
      </c>
      <c r="AE298" s="290">
        <f t="shared" si="102"/>
        <v>5.1342337188226346E-2</v>
      </c>
      <c r="AF298" s="290">
        <f t="shared" si="102"/>
        <v>5.1254210022753717E-2</v>
      </c>
      <c r="AG298" s="290">
        <f t="shared" si="102"/>
        <v>5.1547925514291548E-2</v>
      </c>
      <c r="AH298" s="290">
        <f t="shared" si="102"/>
        <v>5.1120036818160346E-2</v>
      </c>
      <c r="AI298" s="290">
        <f t="shared" si="102"/>
        <v>6.0931943130220823E-2</v>
      </c>
      <c r="AJ298" s="290">
        <f t="shared" si="102"/>
        <v>0.10725859818184066</v>
      </c>
      <c r="AK298" s="290">
        <f t="shared" si="102"/>
        <v>0.12320468043387811</v>
      </c>
      <c r="AL298" s="290">
        <f t="shared" si="102"/>
        <v>0.12936610427359738</v>
      </c>
      <c r="AM298" s="290">
        <f t="shared" si="102"/>
        <v>0.13220076172896433</v>
      </c>
      <c r="AN298" s="290">
        <f t="shared" si="102"/>
        <v>0.1336650969094588</v>
      </c>
      <c r="AO298" s="290">
        <f t="shared" si="102"/>
        <v>0.134490893639514</v>
      </c>
      <c r="AP298" s="290">
        <f t="shared" si="102"/>
        <v>0.13499543554165075</v>
      </c>
      <c r="AQ298" s="290">
        <f t="shared" si="102"/>
        <v>0.13532919979601266</v>
      </c>
      <c r="AR298" s="290">
        <f t="shared" si="102"/>
        <v>0.13556753034706048</v>
      </c>
      <c r="AS298" s="290">
        <f t="shared" si="102"/>
        <v>0.1357495194997532</v>
      </c>
      <c r="AT298" s="290">
        <f t="shared" si="102"/>
        <v>0.13589603572070669</v>
      </c>
      <c r="AU298" s="290">
        <f t="shared" si="102"/>
        <v>0.13601855251883674</v>
      </c>
      <c r="AV298" s="290">
        <f t="shared" si="102"/>
        <v>0.13612361458423639</v>
      </c>
      <c r="AW298" s="290">
        <f t="shared" si="102"/>
        <v>0.13621514069716431</v>
      </c>
      <c r="AX298" s="290">
        <f t="shared" si="102"/>
        <v>0.13629562556381647</v>
      </c>
      <c r="AY298" s="290">
        <f t="shared" si="102"/>
        <v>0.136366772628398</v>
      </c>
      <c r="AZ298" s="290">
        <f t="shared" si="102"/>
        <v>0.1364298301484525</v>
      </c>
      <c r="BA298" s="290">
        <f t="shared" si="102"/>
        <v>0.13648577161203612</v>
      </c>
      <c r="BB298" s="290">
        <f t="shared" si="102"/>
        <v>0.13653539411869944</v>
      </c>
      <c r="BC298" s="290">
        <f t="shared" si="102"/>
        <v>0.1365793733119747</v>
      </c>
      <c r="BD298" s="290">
        <f t="shared" si="102"/>
        <v>0.13661829514905255</v>
      </c>
      <c r="BE298" s="290">
        <f t="shared" si="102"/>
        <v>0.13665267519917276</v>
      </c>
      <c r="BF298" s="290">
        <f t="shared" si="102"/>
        <v>0.13667402064105105</v>
      </c>
      <c r="BG298" s="290">
        <f t="shared" si="102"/>
        <v>0.13669184596526729</v>
      </c>
      <c r="BH298" s="290">
        <f t="shared" si="102"/>
        <v>0.13670884440755179</v>
      </c>
      <c r="BI298" s="290">
        <f t="shared" si="102"/>
        <v>0.13672534061501554</v>
      </c>
      <c r="DR298" s="291"/>
    </row>
    <row r="299" spans="1:122" s="290" customFormat="1" ht="15" x14ac:dyDescent="0.2">
      <c r="A299" s="290" t="s">
        <v>58</v>
      </c>
      <c r="B299" s="290">
        <f t="shared" ref="B299:BI299" si="103">+B285/B$288</f>
        <v>7.9022988290557816E-2</v>
      </c>
      <c r="C299" s="290">
        <f t="shared" si="103"/>
        <v>9.6598164670551392E-2</v>
      </c>
      <c r="D299" s="290">
        <f t="shared" si="103"/>
        <v>9.7957124132328016E-2</v>
      </c>
      <c r="E299" s="290">
        <f t="shared" si="103"/>
        <v>9.8310371618443027E-2</v>
      </c>
      <c r="F299" s="290">
        <f t="shared" si="103"/>
        <v>9.9261914923032588E-2</v>
      </c>
      <c r="G299" s="290">
        <f t="shared" si="103"/>
        <v>0.10007499339522098</v>
      </c>
      <c r="H299" s="290">
        <f t="shared" si="103"/>
        <v>9.7938555085133036E-2</v>
      </c>
      <c r="I299" s="290">
        <f t="shared" si="103"/>
        <v>9.7123468736338717E-2</v>
      </c>
      <c r="J299" s="290">
        <f t="shared" si="103"/>
        <v>9.7637778459647509E-2</v>
      </c>
      <c r="K299" s="290">
        <f t="shared" si="103"/>
        <v>9.8044286693200866E-2</v>
      </c>
      <c r="L299" s="290">
        <f t="shared" si="103"/>
        <v>9.5644308739338213E-2</v>
      </c>
      <c r="M299" s="290">
        <f t="shared" si="103"/>
        <v>9.3502763010850115E-2</v>
      </c>
      <c r="N299" s="290">
        <f t="shared" si="103"/>
        <v>9.1710334550770642E-2</v>
      </c>
      <c r="O299" s="290">
        <f t="shared" si="103"/>
        <v>8.9845494932475359E-2</v>
      </c>
      <c r="P299" s="290">
        <f t="shared" si="103"/>
        <v>8.8559575158866324E-2</v>
      </c>
      <c r="Q299" s="290">
        <f t="shared" si="103"/>
        <v>8.8263591457331966E-2</v>
      </c>
      <c r="R299" s="290">
        <f t="shared" si="103"/>
        <v>8.7880560753256412E-2</v>
      </c>
      <c r="S299" s="290">
        <f t="shared" si="103"/>
        <v>8.7860930618208016E-2</v>
      </c>
      <c r="T299" s="290">
        <f t="shared" si="103"/>
        <v>8.7963028347432637E-2</v>
      </c>
      <c r="U299" s="290">
        <f t="shared" si="103"/>
        <v>8.857264093958904E-2</v>
      </c>
      <c r="V299" s="290">
        <f t="shared" si="103"/>
        <v>8.7846711183920026E-2</v>
      </c>
      <c r="W299" s="290">
        <f t="shared" si="103"/>
        <v>8.8446585798810359E-2</v>
      </c>
      <c r="X299" s="290">
        <f t="shared" si="103"/>
        <v>8.9090440535197782E-2</v>
      </c>
      <c r="Y299" s="290">
        <f t="shared" si="103"/>
        <v>8.9079099819852972E-2</v>
      </c>
      <c r="Z299" s="290">
        <f t="shared" si="103"/>
        <v>8.8871092161917783E-2</v>
      </c>
      <c r="AA299" s="290">
        <f t="shared" si="103"/>
        <v>8.7791761411937647E-2</v>
      </c>
      <c r="AB299" s="290">
        <f t="shared" si="103"/>
        <v>8.5925951643393297E-2</v>
      </c>
      <c r="AC299" s="290">
        <f t="shared" si="103"/>
        <v>8.3487285520651516E-2</v>
      </c>
      <c r="AD299" s="290">
        <f t="shared" si="103"/>
        <v>8.173492352996066E-2</v>
      </c>
      <c r="AE299" s="290">
        <f t="shared" si="103"/>
        <v>8.020668025200145E-2</v>
      </c>
      <c r="AF299" s="290">
        <f t="shared" si="103"/>
        <v>7.8676053313196256E-2</v>
      </c>
      <c r="AG299" s="290">
        <f t="shared" si="103"/>
        <v>7.6311638478353566E-2</v>
      </c>
      <c r="AH299" s="290">
        <f t="shared" si="103"/>
        <v>7.5956161555194607E-2</v>
      </c>
      <c r="AI299" s="290">
        <f t="shared" si="103"/>
        <v>9.0726163807762578E-2</v>
      </c>
      <c r="AJ299" s="290">
        <f t="shared" si="103"/>
        <v>0.10567270570742614</v>
      </c>
      <c r="AK299" s="290">
        <f t="shared" si="103"/>
        <v>0.10772393089043807</v>
      </c>
      <c r="AL299" s="290">
        <f t="shared" si="103"/>
        <v>0.10832756865778116</v>
      </c>
      <c r="AM299" s="290">
        <f t="shared" si="103"/>
        <v>0.10858521672306183</v>
      </c>
      <c r="AN299" s="290">
        <f t="shared" si="103"/>
        <v>0.10870688923656321</v>
      </c>
      <c r="AO299" s="290">
        <f t="shared" si="103"/>
        <v>0.10876248867444444</v>
      </c>
      <c r="AP299" s="290">
        <f t="shared" si="103"/>
        <v>0.10878384218110479</v>
      </c>
      <c r="AQ299" s="290">
        <f t="shared" si="103"/>
        <v>0.1087878519965807</v>
      </c>
      <c r="AR299" s="290">
        <f t="shared" si="103"/>
        <v>0.10878406673614266</v>
      </c>
      <c r="AS299" s="290">
        <f t="shared" si="103"/>
        <v>0.10877794944243356</v>
      </c>
      <c r="AT299" s="290">
        <f t="shared" si="103"/>
        <v>0.10877257584293969</v>
      </c>
      <c r="AU299" s="290">
        <f t="shared" si="103"/>
        <v>0.1087696082393361</v>
      </c>
      <c r="AV299" s="290">
        <f t="shared" si="103"/>
        <v>0.1087698768111198</v>
      </c>
      <c r="AW299" s="290">
        <f t="shared" si="103"/>
        <v>0.10877372983103709</v>
      </c>
      <c r="AX299" s="290">
        <f t="shared" si="103"/>
        <v>0.10878124364641276</v>
      </c>
      <c r="AY299" s="290">
        <f t="shared" si="103"/>
        <v>0.10879234719370894</v>
      </c>
      <c r="AZ299" s="290">
        <f t="shared" si="103"/>
        <v>0.10880689477233668</v>
      </c>
      <c r="BA299" s="290">
        <f t="shared" si="103"/>
        <v>0.10882470782597799</v>
      </c>
      <c r="BB299" s="290">
        <f t="shared" si="103"/>
        <v>0.10884559837632279</v>
      </c>
      <c r="BC299" s="290">
        <f t="shared" si="103"/>
        <v>0.10886938172629107</v>
      </c>
      <c r="BD299" s="290">
        <f t="shared" si="103"/>
        <v>0.1088958829684577</v>
      </c>
      <c r="BE299" s="290">
        <f t="shared" si="103"/>
        <v>0.10892493997065315</v>
      </c>
      <c r="BF299" s="290">
        <f t="shared" si="103"/>
        <v>0.10895721992617967</v>
      </c>
      <c r="BG299" s="290">
        <f t="shared" si="103"/>
        <v>0.10899175134037151</v>
      </c>
      <c r="BH299" s="290">
        <f t="shared" si="103"/>
        <v>0.10902822388206426</v>
      </c>
      <c r="BI299" s="290">
        <f t="shared" si="103"/>
        <v>0.10906652145970862</v>
      </c>
      <c r="DR299" s="291"/>
    </row>
    <row r="300" spans="1:122" s="290" customFormat="1" ht="15" x14ac:dyDescent="0.2">
      <c r="A300" s="290" t="s">
        <v>114</v>
      </c>
      <c r="B300" s="290">
        <f t="shared" ref="B300:BI300" si="104">+B286/B$288</f>
        <v>7.0573484902618333E-2</v>
      </c>
      <c r="C300" s="290">
        <f t="shared" si="104"/>
        <v>5.1304360534754394E-2</v>
      </c>
      <c r="D300" s="290">
        <f t="shared" si="104"/>
        <v>4.7446707627308522E-2</v>
      </c>
      <c r="E300" s="290">
        <f t="shared" si="104"/>
        <v>4.6679136373309435E-2</v>
      </c>
      <c r="F300" s="290">
        <f t="shared" si="104"/>
        <v>4.7258906565172835E-2</v>
      </c>
      <c r="G300" s="290">
        <f t="shared" si="104"/>
        <v>4.838200981799131E-2</v>
      </c>
      <c r="H300" s="290">
        <f t="shared" si="104"/>
        <v>4.9090221785465633E-2</v>
      </c>
      <c r="I300" s="290">
        <f t="shared" si="104"/>
        <v>4.9629865084281938E-2</v>
      </c>
      <c r="J300" s="290">
        <f t="shared" si="104"/>
        <v>5.0244550066264569E-2</v>
      </c>
      <c r="K300" s="290">
        <f t="shared" si="104"/>
        <v>4.9785874836004121E-2</v>
      </c>
      <c r="L300" s="290">
        <f t="shared" si="104"/>
        <v>5.116714355996986E-2</v>
      </c>
      <c r="M300" s="290">
        <f t="shared" si="104"/>
        <v>5.2669215050084713E-2</v>
      </c>
      <c r="N300" s="290">
        <f t="shared" si="104"/>
        <v>5.3506930325934468E-2</v>
      </c>
      <c r="O300" s="290">
        <f t="shared" si="104"/>
        <v>5.4466171991634463E-2</v>
      </c>
      <c r="P300" s="290">
        <f t="shared" si="104"/>
        <v>5.4497056080582994E-2</v>
      </c>
      <c r="Q300" s="290">
        <f t="shared" si="104"/>
        <v>5.4457615766601554E-2</v>
      </c>
      <c r="R300" s="290">
        <f t="shared" si="104"/>
        <v>5.4302805694319591E-2</v>
      </c>
      <c r="S300" s="290">
        <f t="shared" si="104"/>
        <v>5.3963543195895483E-2</v>
      </c>
      <c r="T300" s="290">
        <f t="shared" si="104"/>
        <v>5.3638797439390429E-2</v>
      </c>
      <c r="U300" s="290">
        <f t="shared" si="104"/>
        <v>5.3353884180313116E-2</v>
      </c>
      <c r="V300" s="290">
        <f t="shared" si="104"/>
        <v>5.3381413656267349E-2</v>
      </c>
      <c r="W300" s="290">
        <f t="shared" si="104"/>
        <v>5.3507662598449059E-2</v>
      </c>
      <c r="X300" s="290">
        <f t="shared" si="104"/>
        <v>5.3508462555384911E-2</v>
      </c>
      <c r="Y300" s="290">
        <f t="shared" si="104"/>
        <v>5.334812261470763E-2</v>
      </c>
      <c r="Z300" s="290">
        <f t="shared" si="104"/>
        <v>5.3234292853879463E-2</v>
      </c>
      <c r="AA300" s="290">
        <f t="shared" si="104"/>
        <v>5.305935119473288E-2</v>
      </c>
      <c r="AB300" s="290">
        <f t="shared" si="104"/>
        <v>5.2452542035322888E-2</v>
      </c>
      <c r="AC300" s="290">
        <f t="shared" si="104"/>
        <v>5.1956074681100604E-2</v>
      </c>
      <c r="AD300" s="290">
        <f t="shared" si="104"/>
        <v>5.16031351758914E-2</v>
      </c>
      <c r="AE300" s="290">
        <f t="shared" si="104"/>
        <v>5.1271292061141623E-2</v>
      </c>
      <c r="AF300" s="290">
        <f t="shared" si="104"/>
        <v>5.0813207519502621E-2</v>
      </c>
      <c r="AG300" s="290">
        <f t="shared" si="104"/>
        <v>5.0634258769587513E-2</v>
      </c>
      <c r="AH300" s="290">
        <f t="shared" si="104"/>
        <v>5.0092033199860365E-2</v>
      </c>
      <c r="AI300" s="290">
        <f t="shared" si="104"/>
        <v>5.9231540029686149E-2</v>
      </c>
      <c r="AJ300" s="290">
        <f t="shared" si="104"/>
        <v>3.8143337794956475E-2</v>
      </c>
      <c r="AK300" s="290">
        <f t="shared" si="104"/>
        <v>3.214788561200585E-2</v>
      </c>
      <c r="AL300" s="290">
        <f t="shared" si="104"/>
        <v>2.990988956722632E-2</v>
      </c>
      <c r="AM300" s="290">
        <f t="shared" si="104"/>
        <v>2.8878265326612095E-2</v>
      </c>
      <c r="AN300" s="290">
        <f t="shared" si="104"/>
        <v>2.8337524022560658E-2</v>
      </c>
      <c r="AO300" s="290">
        <f t="shared" si="104"/>
        <v>2.8025925095304473E-2</v>
      </c>
      <c r="AP300" s="290">
        <f t="shared" si="104"/>
        <v>2.7830559783018016E-2</v>
      </c>
      <c r="AQ300" s="290">
        <f t="shared" si="104"/>
        <v>2.7697735376907149E-2</v>
      </c>
      <c r="AR300" s="290">
        <f t="shared" si="104"/>
        <v>2.760037583171434E-2</v>
      </c>
      <c r="AS300" s="290">
        <f t="shared" si="104"/>
        <v>2.7524288782445415E-2</v>
      </c>
      <c r="AT300" s="290">
        <f t="shared" si="104"/>
        <v>2.7461801223127857E-2</v>
      </c>
      <c r="AU300" s="290">
        <f t="shared" si="104"/>
        <v>2.7408631406757627E-2</v>
      </c>
      <c r="AV300" s="290">
        <f t="shared" si="104"/>
        <v>2.7362296346620577E-2</v>
      </c>
      <c r="AW300" s="290">
        <f t="shared" si="104"/>
        <v>2.7321283724440804E-2</v>
      </c>
      <c r="AX300" s="290">
        <f t="shared" si="104"/>
        <v>2.7284615349512625E-2</v>
      </c>
      <c r="AY300" s="290">
        <f t="shared" si="104"/>
        <v>2.7251614618787213E-2</v>
      </c>
      <c r="AZ300" s="290">
        <f t="shared" si="104"/>
        <v>2.7221781385670343E-2</v>
      </c>
      <c r="BA300" s="290">
        <f t="shared" si="104"/>
        <v>2.7194723790491669E-2</v>
      </c>
      <c r="BB300" s="290">
        <f t="shared" si="104"/>
        <v>2.7170120480777681E-2</v>
      </c>
      <c r="BC300" s="290">
        <f t="shared" si="104"/>
        <v>2.7147699147110287E-2</v>
      </c>
      <c r="BD300" s="290">
        <f t="shared" si="104"/>
        <v>2.7127223888911527E-2</v>
      </c>
      <c r="BE300" s="290">
        <f t="shared" si="104"/>
        <v>2.7108487413799995E-2</v>
      </c>
      <c r="BF300" s="290">
        <f t="shared" si="104"/>
        <v>2.709117901677869E-2</v>
      </c>
      <c r="BG300" s="290">
        <f t="shared" si="104"/>
        <v>2.7075265425943788E-2</v>
      </c>
      <c r="BH300" s="290">
        <f t="shared" si="104"/>
        <v>2.7060629953758158E-2</v>
      </c>
      <c r="BI300" s="290">
        <f t="shared" si="104"/>
        <v>2.704714155625294E-2</v>
      </c>
      <c r="DR300" s="291"/>
    </row>
    <row r="301" spans="1:122" s="290" customFormat="1" ht="15" x14ac:dyDescent="0.2">
      <c r="A301" s="290" t="s">
        <v>224</v>
      </c>
      <c r="B301" s="290">
        <f t="shared" ref="B301:BI301" si="105">+B287/B$288</f>
        <v>4.5404672400595945E-2</v>
      </c>
      <c r="C301" s="290">
        <f t="shared" si="105"/>
        <v>5.6660691052053361E-2</v>
      </c>
      <c r="D301" s="290">
        <f t="shared" si="105"/>
        <v>6.4729653744684784E-2</v>
      </c>
      <c r="E301" s="290">
        <f t="shared" si="105"/>
        <v>6.816008745250364E-2</v>
      </c>
      <c r="F301" s="290">
        <f t="shared" si="105"/>
        <v>7.0377707907751802E-2</v>
      </c>
      <c r="G301" s="290">
        <f t="shared" si="105"/>
        <v>7.0976029553148759E-2</v>
      </c>
      <c r="H301" s="290">
        <f t="shared" si="105"/>
        <v>7.1430800397746338E-2</v>
      </c>
      <c r="I301" s="290">
        <f t="shared" si="105"/>
        <v>7.2363789036648696E-2</v>
      </c>
      <c r="J301" s="290">
        <f t="shared" si="105"/>
        <v>7.1908341044131227E-2</v>
      </c>
      <c r="K301" s="290">
        <f t="shared" si="105"/>
        <v>6.7776471335330171E-2</v>
      </c>
      <c r="L301" s="290">
        <f t="shared" si="105"/>
        <v>6.5072525066683456E-2</v>
      </c>
      <c r="M301" s="290">
        <f t="shared" si="105"/>
        <v>6.3928065100888012E-2</v>
      </c>
      <c r="N301" s="290">
        <f t="shared" si="105"/>
        <v>6.1484064733070845E-2</v>
      </c>
      <c r="O301" s="290">
        <f t="shared" si="105"/>
        <v>6.169971527369595E-2</v>
      </c>
      <c r="P301" s="290">
        <f t="shared" si="105"/>
        <v>6.2578415697886455E-2</v>
      </c>
      <c r="Q301" s="290">
        <f t="shared" si="105"/>
        <v>6.3358120202953436E-2</v>
      </c>
      <c r="R301" s="290">
        <f t="shared" si="105"/>
        <v>6.4185584858146266E-2</v>
      </c>
      <c r="S301" s="290">
        <f t="shared" si="105"/>
        <v>6.480458502548643E-2</v>
      </c>
      <c r="T301" s="290">
        <f t="shared" si="105"/>
        <v>6.54936264495391E-2</v>
      </c>
      <c r="U301" s="290">
        <f t="shared" si="105"/>
        <v>6.6541303226659548E-2</v>
      </c>
      <c r="V301" s="290">
        <f t="shared" si="105"/>
        <v>6.8598734018979063E-2</v>
      </c>
      <c r="W301" s="290">
        <f t="shared" si="105"/>
        <v>6.9838315512675733E-2</v>
      </c>
      <c r="X301" s="290">
        <f t="shared" si="105"/>
        <v>7.0684127528306842E-2</v>
      </c>
      <c r="Y301" s="290">
        <f t="shared" si="105"/>
        <v>7.2276839070923735E-2</v>
      </c>
      <c r="Z301" s="290">
        <f t="shared" si="105"/>
        <v>7.3693893191169549E-2</v>
      </c>
      <c r="AA301" s="290">
        <f t="shared" si="105"/>
        <v>7.4915707748021074E-2</v>
      </c>
      <c r="AB301" s="290">
        <f t="shared" si="105"/>
        <v>7.615044991173596E-2</v>
      </c>
      <c r="AC301" s="290">
        <f t="shared" si="105"/>
        <v>7.7572919897247433E-2</v>
      </c>
      <c r="AD301" s="290">
        <f t="shared" si="105"/>
        <v>7.8951347562292343E-2</v>
      </c>
      <c r="AE301" s="290">
        <f t="shared" si="105"/>
        <v>8.0426894530369969E-2</v>
      </c>
      <c r="AF301" s="290">
        <f t="shared" si="105"/>
        <v>8.1968208511485147E-2</v>
      </c>
      <c r="AG301" s="290">
        <f t="shared" si="105"/>
        <v>8.2645708886637331E-2</v>
      </c>
      <c r="AH301" s="290">
        <f t="shared" si="105"/>
        <v>8.1443725882931889E-2</v>
      </c>
      <c r="AI301" s="290">
        <f t="shared" si="105"/>
        <v>9.7383669986015081E-2</v>
      </c>
      <c r="AJ301" s="290">
        <f t="shared" si="105"/>
        <v>0.15344566692796818</v>
      </c>
      <c r="AK301" s="290">
        <f t="shared" si="105"/>
        <v>0.17113811846597268</v>
      </c>
      <c r="AL301" s="290">
        <f t="shared" si="105"/>
        <v>0.17809446488817623</v>
      </c>
      <c r="AM301" s="290">
        <f t="shared" si="105"/>
        <v>0.18142506369506831</v>
      </c>
      <c r="AN301" s="290">
        <f t="shared" si="105"/>
        <v>0.18323377162577195</v>
      </c>
      <c r="AO301" s="290">
        <f t="shared" si="105"/>
        <v>0.18431460935617042</v>
      </c>
      <c r="AP301" s="290">
        <f t="shared" si="105"/>
        <v>0.18501818160216038</v>
      </c>
      <c r="AQ301" s="290">
        <f t="shared" si="105"/>
        <v>0.18551463409881211</v>
      </c>
      <c r="AR301" s="290">
        <f t="shared" si="105"/>
        <v>0.18589141486164873</v>
      </c>
      <c r="AS301" s="290">
        <f t="shared" si="105"/>
        <v>0.18619520998640884</v>
      </c>
      <c r="AT301" s="290">
        <f t="shared" si="105"/>
        <v>0.18645171301565303</v>
      </c>
      <c r="AU301" s="290">
        <f t="shared" si="105"/>
        <v>0.18667550778223369</v>
      </c>
      <c r="AV301" s="290">
        <f t="shared" si="105"/>
        <v>0.18687518570780165</v>
      </c>
      <c r="AW301" s="290">
        <f t="shared" si="105"/>
        <v>0.18705605193148817</v>
      </c>
      <c r="AX301" s="290">
        <f t="shared" si="105"/>
        <v>0.18722157564309652</v>
      </c>
      <c r="AY301" s="290">
        <f t="shared" si="105"/>
        <v>0.18737417510463869</v>
      </c>
      <c r="AZ301" s="290">
        <f t="shared" si="105"/>
        <v>0.18751564653554217</v>
      </c>
      <c r="BA301" s="290">
        <f t="shared" si="105"/>
        <v>0.18764740105796951</v>
      </c>
      <c r="BB301" s="290">
        <f t="shared" si="105"/>
        <v>0.18777059764058684</v>
      </c>
      <c r="BC301" s="290">
        <f t="shared" si="105"/>
        <v>0.18788621938545985</v>
      </c>
      <c r="BD301" s="290">
        <f t="shared" si="105"/>
        <v>0.18799511874076977</v>
      </c>
      <c r="BE301" s="290">
        <f t="shared" si="105"/>
        <v>0.18809804550508144</v>
      </c>
      <c r="BF301" s="290">
        <f t="shared" si="105"/>
        <v>0.18820762836656293</v>
      </c>
      <c r="BG301" s="290">
        <f t="shared" si="105"/>
        <v>0.18831227476371748</v>
      </c>
      <c r="BH301" s="290">
        <f t="shared" si="105"/>
        <v>0.18840943394334253</v>
      </c>
      <c r="BI301" s="290">
        <f t="shared" si="105"/>
        <v>0.18849958371553757</v>
      </c>
      <c r="DR301" s="291"/>
    </row>
    <row r="302" spans="1:122" s="290" customFormat="1" ht="15" x14ac:dyDescent="0.2">
      <c r="B302" s="290">
        <f t="shared" ref="B302:I302" si="106">SUM(B290:B301)</f>
        <v>1.0000000000000002</v>
      </c>
      <c r="C302" s="290">
        <f t="shared" si="106"/>
        <v>1</v>
      </c>
      <c r="D302" s="290">
        <f t="shared" si="106"/>
        <v>0.99999999999999989</v>
      </c>
      <c r="E302" s="290">
        <f t="shared" si="106"/>
        <v>1</v>
      </c>
      <c r="F302" s="290">
        <f t="shared" si="106"/>
        <v>0.99999999999999989</v>
      </c>
      <c r="G302" s="290">
        <f t="shared" si="106"/>
        <v>1.0000000000000002</v>
      </c>
      <c r="H302" s="290">
        <f t="shared" si="106"/>
        <v>0.99999999999999978</v>
      </c>
      <c r="I302" s="290">
        <f t="shared" si="106"/>
        <v>1</v>
      </c>
      <c r="DR302" s="291"/>
    </row>
    <row r="303" spans="1:122" s="149" customFormat="1" ht="15" x14ac:dyDescent="0.2">
      <c r="DR303" s="242"/>
    </row>
    <row r="304" spans="1:122" s="290" customFormat="1" ht="15" x14ac:dyDescent="0.2">
      <c r="A304" s="289" t="s">
        <v>783</v>
      </c>
      <c r="B304" s="290">
        <f>+SUMPRODUCT(B248:B259*B290:B301)</f>
        <v>1.0000000000000002</v>
      </c>
      <c r="C304" s="290">
        <f t="shared" ref="C304:BI304" si="107">+SUMPRODUCT(C248:C259*C290:C301)</f>
        <v>1.3220017303964104</v>
      </c>
      <c r="D304" s="290">
        <f t="shared" si="107"/>
        <v>1.4712565377081179</v>
      </c>
      <c r="E304" s="290">
        <f t="shared" si="107"/>
        <v>1.6769074357250378</v>
      </c>
      <c r="F304" s="290">
        <f t="shared" si="107"/>
        <v>1.9220768311048719</v>
      </c>
      <c r="G304" s="290">
        <f t="shared" si="107"/>
        <v>2.1808489788008725</v>
      </c>
      <c r="H304" s="290">
        <f t="shared" si="107"/>
        <v>2.4604449297932729</v>
      </c>
      <c r="I304" s="290">
        <f t="shared" si="107"/>
        <v>2.7668941231207915</v>
      </c>
      <c r="J304" s="290">
        <f t="shared" si="107"/>
        <v>3.0767229592594822</v>
      </c>
      <c r="K304" s="290">
        <f t="shared" si="107"/>
        <v>3.369910984832543</v>
      </c>
      <c r="L304" s="290">
        <f t="shared" si="107"/>
        <v>3.6477086278861637</v>
      </c>
      <c r="M304" s="290">
        <f t="shared" si="107"/>
        <v>4.033713875174171</v>
      </c>
      <c r="N304" s="290">
        <f t="shared" si="107"/>
        <v>4.2253487093767514</v>
      </c>
      <c r="O304" s="290">
        <f t="shared" si="107"/>
        <v>4.5056162050682982</v>
      </c>
      <c r="P304" s="290">
        <f t="shared" si="107"/>
        <v>4.8310712145558972</v>
      </c>
      <c r="Q304" s="290">
        <f t="shared" si="107"/>
        <v>5.1615658786053222</v>
      </c>
      <c r="R304" s="290">
        <f t="shared" si="107"/>
        <v>5.5006798277782138</v>
      </c>
      <c r="S304" s="290">
        <f t="shared" si="107"/>
        <v>5.8406726050504494</v>
      </c>
      <c r="T304" s="290">
        <f t="shared" si="107"/>
        <v>6.1855073715966693</v>
      </c>
      <c r="U304" s="290">
        <f t="shared" si="107"/>
        <v>6.5132513358039805</v>
      </c>
      <c r="V304" s="290">
        <f t="shared" si="107"/>
        <v>6.8940110403413932</v>
      </c>
      <c r="W304" s="290">
        <f t="shared" si="107"/>
        <v>7.1786699626461825</v>
      </c>
      <c r="X304" s="290">
        <f t="shared" si="107"/>
        <v>7.3953253062964119</v>
      </c>
      <c r="Y304" s="290">
        <f t="shared" si="107"/>
        <v>7.6166639675602763</v>
      </c>
      <c r="Z304" s="290">
        <f t="shared" si="107"/>
        <v>7.8170128726213139</v>
      </c>
      <c r="AA304" s="290">
        <f t="shared" si="107"/>
        <v>7.9888365228022469</v>
      </c>
      <c r="AB304" s="290">
        <f t="shared" si="107"/>
        <v>8.1367550796069903</v>
      </c>
      <c r="AC304" s="290">
        <f t="shared" si="107"/>
        <v>8.2811891707782426</v>
      </c>
      <c r="AD304" s="290">
        <f t="shared" si="107"/>
        <v>8.3992615878668815</v>
      </c>
      <c r="AE304" s="290">
        <f t="shared" si="107"/>
        <v>8.499800082391026</v>
      </c>
      <c r="AF304" s="290">
        <f t="shared" si="107"/>
        <v>8.5666645146022447</v>
      </c>
      <c r="AG304" s="290">
        <f t="shared" si="107"/>
        <v>8.5721387537215037</v>
      </c>
      <c r="AH304" s="290">
        <f t="shared" si="107"/>
        <v>8.5538804270118245</v>
      </c>
      <c r="AI304" s="290">
        <f t="shared" si="107"/>
        <v>10.005887894822223</v>
      </c>
      <c r="AJ304" s="290">
        <f t="shared" si="107"/>
        <v>13.034816150565012</v>
      </c>
      <c r="AK304" s="290">
        <f t="shared" si="107"/>
        <v>13.87476482368864</v>
      </c>
      <c r="AL304" s="290">
        <f t="shared" si="107"/>
        <v>14.117830698409515</v>
      </c>
      <c r="AM304" s="290">
        <f t="shared" si="107"/>
        <v>14.154543830075436</v>
      </c>
      <c r="AN304" s="290">
        <f t="shared" si="107"/>
        <v>14.09908388458428</v>
      </c>
      <c r="AO304" s="290">
        <f t="shared" si="107"/>
        <v>13.994926435065532</v>
      </c>
      <c r="AP304" s="290">
        <f t="shared" si="107"/>
        <v>13.861891320795893</v>
      </c>
      <c r="AQ304" s="290">
        <f t="shared" si="107"/>
        <v>13.710226607908229</v>
      </c>
      <c r="AR304" s="290">
        <f t="shared" si="107"/>
        <v>13.545798062332105</v>
      </c>
      <c r="AS304" s="290">
        <f t="shared" si="107"/>
        <v>13.372301210243407</v>
      </c>
      <c r="AT304" s="290">
        <f t="shared" si="107"/>
        <v>13.192300248324385</v>
      </c>
      <c r="AU304" s="290">
        <f t="shared" si="107"/>
        <v>13.007747921883515</v>
      </c>
      <c r="AV304" s="290">
        <f t="shared" si="107"/>
        <v>12.820257624589917</v>
      </c>
      <c r="AW304" s="290">
        <f t="shared" si="107"/>
        <v>12.63125154893611</v>
      </c>
      <c r="AX304" s="290">
        <f t="shared" si="107"/>
        <v>12.442044977706203</v>
      </c>
      <c r="AY304" s="290">
        <f t="shared" si="107"/>
        <v>12.25389680964093</v>
      </c>
      <c r="AZ304" s="290">
        <f t="shared" si="107"/>
        <v>12.068041462405331</v>
      </c>
      <c r="BA304" s="290">
        <f t="shared" si="107"/>
        <v>11.885709613343284</v>
      </c>
      <c r="BB304" s="290">
        <f t="shared" si="107"/>
        <v>11.708141379169488</v>
      </c>
      <c r="BC304" s="290">
        <f t="shared" si="107"/>
        <v>11.536594013144514</v>
      </c>
      <c r="BD304" s="290">
        <f t="shared" si="107"/>
        <v>11.37234653043026</v>
      </c>
      <c r="BE304" s="290">
        <f t="shared" si="107"/>
        <v>11.216705957213316</v>
      </c>
      <c r="BF304" s="290">
        <f t="shared" si="107"/>
        <v>11.070838559777311</v>
      </c>
      <c r="BG304" s="290">
        <f t="shared" si="107"/>
        <v>10.93637453322305</v>
      </c>
      <c r="BH304" s="290">
        <f t="shared" si="107"/>
        <v>10.815003664411238</v>
      </c>
      <c r="BI304" s="290">
        <f t="shared" si="107"/>
        <v>10.818188194468517</v>
      </c>
      <c r="DR304" s="291"/>
    </row>
    <row r="305" spans="1:122" s="290" customFormat="1" ht="15" x14ac:dyDescent="0.2">
      <c r="A305" s="289" t="s">
        <v>784</v>
      </c>
      <c r="B305" s="290">
        <f>1/SUMPRODUCT(B290:B301*B262:B273)</f>
        <v>0.99999999999999978</v>
      </c>
      <c r="C305" s="290">
        <f>1/SUMPRODUCT(C290:C301*C262:C273)</f>
        <v>1.1973020954099147</v>
      </c>
      <c r="D305" s="290">
        <f>1/SUMPRODUCT(D290:D301*D262:D273)</f>
        <v>1.2922472461576664</v>
      </c>
      <c r="E305" s="290">
        <f t="shared" ref="E305:BI305" si="108">1/SUMPRODUCT(E290:E301*E262:E273)</f>
        <v>1.3846659692404848</v>
      </c>
      <c r="F305" s="290">
        <f t="shared" si="108"/>
        <v>1.460919606646536</v>
      </c>
      <c r="G305" s="290">
        <f t="shared" si="108"/>
        <v>1.5222302179185687</v>
      </c>
      <c r="H305" s="290">
        <f t="shared" si="108"/>
        <v>1.5812147375894339</v>
      </c>
      <c r="I305" s="290">
        <f t="shared" si="108"/>
        <v>1.6362815046032115</v>
      </c>
      <c r="J305" s="290">
        <f t="shared" si="108"/>
        <v>1.6825577160528493</v>
      </c>
      <c r="K305" s="290">
        <f t="shared" si="108"/>
        <v>1.706516479796216</v>
      </c>
      <c r="L305" s="290">
        <f t="shared" si="108"/>
        <v>1.7221180168339441</v>
      </c>
      <c r="M305" s="290">
        <f t="shared" si="108"/>
        <v>1.7601071112419366</v>
      </c>
      <c r="N305" s="290">
        <f t="shared" si="108"/>
        <v>1.7700933962492849</v>
      </c>
      <c r="O305" s="290">
        <f t="shared" si="108"/>
        <v>1.7948764386126246</v>
      </c>
      <c r="P305" s="290">
        <f t="shared" si="108"/>
        <v>1.8270056855109165</v>
      </c>
      <c r="Q305" s="290">
        <f t="shared" si="108"/>
        <v>1.8611579508032052</v>
      </c>
      <c r="R305" s="290">
        <f t="shared" si="108"/>
        <v>1.8951494915984433</v>
      </c>
      <c r="S305" s="290">
        <f t="shared" si="108"/>
        <v>1.9327750176880885</v>
      </c>
      <c r="T305" s="290">
        <f t="shared" si="108"/>
        <v>1.9750902179716885</v>
      </c>
      <c r="U305" s="290">
        <f t="shared" si="108"/>
        <v>2.0176115703063897</v>
      </c>
      <c r="V305" s="290">
        <f t="shared" si="108"/>
        <v>2.0640715881547012</v>
      </c>
      <c r="W305" s="290">
        <f t="shared" si="108"/>
        <v>2.1014890729169009</v>
      </c>
      <c r="X305" s="290">
        <f t="shared" si="108"/>
        <v>2.1353018911751076</v>
      </c>
      <c r="Y305" s="290">
        <f t="shared" si="108"/>
        <v>2.1666882624033836</v>
      </c>
      <c r="Z305" s="290">
        <f t="shared" si="108"/>
        <v>2.1953672272983935</v>
      </c>
      <c r="AA305" s="290">
        <f t="shared" si="108"/>
        <v>2.2191304487538273</v>
      </c>
      <c r="AB305" s="290">
        <f t="shared" si="108"/>
        <v>2.2370061896893403</v>
      </c>
      <c r="AC305" s="290">
        <f t="shared" si="108"/>
        <v>2.2584963976312578</v>
      </c>
      <c r="AD305" s="290">
        <f t="shared" si="108"/>
        <v>2.2781619985561741</v>
      </c>
      <c r="AE305" s="290">
        <f t="shared" si="108"/>
        <v>2.2969760501111836</v>
      </c>
      <c r="AF305" s="290">
        <f t="shared" si="108"/>
        <v>2.3133767196149484</v>
      </c>
      <c r="AG305" s="290">
        <f t="shared" si="108"/>
        <v>2.3255767511546641</v>
      </c>
      <c r="AH305" s="290">
        <f t="shared" si="108"/>
        <v>2.3323613128637022</v>
      </c>
      <c r="AI305" s="290">
        <f t="shared" si="108"/>
        <v>3.1397890300669657</v>
      </c>
      <c r="AJ305" s="290">
        <f t="shared" si="108"/>
        <v>4.3912950744478936</v>
      </c>
      <c r="AK305" s="290">
        <f t="shared" si="108"/>
        <v>4.9016995859811665</v>
      </c>
      <c r="AL305" s="290">
        <f t="shared" si="108"/>
        <v>5.102232490745819</v>
      </c>
      <c r="AM305" s="290">
        <f t="shared" si="108"/>
        <v>5.1806960225209906</v>
      </c>
      <c r="AN305" s="290">
        <f t="shared" si="108"/>
        <v>5.203511374589934</v>
      </c>
      <c r="AO305" s="290">
        <f t="shared" si="108"/>
        <v>5.1976258958501562</v>
      </c>
      <c r="AP305" s="290">
        <f t="shared" si="108"/>
        <v>5.1752335677369121</v>
      </c>
      <c r="AQ305" s="290">
        <f t="shared" si="108"/>
        <v>5.1422152259639473</v>
      </c>
      <c r="AR305" s="290">
        <f t="shared" si="108"/>
        <v>5.1014861696044997</v>
      </c>
      <c r="AS305" s="290">
        <f t="shared" si="108"/>
        <v>5.0544808052513979</v>
      </c>
      <c r="AT305" s="290">
        <f t="shared" si="108"/>
        <v>5.0018612885367153</v>
      </c>
      <c r="AU305" s="290">
        <f t="shared" si="108"/>
        <v>4.9438720980981206</v>
      </c>
      <c r="AV305" s="290">
        <f t="shared" si="108"/>
        <v>4.8805241701097675</v>
      </c>
      <c r="AW305" s="290">
        <f t="shared" si="108"/>
        <v>4.8116957116591434</v>
      </c>
      <c r="AX305" s="290">
        <f t="shared" si="108"/>
        <v>4.7371941414674588</v>
      </c>
      <c r="AY305" s="290">
        <f t="shared" si="108"/>
        <v>4.656803932347473</v>
      </c>
      <c r="AZ305" s="290">
        <f t="shared" si="108"/>
        <v>4.570336272141291</v>
      </c>
      <c r="BA305" s="290">
        <f t="shared" si="108"/>
        <v>4.4776930458607627</v>
      </c>
      <c r="BB305" s="290">
        <f t="shared" si="108"/>
        <v>4.3789569185280675</v>
      </c>
      <c r="BC305" s="290">
        <f t="shared" si="108"/>
        <v>4.2745193435382385</v>
      </c>
      <c r="BD305" s="290">
        <f t="shared" si="108"/>
        <v>4.1652570566818641</v>
      </c>
      <c r="BE305" s="290">
        <f t="shared" si="108"/>
        <v>4.0527621972046131</v>
      </c>
      <c r="BF305" s="290">
        <f t="shared" si="108"/>
        <v>3.9395936014898147</v>
      </c>
      <c r="BG305" s="290">
        <f t="shared" si="108"/>
        <v>3.8296345599666064</v>
      </c>
      <c r="BH305" s="290">
        <f t="shared" si="108"/>
        <v>3.7282634802415076</v>
      </c>
      <c r="BI305" s="290">
        <f t="shared" si="108"/>
        <v>3.7291908848322097</v>
      </c>
      <c r="DR305" s="291"/>
    </row>
    <row r="306" spans="1:122" s="290" customFormat="1" ht="15" x14ac:dyDescent="0.2">
      <c r="A306" s="289" t="s">
        <v>786</v>
      </c>
      <c r="B306" s="290">
        <f>+(B304*B305)^0.5</f>
        <v>1</v>
      </c>
      <c r="C306" s="290">
        <f t="shared" ref="C306:BI306" si="109">+(C304*C305)^0.5</f>
        <v>1.2581078816775433</v>
      </c>
      <c r="D306" s="290">
        <f t="shared" si="109"/>
        <v>1.3788499589312748</v>
      </c>
      <c r="E306" s="290">
        <f t="shared" si="109"/>
        <v>1.5237967908532899</v>
      </c>
      <c r="F306" s="290">
        <f t="shared" si="109"/>
        <v>1.675708724105162</v>
      </c>
      <c r="G306" s="290">
        <f t="shared" si="109"/>
        <v>1.822019268901276</v>
      </c>
      <c r="H306" s="290">
        <f t="shared" si="109"/>
        <v>1.9724329605886033</v>
      </c>
      <c r="I306" s="290">
        <f t="shared" si="109"/>
        <v>2.1277729387455495</v>
      </c>
      <c r="J306" s="290">
        <f t="shared" si="109"/>
        <v>2.2752503060672242</v>
      </c>
      <c r="K306" s="290">
        <f t="shared" si="109"/>
        <v>2.3980843669610605</v>
      </c>
      <c r="L306" s="290">
        <f t="shared" si="109"/>
        <v>2.5063488879729787</v>
      </c>
      <c r="M306" s="290">
        <f t="shared" si="109"/>
        <v>2.6645390739130339</v>
      </c>
      <c r="N306" s="290">
        <f t="shared" si="109"/>
        <v>2.7348239152307827</v>
      </c>
      <c r="O306" s="290">
        <f t="shared" si="109"/>
        <v>2.843769394291372</v>
      </c>
      <c r="P306" s="290">
        <f t="shared" si="109"/>
        <v>2.9709248688079866</v>
      </c>
      <c r="Q306" s="290">
        <f t="shared" si="109"/>
        <v>3.0994337182073801</v>
      </c>
      <c r="R306" s="290">
        <f t="shared" si="109"/>
        <v>3.2287165529138191</v>
      </c>
      <c r="S306" s="290">
        <f t="shared" si="109"/>
        <v>3.3598669761668716</v>
      </c>
      <c r="T306" s="290">
        <f t="shared" si="109"/>
        <v>3.4952732515258877</v>
      </c>
      <c r="U306" s="290">
        <f t="shared" si="109"/>
        <v>3.6250808619162771</v>
      </c>
      <c r="V306" s="290">
        <f t="shared" si="109"/>
        <v>3.7722317421910208</v>
      </c>
      <c r="W306" s="290">
        <f t="shared" si="109"/>
        <v>3.8840567046037999</v>
      </c>
      <c r="X306" s="290">
        <f t="shared" si="109"/>
        <v>3.9738208455326545</v>
      </c>
      <c r="Y306" s="290">
        <f t="shared" si="109"/>
        <v>4.0623806342074396</v>
      </c>
      <c r="Z306" s="290">
        <f t="shared" si="109"/>
        <v>4.1426095490551003</v>
      </c>
      <c r="AA306" s="290">
        <f t="shared" si="109"/>
        <v>4.2104952651519651</v>
      </c>
      <c r="AB306" s="290">
        <f t="shared" si="109"/>
        <v>4.2663768559595177</v>
      </c>
      <c r="AC306" s="290">
        <f t="shared" si="109"/>
        <v>4.3247006729143287</v>
      </c>
      <c r="AD306" s="290">
        <f t="shared" si="109"/>
        <v>4.3743432153194055</v>
      </c>
      <c r="AE306" s="290">
        <f t="shared" si="109"/>
        <v>4.4185786425031806</v>
      </c>
      <c r="AF306" s="290">
        <f t="shared" si="109"/>
        <v>4.451732500143323</v>
      </c>
      <c r="AG306" s="290">
        <f t="shared" si="109"/>
        <v>4.4648814758430762</v>
      </c>
      <c r="AH306" s="290">
        <f t="shared" si="109"/>
        <v>4.4666250998740002</v>
      </c>
      <c r="AI306" s="290">
        <f t="shared" si="109"/>
        <v>5.6050314047507941</v>
      </c>
      <c r="AJ306" s="290">
        <f t="shared" si="109"/>
        <v>7.5656938847874349</v>
      </c>
      <c r="AK306" s="290">
        <f t="shared" si="109"/>
        <v>8.246813262822231</v>
      </c>
      <c r="AL306" s="290">
        <f t="shared" si="109"/>
        <v>8.4871935578419411</v>
      </c>
      <c r="AM306" s="290">
        <f t="shared" si="109"/>
        <v>8.5633164674132445</v>
      </c>
      <c r="AN306" s="290">
        <f t="shared" si="109"/>
        <v>8.5653221401609834</v>
      </c>
      <c r="AO306" s="290">
        <f t="shared" si="109"/>
        <v>8.52879780798059</v>
      </c>
      <c r="AP306" s="290">
        <f t="shared" si="109"/>
        <v>8.4698598144068402</v>
      </c>
      <c r="AQ306" s="290">
        <f t="shared" si="109"/>
        <v>8.3964835505467246</v>
      </c>
      <c r="AR306" s="290">
        <f t="shared" si="109"/>
        <v>8.31286361437758</v>
      </c>
      <c r="AS306" s="290">
        <f t="shared" si="109"/>
        <v>8.2213161835082911</v>
      </c>
      <c r="AT306" s="290">
        <f t="shared" si="109"/>
        <v>8.1231801604326748</v>
      </c>
      <c r="AU306" s="290">
        <f t="shared" si="109"/>
        <v>8.0192669247315695</v>
      </c>
      <c r="AV306" s="290">
        <f t="shared" si="109"/>
        <v>7.9100933751660056</v>
      </c>
      <c r="AW306" s="290">
        <f t="shared" si="109"/>
        <v>7.7960078829426402</v>
      </c>
      <c r="AX306" s="290">
        <f t="shared" si="109"/>
        <v>7.6772640032933896</v>
      </c>
      <c r="AY306" s="290">
        <f t="shared" si="109"/>
        <v>7.5540714088308718</v>
      </c>
      <c r="AZ306" s="290">
        <f t="shared" si="109"/>
        <v>7.4266417463976344</v>
      </c>
      <c r="BA306" s="290">
        <f t="shared" si="109"/>
        <v>7.2952422359225082</v>
      </c>
      <c r="BB306" s="290">
        <f t="shared" si="109"/>
        <v>7.1602686189429354</v>
      </c>
      <c r="BC306" s="290">
        <f t="shared" si="109"/>
        <v>7.0223496258541314</v>
      </c>
      <c r="BD306" s="290">
        <f t="shared" si="109"/>
        <v>6.8824956692253831</v>
      </c>
      <c r="BE306" s="290">
        <f t="shared" si="109"/>
        <v>6.7423024168716958</v>
      </c>
      <c r="BF306" s="290">
        <f t="shared" si="109"/>
        <v>6.6041354281408715</v>
      </c>
      <c r="BG306" s="290">
        <f t="shared" si="109"/>
        <v>6.4716549562820216</v>
      </c>
      <c r="BH306" s="290">
        <f t="shared" si="109"/>
        <v>6.3498963141694293</v>
      </c>
      <c r="BI306" s="290">
        <f t="shared" si="109"/>
        <v>6.3516209588743102</v>
      </c>
      <c r="DR306" s="291"/>
    </row>
    <row r="307" spans="1:122" s="290" customFormat="1" ht="15" x14ac:dyDescent="0.2">
      <c r="A307" s="289" t="s">
        <v>791</v>
      </c>
      <c r="DR307" s="291"/>
    </row>
    <row r="308" spans="1:122" s="290" customFormat="1" ht="15" x14ac:dyDescent="0.2">
      <c r="A308" s="289" t="s">
        <v>783</v>
      </c>
      <c r="B308" s="290">
        <f>1/B304</f>
        <v>0.99999999999999978</v>
      </c>
      <c r="C308" s="290">
        <f>1/C304</f>
        <v>0.75642866193536962</v>
      </c>
      <c r="D308" s="290">
        <f t="shared" ref="D308:BI308" si="110">1/D304</f>
        <v>0.67969111733414755</v>
      </c>
      <c r="E308" s="290">
        <f t="shared" si="110"/>
        <v>0.59633583744450036</v>
      </c>
      <c r="F308" s="290">
        <f t="shared" si="110"/>
        <v>0.52027056557628226</v>
      </c>
      <c r="G308" s="290">
        <f t="shared" si="110"/>
        <v>0.45853702375569555</v>
      </c>
      <c r="H308" s="290">
        <f t="shared" si="110"/>
        <v>0.40643055566540165</v>
      </c>
      <c r="I308" s="290">
        <f t="shared" si="110"/>
        <v>0.36141606996949194</v>
      </c>
      <c r="J308" s="290">
        <f t="shared" si="110"/>
        <v>0.32502113880304773</v>
      </c>
      <c r="K308" s="290">
        <f t="shared" si="110"/>
        <v>0.29674374323263969</v>
      </c>
      <c r="L308" s="290">
        <f t="shared" si="110"/>
        <v>0.27414470343249348</v>
      </c>
      <c r="M308" s="290">
        <f t="shared" si="110"/>
        <v>0.24791049413657809</v>
      </c>
      <c r="N308" s="290">
        <f t="shared" si="110"/>
        <v>0.23666685728939571</v>
      </c>
      <c r="O308" s="290">
        <f t="shared" si="110"/>
        <v>0.22194522446787976</v>
      </c>
      <c r="P308" s="290">
        <f t="shared" si="110"/>
        <v>0.20699342973604382</v>
      </c>
      <c r="Q308" s="290">
        <f t="shared" si="110"/>
        <v>0.19373965643739965</v>
      </c>
      <c r="R308" s="290">
        <f t="shared" si="110"/>
        <v>0.1817957109501338</v>
      </c>
      <c r="S308" s="290">
        <f t="shared" si="110"/>
        <v>0.17121315773380219</v>
      </c>
      <c r="T308" s="290">
        <f t="shared" si="110"/>
        <v>0.16166822540571466</v>
      </c>
      <c r="U308" s="290">
        <f t="shared" si="110"/>
        <v>0.15353315087088718</v>
      </c>
      <c r="V308" s="290">
        <f t="shared" si="110"/>
        <v>0.1450534375631751</v>
      </c>
      <c r="W308" s="290">
        <f t="shared" si="110"/>
        <v>0.13930157051423808</v>
      </c>
      <c r="X308" s="290">
        <f t="shared" si="110"/>
        <v>0.13522055603809555</v>
      </c>
      <c r="Y308" s="290">
        <f t="shared" si="110"/>
        <v>0.13129107497180476</v>
      </c>
      <c r="Z308" s="290">
        <f t="shared" si="110"/>
        <v>0.12792610378095304</v>
      </c>
      <c r="AA308" s="290">
        <f t="shared" si="110"/>
        <v>0.12517467307607763</v>
      </c>
      <c r="AB308" s="290">
        <f t="shared" si="110"/>
        <v>0.12289911521440321</v>
      </c>
      <c r="AC308" s="290">
        <f t="shared" si="110"/>
        <v>0.12075560398121214</v>
      </c>
      <c r="AD308" s="290">
        <f t="shared" si="110"/>
        <v>0.11905808499220287</v>
      </c>
      <c r="AE308" s="290">
        <f t="shared" si="110"/>
        <v>0.11764982591434035</v>
      </c>
      <c r="AF308" s="290">
        <f t="shared" si="110"/>
        <v>0.11673154683429675</v>
      </c>
      <c r="AG308" s="290">
        <f t="shared" si="110"/>
        <v>0.1166570010974053</v>
      </c>
      <c r="AH308" s="290">
        <f t="shared" si="110"/>
        <v>0.11690600640642058</v>
      </c>
      <c r="AI308" s="290">
        <f t="shared" si="110"/>
        <v>9.9941155698683476E-2</v>
      </c>
      <c r="AJ308" s="290">
        <f t="shared" si="110"/>
        <v>7.6717614460304728E-2</v>
      </c>
      <c r="AK308" s="290">
        <f t="shared" si="110"/>
        <v>7.2073293688746473E-2</v>
      </c>
      <c r="AL308" s="290">
        <f t="shared" si="110"/>
        <v>7.0832411959201202E-2</v>
      </c>
      <c r="AM308" s="290">
        <f t="shared" si="110"/>
        <v>7.0648691473561287E-2</v>
      </c>
      <c r="AN308" s="290">
        <f t="shared" si="110"/>
        <v>7.092659410966301E-2</v>
      </c>
      <c r="AO308" s="290">
        <f t="shared" si="110"/>
        <v>7.1454466348205389E-2</v>
      </c>
      <c r="AP308" s="290">
        <f t="shared" si="110"/>
        <v>7.2140227971617371E-2</v>
      </c>
      <c r="AQ308" s="290">
        <f t="shared" si="110"/>
        <v>7.2938254676489997E-2</v>
      </c>
      <c r="AR308" s="290">
        <f t="shared" si="110"/>
        <v>7.3823631165798986E-2</v>
      </c>
      <c r="AS308" s="290">
        <f t="shared" si="110"/>
        <v>7.4781444440840381E-2</v>
      </c>
      <c r="AT308" s="290">
        <f t="shared" si="110"/>
        <v>7.5801792043583505E-2</v>
      </c>
      <c r="AU308" s="290">
        <f t="shared" si="110"/>
        <v>7.6877258538940119E-2</v>
      </c>
      <c r="AV308" s="290">
        <f t="shared" si="110"/>
        <v>7.8001552642900734E-2</v>
      </c>
      <c r="AW308" s="290">
        <f t="shared" si="110"/>
        <v>7.9168718644054462E-2</v>
      </c>
      <c r="AX308" s="290">
        <f t="shared" si="110"/>
        <v>8.0372639850748911E-2</v>
      </c>
      <c r="AY308" s="290">
        <f t="shared" si="110"/>
        <v>8.1606693408192862E-2</v>
      </c>
      <c r="AZ308" s="290">
        <f t="shared" si="110"/>
        <v>8.2863487262222743E-2</v>
      </c>
      <c r="BA308" s="290">
        <f t="shared" si="110"/>
        <v>8.4134648458630307E-2</v>
      </c>
      <c r="BB308" s="290">
        <f t="shared" si="110"/>
        <v>8.5410652947798149E-2</v>
      </c>
      <c r="BC308" s="290">
        <f t="shared" si="110"/>
        <v>8.6680696127524673E-2</v>
      </c>
      <c r="BD308" s="290">
        <f t="shared" si="110"/>
        <v>8.7932600129989713E-2</v>
      </c>
      <c r="BE308" s="290">
        <f t="shared" si="110"/>
        <v>8.915273377179983E-2</v>
      </c>
      <c r="BF308" s="290">
        <f t="shared" si="110"/>
        <v>9.032739431620028E-2</v>
      </c>
      <c r="BG308" s="290">
        <f t="shared" si="110"/>
        <v>9.1437980380257772E-2</v>
      </c>
      <c r="BH308" s="290">
        <f t="shared" si="110"/>
        <v>9.2464138804749949E-2</v>
      </c>
      <c r="BI308" s="290">
        <f t="shared" si="110"/>
        <v>9.2436920307165049E-2</v>
      </c>
      <c r="DR308" s="291"/>
    </row>
    <row r="309" spans="1:122" s="290" customFormat="1" ht="15" x14ac:dyDescent="0.2">
      <c r="A309" s="289" t="s">
        <v>784</v>
      </c>
      <c r="B309" s="290">
        <f>1/B305</f>
        <v>1.0000000000000002</v>
      </c>
      <c r="C309" s="290">
        <f>1/C305</f>
        <v>0.83521109988338793</v>
      </c>
      <c r="D309" s="290">
        <f t="shared" ref="D309:BI309" si="111">1/D305</f>
        <v>0.77384571951952186</v>
      </c>
      <c r="E309" s="290">
        <f t="shared" si="111"/>
        <v>0.72219583799587328</v>
      </c>
      <c r="F309" s="290">
        <f t="shared" si="111"/>
        <v>0.68450036227212208</v>
      </c>
      <c r="G309" s="290">
        <f t="shared" si="111"/>
        <v>0.65693085594329903</v>
      </c>
      <c r="H309" s="290">
        <f t="shared" si="111"/>
        <v>0.6324251704891789</v>
      </c>
      <c r="I309" s="290">
        <f t="shared" si="111"/>
        <v>0.61114178531431484</v>
      </c>
      <c r="J309" s="290">
        <f t="shared" si="111"/>
        <v>0.59433325255904024</v>
      </c>
      <c r="K309" s="290">
        <f t="shared" si="111"/>
        <v>0.58598906710787535</v>
      </c>
      <c r="L309" s="290">
        <f t="shared" si="111"/>
        <v>0.58068029613816263</v>
      </c>
      <c r="M309" s="290">
        <f t="shared" si="111"/>
        <v>0.56814724150190898</v>
      </c>
      <c r="N309" s="290">
        <f t="shared" si="111"/>
        <v>0.56494194154892408</v>
      </c>
      <c r="O309" s="290">
        <f t="shared" si="111"/>
        <v>0.55714141569152487</v>
      </c>
      <c r="P309" s="290">
        <f t="shared" si="111"/>
        <v>0.54734367163195397</v>
      </c>
      <c r="Q309" s="290">
        <f t="shared" si="111"/>
        <v>0.53729991028888113</v>
      </c>
      <c r="R309" s="290">
        <f t="shared" si="111"/>
        <v>0.52766285954389847</v>
      </c>
      <c r="S309" s="290">
        <f t="shared" si="111"/>
        <v>0.51739079346967232</v>
      </c>
      <c r="T309" s="290">
        <f t="shared" si="111"/>
        <v>0.50630598587387377</v>
      </c>
      <c r="U309" s="290">
        <f t="shared" si="111"/>
        <v>0.49563553992116649</v>
      </c>
      <c r="V309" s="290">
        <f t="shared" si="111"/>
        <v>0.48447932026137192</v>
      </c>
      <c r="W309" s="290">
        <f t="shared" si="111"/>
        <v>0.47585305719053006</v>
      </c>
      <c r="X309" s="290">
        <f t="shared" si="111"/>
        <v>0.4683178543197356</v>
      </c>
      <c r="Y309" s="290">
        <f t="shared" si="111"/>
        <v>0.46153386130903623</v>
      </c>
      <c r="Z309" s="290">
        <f t="shared" si="111"/>
        <v>0.45550465888597341</v>
      </c>
      <c r="AA309" s="290">
        <f t="shared" si="111"/>
        <v>0.4506269564105882</v>
      </c>
      <c r="AB309" s="290">
        <f t="shared" si="111"/>
        <v>0.44702603176027556</v>
      </c>
      <c r="AC309" s="290">
        <f t="shared" si="111"/>
        <v>0.44277245739635174</v>
      </c>
      <c r="AD309" s="290">
        <f t="shared" si="111"/>
        <v>0.43895034709286168</v>
      </c>
      <c r="AE309" s="290">
        <f t="shared" si="111"/>
        <v>0.43535499638822778</v>
      </c>
      <c r="AF309" s="290">
        <f t="shared" si="111"/>
        <v>0.43226854991712965</v>
      </c>
      <c r="AG309" s="290">
        <f t="shared" si="111"/>
        <v>0.43000085871321747</v>
      </c>
      <c r="AH309" s="290">
        <f t="shared" si="111"/>
        <v>0.42875003734828188</v>
      </c>
      <c r="AI309" s="290">
        <f t="shared" si="111"/>
        <v>0.31849273643034287</v>
      </c>
      <c r="AJ309" s="290">
        <f t="shared" si="111"/>
        <v>0.22772325317394607</v>
      </c>
      <c r="AK309" s="290">
        <f t="shared" si="111"/>
        <v>0.2040108706090423</v>
      </c>
      <c r="AL309" s="290">
        <f t="shared" si="111"/>
        <v>0.19599263691212648</v>
      </c>
      <c r="AM309" s="290">
        <f t="shared" si="111"/>
        <v>0.19302425690542402</v>
      </c>
      <c r="AN309" s="290">
        <f t="shared" si="111"/>
        <v>0.19217792140961845</v>
      </c>
      <c r="AO309" s="290">
        <f t="shared" si="111"/>
        <v>0.1923955321213886</v>
      </c>
      <c r="AP309" s="290">
        <f t="shared" si="111"/>
        <v>0.19322799385019679</v>
      </c>
      <c r="AQ309" s="290">
        <f t="shared" si="111"/>
        <v>0.19446871748012889</v>
      </c>
      <c r="AR309" s="290">
        <f t="shared" si="111"/>
        <v>0.19602130962505901</v>
      </c>
      <c r="AS309" s="290">
        <f t="shared" si="111"/>
        <v>0.19784425711163867</v>
      </c>
      <c r="AT309" s="290">
        <f t="shared" si="111"/>
        <v>0.19992557616337819</v>
      </c>
      <c r="AU309" s="290">
        <f t="shared" si="111"/>
        <v>0.20227060493427698</v>
      </c>
      <c r="AV309" s="290">
        <f t="shared" si="111"/>
        <v>0.20489602451400402</v>
      </c>
      <c r="AW309" s="290">
        <f t="shared" si="111"/>
        <v>0.2078269408385314</v>
      </c>
      <c r="AX309" s="290">
        <f t="shared" si="111"/>
        <v>0.21109542276226537</v>
      </c>
      <c r="AY309" s="290">
        <f t="shared" si="111"/>
        <v>0.21473955410785456</v>
      </c>
      <c r="AZ309" s="290">
        <f t="shared" si="111"/>
        <v>0.21880228071959368</v>
      </c>
      <c r="BA309" s="290">
        <f t="shared" si="111"/>
        <v>0.22332928804139732</v>
      </c>
      <c r="BB309" s="290">
        <f t="shared" si="111"/>
        <v>0.22836488657123799</v>
      </c>
      <c r="BC309" s="290">
        <f t="shared" si="111"/>
        <v>0.23394443202408083</v>
      </c>
      <c r="BD309" s="290">
        <f t="shared" si="111"/>
        <v>0.24008122101271276</v>
      </c>
      <c r="BE309" s="290">
        <f t="shared" si="111"/>
        <v>0.24674529403421414</v>
      </c>
      <c r="BF309" s="290">
        <f t="shared" si="111"/>
        <v>0.25383328869806149</v>
      </c>
      <c r="BG309" s="290">
        <f t="shared" si="111"/>
        <v>0.2611215206937969</v>
      </c>
      <c r="BH309" s="290">
        <f t="shared" si="111"/>
        <v>0.26822138652475885</v>
      </c>
      <c r="BI309" s="290">
        <f t="shared" si="111"/>
        <v>0.26815468311566298</v>
      </c>
      <c r="DR309" s="291"/>
    </row>
    <row r="310" spans="1:122" s="290" customFormat="1" ht="15" x14ac:dyDescent="0.2">
      <c r="A310" s="289" t="s">
        <v>786</v>
      </c>
      <c r="B310" s="290">
        <f>+(B308*B309)^0.5</f>
        <v>1</v>
      </c>
      <c r="C310" s="290">
        <f t="shared" ref="C310:BI310" si="112">+(C308*C309)^0.5</f>
        <v>0.79484439654460637</v>
      </c>
      <c r="D310" s="290">
        <f t="shared" si="112"/>
        <v>0.72524207113519767</v>
      </c>
      <c r="E310" s="290">
        <f t="shared" si="112"/>
        <v>0.65625548367248088</v>
      </c>
      <c r="F310" s="290">
        <f t="shared" si="112"/>
        <v>0.59676242393140599</v>
      </c>
      <c r="G310" s="290">
        <f t="shared" si="112"/>
        <v>0.54884161604011217</v>
      </c>
      <c r="H310" s="290">
        <f t="shared" si="112"/>
        <v>0.50698808019390684</v>
      </c>
      <c r="I310" s="290">
        <f t="shared" si="112"/>
        <v>0.46997495916531407</v>
      </c>
      <c r="J310" s="290">
        <f t="shared" si="112"/>
        <v>0.43951208239962941</v>
      </c>
      <c r="K310" s="290">
        <f t="shared" si="112"/>
        <v>0.41699950751408982</v>
      </c>
      <c r="L310" s="290">
        <f t="shared" si="112"/>
        <v>0.39898675112575988</v>
      </c>
      <c r="M310" s="290">
        <f t="shared" si="112"/>
        <v>0.37529943163169333</v>
      </c>
      <c r="N310" s="290">
        <f t="shared" si="112"/>
        <v>0.36565425453200096</v>
      </c>
      <c r="O310" s="290">
        <f t="shared" si="112"/>
        <v>0.35164595343329036</v>
      </c>
      <c r="P310" s="290">
        <f t="shared" si="112"/>
        <v>0.33659551963063483</v>
      </c>
      <c r="Q310" s="290">
        <f t="shared" si="112"/>
        <v>0.3226395822325796</v>
      </c>
      <c r="R310" s="290">
        <f t="shared" si="112"/>
        <v>0.30972059132831903</v>
      </c>
      <c r="S310" s="290">
        <f t="shared" si="112"/>
        <v>0.29763083095059234</v>
      </c>
      <c r="T310" s="290">
        <f t="shared" si="112"/>
        <v>0.28610066453701222</v>
      </c>
      <c r="U310" s="290">
        <f t="shared" si="112"/>
        <v>0.27585591552056676</v>
      </c>
      <c r="V310" s="290">
        <f t="shared" si="112"/>
        <v>0.26509505999203836</v>
      </c>
      <c r="W310" s="290">
        <f t="shared" si="112"/>
        <v>0.25746277051380145</v>
      </c>
      <c r="X310" s="290">
        <f t="shared" si="112"/>
        <v>0.25164697626572524</v>
      </c>
      <c r="Y310" s="290">
        <f t="shared" si="112"/>
        <v>0.24616107894456268</v>
      </c>
      <c r="Z310" s="290">
        <f t="shared" si="112"/>
        <v>0.24139373700523933</v>
      </c>
      <c r="AA310" s="290">
        <f t="shared" si="112"/>
        <v>0.2375017514629382</v>
      </c>
      <c r="AB310" s="290">
        <f t="shared" si="112"/>
        <v>0.23439092085902893</v>
      </c>
      <c r="AC310" s="290">
        <f t="shared" si="112"/>
        <v>0.23122987592251565</v>
      </c>
      <c r="AD310" s="290">
        <f t="shared" si="112"/>
        <v>0.22860574737206166</v>
      </c>
      <c r="AE310" s="290">
        <f t="shared" si="112"/>
        <v>0.22631712161481127</v>
      </c>
      <c r="AF310" s="290">
        <f t="shared" si="112"/>
        <v>0.22463164621140308</v>
      </c>
      <c r="AG310" s="290">
        <f t="shared" si="112"/>
        <v>0.22397011105679487</v>
      </c>
      <c r="AH310" s="290">
        <f t="shared" si="112"/>
        <v>0.22388268046678222</v>
      </c>
      <c r="AI310" s="290">
        <f t="shared" si="112"/>
        <v>0.17841113238944664</v>
      </c>
      <c r="AJ310" s="290">
        <f t="shared" si="112"/>
        <v>0.13217558299718279</v>
      </c>
      <c r="AK310" s="290">
        <f t="shared" si="112"/>
        <v>0.12125896005286521</v>
      </c>
      <c r="AL310" s="290">
        <f t="shared" si="112"/>
        <v>0.11782457807575585</v>
      </c>
      <c r="AM310" s="290">
        <f t="shared" si="112"/>
        <v>0.11677718601261436</v>
      </c>
      <c r="AN310" s="290">
        <f t="shared" si="112"/>
        <v>0.11674984123611785</v>
      </c>
      <c r="AO310" s="290">
        <f t="shared" si="112"/>
        <v>0.11724981908520299</v>
      </c>
      <c r="AP310" s="290">
        <f t="shared" si="112"/>
        <v>0.11806570851374025</v>
      </c>
      <c r="AQ310" s="290">
        <f t="shared" si="112"/>
        <v>0.11909747622085039</v>
      </c>
      <c r="AR310" s="290">
        <f t="shared" si="112"/>
        <v>0.12029548978410304</v>
      </c>
      <c r="AS310" s="290">
        <f t="shared" si="112"/>
        <v>0.12163502505912245</v>
      </c>
      <c r="AT310" s="290">
        <f t="shared" si="112"/>
        <v>0.12310449605327178</v>
      </c>
      <c r="AU310" s="290">
        <f t="shared" si="112"/>
        <v>0.12469967758723448</v>
      </c>
      <c r="AV310" s="290">
        <f t="shared" si="112"/>
        <v>0.12642075795710989</v>
      </c>
      <c r="AW310" s="290">
        <f t="shared" si="112"/>
        <v>0.12827077845674845</v>
      </c>
      <c r="AX310" s="290">
        <f t="shared" si="112"/>
        <v>0.13025473652736447</v>
      </c>
      <c r="AY310" s="290">
        <f t="shared" si="112"/>
        <v>0.13237894452930091</v>
      </c>
      <c r="AZ310" s="290">
        <f t="shared" si="112"/>
        <v>0.13465036205429726</v>
      </c>
      <c r="BA310" s="290">
        <f t="shared" si="112"/>
        <v>0.13707564021327479</v>
      </c>
      <c r="BB310" s="290">
        <f t="shared" si="112"/>
        <v>0.1396595649155449</v>
      </c>
      <c r="BC310" s="290">
        <f t="shared" si="112"/>
        <v>0.14240247969401973</v>
      </c>
      <c r="BD310" s="290">
        <f t="shared" si="112"/>
        <v>0.14529613210966957</v>
      </c>
      <c r="BE310" s="290">
        <f t="shared" si="112"/>
        <v>0.14831728661378876</v>
      </c>
      <c r="BF310" s="290">
        <f t="shared" si="112"/>
        <v>0.15142027459626306</v>
      </c>
      <c r="BG310" s="290">
        <f t="shared" si="112"/>
        <v>0.15451998086351965</v>
      </c>
      <c r="BH310" s="290">
        <f t="shared" si="112"/>
        <v>0.15748288641635888</v>
      </c>
      <c r="BI310" s="290">
        <f t="shared" si="112"/>
        <v>0.15744012535931123</v>
      </c>
      <c r="DR310" s="291"/>
    </row>
    <row r="311" spans="1:122" s="294" customFormat="1" ht="15" x14ac:dyDescent="0.2">
      <c r="DR311" s="295"/>
    </row>
    <row r="312" spans="1:122" s="294" customFormat="1" ht="15" x14ac:dyDescent="0.2">
      <c r="DR312" s="295"/>
    </row>
    <row r="313" spans="1:122" s="294" customFormat="1" ht="15" x14ac:dyDescent="0.2">
      <c r="DR313" s="295"/>
    </row>
    <row r="314" spans="1:122" s="294" customFormat="1" ht="15" x14ac:dyDescent="0.2">
      <c r="DR314" s="295"/>
    </row>
    <row r="315" spans="1:122" s="294" customFormat="1" ht="15" x14ac:dyDescent="0.2">
      <c r="DR315" s="295"/>
    </row>
    <row r="316" spans="1:122" s="294" customFormat="1" ht="15" x14ac:dyDescent="0.2">
      <c r="DR316" s="295"/>
    </row>
    <row r="317" spans="1:122" s="294" customFormat="1" ht="15" x14ac:dyDescent="0.2">
      <c r="DR317" s="295"/>
    </row>
    <row r="318" spans="1:122" s="294" customFormat="1" ht="15" x14ac:dyDescent="0.2">
      <c r="DR318" s="295"/>
    </row>
    <row r="319" spans="1:122" s="294" customFormat="1" ht="15" x14ac:dyDescent="0.2">
      <c r="DR319" s="295"/>
    </row>
    <row r="320" spans="1:122" s="294" customFormat="1" ht="15" x14ac:dyDescent="0.2">
      <c r="DR320" s="295"/>
    </row>
    <row r="321" spans="122:122" s="294" customFormat="1" ht="15" x14ac:dyDescent="0.2">
      <c r="DR321" s="295"/>
    </row>
    <row r="322" spans="122:122" s="294" customFormat="1" ht="15" x14ac:dyDescent="0.2">
      <c r="DR322" s="295"/>
    </row>
    <row r="323" spans="122:122" s="294" customFormat="1" ht="15" x14ac:dyDescent="0.2">
      <c r="DR323" s="295"/>
    </row>
    <row r="324" spans="122:122" s="294" customFormat="1" ht="15" x14ac:dyDescent="0.2">
      <c r="DR324" s="295"/>
    </row>
    <row r="325" spans="122:122" s="294" customFormat="1" ht="15" x14ac:dyDescent="0.2">
      <c r="DR325" s="295"/>
    </row>
    <row r="326" spans="122:122" s="294" customFormat="1" ht="15" x14ac:dyDescent="0.2">
      <c r="DR326" s="295"/>
    </row>
    <row r="327" spans="122:122" s="294" customFormat="1" ht="15" x14ac:dyDescent="0.2">
      <c r="DR327" s="295"/>
    </row>
    <row r="328" spans="122:122" s="294" customFormat="1" ht="15" x14ac:dyDescent="0.2">
      <c r="DR328" s="295"/>
    </row>
    <row r="329" spans="122:122" s="294" customFormat="1" ht="15" x14ac:dyDescent="0.2">
      <c r="DR329" s="295"/>
    </row>
    <row r="330" spans="122:122" s="294" customFormat="1" ht="15" x14ac:dyDescent="0.2">
      <c r="DR330" s="295"/>
    </row>
    <row r="331" spans="122:122" s="294" customFormat="1" ht="15" x14ac:dyDescent="0.2">
      <c r="DR331" s="295"/>
    </row>
    <row r="332" spans="122:122" s="294" customFormat="1" ht="15" x14ac:dyDescent="0.2">
      <c r="DR332" s="295"/>
    </row>
    <row r="333" spans="122:122" s="294" customFormat="1" ht="15" x14ac:dyDescent="0.2">
      <c r="DR333" s="295"/>
    </row>
    <row r="334" spans="122:122" s="294" customFormat="1" ht="15" x14ac:dyDescent="0.2">
      <c r="DR334" s="295"/>
    </row>
    <row r="335" spans="122:122" s="294" customFormat="1" ht="15" x14ac:dyDescent="0.2">
      <c r="DR335" s="295"/>
    </row>
    <row r="336" spans="122:122" s="294" customFormat="1" ht="15" x14ac:dyDescent="0.2">
      <c r="DR336" s="295"/>
    </row>
    <row r="337" spans="1:122" s="294" customFormat="1" ht="15" x14ac:dyDescent="0.2">
      <c r="DR337" s="295"/>
    </row>
    <row r="338" spans="1:122" s="294" customFormat="1" ht="15" x14ac:dyDescent="0.2">
      <c r="DR338" s="295"/>
    </row>
    <row r="339" spans="1:122" s="294" customFormat="1" ht="15" x14ac:dyDescent="0.2">
      <c r="DR339" s="295"/>
    </row>
    <row r="340" spans="1:122" s="294" customFormat="1" ht="15" x14ac:dyDescent="0.2">
      <c r="DR340" s="295"/>
    </row>
    <row r="341" spans="1:122" s="285" customFormat="1" ht="15" x14ac:dyDescent="0.2">
      <c r="A341" s="287" t="s">
        <v>792</v>
      </c>
      <c r="DR341" s="286"/>
    </row>
    <row r="342" spans="1:122" s="285" customFormat="1" ht="15" x14ac:dyDescent="0.2">
      <c r="A342" s="287" t="s">
        <v>788</v>
      </c>
      <c r="DR342" s="286"/>
    </row>
    <row r="343" spans="1:122" s="285" customFormat="1" ht="15" x14ac:dyDescent="0.2">
      <c r="A343" s="287" t="s">
        <v>787</v>
      </c>
      <c r="C343" s="285">
        <f>+SUM(B344:BI355)</f>
        <v>1181.6671192432086</v>
      </c>
      <c r="D343" s="285">
        <f>+C343-C358</f>
        <v>195.68059076235147</v>
      </c>
      <c r="DR343" s="286"/>
    </row>
    <row r="344" spans="1:122" s="184" customFormat="1" ht="15" x14ac:dyDescent="0.2">
      <c r="A344" s="184" t="s">
        <v>104</v>
      </c>
      <c r="B344" s="184">
        <f t="shared" ref="B344:R344" si="113">+B248*B$310</f>
        <v>1</v>
      </c>
      <c r="C344" s="184">
        <f t="shared" si="113"/>
        <v>0.79484439654460637</v>
      </c>
      <c r="D344" s="184">
        <f t="shared" si="113"/>
        <v>0.72524207113519767</v>
      </c>
      <c r="E344" s="184">
        <f t="shared" si="113"/>
        <v>0.65625548367248088</v>
      </c>
      <c r="F344" s="184">
        <f t="shared" si="113"/>
        <v>0.59676242393140599</v>
      </c>
      <c r="G344" s="184">
        <f t="shared" si="113"/>
        <v>0.54884161604011217</v>
      </c>
      <c r="H344" s="184">
        <f t="shared" si="113"/>
        <v>0.50698808019390684</v>
      </c>
      <c r="I344" s="184">
        <f t="shared" si="113"/>
        <v>0.46997495916531407</v>
      </c>
      <c r="J344" s="184">
        <f t="shared" si="113"/>
        <v>0.43951208239962941</v>
      </c>
      <c r="K344" s="184">
        <f t="shared" si="113"/>
        <v>0.41699950751408982</v>
      </c>
      <c r="L344" s="184">
        <f t="shared" si="113"/>
        <v>0.39898675112575988</v>
      </c>
      <c r="M344" s="184">
        <f t="shared" si="113"/>
        <v>0.37529943163169333</v>
      </c>
      <c r="N344" s="184">
        <f t="shared" si="113"/>
        <v>0.36565425453200096</v>
      </c>
      <c r="O344" s="184">
        <f t="shared" si="113"/>
        <v>0.35164595343329036</v>
      </c>
      <c r="P344" s="184">
        <f t="shared" si="113"/>
        <v>0.33659551963063483</v>
      </c>
      <c r="Q344" s="184">
        <f t="shared" si="113"/>
        <v>0.3226395822325796</v>
      </c>
      <c r="R344" s="184">
        <f t="shared" si="113"/>
        <v>0.30972059132831903</v>
      </c>
      <c r="S344" s="184">
        <f t="shared" ref="D344:BI348" si="114">+S248*S$310</f>
        <v>0.29763083095059234</v>
      </c>
      <c r="T344" s="184">
        <f t="shared" si="114"/>
        <v>0.28610066453701222</v>
      </c>
      <c r="U344" s="184">
        <f t="shared" si="114"/>
        <v>0.27585591552056676</v>
      </c>
      <c r="V344" s="184">
        <f t="shared" si="114"/>
        <v>0.26509505999203836</v>
      </c>
      <c r="W344" s="184">
        <f t="shared" si="114"/>
        <v>0.25746277051380145</v>
      </c>
      <c r="X344" s="184">
        <f t="shared" si="114"/>
        <v>0.25164697626572524</v>
      </c>
      <c r="Y344" s="184">
        <f t="shared" si="114"/>
        <v>0.24616107894456268</v>
      </c>
      <c r="Z344" s="184">
        <f t="shared" si="114"/>
        <v>0.24139373700523933</v>
      </c>
      <c r="AA344" s="184">
        <f t="shared" si="114"/>
        <v>0.2375017514629382</v>
      </c>
      <c r="AB344" s="184">
        <f t="shared" si="114"/>
        <v>0.23439092085902893</v>
      </c>
      <c r="AC344" s="184">
        <f t="shared" si="114"/>
        <v>0.23122987592251565</v>
      </c>
      <c r="AD344" s="184">
        <f t="shared" si="114"/>
        <v>0.22860574737206166</v>
      </c>
      <c r="AE344" s="184">
        <f t="shared" si="114"/>
        <v>0.22631712161481127</v>
      </c>
      <c r="AF344" s="184">
        <f t="shared" si="114"/>
        <v>0.22463164621140308</v>
      </c>
      <c r="AG344" s="184">
        <f t="shared" si="114"/>
        <v>0.22397011105679487</v>
      </c>
      <c r="AH344" s="184">
        <f t="shared" si="114"/>
        <v>0.22388268046678222</v>
      </c>
      <c r="AI344" s="184">
        <f t="shared" si="114"/>
        <v>0.17841113238944664</v>
      </c>
      <c r="AJ344" s="184">
        <f t="shared" si="114"/>
        <v>0.13217558299718279</v>
      </c>
      <c r="AK344" s="184">
        <f t="shared" si="114"/>
        <v>0.12125896005286521</v>
      </c>
      <c r="AL344" s="184">
        <f t="shared" si="114"/>
        <v>0.11782457807575585</v>
      </c>
      <c r="AM344" s="184">
        <f t="shared" si="114"/>
        <v>0.11677718601261436</v>
      </c>
      <c r="AN344" s="184">
        <f t="shared" si="114"/>
        <v>0.11674984123611785</v>
      </c>
      <c r="AO344" s="184">
        <f t="shared" si="114"/>
        <v>0.11724981908520299</v>
      </c>
      <c r="AP344" s="184">
        <f t="shared" si="114"/>
        <v>0.11806570851374025</v>
      </c>
      <c r="AQ344" s="184">
        <f t="shared" si="114"/>
        <v>0.11909747622085039</v>
      </c>
      <c r="AR344" s="184">
        <f t="shared" si="114"/>
        <v>0.12029548978410304</v>
      </c>
      <c r="AS344" s="184">
        <f t="shared" si="114"/>
        <v>0.12163502505912245</v>
      </c>
      <c r="AT344" s="184">
        <f t="shared" si="114"/>
        <v>0.12310449605327178</v>
      </c>
      <c r="AU344" s="184">
        <f t="shared" si="114"/>
        <v>0.12469967758723448</v>
      </c>
      <c r="AV344" s="184">
        <f t="shared" si="114"/>
        <v>0.12642075795710989</v>
      </c>
      <c r="AW344" s="184">
        <f t="shared" si="114"/>
        <v>0.12827077845674845</v>
      </c>
      <c r="AX344" s="184">
        <f t="shared" si="114"/>
        <v>0.13025473652736447</v>
      </c>
      <c r="AY344" s="184">
        <f t="shared" si="114"/>
        <v>0.13237894452930091</v>
      </c>
      <c r="AZ344" s="184">
        <f t="shared" si="114"/>
        <v>0.13465036205429726</v>
      </c>
      <c r="BA344" s="184">
        <f t="shared" si="114"/>
        <v>0.13707564021327479</v>
      </c>
      <c r="BB344" s="184">
        <f t="shared" si="114"/>
        <v>0.1396595649155449</v>
      </c>
      <c r="BC344" s="184">
        <f t="shared" si="114"/>
        <v>0.14240247969401973</v>
      </c>
      <c r="BD344" s="184">
        <f t="shared" si="114"/>
        <v>0.14529613210966957</v>
      </c>
      <c r="BE344" s="184">
        <f t="shared" si="114"/>
        <v>0.14831728661378876</v>
      </c>
      <c r="BF344" s="184">
        <f t="shared" si="114"/>
        <v>0.15142027459626306</v>
      </c>
      <c r="BG344" s="184">
        <f t="shared" si="114"/>
        <v>0.15451998086351965</v>
      </c>
      <c r="BH344" s="184">
        <f t="shared" si="114"/>
        <v>0.15748288641635888</v>
      </c>
      <c r="BI344" s="184">
        <f t="shared" si="114"/>
        <v>0.15744012535931123</v>
      </c>
      <c r="DR344" s="493"/>
    </row>
    <row r="345" spans="1:122" s="184" customFormat="1" ht="15" x14ac:dyDescent="0.2">
      <c r="A345" s="184" t="s">
        <v>105</v>
      </c>
      <c r="B345" s="184">
        <f t="shared" ref="B345:C355" si="115">+B249*B$310</f>
        <v>1</v>
      </c>
      <c r="C345" s="184">
        <f t="shared" si="115"/>
        <v>0.82582361531376636</v>
      </c>
      <c r="D345" s="184">
        <f t="shared" si="114"/>
        <v>0.79127133870593713</v>
      </c>
      <c r="E345" s="184">
        <f t="shared" si="114"/>
        <v>0.74756977046221207</v>
      </c>
      <c r="F345" s="184">
        <f t="shared" si="114"/>
        <v>0.70686140135230358</v>
      </c>
      <c r="G345" s="184">
        <f t="shared" si="114"/>
        <v>0.6730467749756196</v>
      </c>
      <c r="H345" s="184">
        <f t="shared" si="114"/>
        <v>0.64206336147040588</v>
      </c>
      <c r="I345" s="184">
        <f t="shared" si="114"/>
        <v>0.61248857857489103</v>
      </c>
      <c r="J345" s="184">
        <f t="shared" si="114"/>
        <v>0.58764561475710031</v>
      </c>
      <c r="K345" s="184">
        <f t="shared" si="114"/>
        <v>0.56426918087381128</v>
      </c>
      <c r="L345" s="184">
        <f t="shared" si="114"/>
        <v>0.54360670903991726</v>
      </c>
      <c r="M345" s="184">
        <f t="shared" si="114"/>
        <v>0.52367809577431534</v>
      </c>
      <c r="N345" s="184">
        <f t="shared" si="114"/>
        <v>0.51459128350057193</v>
      </c>
      <c r="O345" s="184">
        <f t="shared" si="114"/>
        <v>0.49937876935042069</v>
      </c>
      <c r="P345" s="184">
        <f t="shared" si="114"/>
        <v>0.4820603559126308</v>
      </c>
      <c r="Q345" s="184">
        <f t="shared" si="114"/>
        <v>0.4654770919726342</v>
      </c>
      <c r="R345" s="184">
        <f t="shared" si="114"/>
        <v>0.44954998665035822</v>
      </c>
      <c r="S345" s="184">
        <f t="shared" si="114"/>
        <v>0.43405051458441196</v>
      </c>
      <c r="T345" s="184">
        <f t="shared" si="114"/>
        <v>0.4186803533498733</v>
      </c>
      <c r="U345" s="184">
        <f t="shared" si="114"/>
        <v>0.40460267684177548</v>
      </c>
      <c r="V345" s="184">
        <f t="shared" si="114"/>
        <v>0.38889074273696322</v>
      </c>
      <c r="W345" s="184">
        <f t="shared" si="114"/>
        <v>0.37718271064360642</v>
      </c>
      <c r="X345" s="184">
        <f t="shared" si="114"/>
        <v>0.36807680937330617</v>
      </c>
      <c r="Y345" s="184">
        <f t="shared" si="114"/>
        <v>0.3593123038578378</v>
      </c>
      <c r="Z345" s="184">
        <f t="shared" si="114"/>
        <v>0.35143465165488658</v>
      </c>
      <c r="AA345" s="184">
        <f t="shared" si="114"/>
        <v>0.34468167607242889</v>
      </c>
      <c r="AB345" s="184">
        <f t="shared" si="114"/>
        <v>0.33892798428552745</v>
      </c>
      <c r="AC345" s="184">
        <f t="shared" si="114"/>
        <v>0.33327162134184202</v>
      </c>
      <c r="AD345" s="184">
        <f t="shared" si="114"/>
        <v>0.32844032527495337</v>
      </c>
      <c r="AE345" s="184">
        <f t="shared" si="114"/>
        <v>0.32412241469506953</v>
      </c>
      <c r="AF345" s="184">
        <f t="shared" si="114"/>
        <v>0.32079178491234295</v>
      </c>
      <c r="AG345" s="184">
        <f t="shared" si="114"/>
        <v>0.3189973161026855</v>
      </c>
      <c r="AH345" s="184">
        <f t="shared" si="114"/>
        <v>0.31795734817474397</v>
      </c>
      <c r="AI345" s="184">
        <f t="shared" si="114"/>
        <v>0.25261234242169234</v>
      </c>
      <c r="AJ345" s="184">
        <f t="shared" si="114"/>
        <v>0.18656018194204904</v>
      </c>
      <c r="AK345" s="184">
        <f t="shared" si="114"/>
        <v>0.17059934219225159</v>
      </c>
      <c r="AL345" s="184">
        <f t="shared" si="114"/>
        <v>0.16521976524060422</v>
      </c>
      <c r="AM345" s="184">
        <f t="shared" si="114"/>
        <v>0.16319920444834604</v>
      </c>
      <c r="AN345" s="184">
        <f t="shared" si="114"/>
        <v>0.16260183866456543</v>
      </c>
      <c r="AO345" s="184">
        <f t="shared" si="114"/>
        <v>0.16273060705370387</v>
      </c>
      <c r="AP345" s="184">
        <f t="shared" si="114"/>
        <v>0.163286762281384</v>
      </c>
      <c r="AQ345" s="184">
        <f t="shared" si="114"/>
        <v>0.16412904201464976</v>
      </c>
      <c r="AR345" s="184">
        <f t="shared" si="114"/>
        <v>0.16518728170094057</v>
      </c>
      <c r="AS345" s="184">
        <f t="shared" si="114"/>
        <v>0.1664263206998238</v>
      </c>
      <c r="AT345" s="184">
        <f t="shared" si="114"/>
        <v>0.16782935148644501</v>
      </c>
      <c r="AU345" s="184">
        <f t="shared" si="114"/>
        <v>0.1693897525081495</v>
      </c>
      <c r="AV345" s="184">
        <f t="shared" si="114"/>
        <v>0.17110692189870694</v>
      </c>
      <c r="AW345" s="184">
        <f t="shared" si="114"/>
        <v>0.17298406970689575</v>
      </c>
      <c r="AX345" s="184">
        <f t="shared" si="114"/>
        <v>0.17502694932345914</v>
      </c>
      <c r="AY345" s="184">
        <f t="shared" si="114"/>
        <v>0.17724295888056915</v>
      </c>
      <c r="AZ345" s="184">
        <f t="shared" si="114"/>
        <v>0.17964022719532452</v>
      </c>
      <c r="BA345" s="184">
        <f t="shared" si="114"/>
        <v>0.18222633685998121</v>
      </c>
      <c r="BB345" s="184">
        <f t="shared" si="114"/>
        <v>0.18500627861447172</v>
      </c>
      <c r="BC345" s="184">
        <f t="shared" si="114"/>
        <v>0.18797910170764159</v>
      </c>
      <c r="BD345" s="184">
        <f t="shared" si="114"/>
        <v>0.19113255973388266</v>
      </c>
      <c r="BE345" s="184">
        <f t="shared" si="114"/>
        <v>0.19443493721390184</v>
      </c>
      <c r="BF345" s="184">
        <f t="shared" si="114"/>
        <v>0.19782565094494486</v>
      </c>
      <c r="BG345" s="184">
        <f t="shared" si="114"/>
        <v>0.20119358199910939</v>
      </c>
      <c r="BH345" s="184">
        <f t="shared" si="114"/>
        <v>0.20436628483193012</v>
      </c>
      <c r="BI345" s="184">
        <f t="shared" si="114"/>
        <v>0.20431079360641871</v>
      </c>
      <c r="DR345" s="493"/>
    </row>
    <row r="346" spans="1:122" s="184" customFormat="1" ht="15" x14ac:dyDescent="0.2">
      <c r="A346" s="184" t="s">
        <v>51</v>
      </c>
      <c r="B346" s="184">
        <f t="shared" si="115"/>
        <v>1</v>
      </c>
      <c r="C346" s="184">
        <f t="shared" si="115"/>
        <v>0.77618945189996336</v>
      </c>
      <c r="D346" s="184">
        <f t="shared" si="114"/>
        <v>0.73413278325289544</v>
      </c>
      <c r="E346" s="184">
        <f t="shared" si="114"/>
        <v>0.69115687895164413</v>
      </c>
      <c r="F346" s="184">
        <f t="shared" si="114"/>
        <v>0.61345035586382912</v>
      </c>
      <c r="G346" s="184">
        <f t="shared" si="114"/>
        <v>0.57023377612507475</v>
      </c>
      <c r="H346" s="184">
        <f t="shared" si="114"/>
        <v>0.53901470495521842</v>
      </c>
      <c r="I346" s="184">
        <f t="shared" si="114"/>
        <v>0.51008214117608941</v>
      </c>
      <c r="J346" s="184">
        <f t="shared" si="114"/>
        <v>0.48595595964552829</v>
      </c>
      <c r="K346" s="184">
        <f t="shared" si="114"/>
        <v>0.46219761457390052</v>
      </c>
      <c r="L346" s="184">
        <f t="shared" si="114"/>
        <v>0.4421038991538675</v>
      </c>
      <c r="M346" s="184">
        <f t="shared" si="114"/>
        <v>0.42150475166695262</v>
      </c>
      <c r="N346" s="184">
        <f t="shared" si="114"/>
        <v>0.41502190461505761</v>
      </c>
      <c r="O346" s="184">
        <f t="shared" si="114"/>
        <v>0.40308440365443432</v>
      </c>
      <c r="P346" s="184">
        <f t="shared" si="114"/>
        <v>0.38935061903054241</v>
      </c>
      <c r="Q346" s="184">
        <f t="shared" si="114"/>
        <v>0.37630128629935133</v>
      </c>
      <c r="R346" s="184">
        <f t="shared" si="114"/>
        <v>0.36394335267887779</v>
      </c>
      <c r="S346" s="184">
        <f t="shared" si="114"/>
        <v>0.35210811584613366</v>
      </c>
      <c r="T346" s="184">
        <f t="shared" si="114"/>
        <v>0.34054432245358784</v>
      </c>
      <c r="U346" s="184">
        <f t="shared" si="114"/>
        <v>0.33018007059294496</v>
      </c>
      <c r="V346" s="184">
        <f t="shared" si="114"/>
        <v>0.31865848868984442</v>
      </c>
      <c r="W346" s="184">
        <f t="shared" si="114"/>
        <v>0.31054930550878168</v>
      </c>
      <c r="X346" s="184">
        <f t="shared" si="114"/>
        <v>0.30465147023807654</v>
      </c>
      <c r="Y346" s="184">
        <f t="shared" si="114"/>
        <v>0.29911745730954337</v>
      </c>
      <c r="Z346" s="184">
        <f t="shared" si="114"/>
        <v>0.29440234456705178</v>
      </c>
      <c r="AA346" s="184">
        <f t="shared" si="114"/>
        <v>0.29070960278199975</v>
      </c>
      <c r="AB346" s="184">
        <f t="shared" si="114"/>
        <v>0.28790771733843851</v>
      </c>
      <c r="AC346" s="184">
        <f t="shared" si="114"/>
        <v>0.28523681759787645</v>
      </c>
      <c r="AD346" s="184">
        <f t="shared" si="114"/>
        <v>0.28326981564106696</v>
      </c>
      <c r="AE346" s="184">
        <f t="shared" si="114"/>
        <v>0.28173403727796009</v>
      </c>
      <c r="AF346" s="184">
        <f t="shared" si="114"/>
        <v>0.28103528446658937</v>
      </c>
      <c r="AG346" s="184">
        <f t="shared" si="114"/>
        <v>0.28165578223133059</v>
      </c>
      <c r="AH346" s="184">
        <f t="shared" si="114"/>
        <v>0.28292629137475139</v>
      </c>
      <c r="AI346" s="184">
        <f t="shared" si="114"/>
        <v>0.22652893269556273</v>
      </c>
      <c r="AJ346" s="184">
        <f t="shared" si="114"/>
        <v>0.16859659267996666</v>
      </c>
      <c r="AK346" s="184">
        <f t="shared" si="114"/>
        <v>0.15537044736831085</v>
      </c>
      <c r="AL346" s="184">
        <f t="shared" si="114"/>
        <v>0.15164188934334227</v>
      </c>
      <c r="AM346" s="184">
        <f t="shared" si="114"/>
        <v>0.15095599982800442</v>
      </c>
      <c r="AN346" s="184">
        <f t="shared" si="114"/>
        <v>0.15158135629556307</v>
      </c>
      <c r="AO346" s="184">
        <f t="shared" si="114"/>
        <v>0.15289520390989128</v>
      </c>
      <c r="AP346" s="184">
        <f t="shared" si="114"/>
        <v>0.15463195816468153</v>
      </c>
      <c r="AQ346" s="184">
        <f t="shared" si="114"/>
        <v>0.15666771355082565</v>
      </c>
      <c r="AR346" s="184">
        <f t="shared" si="114"/>
        <v>0.158942868570176</v>
      </c>
      <c r="AS346" s="184">
        <f t="shared" si="114"/>
        <v>0.16142974583805128</v>
      </c>
      <c r="AT346" s="184">
        <f t="shared" si="114"/>
        <v>0.16411762994568022</v>
      </c>
      <c r="AU346" s="184">
        <f t="shared" si="114"/>
        <v>0.16700542732488369</v>
      </c>
      <c r="AV346" s="184">
        <f t="shared" si="114"/>
        <v>0.17009793634182777</v>
      </c>
      <c r="AW346" s="184">
        <f t="shared" si="114"/>
        <v>0.17340389234093126</v>
      </c>
      <c r="AX346" s="184">
        <f t="shared" si="114"/>
        <v>0.17693486223101593</v>
      </c>
      <c r="AY346" s="184">
        <f t="shared" si="114"/>
        <v>0.18070445895349896</v>
      </c>
      <c r="AZ346" s="184">
        <f t="shared" si="114"/>
        <v>0.18472749873149164</v>
      </c>
      <c r="BA346" s="184">
        <f t="shared" si="114"/>
        <v>0.18901873720754298</v>
      </c>
      <c r="BB346" s="184">
        <f t="shared" si="114"/>
        <v>0.19359073372569932</v>
      </c>
      <c r="BC346" s="184">
        <f t="shared" si="114"/>
        <v>0.19845022413130226</v>
      </c>
      <c r="BD346" s="184">
        <f t="shared" si="114"/>
        <v>0.20359216157154236</v>
      </c>
      <c r="BE346" s="184">
        <f t="shared" si="114"/>
        <v>0.20899040033195365</v>
      </c>
      <c r="BF346" s="184">
        <f t="shared" si="114"/>
        <v>0.21458653434871738</v>
      </c>
      <c r="BG346" s="184">
        <f t="shared" si="114"/>
        <v>0.22026467671546007</v>
      </c>
      <c r="BH346" s="184">
        <f t="shared" si="114"/>
        <v>0.2258368318138923</v>
      </c>
      <c r="BI346" s="184">
        <f t="shared" si="114"/>
        <v>0.22577551072771965</v>
      </c>
      <c r="DR346" s="493"/>
    </row>
    <row r="347" spans="1:122" s="184" customFormat="1" ht="15" x14ac:dyDescent="0.2">
      <c r="A347" s="184" t="s">
        <v>52</v>
      </c>
      <c r="B347" s="184">
        <f t="shared" si="115"/>
        <v>1</v>
      </c>
      <c r="C347" s="184">
        <f t="shared" si="115"/>
        <v>1.0596313803861312</v>
      </c>
      <c r="D347" s="184">
        <f t="shared" si="114"/>
        <v>1.0641507992902395</v>
      </c>
      <c r="E347" s="184">
        <f t="shared" si="114"/>
        <v>1.0443262633453001</v>
      </c>
      <c r="F347" s="184">
        <f t="shared" si="114"/>
        <v>1.0192094848662197</v>
      </c>
      <c r="G347" s="184">
        <f t="shared" si="114"/>
        <v>1.0019056992497275</v>
      </c>
      <c r="H347" s="184">
        <f t="shared" si="114"/>
        <v>0.9884783502243254</v>
      </c>
      <c r="I347" s="184">
        <f t="shared" si="114"/>
        <v>0.97243039951629784</v>
      </c>
      <c r="J347" s="184">
        <f t="shared" si="114"/>
        <v>0.95965475696336477</v>
      </c>
      <c r="K347" s="184">
        <f t="shared" si="114"/>
        <v>0.93939107248023468</v>
      </c>
      <c r="L347" s="184">
        <f t="shared" si="114"/>
        <v>0.92069980747963387</v>
      </c>
      <c r="M347" s="184">
        <f t="shared" si="114"/>
        <v>0.90682650486534644</v>
      </c>
      <c r="N347" s="184">
        <f t="shared" si="114"/>
        <v>0.91127062502321343</v>
      </c>
      <c r="O347" s="184">
        <f t="shared" si="114"/>
        <v>0.90351333782891829</v>
      </c>
      <c r="P347" s="184">
        <f t="shared" si="114"/>
        <v>0.89028583564572106</v>
      </c>
      <c r="Q347" s="184">
        <f t="shared" si="114"/>
        <v>0.87677678935102576</v>
      </c>
      <c r="R347" s="184">
        <f t="shared" si="114"/>
        <v>0.86299683734604926</v>
      </c>
      <c r="S347" s="184">
        <f t="shared" si="114"/>
        <v>0.84865116750170266</v>
      </c>
      <c r="T347" s="184">
        <f t="shared" si="114"/>
        <v>0.83326817487465699</v>
      </c>
      <c r="U347" s="184">
        <f t="shared" si="114"/>
        <v>0.81928639707619955</v>
      </c>
      <c r="V347" s="184">
        <f t="shared" si="114"/>
        <v>0.80178571315460678</v>
      </c>
      <c r="W347" s="184">
        <f t="shared" si="114"/>
        <v>0.79200621002069538</v>
      </c>
      <c r="X347" s="184">
        <f t="shared" si="114"/>
        <v>0.7863201143076689</v>
      </c>
      <c r="Y347" s="184">
        <f t="shared" si="114"/>
        <v>0.78044793889575248</v>
      </c>
      <c r="Z347" s="184">
        <f t="shared" si="114"/>
        <v>0.77581652008703639</v>
      </c>
      <c r="AA347" s="184">
        <f t="shared" si="114"/>
        <v>0.77311335938687953</v>
      </c>
      <c r="AB347" s="184">
        <f t="shared" si="114"/>
        <v>0.77188981956022784</v>
      </c>
      <c r="AC347" s="184">
        <f t="shared" si="114"/>
        <v>0.76969864256540343</v>
      </c>
      <c r="AD347" s="184">
        <f t="shared" si="114"/>
        <v>0.76843513512957762</v>
      </c>
      <c r="AE347" s="184">
        <f t="shared" si="114"/>
        <v>0.7676087394929888</v>
      </c>
      <c r="AF347" s="184">
        <f t="shared" si="114"/>
        <v>0.76841451496181545</v>
      </c>
      <c r="AG347" s="184">
        <f t="shared" si="114"/>
        <v>0.77238811858009604</v>
      </c>
      <c r="AH347" s="184">
        <f t="shared" si="114"/>
        <v>0.77796440423214996</v>
      </c>
      <c r="AI347" s="184">
        <f t="shared" si="114"/>
        <v>0.62443863815316081</v>
      </c>
      <c r="AJ347" s="184">
        <f t="shared" si="114"/>
        <v>0.46582545060055774</v>
      </c>
      <c r="AK347" s="184">
        <f t="shared" si="114"/>
        <v>0.43022360198325044</v>
      </c>
      <c r="AL347" s="184">
        <f t="shared" si="114"/>
        <v>0.42077522285956853</v>
      </c>
      <c r="AM347" s="184">
        <f t="shared" si="114"/>
        <v>0.41970874797382951</v>
      </c>
      <c r="AN347" s="184">
        <f t="shared" si="114"/>
        <v>0.42225734105972074</v>
      </c>
      <c r="AO347" s="184">
        <f t="shared" si="114"/>
        <v>0.42670746971840706</v>
      </c>
      <c r="AP347" s="184">
        <f t="shared" si="114"/>
        <v>0.43232946972935404</v>
      </c>
      <c r="AQ347" s="184">
        <f t="shared" si="114"/>
        <v>0.43878412793122873</v>
      </c>
      <c r="AR347" s="184">
        <f t="shared" si="114"/>
        <v>0.44590961252750771</v>
      </c>
      <c r="AS347" s="184">
        <f t="shared" si="114"/>
        <v>0.45363230030747409</v>
      </c>
      <c r="AT347" s="184">
        <f t="shared" si="114"/>
        <v>0.4619255663978265</v>
      </c>
      <c r="AU347" s="184">
        <f t="shared" si="114"/>
        <v>0.47078956925444093</v>
      </c>
      <c r="AV347" s="184">
        <f t="shared" si="114"/>
        <v>0.48024098599949727</v>
      </c>
      <c r="AW347" s="184">
        <f t="shared" si="114"/>
        <v>0.49030764191238924</v>
      </c>
      <c r="AX347" s="184">
        <f t="shared" si="114"/>
        <v>0.50102547942462661</v>
      </c>
      <c r="AY347" s="184">
        <f t="shared" si="114"/>
        <v>0.51243639700023769</v>
      </c>
      <c r="AZ347" s="184">
        <f t="shared" si="114"/>
        <v>0.52458590087879153</v>
      </c>
      <c r="BA347" s="184">
        <f t="shared" si="114"/>
        <v>0.53751953643789463</v>
      </c>
      <c r="BB347" s="184">
        <f t="shared" si="114"/>
        <v>0.55127680640708154</v>
      </c>
      <c r="BC347" s="184">
        <f t="shared" si="114"/>
        <v>0.56588078747542936</v>
      </c>
      <c r="BD347" s="184">
        <f t="shared" si="114"/>
        <v>0.5813210073969155</v>
      </c>
      <c r="BE347" s="184">
        <f t="shared" si="114"/>
        <v>0.59752659234368599</v>
      </c>
      <c r="BF347" s="184">
        <f t="shared" si="114"/>
        <v>0.61433392593002312</v>
      </c>
      <c r="BG347" s="184">
        <f t="shared" si="114"/>
        <v>0.63141376167017715</v>
      </c>
      <c r="BH347" s="184">
        <f t="shared" si="114"/>
        <v>0.64822818103526481</v>
      </c>
      <c r="BI347" s="184">
        <f t="shared" si="114"/>
        <v>0.64805216875316929</v>
      </c>
      <c r="DR347" s="493"/>
    </row>
    <row r="348" spans="1:122" s="184" customFormat="1" ht="15" x14ac:dyDescent="0.2">
      <c r="A348" s="184" t="s">
        <v>53</v>
      </c>
      <c r="B348" s="184">
        <f t="shared" si="115"/>
        <v>1</v>
      </c>
      <c r="C348" s="184">
        <f t="shared" si="115"/>
        <v>0.95828300023170776</v>
      </c>
      <c r="D348" s="184">
        <f t="shared" si="114"/>
        <v>1.1001884442522856</v>
      </c>
      <c r="E348" s="184">
        <f t="shared" si="114"/>
        <v>1.2210141666585377</v>
      </c>
      <c r="F348" s="184">
        <f t="shared" si="114"/>
        <v>1.332657738181944</v>
      </c>
      <c r="G348" s="184">
        <f t="shared" si="114"/>
        <v>1.4432390947664389</v>
      </c>
      <c r="H348" s="184">
        <f t="shared" si="114"/>
        <v>1.5503771517659861</v>
      </c>
      <c r="I348" s="184">
        <f t="shared" si="114"/>
        <v>1.6465791146411761</v>
      </c>
      <c r="J348" s="184">
        <f t="shared" si="114"/>
        <v>1.740696301915218</v>
      </c>
      <c r="K348" s="184">
        <f t="shared" si="114"/>
        <v>1.8230799048183781</v>
      </c>
      <c r="L348" s="184">
        <f t="shared" si="114"/>
        <v>1.8985655613484769</v>
      </c>
      <c r="M348" s="184">
        <f t="shared" si="114"/>
        <v>1.9799103746424651</v>
      </c>
      <c r="N348" s="184">
        <f t="shared" si="114"/>
        <v>2.0713075143083861</v>
      </c>
      <c r="O348" s="184">
        <f t="shared" si="114"/>
        <v>2.1344215778116755</v>
      </c>
      <c r="P348" s="184">
        <f t="shared" si="114"/>
        <v>2.1800003505755607</v>
      </c>
      <c r="Q348" s="184">
        <f t="shared" si="114"/>
        <v>2.2186576358503096</v>
      </c>
      <c r="R348" s="184">
        <f t="shared" si="114"/>
        <v>2.2499685493203945</v>
      </c>
      <c r="S348" s="184">
        <f t="shared" si="114"/>
        <v>2.2730939702307249</v>
      </c>
      <c r="T348" s="184">
        <f t="shared" si="114"/>
        <v>2.2868558030633253</v>
      </c>
      <c r="U348" s="184">
        <f t="shared" si="114"/>
        <v>2.2982584968963784</v>
      </c>
      <c r="V348" s="184">
        <f t="shared" si="114"/>
        <v>2.2894944585518604</v>
      </c>
      <c r="W348" s="184">
        <f t="shared" si="114"/>
        <v>2.295212827352028</v>
      </c>
      <c r="X348" s="184">
        <f t="shared" si="114"/>
        <v>2.3116694805279345</v>
      </c>
      <c r="Y348" s="184">
        <f t="shared" si="114"/>
        <v>2.32550367084212</v>
      </c>
      <c r="Z348" s="184">
        <f t="shared" si="114"/>
        <v>2.3405549741680116</v>
      </c>
      <c r="AA348" s="184">
        <f t="shared" si="114"/>
        <v>2.3589954777354669</v>
      </c>
      <c r="AB348" s="184">
        <f t="shared" si="114"/>
        <v>2.3809249782663118</v>
      </c>
      <c r="AC348" s="184">
        <f t="shared" si="114"/>
        <v>2.3971704761847543</v>
      </c>
      <c r="AD348" s="184">
        <f t="shared" si="114"/>
        <v>2.4148627683657296</v>
      </c>
      <c r="AE348" s="184">
        <f t="shared" si="114"/>
        <v>2.432507735192222</v>
      </c>
      <c r="AF348" s="184">
        <f t="shared" si="114"/>
        <v>2.4538514901845399</v>
      </c>
      <c r="AG348" s="184">
        <f t="shared" si="114"/>
        <v>2.4839877581933889</v>
      </c>
      <c r="AH348" s="184">
        <f t="shared" si="114"/>
        <v>2.5181892546899149</v>
      </c>
      <c r="AI348" s="184">
        <f t="shared" si="114"/>
        <v>2.0332842873822274</v>
      </c>
      <c r="AJ348" s="184">
        <f t="shared" si="114"/>
        <v>1.5250752258345037</v>
      </c>
      <c r="AK348" s="184">
        <f t="shared" si="114"/>
        <v>1.4155299565865331</v>
      </c>
      <c r="AL348" s="184">
        <f t="shared" si="114"/>
        <v>1.3907417369531609</v>
      </c>
      <c r="AM348" s="184">
        <f t="shared" si="114"/>
        <v>1.3929899284568457</v>
      </c>
      <c r="AN348" s="184">
        <f t="shared" si="114"/>
        <v>1.4067909560516572</v>
      </c>
      <c r="AO348" s="184">
        <f t="shared" si="114"/>
        <v>1.4265907080196141</v>
      </c>
      <c r="AP348" s="184">
        <f t="shared" ref="D348:BI353" si="116">+AP252*AP$310</f>
        <v>1.4500386590961591</v>
      </c>
      <c r="AQ348" s="184">
        <f t="shared" si="116"/>
        <v>1.4760574687807468</v>
      </c>
      <c r="AR348" s="184">
        <f t="shared" si="116"/>
        <v>1.5041489663584409</v>
      </c>
      <c r="AS348" s="184">
        <f t="shared" si="116"/>
        <v>1.5341031794720419</v>
      </c>
      <c r="AT348" s="184">
        <f t="shared" si="116"/>
        <v>1.5658636232661889</v>
      </c>
      <c r="AU348" s="184">
        <f t="shared" si="116"/>
        <v>1.5994611602078936</v>
      </c>
      <c r="AV348" s="184">
        <f t="shared" si="116"/>
        <v>1.6349804569676347</v>
      </c>
      <c r="AW348" s="184">
        <f t="shared" si="116"/>
        <v>1.6725425172706059</v>
      </c>
      <c r="AX348" s="184">
        <f t="shared" si="116"/>
        <v>1.712294897374901</v>
      </c>
      <c r="AY348" s="184">
        <f t="shared" si="116"/>
        <v>1.75440472908839</v>
      </c>
      <c r="AZ348" s="184">
        <f t="shared" si="116"/>
        <v>1.7990509899391367</v>
      </c>
      <c r="BA348" s="184">
        <f t="shared" si="116"/>
        <v>1.8464124814514427</v>
      </c>
      <c r="BB348" s="184">
        <f t="shared" si="116"/>
        <v>1.8966470352429952</v>
      </c>
      <c r="BC348" s="184">
        <f t="shared" si="116"/>
        <v>1.9498557059035793</v>
      </c>
      <c r="BD348" s="184">
        <f t="shared" si="116"/>
        <v>2.0060234001258213</v>
      </c>
      <c r="BE348" s="184">
        <f t="shared" si="116"/>
        <v>2.0649253919945001</v>
      </c>
      <c r="BF348" s="184">
        <f t="shared" si="116"/>
        <v>2.1260140908084204</v>
      </c>
      <c r="BG348" s="184">
        <f t="shared" si="116"/>
        <v>2.1881644034433823</v>
      </c>
      <c r="BH348" s="184">
        <f t="shared" si="116"/>
        <v>2.2495206264328327</v>
      </c>
      <c r="BI348" s="184">
        <f t="shared" si="116"/>
        <v>2.2489098179696043</v>
      </c>
      <c r="DR348" s="493"/>
    </row>
    <row r="349" spans="1:122" s="184" customFormat="1" ht="15" x14ac:dyDescent="0.2">
      <c r="A349" s="184" t="s">
        <v>54</v>
      </c>
      <c r="B349" s="184">
        <f t="shared" si="115"/>
        <v>1</v>
      </c>
      <c r="C349" s="184">
        <f t="shared" si="115"/>
        <v>2.6297641171039148</v>
      </c>
      <c r="D349" s="184">
        <f t="shared" si="116"/>
        <v>2.9288518361993217</v>
      </c>
      <c r="E349" s="184">
        <f t="shared" si="116"/>
        <v>3.1566090720567019</v>
      </c>
      <c r="F349" s="184">
        <f t="shared" si="116"/>
        <v>3.3431514291162685</v>
      </c>
      <c r="G349" s="184">
        <f t="shared" si="116"/>
        <v>3.5038326206354209</v>
      </c>
      <c r="H349" s="184">
        <f t="shared" si="116"/>
        <v>3.6552661249205816</v>
      </c>
      <c r="I349" s="184">
        <f t="shared" si="116"/>
        <v>3.7765281287673789</v>
      </c>
      <c r="J349" s="184">
        <f t="shared" si="116"/>
        <v>3.8925171918306063</v>
      </c>
      <c r="K349" s="184">
        <f t="shared" si="116"/>
        <v>3.9646657504835581</v>
      </c>
      <c r="L349" s="184">
        <f t="shared" si="116"/>
        <v>3.9902168435606491</v>
      </c>
      <c r="M349" s="184">
        <f t="shared" si="116"/>
        <v>4.1568133314306426</v>
      </c>
      <c r="N349" s="184">
        <f t="shared" si="116"/>
        <v>4.1709830353099848</v>
      </c>
      <c r="O349" s="184">
        <f t="shared" si="116"/>
        <v>4.1493875256827017</v>
      </c>
      <c r="P349" s="184">
        <f t="shared" si="116"/>
        <v>4.1030558317087262</v>
      </c>
      <c r="Q349" s="184">
        <f t="shared" si="116"/>
        <v>4.046890076002458</v>
      </c>
      <c r="R349" s="184">
        <f t="shared" si="116"/>
        <v>3.9773319572801222</v>
      </c>
      <c r="S349" s="184">
        <f t="shared" si="116"/>
        <v>3.8920693070438226</v>
      </c>
      <c r="T349" s="184">
        <f t="shared" si="116"/>
        <v>3.7893858694268743</v>
      </c>
      <c r="U349" s="184">
        <f t="shared" si="116"/>
        <v>3.6814594623635748</v>
      </c>
      <c r="V349" s="184">
        <f t="shared" si="116"/>
        <v>3.5409679999940362</v>
      </c>
      <c r="W349" s="184">
        <f t="shared" si="116"/>
        <v>3.4223473643391396</v>
      </c>
      <c r="X349" s="184">
        <f t="shared" si="116"/>
        <v>3.317397282318252</v>
      </c>
      <c r="Y349" s="184">
        <f t="shared" si="116"/>
        <v>3.2062211123807827</v>
      </c>
      <c r="Z349" s="184">
        <f t="shared" si="116"/>
        <v>3.0945532607032056</v>
      </c>
      <c r="AA349" s="184">
        <f t="shared" si="116"/>
        <v>2.9852447359531644</v>
      </c>
      <c r="AB349" s="184">
        <f t="shared" si="116"/>
        <v>2.878078332503831</v>
      </c>
      <c r="AC349" s="184">
        <f t="shared" si="116"/>
        <v>2.7665277238519339</v>
      </c>
      <c r="AD349" s="184">
        <f t="shared" si="116"/>
        <v>2.6589190316926956</v>
      </c>
      <c r="AE349" s="184">
        <f t="shared" si="116"/>
        <v>2.5539399871811423</v>
      </c>
      <c r="AF349" s="184">
        <f t="shared" si="116"/>
        <v>2.45644312565548</v>
      </c>
      <c r="AG349" s="184">
        <f t="shared" si="116"/>
        <v>2.3712966460061824</v>
      </c>
      <c r="AH349" s="184">
        <f t="shared" si="116"/>
        <v>2.2924545315052747</v>
      </c>
      <c r="AI349" s="184">
        <f t="shared" si="116"/>
        <v>1.7648783081419337</v>
      </c>
      <c r="AJ349" s="184">
        <f t="shared" si="116"/>
        <v>1.2618550122696757</v>
      </c>
      <c r="AK349" s="184">
        <f t="shared" si="116"/>
        <v>1.116091702246977</v>
      </c>
      <c r="AL349" s="184">
        <f t="shared" si="116"/>
        <v>1.0445095083732747</v>
      </c>
      <c r="AM349" s="184">
        <f t="shared" si="116"/>
        <v>0.99605333029221577</v>
      </c>
      <c r="AN349" s="184">
        <f t="shared" si="116"/>
        <v>0.95714690945993874</v>
      </c>
      <c r="AO349" s="184">
        <f t="shared" si="116"/>
        <v>0.92293747052278552</v>
      </c>
      <c r="AP349" s="184">
        <f t="shared" si="116"/>
        <v>0.89135665429505873</v>
      </c>
      <c r="AQ349" s="184">
        <f t="shared" si="116"/>
        <v>0.86142509238791232</v>
      </c>
      <c r="AR349" s="184">
        <f t="shared" si="116"/>
        <v>0.8326479473519629</v>
      </c>
      <c r="AS349" s="184">
        <f t="shared" si="116"/>
        <v>0.80476504726950138</v>
      </c>
      <c r="AT349" s="184">
        <f t="shared" si="116"/>
        <v>0.77763733817838887</v>
      </c>
      <c r="AU349" s="184">
        <f t="shared" si="116"/>
        <v>0.751192145740471</v>
      </c>
      <c r="AV349" s="184">
        <f t="shared" si="116"/>
        <v>0.72539574619018499</v>
      </c>
      <c r="AW349" s="184">
        <f t="shared" si="116"/>
        <v>0.70023915394087666</v>
      </c>
      <c r="AX349" s="184">
        <f t="shared" si="116"/>
        <v>0.67573037571318328</v>
      </c>
      <c r="AY349" s="184">
        <f t="shared" si="116"/>
        <v>0.65188970056313778</v>
      </c>
      <c r="AZ349" s="184">
        <f t="shared" si="116"/>
        <v>0.62874613619105146</v>
      </c>
      <c r="BA349" s="184">
        <f t="shared" si="116"/>
        <v>0.60633379324934644</v>
      </c>
      <c r="BB349" s="184">
        <f t="shared" si="116"/>
        <v>0.58468728399817937</v>
      </c>
      <c r="BC349" s="184">
        <f t="shared" si="116"/>
        <v>0.5638352648578171</v>
      </c>
      <c r="BD349" s="184">
        <f t="shared" si="116"/>
        <v>0.54379128944873978</v>
      </c>
      <c r="BE349" s="184">
        <f t="shared" si="116"/>
        <v>0.52454137319636773</v>
      </c>
      <c r="BF349" s="184">
        <f t="shared" si="116"/>
        <v>0.50603426555115982</v>
      </c>
      <c r="BG349" s="184">
        <f t="shared" si="116"/>
        <v>0.48814733849168024</v>
      </c>
      <c r="BH349" s="184">
        <f t="shared" si="116"/>
        <v>0.47069012852333064</v>
      </c>
      <c r="BI349" s="184">
        <f t="shared" si="116"/>
        <v>0.47056232284300842</v>
      </c>
      <c r="DR349" s="493"/>
    </row>
    <row r="350" spans="1:122" s="184" customFormat="1" ht="15" x14ac:dyDescent="0.2">
      <c r="A350" s="184" t="s">
        <v>55</v>
      </c>
      <c r="B350" s="184">
        <f t="shared" si="115"/>
        <v>1</v>
      </c>
      <c r="C350" s="184">
        <f t="shared" si="115"/>
        <v>1.4621335040182328</v>
      </c>
      <c r="D350" s="184">
        <f t="shared" si="116"/>
        <v>1.820295129531416</v>
      </c>
      <c r="E350" s="184">
        <f t="shared" si="116"/>
        <v>2.1662700482806514</v>
      </c>
      <c r="F350" s="184">
        <f t="shared" si="116"/>
        <v>2.5311490811681816</v>
      </c>
      <c r="G350" s="184">
        <f t="shared" si="116"/>
        <v>2.8978934431144432</v>
      </c>
      <c r="H350" s="184">
        <f t="shared" si="116"/>
        <v>3.2459671052012777</v>
      </c>
      <c r="I350" s="184">
        <f t="shared" si="116"/>
        <v>3.5776187973057518</v>
      </c>
      <c r="J350" s="184">
        <f t="shared" si="116"/>
        <v>3.9082359310746146</v>
      </c>
      <c r="K350" s="184">
        <f t="shared" si="116"/>
        <v>4.255052657719407</v>
      </c>
      <c r="L350" s="184">
        <f t="shared" si="116"/>
        <v>4.5847413248893467</v>
      </c>
      <c r="M350" s="184">
        <f t="shared" si="116"/>
        <v>4.9274110145662071</v>
      </c>
      <c r="N350" s="184">
        <f t="shared" si="116"/>
        <v>5.2336108453497179</v>
      </c>
      <c r="O350" s="184">
        <f t="shared" si="116"/>
        <v>5.4760063081994952</v>
      </c>
      <c r="P350" s="184">
        <f t="shared" si="116"/>
        <v>5.6730863475424052</v>
      </c>
      <c r="Q350" s="184">
        <f t="shared" si="116"/>
        <v>5.8476121965097638</v>
      </c>
      <c r="R350" s="184">
        <f t="shared" si="116"/>
        <v>5.9960543060400529</v>
      </c>
      <c r="S350" s="184">
        <f t="shared" si="116"/>
        <v>6.1147016721787502</v>
      </c>
      <c r="T350" s="184">
        <f t="shared" si="116"/>
        <v>6.1994727694374427</v>
      </c>
      <c r="U350" s="184">
        <f t="shared" si="116"/>
        <v>6.2689618825016353</v>
      </c>
      <c r="V350" s="184">
        <f t="shared" si="116"/>
        <v>6.2591886938121144</v>
      </c>
      <c r="W350" s="184">
        <f t="shared" si="116"/>
        <v>6.2720433262724864</v>
      </c>
      <c r="X350" s="184">
        <f t="shared" si="116"/>
        <v>6.3166909131980811</v>
      </c>
      <c r="Y350" s="184">
        <f t="shared" si="116"/>
        <v>6.3518585925502604</v>
      </c>
      <c r="Z350" s="184">
        <f t="shared" si="116"/>
        <v>6.3856643746168054</v>
      </c>
      <c r="AA350" s="184">
        <f t="shared" si="116"/>
        <v>6.4233138892210073</v>
      </c>
      <c r="AB350" s="184">
        <f t="shared" si="116"/>
        <v>6.4662956924908634</v>
      </c>
      <c r="AC350" s="184">
        <f t="shared" si="116"/>
        <v>6.5017579581684268</v>
      </c>
      <c r="AD350" s="184">
        <f t="shared" si="116"/>
        <v>6.542679738506096</v>
      </c>
      <c r="AE350" s="184">
        <f t="shared" si="116"/>
        <v>6.5829841537532037</v>
      </c>
      <c r="AF350" s="184">
        <f t="shared" si="116"/>
        <v>6.6307210130588796</v>
      </c>
      <c r="AG350" s="184">
        <f t="shared" si="116"/>
        <v>6.6987890463018553</v>
      </c>
      <c r="AH350" s="184">
        <f t="shared" si="116"/>
        <v>6.7742438608456466</v>
      </c>
      <c r="AI350" s="184">
        <f t="shared" si="116"/>
        <v>5.453146006877577</v>
      </c>
      <c r="AJ350" s="184">
        <f t="shared" si="116"/>
        <v>4.0752179099871029</v>
      </c>
      <c r="AK350" s="184">
        <f t="shared" si="116"/>
        <v>3.7663347018329554</v>
      </c>
      <c r="AL350" s="184">
        <f t="shared" si="116"/>
        <v>3.6823051250029057</v>
      </c>
      <c r="AM350" s="184">
        <f t="shared" si="116"/>
        <v>3.6680531638902174</v>
      </c>
      <c r="AN350" s="184">
        <f t="shared" si="116"/>
        <v>3.6819882139715658</v>
      </c>
      <c r="AO350" s="184">
        <f t="shared" si="116"/>
        <v>3.7091880079773727</v>
      </c>
      <c r="AP350" s="184">
        <f t="shared" si="116"/>
        <v>3.7433257218326017</v>
      </c>
      <c r="AQ350" s="184">
        <f t="shared" si="116"/>
        <v>3.7814792038822853</v>
      </c>
      <c r="AR350" s="184">
        <f t="shared" si="116"/>
        <v>3.8222627058822058</v>
      </c>
      <c r="AS350" s="184">
        <f t="shared" si="116"/>
        <v>3.8650426820824628</v>
      </c>
      <c r="AT350" s="184">
        <f t="shared" si="116"/>
        <v>3.9095742282006962</v>
      </c>
      <c r="AU350" s="184">
        <f t="shared" si="116"/>
        <v>3.9558220666123525</v>
      </c>
      <c r="AV350" s="184">
        <f t="shared" si="116"/>
        <v>4.003869090804538</v>
      </c>
      <c r="AW350" s="184">
        <f t="shared" si="116"/>
        <v>4.0538679579466042</v>
      </c>
      <c r="AX350" s="184">
        <f t="shared" si="116"/>
        <v>4.1060132842042858</v>
      </c>
      <c r="AY350" s="184">
        <f t="shared" si="116"/>
        <v>4.1605217391777591</v>
      </c>
      <c r="AZ350" s="184">
        <f t="shared" si="116"/>
        <v>4.217611307237763</v>
      </c>
      <c r="BA350" s="184">
        <f t="shared" si="116"/>
        <v>4.2774717616052396</v>
      </c>
      <c r="BB350" s="184">
        <f t="shared" si="116"/>
        <v>4.3402170473076671</v>
      </c>
      <c r="BC350" s="184">
        <f t="shared" si="116"/>
        <v>4.4058073773787685</v>
      </c>
      <c r="BD350" s="184">
        <f t="shared" si="116"/>
        <v>4.4739252665322793</v>
      </c>
      <c r="BE350" s="184">
        <f t="shared" si="116"/>
        <v>4.5437875355358486</v>
      </c>
      <c r="BF350" s="184">
        <f t="shared" si="116"/>
        <v>4.6139321950409533</v>
      </c>
      <c r="BG350" s="184">
        <f t="shared" si="116"/>
        <v>4.6817248913307203</v>
      </c>
      <c r="BH350" s="184">
        <f t="shared" si="116"/>
        <v>4.7431286819894876</v>
      </c>
      <c r="BI350" s="184">
        <f t="shared" si="116"/>
        <v>4.7418407884235885</v>
      </c>
      <c r="DR350" s="493"/>
    </row>
    <row r="351" spans="1:122" s="184" customFormat="1" ht="15" x14ac:dyDescent="0.2">
      <c r="A351" s="184" t="s">
        <v>56</v>
      </c>
      <c r="B351" s="184">
        <f t="shared" si="115"/>
        <v>1</v>
      </c>
      <c r="C351" s="184">
        <f t="shared" si="115"/>
        <v>1.0649531028381432</v>
      </c>
      <c r="D351" s="184">
        <f t="shared" si="116"/>
        <v>1.1136668375581074</v>
      </c>
      <c r="E351" s="184">
        <f t="shared" si="116"/>
        <v>1.1369266655419503</v>
      </c>
      <c r="F351" s="184">
        <f t="shared" si="116"/>
        <v>1.1577173719902745</v>
      </c>
      <c r="G351" s="184">
        <f t="shared" si="116"/>
        <v>1.1691004549044517</v>
      </c>
      <c r="H351" s="184">
        <f t="shared" si="116"/>
        <v>1.1700156191388231</v>
      </c>
      <c r="I351" s="184">
        <f t="shared" si="116"/>
        <v>1.1651929209452825</v>
      </c>
      <c r="J351" s="184">
        <f t="shared" si="116"/>
        <v>1.1618502226141509</v>
      </c>
      <c r="K351" s="184">
        <f t="shared" si="116"/>
        <v>1.1805794087196362</v>
      </c>
      <c r="L351" s="184">
        <f t="shared" si="116"/>
        <v>1.2005489102612676</v>
      </c>
      <c r="M351" s="184">
        <f t="shared" si="116"/>
        <v>1.1902611121104698</v>
      </c>
      <c r="N351" s="184">
        <f t="shared" si="116"/>
        <v>1.201062225700386</v>
      </c>
      <c r="O351" s="184">
        <f t="shared" si="116"/>
        <v>1.1949946026590381</v>
      </c>
      <c r="P351" s="184">
        <f t="shared" si="116"/>
        <v>1.1806364972546317</v>
      </c>
      <c r="Q351" s="184">
        <f t="shared" si="116"/>
        <v>1.1648162887369582</v>
      </c>
      <c r="R351" s="184">
        <f t="shared" si="116"/>
        <v>1.1476169325676997</v>
      </c>
      <c r="S351" s="184">
        <f t="shared" si="116"/>
        <v>1.1287476648819417</v>
      </c>
      <c r="T351" s="184">
        <f t="shared" si="116"/>
        <v>1.1076944614223163</v>
      </c>
      <c r="U351" s="184">
        <f t="shared" si="116"/>
        <v>1.0878128745360856</v>
      </c>
      <c r="V351" s="184">
        <f t="shared" si="116"/>
        <v>1.0583254964438589</v>
      </c>
      <c r="W351" s="184">
        <f t="shared" si="116"/>
        <v>1.0364219919330995</v>
      </c>
      <c r="X351" s="184">
        <f t="shared" si="116"/>
        <v>1.0225803027426619</v>
      </c>
      <c r="Y351" s="184">
        <f t="shared" si="116"/>
        <v>1.009728711907028</v>
      </c>
      <c r="Z351" s="184">
        <f t="shared" si="116"/>
        <v>0.99899838693273613</v>
      </c>
      <c r="AA351" s="184">
        <f t="shared" si="116"/>
        <v>0.99097293774805451</v>
      </c>
      <c r="AB351" s="184">
        <f t="shared" si="116"/>
        <v>0.98524586270796721</v>
      </c>
      <c r="AC351" s="184">
        <f t="shared" si="116"/>
        <v>0.97995053046137692</v>
      </c>
      <c r="AD351" s="184">
        <f t="shared" si="116"/>
        <v>0.97672616831414805</v>
      </c>
      <c r="AE351" s="184">
        <f t="shared" si="116"/>
        <v>0.97461022998506563</v>
      </c>
      <c r="AF351" s="184">
        <f t="shared" si="116"/>
        <v>0.9746657551887149</v>
      </c>
      <c r="AG351" s="184">
        <f t="shared" si="116"/>
        <v>0.97875004211764283</v>
      </c>
      <c r="AH351" s="184">
        <f t="shared" si="116"/>
        <v>0.98498771282803177</v>
      </c>
      <c r="AI351" s="184">
        <f t="shared" si="116"/>
        <v>0.78992134926213808</v>
      </c>
      <c r="AJ351" s="184">
        <f t="shared" si="116"/>
        <v>0.58869522574920263</v>
      </c>
      <c r="AK351" s="184">
        <f t="shared" si="116"/>
        <v>0.54308215291111739</v>
      </c>
      <c r="AL351" s="184">
        <f t="shared" si="116"/>
        <v>0.53045453396107323</v>
      </c>
      <c r="AM351" s="184">
        <f t="shared" si="116"/>
        <v>0.52831656518281866</v>
      </c>
      <c r="AN351" s="184">
        <f t="shared" si="116"/>
        <v>0.53063496077866434</v>
      </c>
      <c r="AO351" s="184">
        <f t="shared" si="116"/>
        <v>0.5352423730986603</v>
      </c>
      <c r="AP351" s="184">
        <f t="shared" si="116"/>
        <v>0.54121736862835934</v>
      </c>
      <c r="AQ351" s="184">
        <f t="shared" si="116"/>
        <v>0.54813268445518581</v>
      </c>
      <c r="AR351" s="184">
        <f t="shared" si="116"/>
        <v>0.55578507964872181</v>
      </c>
      <c r="AS351" s="184">
        <f t="shared" si="116"/>
        <v>0.56408217317323206</v>
      </c>
      <c r="AT351" s="184">
        <f t="shared" si="116"/>
        <v>0.5729901061474334</v>
      </c>
      <c r="AU351" s="184">
        <f t="shared" si="116"/>
        <v>0.58250784852264437</v>
      </c>
      <c r="AV351" s="184">
        <f t="shared" si="116"/>
        <v>0.5926541376024137</v>
      </c>
      <c r="AW351" s="184">
        <f t="shared" si="116"/>
        <v>0.60346063040256903</v>
      </c>
      <c r="AX351" s="184">
        <f t="shared" si="116"/>
        <v>0.6149680314992243</v>
      </c>
      <c r="AY351" s="184">
        <f t="shared" si="116"/>
        <v>0.62722334543497138</v>
      </c>
      <c r="AZ351" s="184">
        <f t="shared" si="116"/>
        <v>0.64027694333059126</v>
      </c>
      <c r="BA351" s="184">
        <f t="shared" si="116"/>
        <v>0.65417819105777875</v>
      </c>
      <c r="BB351" s="184">
        <f t="shared" si="116"/>
        <v>0.66896810109018912</v>
      </c>
      <c r="BC351" s="184">
        <f t="shared" si="116"/>
        <v>0.68466690849943967</v>
      </c>
      <c r="BD351" s="184">
        <f t="shared" si="116"/>
        <v>0.70125374138706575</v>
      </c>
      <c r="BE351" s="184">
        <f t="shared" si="116"/>
        <v>0.71863496483399214</v>
      </c>
      <c r="BF351" s="184">
        <f t="shared" si="116"/>
        <v>0.73660653888309091</v>
      </c>
      <c r="BG351" s="184">
        <f t="shared" si="116"/>
        <v>0.75476863308791275</v>
      </c>
      <c r="BH351" s="184">
        <f t="shared" si="116"/>
        <v>0.77247743793845713</v>
      </c>
      <c r="BI351" s="184">
        <f t="shared" si="116"/>
        <v>0.7722676884695252</v>
      </c>
      <c r="DR351" s="493"/>
    </row>
    <row r="352" spans="1:122" s="184" customFormat="1" ht="15" x14ac:dyDescent="0.2">
      <c r="A352" s="184" t="s">
        <v>57</v>
      </c>
      <c r="B352" s="184">
        <f t="shared" si="115"/>
        <v>1</v>
      </c>
      <c r="C352" s="184">
        <f t="shared" si="115"/>
        <v>1.2164040187159659</v>
      </c>
      <c r="D352" s="184">
        <f t="shared" si="116"/>
        <v>1.5473259866012699</v>
      </c>
      <c r="E352" s="184">
        <f t="shared" si="116"/>
        <v>1.8857851700554742</v>
      </c>
      <c r="F352" s="184">
        <f t="shared" si="116"/>
        <v>2.2787149970547822</v>
      </c>
      <c r="G352" s="184">
        <f t="shared" si="116"/>
        <v>2.6781589833383239</v>
      </c>
      <c r="H352" s="184">
        <f t="shared" si="116"/>
        <v>3.0351277364321971</v>
      </c>
      <c r="I352" s="184">
        <f t="shared" si="116"/>
        <v>3.3787929567833039</v>
      </c>
      <c r="J352" s="184">
        <f t="shared" si="116"/>
        <v>3.7221391760202645</v>
      </c>
      <c r="K352" s="184">
        <f t="shared" si="116"/>
        <v>4.1473749590184434</v>
      </c>
      <c r="L352" s="184">
        <f t="shared" si="116"/>
        <v>4.5542298261062548</v>
      </c>
      <c r="M352" s="184">
        <f t="shared" si="116"/>
        <v>4.9440035193461576</v>
      </c>
      <c r="N352" s="184">
        <f t="shared" si="116"/>
        <v>5.2334577839942806</v>
      </c>
      <c r="O352" s="184">
        <f t="shared" si="116"/>
        <v>5.4628681441078086</v>
      </c>
      <c r="P352" s="184">
        <f t="shared" si="116"/>
        <v>5.6456456226038956</v>
      </c>
      <c r="Q352" s="184">
        <f t="shared" si="116"/>
        <v>5.8018477827747077</v>
      </c>
      <c r="R352" s="184">
        <f t="shared" si="116"/>
        <v>5.9267672647723435</v>
      </c>
      <c r="S352" s="184">
        <f t="shared" si="116"/>
        <v>6.0164497102897592</v>
      </c>
      <c r="T352" s="184">
        <f t="shared" si="116"/>
        <v>6.0671987689810249</v>
      </c>
      <c r="U352" s="184">
        <f t="shared" si="116"/>
        <v>6.0978336266259427</v>
      </c>
      <c r="V352" s="184">
        <f t="shared" si="116"/>
        <v>6.046522202120963</v>
      </c>
      <c r="W352" s="184">
        <f t="shared" si="116"/>
        <v>6.0125975450542875</v>
      </c>
      <c r="X352" s="184">
        <f t="shared" si="116"/>
        <v>5.9781077363373738</v>
      </c>
      <c r="Y352" s="184">
        <f t="shared" si="116"/>
        <v>5.9427168490491518</v>
      </c>
      <c r="Z352" s="184">
        <f t="shared" si="116"/>
        <v>5.9091291665482544</v>
      </c>
      <c r="AA352" s="184">
        <f t="shared" si="116"/>
        <v>5.8797195748216025</v>
      </c>
      <c r="AB352" s="184">
        <f t="shared" si="116"/>
        <v>5.8593453725864668</v>
      </c>
      <c r="AC352" s="184">
        <f t="shared" si="116"/>
        <v>5.8331168227114905</v>
      </c>
      <c r="AD352" s="184">
        <f t="shared" si="116"/>
        <v>5.8155289179588605</v>
      </c>
      <c r="AE352" s="184">
        <f t="shared" si="116"/>
        <v>5.8003373130848601</v>
      </c>
      <c r="AF352" s="184">
        <f t="shared" si="116"/>
        <v>5.7939331575997768</v>
      </c>
      <c r="AG352" s="184">
        <f t="shared" si="116"/>
        <v>5.8071306074761777</v>
      </c>
      <c r="AH352" s="184">
        <f t="shared" si="116"/>
        <v>5.8280755751665225</v>
      </c>
      <c r="AI352" s="184">
        <f t="shared" si="116"/>
        <v>4.6570619136302804</v>
      </c>
      <c r="AJ352" s="184">
        <f t="shared" si="116"/>
        <v>3.4553642029346783</v>
      </c>
      <c r="AK352" s="184">
        <f t="shared" si="116"/>
        <v>3.1710367113270213</v>
      </c>
      <c r="AL352" s="184">
        <f t="shared" si="116"/>
        <v>3.0788731614732483</v>
      </c>
      <c r="AM352" s="184">
        <f t="shared" si="116"/>
        <v>3.0460738397525629</v>
      </c>
      <c r="AN352" s="184">
        <f t="shared" si="116"/>
        <v>3.0370958552882961</v>
      </c>
      <c r="AO352" s="184">
        <f t="shared" si="116"/>
        <v>3.0392186880232717</v>
      </c>
      <c r="AP352" s="184">
        <f t="shared" si="116"/>
        <v>3.0470655345868107</v>
      </c>
      <c r="AQ352" s="184">
        <f t="shared" si="116"/>
        <v>3.058160061675876</v>
      </c>
      <c r="AR352" s="184">
        <f t="shared" si="116"/>
        <v>3.0713286831108553</v>
      </c>
      <c r="AS352" s="184">
        <f t="shared" si="116"/>
        <v>3.0860311829326887</v>
      </c>
      <c r="AT352" s="184">
        <f t="shared" si="116"/>
        <v>3.1020512523409032</v>
      </c>
      <c r="AU352" s="184">
        <f t="shared" si="116"/>
        <v>3.1193445964082285</v>
      </c>
      <c r="AV352" s="184">
        <f t="shared" si="116"/>
        <v>3.1379615679326402</v>
      </c>
      <c r="AW352" s="184">
        <f t="shared" si="116"/>
        <v>3.1580063494362167</v>
      </c>
      <c r="AX352" s="184">
        <f t="shared" si="116"/>
        <v>3.1796136891039688</v>
      </c>
      <c r="AY352" s="184">
        <f t="shared" si="116"/>
        <v>3.2029326352453285</v>
      </c>
      <c r="AZ352" s="184">
        <f t="shared" si="116"/>
        <v>3.2281102670375699</v>
      </c>
      <c r="BA352" s="184">
        <f t="shared" si="116"/>
        <v>3.2552693421132668</v>
      </c>
      <c r="BB352" s="184">
        <f t="shared" si="116"/>
        <v>3.2844730344695767</v>
      </c>
      <c r="BC352" s="184">
        <f t="shared" si="116"/>
        <v>3.315668053383245</v>
      </c>
      <c r="BD352" s="184">
        <f t="shared" si="116"/>
        <v>3.3485951134090439</v>
      </c>
      <c r="BE352" s="184">
        <f t="shared" si="116"/>
        <v>3.3826545311575007</v>
      </c>
      <c r="BF352" s="184">
        <f t="shared" si="116"/>
        <v>3.4167573011312329</v>
      </c>
      <c r="BG352" s="184">
        <f t="shared" si="116"/>
        <v>3.4489739078568573</v>
      </c>
      <c r="BH352" s="184">
        <f t="shared" si="116"/>
        <v>3.4763864301963836</v>
      </c>
      <c r="BI352" s="184">
        <f t="shared" si="116"/>
        <v>3.4754424929734635</v>
      </c>
      <c r="DR352" s="493"/>
    </row>
    <row r="353" spans="1:122" s="184" customFormat="1" ht="15" x14ac:dyDescent="0.2">
      <c r="A353" s="184" t="s">
        <v>58</v>
      </c>
      <c r="B353" s="184">
        <f t="shared" si="115"/>
        <v>1</v>
      </c>
      <c r="C353" s="184">
        <f t="shared" si="115"/>
        <v>1.0873161013038792</v>
      </c>
      <c r="D353" s="184">
        <f t="shared" si="116"/>
        <v>1.1873246622992546</v>
      </c>
      <c r="E353" s="184">
        <f t="shared" si="116"/>
        <v>1.2664122994606264</v>
      </c>
      <c r="F353" s="184">
        <f t="shared" si="116"/>
        <v>1.3339065171665665</v>
      </c>
      <c r="G353" s="184">
        <f t="shared" ref="D353:BI355" si="117">+G257*G$310</f>
        <v>1.3922608941543031</v>
      </c>
      <c r="H353" s="184">
        <f t="shared" si="117"/>
        <v>1.4422269743136684</v>
      </c>
      <c r="I353" s="184">
        <f t="shared" si="117"/>
        <v>1.4823532939462125</v>
      </c>
      <c r="J353" s="184">
        <f t="shared" si="117"/>
        <v>1.5213878326373063</v>
      </c>
      <c r="K353" s="184">
        <f t="shared" si="117"/>
        <v>1.5655534133750544</v>
      </c>
      <c r="L353" s="184">
        <f t="shared" si="117"/>
        <v>1.6085415139208932</v>
      </c>
      <c r="M353" s="184">
        <f t="shared" si="117"/>
        <v>1.6335341169596422</v>
      </c>
      <c r="N353" s="184">
        <f t="shared" si="117"/>
        <v>1.6808064240893061</v>
      </c>
      <c r="O353" s="184">
        <f t="shared" si="117"/>
        <v>1.7038442673412526</v>
      </c>
      <c r="P353" s="184">
        <f t="shared" si="117"/>
        <v>1.7133721170667737</v>
      </c>
      <c r="Q353" s="184">
        <f t="shared" si="117"/>
        <v>1.7187321744305231</v>
      </c>
      <c r="R353" s="184">
        <f t="shared" si="117"/>
        <v>1.7199667874534816</v>
      </c>
      <c r="S353" s="184">
        <f t="shared" si="117"/>
        <v>1.7166265742635023</v>
      </c>
      <c r="T353" s="184">
        <f t="shared" si="117"/>
        <v>1.7079281932911998</v>
      </c>
      <c r="U353" s="184">
        <f t="shared" si="117"/>
        <v>1.6991084419776488</v>
      </c>
      <c r="V353" s="184">
        <f t="shared" si="117"/>
        <v>1.6739906620815783</v>
      </c>
      <c r="W353" s="184">
        <f t="shared" si="117"/>
        <v>1.6594036754119241</v>
      </c>
      <c r="X353" s="184">
        <f t="shared" si="117"/>
        <v>1.6558825511823527</v>
      </c>
      <c r="Y353" s="184">
        <f t="shared" si="117"/>
        <v>1.6525626576089887</v>
      </c>
      <c r="Z353" s="184">
        <f t="shared" si="117"/>
        <v>1.6515403964795434</v>
      </c>
      <c r="AA353" s="184">
        <f t="shared" si="117"/>
        <v>1.6539535132257452</v>
      </c>
      <c r="AB353" s="184">
        <f t="shared" si="117"/>
        <v>1.6589101462809968</v>
      </c>
      <c r="AC353" s="184">
        <f t="shared" si="117"/>
        <v>1.6618252306845014</v>
      </c>
      <c r="AD353" s="184">
        <f t="shared" si="117"/>
        <v>1.6664344462961236</v>
      </c>
      <c r="AE353" s="184">
        <f t="shared" si="117"/>
        <v>1.6715448908586519</v>
      </c>
      <c r="AF353" s="184">
        <f t="shared" si="117"/>
        <v>1.6798542474860299</v>
      </c>
      <c r="AG353" s="184">
        <f t="shared" si="117"/>
        <v>1.6946310471214365</v>
      </c>
      <c r="AH353" s="184">
        <f t="shared" si="117"/>
        <v>1.7122476822166512</v>
      </c>
      <c r="AI353" s="184">
        <f t="shared" si="117"/>
        <v>1.3781118713505078</v>
      </c>
      <c r="AJ353" s="184">
        <f t="shared" si="117"/>
        <v>1.0304821093532992</v>
      </c>
      <c r="AK353" s="184">
        <f t="shared" si="117"/>
        <v>0.95363370507705303</v>
      </c>
      <c r="AL353" s="184">
        <f t="shared" si="117"/>
        <v>0.93425938423992028</v>
      </c>
      <c r="AM353" s="184">
        <f t="shared" si="117"/>
        <v>0.93318302071266912</v>
      </c>
      <c r="AN353" s="184">
        <f t="shared" si="117"/>
        <v>0.93989677421788187</v>
      </c>
      <c r="AO353" s="184">
        <f t="shared" si="117"/>
        <v>0.95062750480622393</v>
      </c>
      <c r="AP353" s="184">
        <f t="shared" si="117"/>
        <v>0.96377309191426697</v>
      </c>
      <c r="AQ353" s="184">
        <f t="shared" si="117"/>
        <v>0.97859307808916118</v>
      </c>
      <c r="AR353" s="184">
        <f t="shared" si="117"/>
        <v>0.99473816032067697</v>
      </c>
      <c r="AS353" s="184">
        <f t="shared" si="117"/>
        <v>1.0120530643753007</v>
      </c>
      <c r="AT353" s="184">
        <f t="shared" si="117"/>
        <v>1.0304853422700941</v>
      </c>
      <c r="AU353" s="184">
        <f t="shared" si="117"/>
        <v>1.0500405925643277</v>
      </c>
      <c r="AV353" s="184">
        <f t="shared" si="117"/>
        <v>1.0707597085619114</v>
      </c>
      <c r="AW353" s="184">
        <f t="shared" si="117"/>
        <v>1.0927069690896423</v>
      </c>
      <c r="AX353" s="184">
        <f t="shared" si="117"/>
        <v>1.1159633103524602</v>
      </c>
      <c r="AY353" s="184">
        <f t="shared" si="117"/>
        <v>1.140621518125261</v>
      </c>
      <c r="AZ353" s="184">
        <f t="shared" si="117"/>
        <v>1.1667809971068059</v>
      </c>
      <c r="BA353" s="184">
        <f t="shared" si="117"/>
        <v>1.1945398351725944</v>
      </c>
      <c r="BB353" s="184">
        <f t="shared" si="117"/>
        <v>1.2239813200673932</v>
      </c>
      <c r="BC353" s="184">
        <f t="shared" si="117"/>
        <v>1.2551509935601923</v>
      </c>
      <c r="BD353" s="184">
        <f t="shared" si="117"/>
        <v>1.2880189319476445</v>
      </c>
      <c r="BE353" s="184">
        <f t="shared" si="117"/>
        <v>1.3224207830680483</v>
      </c>
      <c r="BF353" s="184">
        <f t="shared" si="117"/>
        <v>1.3579871607824594</v>
      </c>
      <c r="BG353" s="184">
        <f t="shared" si="117"/>
        <v>1.3939841701601199</v>
      </c>
      <c r="BH353" s="184">
        <f t="shared" si="117"/>
        <v>1.4292211611861823</v>
      </c>
      <c r="BI353" s="184">
        <f t="shared" si="117"/>
        <v>1.4288330872246371</v>
      </c>
      <c r="DR353" s="493"/>
    </row>
    <row r="354" spans="1:122" s="184" customFormat="1" ht="15" x14ac:dyDescent="0.2">
      <c r="A354" s="184" t="s">
        <v>114</v>
      </c>
      <c r="B354" s="184">
        <f t="shared" si="115"/>
        <v>1</v>
      </c>
      <c r="C354" s="184">
        <f t="shared" si="115"/>
        <v>0.86925219165956513</v>
      </c>
      <c r="D354" s="184">
        <f t="shared" si="117"/>
        <v>0.81824141066279998</v>
      </c>
      <c r="E354" s="184">
        <f t="shared" si="117"/>
        <v>0.76281646684530913</v>
      </c>
      <c r="F354" s="184">
        <f t="shared" si="117"/>
        <v>0.71112698296572441</v>
      </c>
      <c r="G354" s="184">
        <f t="shared" si="117"/>
        <v>0.66760936616308919</v>
      </c>
      <c r="H354" s="184">
        <f t="shared" si="117"/>
        <v>0.62770237857216682</v>
      </c>
      <c r="I354" s="184">
        <f t="shared" si="117"/>
        <v>0.59095480277472412</v>
      </c>
      <c r="J354" s="184">
        <f t="shared" si="117"/>
        <v>0.56028402935499977</v>
      </c>
      <c r="K354" s="184">
        <f t="shared" si="117"/>
        <v>0.53171272723869389</v>
      </c>
      <c r="L354" s="184">
        <f t="shared" si="117"/>
        <v>0.50662269775122692</v>
      </c>
      <c r="M354" s="184">
        <f t="shared" si="117"/>
        <v>0.48388364372871728</v>
      </c>
      <c r="N354" s="184">
        <f t="shared" si="117"/>
        <v>0.4711046584849482</v>
      </c>
      <c r="O354" s="184">
        <f t="shared" si="117"/>
        <v>0.45328197981157908</v>
      </c>
      <c r="P354" s="184">
        <f t="shared" si="117"/>
        <v>0.43408375071429822</v>
      </c>
      <c r="Q354" s="184">
        <f t="shared" si="117"/>
        <v>0.41601874616613099</v>
      </c>
      <c r="R354" s="184">
        <f t="shared" si="117"/>
        <v>0.39894373352688667</v>
      </c>
      <c r="S354" s="184">
        <f t="shared" si="117"/>
        <v>0.38259801870562898</v>
      </c>
      <c r="T354" s="184">
        <f t="shared" si="117"/>
        <v>0.36667392355362066</v>
      </c>
      <c r="U354" s="184">
        <f t="shared" si="117"/>
        <v>0.35214896139602969</v>
      </c>
      <c r="V354" s="184">
        <f t="shared" si="117"/>
        <v>0.33652418372806669</v>
      </c>
      <c r="W354" s="184">
        <f t="shared" si="117"/>
        <v>0.32460687721559633</v>
      </c>
      <c r="X354" s="184">
        <f t="shared" si="117"/>
        <v>0.31502348782027034</v>
      </c>
      <c r="Y354" s="184">
        <f t="shared" si="117"/>
        <v>0.30582731134183533</v>
      </c>
      <c r="Z354" s="184">
        <f t="shared" si="117"/>
        <v>0.29747793634295705</v>
      </c>
      <c r="AA354" s="184">
        <f t="shared" si="117"/>
        <v>0.29016001663482022</v>
      </c>
      <c r="AB354" s="184">
        <f t="shared" si="117"/>
        <v>0.28374201578047198</v>
      </c>
      <c r="AC354" s="184">
        <f t="shared" si="117"/>
        <v>0.27749297670592571</v>
      </c>
      <c r="AD354" s="184">
        <f t="shared" si="117"/>
        <v>0.27200448454246934</v>
      </c>
      <c r="AE354" s="184">
        <f t="shared" si="117"/>
        <v>0.26701183137936274</v>
      </c>
      <c r="AF354" s="184">
        <f t="shared" si="117"/>
        <v>0.2628833434361878</v>
      </c>
      <c r="AG354" s="184">
        <f t="shared" si="117"/>
        <v>0.26006714779732226</v>
      </c>
      <c r="AH354" s="184">
        <f t="shared" si="117"/>
        <v>0.25792944425387127</v>
      </c>
      <c r="AI354" s="184">
        <f t="shared" si="117"/>
        <v>0.20392762073101645</v>
      </c>
      <c r="AJ354" s="184">
        <f t="shared" si="117"/>
        <v>0.149890628908495</v>
      </c>
      <c r="AK354" s="184">
        <f t="shared" si="117"/>
        <v>0.13642771882355817</v>
      </c>
      <c r="AL354" s="184">
        <f t="shared" si="117"/>
        <v>0.13151799823685745</v>
      </c>
      <c r="AM354" s="184">
        <f t="shared" si="117"/>
        <v>0.12931853310782185</v>
      </c>
      <c r="AN354" s="184">
        <f t="shared" si="117"/>
        <v>0.12826362182650589</v>
      </c>
      <c r="AO354" s="184">
        <f t="shared" si="117"/>
        <v>0.12778889558893511</v>
      </c>
      <c r="AP354" s="184">
        <f t="shared" si="117"/>
        <v>0.12765164895517875</v>
      </c>
      <c r="AQ354" s="184">
        <f t="shared" si="117"/>
        <v>0.12773617524120148</v>
      </c>
      <c r="AR354" s="184">
        <f t="shared" si="117"/>
        <v>0.12798398612482417</v>
      </c>
      <c r="AS354" s="184">
        <f t="shared" si="117"/>
        <v>0.12836468686547581</v>
      </c>
      <c r="AT354" s="184">
        <f t="shared" si="117"/>
        <v>0.12886255509870342</v>
      </c>
      <c r="AU354" s="184">
        <f t="shared" si="117"/>
        <v>0.12946995983403989</v>
      </c>
      <c r="AV354" s="184">
        <f t="shared" si="117"/>
        <v>0.13018399856135132</v>
      </c>
      <c r="AW354" s="184">
        <f t="shared" si="117"/>
        <v>0.13100470640588313</v>
      </c>
      <c r="AX354" s="184">
        <f t="shared" si="117"/>
        <v>0.13193402043375174</v>
      </c>
      <c r="AY354" s="184">
        <f t="shared" si="117"/>
        <v>0.13297504876525684</v>
      </c>
      <c r="AZ354" s="184">
        <f t="shared" si="117"/>
        <v>0.13413134755591105</v>
      </c>
      <c r="BA354" s="184">
        <f t="shared" si="117"/>
        <v>0.13540594826303404</v>
      </c>
      <c r="BB354" s="184">
        <f t="shared" si="117"/>
        <v>0.13679984465244305</v>
      </c>
      <c r="BC354" s="184">
        <f t="shared" si="117"/>
        <v>0.13830956611708289</v>
      </c>
      <c r="BD354" s="184">
        <f t="shared" si="117"/>
        <v>0.13992335962816638</v>
      </c>
      <c r="BE354" s="184">
        <f t="shared" si="117"/>
        <v>0.14161544186046321</v>
      </c>
      <c r="BF354" s="184">
        <f t="shared" si="117"/>
        <v>0.14333955530612724</v>
      </c>
      <c r="BG354" s="184">
        <f t="shared" si="117"/>
        <v>0.145013907966868</v>
      </c>
      <c r="BH354" s="184">
        <f t="shared" si="117"/>
        <v>0.14651443007734685</v>
      </c>
      <c r="BI354" s="184">
        <f t="shared" si="117"/>
        <v>0.14647464726636714</v>
      </c>
      <c r="DR354" s="493"/>
    </row>
    <row r="355" spans="1:122" s="184" customFormat="1" ht="15" x14ac:dyDescent="0.2">
      <c r="A355" s="184" t="s">
        <v>224</v>
      </c>
      <c r="B355" s="184">
        <f t="shared" si="115"/>
        <v>1</v>
      </c>
      <c r="C355" s="184">
        <f t="shared" si="115"/>
        <v>0.98773176711331889</v>
      </c>
      <c r="D355" s="184">
        <f t="shared" si="117"/>
        <v>1.2509324570311828</v>
      </c>
      <c r="E355" s="184">
        <f t="shared" si="117"/>
        <v>1.5220865979193756</v>
      </c>
      <c r="F355" s="184">
        <f t="shared" si="117"/>
        <v>1.8161908575693875</v>
      </c>
      <c r="G355" s="184">
        <f t="shared" si="117"/>
        <v>2.117447146205421</v>
      </c>
      <c r="H355" s="184">
        <f t="shared" si="117"/>
        <v>2.4074837471091382</v>
      </c>
      <c r="I355" s="184">
        <f t="shared" si="117"/>
        <v>2.6894511074253558</v>
      </c>
      <c r="J355" s="184">
        <f t="shared" si="117"/>
        <v>2.9737695239306223</v>
      </c>
      <c r="K355" s="184">
        <f t="shared" si="117"/>
        <v>3.287056368744965</v>
      </c>
      <c r="L355" s="184">
        <f t="shared" si="117"/>
        <v>3.5745221840394428</v>
      </c>
      <c r="M355" s="184">
        <f t="shared" si="117"/>
        <v>3.9457845647994012</v>
      </c>
      <c r="N355" s="184">
        <f t="shared" si="117"/>
        <v>4.1770238672922648</v>
      </c>
      <c r="O355" s="184">
        <f t="shared" si="117"/>
        <v>4.3713903613709011</v>
      </c>
      <c r="P355" s="184">
        <f t="shared" si="117"/>
        <v>4.534440238485332</v>
      </c>
      <c r="Q355" s="184">
        <f t="shared" si="117"/>
        <v>4.6788414035787129</v>
      </c>
      <c r="R355" s="184">
        <f t="shared" si="117"/>
        <v>4.7983846566385768</v>
      </c>
      <c r="S355" s="184">
        <f t="shared" si="117"/>
        <v>4.8879157148603909</v>
      </c>
      <c r="T355" s="184">
        <f t="shared" si="117"/>
        <v>4.9427451724902154</v>
      </c>
      <c r="U355" s="184">
        <f t="shared" si="117"/>
        <v>4.9767553711703725</v>
      </c>
      <c r="V355" s="184">
        <f t="shared" si="117"/>
        <v>4.9397385778920633</v>
      </c>
      <c r="W355" s="184">
        <f t="shared" si="117"/>
        <v>4.9113290568053829</v>
      </c>
      <c r="X355" s="184">
        <f t="shared" si="117"/>
        <v>4.8961302616674693</v>
      </c>
      <c r="Y355" s="184">
        <f t="shared" si="117"/>
        <v>4.8615975022005857</v>
      </c>
      <c r="Z355" s="184">
        <f t="shared" si="117"/>
        <v>4.8137443222627034</v>
      </c>
      <c r="AA355" s="184">
        <f t="shared" si="117"/>
        <v>4.7560382155173677</v>
      </c>
      <c r="AB355" s="184">
        <f t="shared" si="117"/>
        <v>4.6864207587744007</v>
      </c>
      <c r="AC355" s="184">
        <f t="shared" si="117"/>
        <v>4.6023264712497829</v>
      </c>
      <c r="AD355" s="184">
        <f t="shared" si="117"/>
        <v>4.5115727854966687</v>
      </c>
      <c r="AE355" s="184">
        <f t="shared" si="117"/>
        <v>4.4114226174153117</v>
      </c>
      <c r="AF355" s="184">
        <f t="shared" si="117"/>
        <v>4.3085621556141787</v>
      </c>
      <c r="AG355" s="184">
        <f t="shared" si="117"/>
        <v>4.212404875581198</v>
      </c>
      <c r="AH355" s="184">
        <f t="shared" si="117"/>
        <v>4.1151792369417324</v>
      </c>
      <c r="AI355" s="184">
        <f t="shared" si="117"/>
        <v>3.1943864219440892</v>
      </c>
      <c r="AJ355" s="184">
        <f t="shared" si="117"/>
        <v>2.2977932023417544</v>
      </c>
      <c r="AK355" s="184">
        <f t="shared" si="117"/>
        <v>2.0402520150093615</v>
      </c>
      <c r="AL355" s="184">
        <f t="shared" si="117"/>
        <v>1.9126777092845579</v>
      </c>
      <c r="AM355" s="184">
        <f t="shared" si="117"/>
        <v>1.8231625056440619</v>
      </c>
      <c r="AN355" s="184">
        <f t="shared" si="117"/>
        <v>1.7474344162794553</v>
      </c>
      <c r="AO355" s="184">
        <f t="shared" si="117"/>
        <v>1.6769896979110117</v>
      </c>
      <c r="AP355" s="184">
        <f t="shared" si="117"/>
        <v>1.6083608627390278</v>
      </c>
      <c r="AQ355" s="184">
        <f t="shared" si="117"/>
        <v>1.5400483468757658</v>
      </c>
      <c r="AR355" s="184">
        <f t="shared" si="117"/>
        <v>1.471425728085701</v>
      </c>
      <c r="AS355" s="184">
        <f t="shared" si="117"/>
        <v>1.402288364628163</v>
      </c>
      <c r="AT355" s="184">
        <f t="shared" si="117"/>
        <v>1.3326506780058704</v>
      </c>
      <c r="AU355" s="184">
        <f t="shared" si="117"/>
        <v>1.2626515730538508</v>
      </c>
      <c r="AV355" s="184">
        <f t="shared" si="117"/>
        <v>1.1925107422819601</v>
      </c>
      <c r="AW355" s="184">
        <f t="shared" si="117"/>
        <v>1.1225102130211413</v>
      </c>
      <c r="AX355" s="184">
        <f t="shared" si="117"/>
        <v>1.0529888814422375</v>
      </c>
      <c r="AY355" s="184">
        <f t="shared" si="117"/>
        <v>0.98434383532184</v>
      </c>
      <c r="AZ355" s="184">
        <f t="shared" si="117"/>
        <v>0.9170350774206707</v>
      </c>
      <c r="BA355" s="184">
        <f t="shared" si="117"/>
        <v>0.85159156505617239</v>
      </c>
      <c r="BB355" s="184">
        <f t="shared" si="117"/>
        <v>0.78861715070306249</v>
      </c>
      <c r="BC355" s="184">
        <f t="shared" si="117"/>
        <v>0.72879560536224708</v>
      </c>
      <c r="BD355" s="184">
        <f t="shared" si="117"/>
        <v>0.67289493136634093</v>
      </c>
      <c r="BE355" s="184">
        <f t="shared" si="117"/>
        <v>0.62177317936834942</v>
      </c>
      <c r="BF355" s="184">
        <f t="shared" si="117"/>
        <v>0.57639825195151417</v>
      </c>
      <c r="BG355" s="184">
        <f t="shared" si="117"/>
        <v>0.53786003229822499</v>
      </c>
      <c r="BH355" s="184">
        <f t="shared" si="117"/>
        <v>0.50746280518137854</v>
      </c>
      <c r="BI355" s="184">
        <f t="shared" si="117"/>
        <v>0.50732501467946611</v>
      </c>
      <c r="DR355" s="493"/>
    </row>
    <row r="356" spans="1:122" s="285" customFormat="1" ht="15" x14ac:dyDescent="0.2">
      <c r="DR356" s="286"/>
    </row>
    <row r="357" spans="1:122" s="285" customFormat="1" ht="15" x14ac:dyDescent="0.2">
      <c r="A357" s="287" t="s">
        <v>789</v>
      </c>
      <c r="DR357" s="286"/>
    </row>
    <row r="358" spans="1:122" s="285" customFormat="1" ht="15" x14ac:dyDescent="0.2">
      <c r="A358" s="287" t="s">
        <v>787</v>
      </c>
      <c r="C358" s="285">
        <f>+SUM(B359:BI370)</f>
        <v>985.98652848085715</v>
      </c>
      <c r="DR358" s="286"/>
    </row>
    <row r="359" spans="1:122" s="494" customFormat="1" ht="15" x14ac:dyDescent="0.2">
      <c r="A359" s="494" t="s">
        <v>104</v>
      </c>
      <c r="B359" s="494">
        <v>1</v>
      </c>
      <c r="C359" s="494">
        <v>0.72724084216884688</v>
      </c>
      <c r="D359" s="494">
        <v>0.62789050246906974</v>
      </c>
      <c r="E359" s="494">
        <v>0.54398228999169973</v>
      </c>
      <c r="F359" s="494">
        <v>0.47356754693482322</v>
      </c>
      <c r="G359" s="494">
        <v>0.4164228590675626</v>
      </c>
      <c r="H359" s="494">
        <v>0.36912790744906682</v>
      </c>
      <c r="I359" s="494">
        <v>0.32973870993573245</v>
      </c>
      <c r="J359" s="494">
        <v>0.29686424714951093</v>
      </c>
      <c r="K359" s="494">
        <v>0.27010440117066603</v>
      </c>
      <c r="L359" s="494">
        <v>0.24929283238780184</v>
      </c>
      <c r="M359" s="494">
        <v>0.22641888393835718</v>
      </c>
      <c r="N359" s="494">
        <v>0.21685476187864472</v>
      </c>
      <c r="O359" s="494">
        <v>0.20640544859824156</v>
      </c>
      <c r="P359" s="494">
        <v>0.19649847929206418</v>
      </c>
      <c r="Q359" s="494">
        <v>0.18766595120868448</v>
      </c>
      <c r="R359" s="494">
        <v>0.18004057092787629</v>
      </c>
      <c r="S359" s="494">
        <v>0.17358690867878132</v>
      </c>
      <c r="T359" s="494">
        <v>0.16820705579504983</v>
      </c>
      <c r="U359" s="494">
        <v>0.16378764250352007</v>
      </c>
      <c r="V359" s="494">
        <v>0.16060137892239859</v>
      </c>
      <c r="W359" s="494">
        <v>0.15815885891781797</v>
      </c>
      <c r="X359" s="494">
        <v>0.15589319468994683</v>
      </c>
      <c r="Y359" s="494">
        <v>0.15383238722566617</v>
      </c>
      <c r="Z359" s="494">
        <v>0.1521162665029854</v>
      </c>
      <c r="AA359" s="494">
        <v>0.15078915910190083</v>
      </c>
      <c r="AB359" s="494">
        <v>0.14983493643807955</v>
      </c>
      <c r="AC359" s="494">
        <v>0.14907496823854843</v>
      </c>
      <c r="AD359" s="494">
        <v>0.14852103662103633</v>
      </c>
      <c r="AE359" s="494">
        <v>0.1481655277892226</v>
      </c>
      <c r="AF359" s="494">
        <v>0.14798293941921947</v>
      </c>
      <c r="AG359" s="494">
        <v>0.14796301353663363</v>
      </c>
      <c r="AH359" s="494">
        <v>0.14811220801678796</v>
      </c>
      <c r="AI359" s="494">
        <v>0.14842092115608199</v>
      </c>
      <c r="AJ359" s="494">
        <v>0.14887856716619885</v>
      </c>
      <c r="AK359" s="494">
        <v>0.14947441558428429</v>
      </c>
      <c r="AL359" s="494">
        <v>0.15019756771135392</v>
      </c>
      <c r="AM359" s="494">
        <v>0.1510370922370414</v>
      </c>
      <c r="AN359" s="494">
        <v>0.15198217340365475</v>
      </c>
      <c r="AO359" s="494">
        <v>0.15302221946136443</v>
      </c>
      <c r="AP359" s="494">
        <v>0.15414692608122429</v>
      </c>
      <c r="AQ359" s="494">
        <v>0.15534630496685289</v>
      </c>
      <c r="AR359" s="494">
        <v>0.15661069045139242</v>
      </c>
      <c r="AS359" s="494">
        <v>0.1579307347914001</v>
      </c>
      <c r="AT359" s="494">
        <v>0.15929739966231637</v>
      </c>
      <c r="AU359" s="494">
        <v>0.16070194826713469</v>
      </c>
      <c r="AV359" s="494">
        <v>0.16213593974641277</v>
      </c>
      <c r="AW359" s="494">
        <v>0.16359122503387746</v>
      </c>
      <c r="AX359" s="494">
        <v>0.16505994051145784</v>
      </c>
      <c r="AY359" s="494">
        <v>0.16653449218586322</v>
      </c>
      <c r="AZ359" s="494">
        <v>0.16800751792444682</v>
      </c>
      <c r="BA359" s="494">
        <v>0.16947180787903421</v>
      </c>
      <c r="BB359" s="494">
        <v>0.17092015337714417</v>
      </c>
      <c r="BC359" s="494">
        <v>0.17234508338814669</v>
      </c>
      <c r="BD359" s="494">
        <v>0.17373843913055331</v>
      </c>
      <c r="BE359" s="494">
        <v>0.17509074025968027</v>
      </c>
      <c r="BF359" s="494">
        <v>0.17639032542109848</v>
      </c>
      <c r="BG359" s="494">
        <v>0.1776223249928548</v>
      </c>
      <c r="BH359" s="494">
        <v>0.17876765611471293</v>
      </c>
      <c r="BI359" s="494">
        <v>0.17868069289003963</v>
      </c>
      <c r="DR359" s="495"/>
    </row>
    <row r="360" spans="1:122" s="494" customFormat="1" ht="15" x14ac:dyDescent="0.2">
      <c r="A360" s="494" t="s">
        <v>105</v>
      </c>
      <c r="B360" s="494">
        <v>1</v>
      </c>
      <c r="C360" s="494">
        <v>0.75558519893270881</v>
      </c>
      <c r="D360" s="494">
        <v>0.68505644973376933</v>
      </c>
      <c r="E360" s="494">
        <v>0.6196743886829883</v>
      </c>
      <c r="F360" s="494">
        <v>0.56093783126633145</v>
      </c>
      <c r="G360" s="494">
        <v>0.51066109808456328</v>
      </c>
      <c r="H360" s="494">
        <v>0.46747352517368534</v>
      </c>
      <c r="I360" s="494">
        <v>0.42972756273726292</v>
      </c>
      <c r="J360" s="494">
        <v>0.39691962974741923</v>
      </c>
      <c r="K360" s="494">
        <v>0.36549584940177238</v>
      </c>
      <c r="L360" s="494">
        <v>0.33965352438196095</v>
      </c>
      <c r="M360" s="494">
        <v>0.31593602333122095</v>
      </c>
      <c r="N360" s="494">
        <v>0.30518329505332348</v>
      </c>
      <c r="O360" s="494">
        <v>0.29312010532709093</v>
      </c>
      <c r="P360" s="494">
        <v>0.28141826417585497</v>
      </c>
      <c r="Q360" s="494">
        <v>0.2707485567221139</v>
      </c>
      <c r="R360" s="494">
        <v>0.26132339445055563</v>
      </c>
      <c r="S360" s="494">
        <v>0.2531508136993037</v>
      </c>
      <c r="T360" s="494">
        <v>0.24615458223482242</v>
      </c>
      <c r="U360" s="494">
        <v>0.24023018852241082</v>
      </c>
      <c r="V360" s="494">
        <v>0.23559997510171565</v>
      </c>
      <c r="W360" s="494">
        <v>0.23170257587096257</v>
      </c>
      <c r="X360" s="494">
        <v>0.22802050140231556</v>
      </c>
      <c r="Y360" s="494">
        <v>0.22454349688015957</v>
      </c>
      <c r="Z360" s="494">
        <v>0.22145946200898439</v>
      </c>
      <c r="AA360" s="494">
        <v>0.21883737603049142</v>
      </c>
      <c r="AB360" s="494">
        <v>0.2166604951949111</v>
      </c>
      <c r="AC360" s="494">
        <v>0.2148617524795674</v>
      </c>
      <c r="AD360" s="494">
        <v>0.21338176375152662</v>
      </c>
      <c r="AE360" s="494">
        <v>0.21219679845234188</v>
      </c>
      <c r="AF360" s="494">
        <v>0.21133135991084015</v>
      </c>
      <c r="AG360" s="494">
        <v>0.21074153143890889</v>
      </c>
      <c r="AH360" s="494">
        <v>0.21034840567004584</v>
      </c>
      <c r="AI360" s="494">
        <v>0.21014919896243517</v>
      </c>
      <c r="AJ360" s="494">
        <v>0.21013572967096064</v>
      </c>
      <c r="AK360" s="494">
        <v>0.2102956924761091</v>
      </c>
      <c r="AL360" s="494">
        <v>0.21061485882023992</v>
      </c>
      <c r="AM360" s="494">
        <v>0.21107832905490634</v>
      </c>
      <c r="AN360" s="494">
        <v>0.21167121580655276</v>
      </c>
      <c r="AO360" s="494">
        <v>0.21237899435527152</v>
      </c>
      <c r="AP360" s="494">
        <v>0.21318766297414538</v>
      </c>
      <c r="AQ360" s="494">
        <v>0.2140837994538583</v>
      </c>
      <c r="AR360" s="494">
        <v>0.21505456511630314</v>
      </c>
      <c r="AS360" s="494">
        <v>0.2160876861247551</v>
      </c>
      <c r="AT360" s="494">
        <v>0.21717142863112404</v>
      </c>
      <c r="AU360" s="494">
        <v>0.21829457598641003</v>
      </c>
      <c r="AV360" s="494">
        <v>0.21944641075933893</v>
      </c>
      <c r="AW360" s="494">
        <v>0.22061670019597443</v>
      </c>
      <c r="AX360" s="494">
        <v>0.22179567986122939</v>
      </c>
      <c r="AY360" s="494">
        <v>0.2229740254815378</v>
      </c>
      <c r="AZ360" s="494">
        <v>0.22414279642486101</v>
      </c>
      <c r="BA360" s="494">
        <v>0.22529332493202672</v>
      </c>
      <c r="BB360" s="494">
        <v>0.22641701293887206</v>
      </c>
      <c r="BC360" s="494">
        <v>0.22750498466490496</v>
      </c>
      <c r="BD360" s="494">
        <v>0.22854753332406194</v>
      </c>
      <c r="BE360" s="494">
        <v>0.22953330570141073</v>
      </c>
      <c r="BF360" s="494">
        <v>0.2304482080742484</v>
      </c>
      <c r="BG360" s="494">
        <v>0.2312741148983623</v>
      </c>
      <c r="BH360" s="494">
        <v>0.23198763090794414</v>
      </c>
      <c r="BI360" s="494">
        <v>0.23187477832092399</v>
      </c>
      <c r="DR360" s="495"/>
    </row>
    <row r="361" spans="1:122" s="494" customFormat="1" ht="15" x14ac:dyDescent="0.2">
      <c r="A361" s="494" t="s">
        <v>51</v>
      </c>
      <c r="B361" s="494">
        <v>1</v>
      </c>
      <c r="C361" s="494">
        <v>0.71017254840850697</v>
      </c>
      <c r="D361" s="494">
        <v>0.6355877857915212</v>
      </c>
      <c r="E361" s="494">
        <v>0.57291270108955195</v>
      </c>
      <c r="F361" s="494">
        <v>0.4868104433903167</v>
      </c>
      <c r="G361" s="494">
        <v>0.43265374281228225</v>
      </c>
      <c r="H361" s="494">
        <v>0.39244585404906956</v>
      </c>
      <c r="I361" s="494">
        <v>0.35787827396458705</v>
      </c>
      <c r="J361" s="494">
        <v>0.32823432138736014</v>
      </c>
      <c r="K361" s="494">
        <v>0.2993807130642126</v>
      </c>
      <c r="L361" s="494">
        <v>0.27623306518020119</v>
      </c>
      <c r="M361" s="494">
        <v>0.25429464423171366</v>
      </c>
      <c r="N361" s="494">
        <v>0.24613272014272006</v>
      </c>
      <c r="O361" s="494">
        <v>0.23659824987871383</v>
      </c>
      <c r="P361" s="494">
        <v>0.22729596827337639</v>
      </c>
      <c r="Q361" s="494">
        <v>0.21887872016742371</v>
      </c>
      <c r="R361" s="494">
        <v>0.21156026055836671</v>
      </c>
      <c r="S361" s="494">
        <v>0.20535963681997343</v>
      </c>
      <c r="T361" s="494">
        <v>0.20021609505988283</v>
      </c>
      <c r="U361" s="494">
        <v>0.19604225365989056</v>
      </c>
      <c r="V361" s="494">
        <v>0.19305147629100886</v>
      </c>
      <c r="W361" s="494">
        <v>0.19076980993784831</v>
      </c>
      <c r="X361" s="494">
        <v>0.18872903488517556</v>
      </c>
      <c r="Y361" s="494">
        <v>0.18692618961570701</v>
      </c>
      <c r="Z361" s="494">
        <v>0.18552008043312818</v>
      </c>
      <c r="AA361" s="494">
        <v>0.18457066643226785</v>
      </c>
      <c r="AB361" s="494">
        <v>0.18404567194555552</v>
      </c>
      <c r="AC361" s="494">
        <v>0.18389349280331288</v>
      </c>
      <c r="AD361" s="494">
        <v>0.18403529721406625</v>
      </c>
      <c r="AE361" s="494">
        <v>0.18444593158322314</v>
      </c>
      <c r="AF361" s="494">
        <v>0.18514055422423928</v>
      </c>
      <c r="AG361" s="494">
        <v>0.1860723206428091</v>
      </c>
      <c r="AH361" s="494">
        <v>0.18717319997306808</v>
      </c>
      <c r="AI361" s="494">
        <v>0.18845030805470245</v>
      </c>
      <c r="AJ361" s="494">
        <v>0.18990208764830396</v>
      </c>
      <c r="AK361" s="494">
        <v>0.19152322277316372</v>
      </c>
      <c r="AL361" s="494">
        <v>0.19330638237363515</v>
      </c>
      <c r="AM361" s="494">
        <v>0.1952432324177964</v>
      </c>
      <c r="AN361" s="494">
        <v>0.19732501332212932</v>
      </c>
      <c r="AO361" s="494">
        <v>0.19954285328395946</v>
      </c>
      <c r="AP361" s="494">
        <v>0.20188792601225225</v>
      </c>
      <c r="AQ361" s="494">
        <v>0.20435152095578413</v>
      </c>
      <c r="AR361" s="494">
        <v>0.20692506787889287</v>
      </c>
      <c r="AS361" s="494">
        <v>0.20960014079004241</v>
      </c>
      <c r="AT361" s="494">
        <v>0.21236845547684882</v>
      </c>
      <c r="AU361" s="494">
        <v>0.21522186794363932</v>
      </c>
      <c r="AV361" s="494">
        <v>0.21815237626612174</v>
      </c>
      <c r="AW361" s="494">
        <v>0.22115212455236419</v>
      </c>
      <c r="AX361" s="494">
        <v>0.22421340377222287</v>
      </c>
      <c r="AY361" s="494">
        <v>0.22732863911663218</v>
      </c>
      <c r="AZ361" s="494">
        <v>0.230490346113992</v>
      </c>
      <c r="BA361" s="494">
        <v>0.23369102685009513</v>
      </c>
      <c r="BB361" s="494">
        <v>0.23692296278310587</v>
      </c>
      <c r="BC361" s="494">
        <v>0.24017784310916054</v>
      </c>
      <c r="BD361" s="494">
        <v>0.24344615274380843</v>
      </c>
      <c r="BE361" s="494">
        <v>0.246716244186514</v>
      </c>
      <c r="BF361" s="494">
        <v>0.24997305496690811</v>
      </c>
      <c r="BG361" s="494">
        <v>0.25319653661202496</v>
      </c>
      <c r="BH361" s="494">
        <v>0.25636005286951863</v>
      </c>
      <c r="BI361" s="494">
        <v>0.25623534408628856</v>
      </c>
      <c r="DR361" s="495"/>
    </row>
    <row r="362" spans="1:122" s="494" customFormat="1" ht="15" x14ac:dyDescent="0.2">
      <c r="A362" s="494" t="s">
        <v>52</v>
      </c>
      <c r="B362" s="494">
        <v>1</v>
      </c>
      <c r="C362" s="494">
        <v>0.96950701396471584</v>
      </c>
      <c r="D362" s="494">
        <v>0.92130642534753349</v>
      </c>
      <c r="E362" s="494">
        <v>0.86566132606454826</v>
      </c>
      <c r="F362" s="494">
        <v>0.80880517305539945</v>
      </c>
      <c r="G362" s="494">
        <v>0.76017638532564324</v>
      </c>
      <c r="H362" s="494">
        <v>0.71969136796560973</v>
      </c>
      <c r="I362" s="494">
        <v>0.68226602116902324</v>
      </c>
      <c r="J362" s="494">
        <v>0.64818965930119876</v>
      </c>
      <c r="K362" s="494">
        <v>0.60847473084550396</v>
      </c>
      <c r="L362" s="494">
        <v>0.57526687825570499</v>
      </c>
      <c r="M362" s="494">
        <v>0.54709021078089448</v>
      </c>
      <c r="N362" s="494">
        <v>0.54043778226876382</v>
      </c>
      <c r="O362" s="494">
        <v>0.53033476992491801</v>
      </c>
      <c r="P362" s="494">
        <v>0.51973304050992741</v>
      </c>
      <c r="Q362" s="494">
        <v>0.50998438887341691</v>
      </c>
      <c r="R362" s="494">
        <v>0.5016600369977654</v>
      </c>
      <c r="S362" s="494">
        <v>0.49495790554612912</v>
      </c>
      <c r="T362" s="494">
        <v>0.4899030437772659</v>
      </c>
      <c r="U362" s="494">
        <v>0.48644593051081025</v>
      </c>
      <c r="V362" s="494">
        <v>0.48574232630655545</v>
      </c>
      <c r="W362" s="494">
        <v>0.48652781208995843</v>
      </c>
      <c r="X362" s="494">
        <v>0.48711872674737378</v>
      </c>
      <c r="Y362" s="494">
        <v>0.48772198294078184</v>
      </c>
      <c r="Z362" s="494">
        <v>0.48888721799943347</v>
      </c>
      <c r="AA362" s="494">
        <v>0.49084738379533555</v>
      </c>
      <c r="AB362" s="494">
        <v>0.49343234638583594</v>
      </c>
      <c r="AC362" s="494">
        <v>0.49622826737208164</v>
      </c>
      <c r="AD362" s="494">
        <v>0.49923846691274787</v>
      </c>
      <c r="AE362" s="494">
        <v>0.50253888530877877</v>
      </c>
      <c r="AF362" s="494">
        <v>0.50621646831287315</v>
      </c>
      <c r="AG362" s="494">
        <v>0.5102684153066348</v>
      </c>
      <c r="AH362" s="494">
        <v>0.51467145841317075</v>
      </c>
      <c r="AI362" s="494">
        <v>0.51947295350289291</v>
      </c>
      <c r="AJ362" s="494">
        <v>0.52469165682770735</v>
      </c>
      <c r="AK362" s="494">
        <v>0.53033129633452247</v>
      </c>
      <c r="AL362" s="494">
        <v>0.53638566807407306</v>
      </c>
      <c r="AM362" s="494">
        <v>0.54284223695516043</v>
      </c>
      <c r="AN362" s="494">
        <v>0.54968458843652146</v>
      </c>
      <c r="AO362" s="494">
        <v>0.55689402837888025</v>
      </c>
      <c r="AP362" s="494">
        <v>0.56445058986242347</v>
      </c>
      <c r="AQ362" s="494">
        <v>0.57233364732111658</v>
      </c>
      <c r="AR362" s="494">
        <v>0.58052228244116921</v>
      </c>
      <c r="AS362" s="494">
        <v>0.5889955009081439</v>
      </c>
      <c r="AT362" s="494">
        <v>0.59773236497287763</v>
      </c>
      <c r="AU362" s="494">
        <v>0.60671208191462711</v>
      </c>
      <c r="AV362" s="494">
        <v>0.61591407003103849</v>
      </c>
      <c r="AW362" s="494">
        <v>0.62531800889448452</v>
      </c>
      <c r="AX362" s="494">
        <v>0.63490386632642504</v>
      </c>
      <c r="AY362" s="494">
        <v>0.64465187764885912</v>
      </c>
      <c r="AZ362" s="494">
        <v>0.65454242974308385</v>
      </c>
      <c r="BA362" s="494">
        <v>0.66455576985595266</v>
      </c>
      <c r="BB362" s="494">
        <v>0.67467141517546636</v>
      </c>
      <c r="BC362" s="494">
        <v>0.68486708739032354</v>
      </c>
      <c r="BD362" s="494">
        <v>0.69511695178993316</v>
      </c>
      <c r="BE362" s="494">
        <v>0.70538893858494944</v>
      </c>
      <c r="BF362" s="494">
        <v>0.71564102892395687</v>
      </c>
      <c r="BG362" s="494">
        <v>0.72581668567122648</v>
      </c>
      <c r="BH362" s="494">
        <v>0.73584016135445041</v>
      </c>
      <c r="BI362" s="494">
        <v>0.73548220491721639</v>
      </c>
      <c r="DR362" s="495"/>
    </row>
    <row r="363" spans="1:122" s="494" customFormat="1" ht="15" x14ac:dyDescent="0.2">
      <c r="A363" s="494" t="s">
        <v>53</v>
      </c>
      <c r="B363" s="494">
        <v>1</v>
      </c>
      <c r="C363" s="494">
        <v>0.87677857345942367</v>
      </c>
      <c r="D363" s="494">
        <v>0.95250662167315858</v>
      </c>
      <c r="E363" s="494">
        <v>1.0121211921525173</v>
      </c>
      <c r="F363" s="494">
        <v>1.0575455669894429</v>
      </c>
      <c r="G363" s="494">
        <v>1.0950294813591492</v>
      </c>
      <c r="H363" s="494">
        <v>1.1287986762318769</v>
      </c>
      <c r="I363" s="494">
        <v>1.1552548970548919</v>
      </c>
      <c r="J363" s="494">
        <v>1.1757367268782841</v>
      </c>
      <c r="K363" s="494">
        <v>1.1808692746731952</v>
      </c>
      <c r="L363" s="494">
        <v>1.1862518866279745</v>
      </c>
      <c r="M363" s="494">
        <v>1.1944838162303906</v>
      </c>
      <c r="N363" s="494">
        <v>1.2284087829572412</v>
      </c>
      <c r="O363" s="494">
        <v>1.2528403610637937</v>
      </c>
      <c r="P363" s="494">
        <v>1.2726454416693822</v>
      </c>
      <c r="Q363" s="494">
        <v>1.2905003557130674</v>
      </c>
      <c r="R363" s="494">
        <v>1.3079066537103397</v>
      </c>
      <c r="S363" s="494">
        <v>1.3257341457821981</v>
      </c>
      <c r="T363" s="494">
        <v>1.3445102697807363</v>
      </c>
      <c r="U363" s="494">
        <v>1.3645759249352638</v>
      </c>
      <c r="V363" s="494">
        <v>1.3870343984895916</v>
      </c>
      <c r="W363" s="494">
        <v>1.4099445951859522</v>
      </c>
      <c r="X363" s="494">
        <v>1.4320598869672694</v>
      </c>
      <c r="Y363" s="494">
        <v>1.4532670344212226</v>
      </c>
      <c r="Z363" s="494">
        <v>1.474920139322843</v>
      </c>
      <c r="AA363" s="494">
        <v>1.4977192472133245</v>
      </c>
      <c r="AB363" s="494">
        <v>1.5220117804687854</v>
      </c>
      <c r="AC363" s="494">
        <v>1.5454668700310066</v>
      </c>
      <c r="AD363" s="494">
        <v>1.5688928462130867</v>
      </c>
      <c r="AE363" s="494">
        <v>1.5925166857218234</v>
      </c>
      <c r="AF363" s="494">
        <v>1.6165494156330791</v>
      </c>
      <c r="AG363" s="494">
        <v>1.6410150111378004</v>
      </c>
      <c r="AH363" s="494">
        <v>1.6659375791760347</v>
      </c>
      <c r="AI363" s="494">
        <v>1.6914971776913006</v>
      </c>
      <c r="AJ363" s="494">
        <v>1.717798471505493</v>
      </c>
      <c r="AK363" s="494">
        <v>1.7449062148526964</v>
      </c>
      <c r="AL363" s="494">
        <v>1.7728561359305197</v>
      </c>
      <c r="AM363" s="494">
        <v>1.8016631115505684</v>
      </c>
      <c r="AN363" s="494">
        <v>1.8313270901407666</v>
      </c>
      <c r="AO363" s="494">
        <v>1.8618372131174596</v>
      </c>
      <c r="AP363" s="494">
        <v>1.8931746127843763</v>
      </c>
      <c r="AQ363" s="494">
        <v>1.9253142969092683</v>
      </c>
      <c r="AR363" s="494">
        <v>1.9582264354708458</v>
      </c>
      <c r="AS363" s="494">
        <v>1.9918772759908427</v>
      </c>
      <c r="AT363" s="494">
        <v>2.0262298405752461</v>
      </c>
      <c r="AU363" s="494">
        <v>2.0612445003573368</v>
      </c>
      <c r="AV363" s="494">
        <v>2.0968794772406145</v>
      </c>
      <c r="AW363" s="494">
        <v>2.1330912824685404</v>
      </c>
      <c r="AX363" s="494">
        <v>2.1698350588532924</v>
      </c>
      <c r="AY363" s="494">
        <v>2.2070647389286515</v>
      </c>
      <c r="AZ363" s="494">
        <v>2.2447328535018012</v>
      </c>
      <c r="BA363" s="494">
        <v>2.2827897125640138</v>
      </c>
      <c r="BB363" s="494">
        <v>2.3211815271089673</v>
      </c>
      <c r="BC363" s="494">
        <v>2.3598468576591682</v>
      </c>
      <c r="BD363" s="494">
        <v>2.398710614912722</v>
      </c>
      <c r="BE363" s="494">
        <v>2.4376748234801844</v>
      </c>
      <c r="BF363" s="494">
        <v>2.476605714310288</v>
      </c>
      <c r="BG363" s="494">
        <v>2.5153177384192675</v>
      </c>
      <c r="BH363" s="494">
        <v>2.5535570176552524</v>
      </c>
      <c r="BI363" s="494">
        <v>2.5523148155843143</v>
      </c>
      <c r="DR363" s="495"/>
    </row>
    <row r="364" spans="1:122" s="494" customFormat="1" ht="15" x14ac:dyDescent="0.2">
      <c r="A364" s="494" t="s">
        <v>54</v>
      </c>
      <c r="B364" s="494">
        <v>1</v>
      </c>
      <c r="C364" s="494">
        <v>2.4060959346786284</v>
      </c>
      <c r="D364" s="494">
        <v>2.5357026629882706</v>
      </c>
      <c r="E364" s="494">
        <v>2.6165715553593092</v>
      </c>
      <c r="F364" s="494">
        <v>2.6529954933962454</v>
      </c>
      <c r="G364" s="494">
        <v>2.6584645823806401</v>
      </c>
      <c r="H364" s="494">
        <v>2.661326347841046</v>
      </c>
      <c r="I364" s="494">
        <v>2.6496465161194629</v>
      </c>
      <c r="J364" s="494">
        <v>2.6291636383698553</v>
      </c>
      <c r="K364" s="494">
        <v>2.5680454031232336</v>
      </c>
      <c r="L364" s="494">
        <v>2.4931465918757056</v>
      </c>
      <c r="M364" s="494">
        <v>2.5078136440298557</v>
      </c>
      <c r="N364" s="494">
        <v>2.4736414843023646</v>
      </c>
      <c r="O364" s="494">
        <v>2.4355639110431597</v>
      </c>
      <c r="P364" s="494">
        <v>2.3952910373433887</v>
      </c>
      <c r="Q364" s="494">
        <v>2.3539067038665951</v>
      </c>
      <c r="R364" s="494">
        <v>2.3120229536153758</v>
      </c>
      <c r="S364" s="494">
        <v>2.2699673861591894</v>
      </c>
      <c r="T364" s="494">
        <v>2.227892205001154</v>
      </c>
      <c r="U364" s="494">
        <v>2.1858424358054074</v>
      </c>
      <c r="V364" s="494">
        <v>2.1452091319099247</v>
      </c>
      <c r="W364" s="494">
        <v>2.1023410603563937</v>
      </c>
      <c r="X364" s="494">
        <v>2.0550998389515631</v>
      </c>
      <c r="Y364" s="494">
        <v>2.0036500075706267</v>
      </c>
      <c r="Z364" s="494">
        <v>1.9500584163979129</v>
      </c>
      <c r="AA364" s="494">
        <v>1.8953230478302292</v>
      </c>
      <c r="AB364" s="494">
        <v>1.8398182081202994</v>
      </c>
      <c r="AC364" s="494">
        <v>1.7835931923541373</v>
      </c>
      <c r="AD364" s="494">
        <v>1.727451804768857</v>
      </c>
      <c r="AE364" s="494">
        <v>1.6720160783360267</v>
      </c>
      <c r="AF364" s="494">
        <v>1.6182567344430558</v>
      </c>
      <c r="AG364" s="494">
        <v>1.5665670569918755</v>
      </c>
      <c r="AH364" s="494">
        <v>1.5166001306193737</v>
      </c>
      <c r="AI364" s="494">
        <v>1.4682091902820513</v>
      </c>
      <c r="AJ364" s="494">
        <v>1.4213152076824942</v>
      </c>
      <c r="AK364" s="494">
        <v>1.3757923938907637</v>
      </c>
      <c r="AL364" s="494">
        <v>1.3314945843317973</v>
      </c>
      <c r="AM364" s="494">
        <v>1.2882738817161334</v>
      </c>
      <c r="AN364" s="494">
        <v>1.2459911381987396</v>
      </c>
      <c r="AO364" s="494">
        <v>1.2045216040872986</v>
      </c>
      <c r="AP364" s="494">
        <v>1.1637577924299458</v>
      </c>
      <c r="AQ364" s="494">
        <v>1.1236107544381728</v>
      </c>
      <c r="AR364" s="494">
        <v>1.0840104659930321</v>
      </c>
      <c r="AS364" s="494">
        <v>1.0449057349059681</v>
      </c>
      <c r="AT364" s="494">
        <v>1.0062638638197035</v>
      </c>
      <c r="AU364" s="494">
        <v>0.96807019616401147</v>
      </c>
      <c r="AV364" s="494">
        <v>0.93032760519042146</v>
      </c>
      <c r="AW364" s="494">
        <v>0.89305594296755575</v>
      </c>
      <c r="AX364" s="494">
        <v>0.8562914377671873</v>
      </c>
      <c r="AY364" s="494">
        <v>0.82008600862085979</v>
      </c>
      <c r="AZ364" s="494">
        <v>0.78450645163098931</v>
      </c>
      <c r="BA364" s="494">
        <v>0.74963344296799472</v>
      </c>
      <c r="BB364" s="494">
        <v>0.71556030064297693</v>
      </c>
      <c r="BC364" s="494">
        <v>0.6823914579851178</v>
      </c>
      <c r="BD364" s="494">
        <v>0.65024063937437349</v>
      </c>
      <c r="BE364" s="494">
        <v>0.61922881294972965</v>
      </c>
      <c r="BF364" s="494">
        <v>0.58948214836349599</v>
      </c>
      <c r="BG364" s="494">
        <v>0.56113044227302622</v>
      </c>
      <c r="BH364" s="494">
        <v>0.53430676149778866</v>
      </c>
      <c r="BI364" s="494">
        <v>0.53404684289755378</v>
      </c>
      <c r="DR364" s="495"/>
    </row>
    <row r="365" spans="1:122" s="494" customFormat="1" ht="15" x14ac:dyDescent="0.2">
      <c r="A365" s="494" t="s">
        <v>55</v>
      </c>
      <c r="B365" s="494">
        <v>1</v>
      </c>
      <c r="C365" s="494">
        <v>1.3377752997291634</v>
      </c>
      <c r="D365" s="494">
        <v>1.5759510775960159</v>
      </c>
      <c r="E365" s="494">
        <v>1.7956612491976556</v>
      </c>
      <c r="F365" s="494">
        <v>2.0086218790359478</v>
      </c>
      <c r="G365" s="494">
        <v>2.1987200634703039</v>
      </c>
      <c r="H365" s="494">
        <v>2.3633238965562815</v>
      </c>
      <c r="I365" s="494">
        <v>2.5100899183236529</v>
      </c>
      <c r="J365" s="494">
        <v>2.6397807109798617</v>
      </c>
      <c r="K365" s="494">
        <v>2.7561386269122101</v>
      </c>
      <c r="L365" s="494">
        <v>2.8646142946406128</v>
      </c>
      <c r="M365" s="494">
        <v>2.9727167391996487</v>
      </c>
      <c r="N365" s="494">
        <v>3.1038430964967199</v>
      </c>
      <c r="O365" s="494">
        <v>3.2142486712423914</v>
      </c>
      <c r="P365" s="494">
        <v>3.3118469354789219</v>
      </c>
      <c r="Q365" s="494">
        <v>3.4013114496485861</v>
      </c>
      <c r="R365" s="494">
        <v>3.4855061975186667</v>
      </c>
      <c r="S365" s="494">
        <v>3.5662708644007557</v>
      </c>
      <c r="T365" s="494">
        <v>3.6448536871320405</v>
      </c>
      <c r="U365" s="494">
        <v>3.7221550451138299</v>
      </c>
      <c r="V365" s="494">
        <v>3.7919768674372993</v>
      </c>
      <c r="W365" s="494">
        <v>3.8529035230481847</v>
      </c>
      <c r="X365" s="494">
        <v>3.9131371294030064</v>
      </c>
      <c r="Y365" s="494">
        <v>3.9694397457200035</v>
      </c>
      <c r="Z365" s="494">
        <v>4.0239793950691718</v>
      </c>
      <c r="AA365" s="494">
        <v>4.0781429780501606</v>
      </c>
      <c r="AB365" s="494">
        <v>4.1335944264535458</v>
      </c>
      <c r="AC365" s="494">
        <v>4.1917133642085247</v>
      </c>
      <c r="AD365" s="494">
        <v>4.2506611850876528</v>
      </c>
      <c r="AE365" s="494">
        <v>4.3097548899945863</v>
      </c>
      <c r="AF365" s="494">
        <v>4.3681894449448544</v>
      </c>
      <c r="AG365" s="494">
        <v>4.4254700310688797</v>
      </c>
      <c r="AH365" s="494">
        <v>4.481580324936691</v>
      </c>
      <c r="AI365" s="494">
        <v>4.5364935623672746</v>
      </c>
      <c r="AJ365" s="494">
        <v>4.5902018328290106</v>
      </c>
      <c r="AK365" s="494">
        <v>4.6427140576321335</v>
      </c>
      <c r="AL365" s="494">
        <v>4.6940399225608811</v>
      </c>
      <c r="AM365" s="494">
        <v>4.7441808024472643</v>
      </c>
      <c r="AN365" s="494">
        <v>4.7931249009092625</v>
      </c>
      <c r="AO365" s="494">
        <v>4.8408448371909234</v>
      </c>
      <c r="AP365" s="494">
        <v>4.8872967486077714</v>
      </c>
      <c r="AQ365" s="494">
        <v>4.9324204027865592</v>
      </c>
      <c r="AR365" s="494">
        <v>4.9761400242781608</v>
      </c>
      <c r="AS365" s="494">
        <v>5.0183656433227934</v>
      </c>
      <c r="AT365" s="494">
        <v>5.0589948239557128</v>
      </c>
      <c r="AU365" s="494">
        <v>5.0979146490416074</v>
      </c>
      <c r="AV365" s="494">
        <v>5.1350038407414864</v>
      </c>
      <c r="AW365" s="494">
        <v>5.1701348767418969</v>
      </c>
      <c r="AX365" s="494">
        <v>5.2031759189627085</v>
      </c>
      <c r="AY365" s="494">
        <v>5.2339922902833829</v>
      </c>
      <c r="AZ365" s="494">
        <v>5.2624470999443851</v>
      </c>
      <c r="BA365" s="494">
        <v>5.2884004150035313</v>
      </c>
      <c r="BB365" s="494">
        <v>5.3117061037997857</v>
      </c>
      <c r="BC365" s="494">
        <v>5.3322051798396011</v>
      </c>
      <c r="BD365" s="494">
        <v>5.3497142787487419</v>
      </c>
      <c r="BE365" s="494">
        <v>5.3640080758173543</v>
      </c>
      <c r="BF365" s="494">
        <v>5.3747954395417681</v>
      </c>
      <c r="BG365" s="494">
        <v>5.3816914519914301</v>
      </c>
      <c r="BH365" s="494">
        <v>5.3841913646919863</v>
      </c>
      <c r="BI365" s="494">
        <v>5.3815721736508992</v>
      </c>
      <c r="DR365" s="495"/>
    </row>
    <row r="366" spans="1:122" s="494" customFormat="1" ht="15" x14ac:dyDescent="0.2">
      <c r="A366" s="494" t="s">
        <v>56</v>
      </c>
      <c r="B366" s="494">
        <v>1</v>
      </c>
      <c r="C366" s="494">
        <v>0.97437611027415039</v>
      </c>
      <c r="D366" s="494">
        <v>0.96417576702764873</v>
      </c>
      <c r="E366" s="494">
        <v>0.94241950956831599</v>
      </c>
      <c r="F366" s="494">
        <v>0.91871966784604908</v>
      </c>
      <c r="G366" s="494">
        <v>0.88703214140547071</v>
      </c>
      <c r="H366" s="494">
        <v>0.85186503203439345</v>
      </c>
      <c r="I366" s="494">
        <v>0.81750996108624474</v>
      </c>
      <c r="J366" s="494">
        <v>0.78476065948791862</v>
      </c>
      <c r="K366" s="494">
        <v>0.76470040966621955</v>
      </c>
      <c r="L366" s="494">
        <v>0.75012074314413835</v>
      </c>
      <c r="M366" s="494">
        <v>0.71808686580627867</v>
      </c>
      <c r="N366" s="494">
        <v>0.71230146983808151</v>
      </c>
      <c r="O366" s="494">
        <v>0.70142538148418654</v>
      </c>
      <c r="P366" s="494">
        <v>0.68923459397743525</v>
      </c>
      <c r="Q366" s="494">
        <v>0.67752491897169786</v>
      </c>
      <c r="R366" s="494">
        <v>0.66710969025292211</v>
      </c>
      <c r="S366" s="494">
        <v>0.65831828375930335</v>
      </c>
      <c r="T366" s="494">
        <v>0.65124638692416303</v>
      </c>
      <c r="U366" s="494">
        <v>0.64588176718638912</v>
      </c>
      <c r="V366" s="494">
        <v>0.64116069942125842</v>
      </c>
      <c r="W366" s="494">
        <v>0.63667193231218633</v>
      </c>
      <c r="X366" s="494">
        <v>0.63347993521382495</v>
      </c>
      <c r="Y366" s="494">
        <v>0.63100543298291389</v>
      </c>
      <c r="Z366" s="494">
        <v>0.62952712339597405</v>
      </c>
      <c r="AA366" s="494">
        <v>0.62916578532721879</v>
      </c>
      <c r="AB366" s="494">
        <v>0.62982068876087405</v>
      </c>
      <c r="AC366" s="494">
        <v>0.631778629906939</v>
      </c>
      <c r="AD366" s="494">
        <v>0.63456139961701885</v>
      </c>
      <c r="AE366" s="494">
        <v>0.63805883569112343</v>
      </c>
      <c r="AF366" s="494">
        <v>0.64209075540647298</v>
      </c>
      <c r="AG366" s="494">
        <v>0.64659880306131567</v>
      </c>
      <c r="AH366" s="494">
        <v>0.65163015161421267</v>
      </c>
      <c r="AI366" s="494">
        <v>0.65713867026201733</v>
      </c>
      <c r="AJ366" s="494">
        <v>0.66308844432327052</v>
      </c>
      <c r="AK366" s="494">
        <v>0.66945063181519571</v>
      </c>
      <c r="AL366" s="494">
        <v>0.67620000923056045</v>
      </c>
      <c r="AM366" s="494">
        <v>0.68331324388356751</v>
      </c>
      <c r="AN366" s="494">
        <v>0.69076800250204917</v>
      </c>
      <c r="AO366" s="494">
        <v>0.69854244996153725</v>
      </c>
      <c r="AP366" s="494">
        <v>0.7066149415104841</v>
      </c>
      <c r="AQ366" s="494">
        <v>0.71496382512568946</v>
      </c>
      <c r="AR366" s="494">
        <v>0.72356731929504958</v>
      </c>
      <c r="AS366" s="494">
        <v>0.73240345080437852</v>
      </c>
      <c r="AT366" s="494">
        <v>0.74145004340070897</v>
      </c>
      <c r="AU366" s="494">
        <v>0.75068474874764879</v>
      </c>
      <c r="AV366" s="494">
        <v>0.76008510862881629</v>
      </c>
      <c r="AW366" s="494">
        <v>0.76962863229648104</v>
      </c>
      <c r="AX366" s="494">
        <v>0.7792928641361565</v>
      </c>
      <c r="AY366" s="494">
        <v>0.78905540220568227</v>
      </c>
      <c r="AZ366" s="494">
        <v>0.79889380460667891</v>
      </c>
      <c r="BA366" s="494">
        <v>0.8087852848332826</v>
      </c>
      <c r="BB366" s="494">
        <v>0.81870604789507906</v>
      </c>
      <c r="BC366" s="494">
        <v>0.82863006102130365</v>
      </c>
      <c r="BD366" s="494">
        <v>0.8385270047731801</v>
      </c>
      <c r="BE366" s="494">
        <v>0.84835915517331995</v>
      </c>
      <c r="BF366" s="494">
        <v>0.85807708014884299</v>
      </c>
      <c r="BG366" s="494">
        <v>0.8676143932425564</v>
      </c>
      <c r="BH366" s="494">
        <v>0.87688246084503951</v>
      </c>
      <c r="BI366" s="494">
        <v>0.87645589304126625</v>
      </c>
      <c r="DR366" s="495"/>
    </row>
    <row r="367" spans="1:122" s="494" customFormat="1" ht="15" x14ac:dyDescent="0.2">
      <c r="A367" s="494" t="s">
        <v>57</v>
      </c>
      <c r="B367" s="494">
        <v>1</v>
      </c>
      <c r="C367" s="494">
        <v>1.1129457373471265</v>
      </c>
      <c r="D367" s="494">
        <v>1.3396234579852531</v>
      </c>
      <c r="E367" s="494">
        <v>1.5631621537064813</v>
      </c>
      <c r="F367" s="494">
        <v>1.8082999666930517</v>
      </c>
      <c r="G367" s="494">
        <v>2.0320008328189778</v>
      </c>
      <c r="H367" s="494">
        <v>2.2098159581214243</v>
      </c>
      <c r="I367" s="494">
        <v>2.3705918985308609</v>
      </c>
      <c r="J367" s="494">
        <v>2.5140834314317098</v>
      </c>
      <c r="K367" s="494">
        <v>2.6863922128206386</v>
      </c>
      <c r="L367" s="494">
        <v>2.8455502582269414</v>
      </c>
      <c r="M367" s="494">
        <v>2.9827270299098809</v>
      </c>
      <c r="N367" s="494">
        <v>3.103752321992185</v>
      </c>
      <c r="O367" s="494">
        <v>3.2065369696669141</v>
      </c>
      <c r="P367" s="494">
        <v>3.2958275281885161</v>
      </c>
      <c r="Q367" s="494">
        <v>3.3746922041869243</v>
      </c>
      <c r="R367" s="494">
        <v>3.4452296424009021</v>
      </c>
      <c r="S367" s="494">
        <v>3.5089674785873197</v>
      </c>
      <c r="T367" s="494">
        <v>3.5670858839323776</v>
      </c>
      <c r="U367" s="494">
        <v>3.6205487643758367</v>
      </c>
      <c r="V367" s="494">
        <v>3.6631380583806026</v>
      </c>
      <c r="W367" s="494">
        <v>3.6935265046675307</v>
      </c>
      <c r="X367" s="494">
        <v>3.7033876863842621</v>
      </c>
      <c r="Y367" s="494">
        <v>3.7137565508530312</v>
      </c>
      <c r="Z367" s="494">
        <v>3.7236867793289461</v>
      </c>
      <c r="AA367" s="494">
        <v>3.7330165566407945</v>
      </c>
      <c r="AB367" s="494">
        <v>3.7456000354137862</v>
      </c>
      <c r="AC367" s="494">
        <v>3.7606373380957421</v>
      </c>
      <c r="AD367" s="494">
        <v>3.7782443937821202</v>
      </c>
      <c r="AE367" s="494">
        <v>3.7973708450191586</v>
      </c>
      <c r="AF367" s="494">
        <v>3.8169299558673226</v>
      </c>
      <c r="AG367" s="494">
        <v>3.836407191248429</v>
      </c>
      <c r="AH367" s="494">
        <v>3.8556316197701617</v>
      </c>
      <c r="AI367" s="494">
        <v>3.8742280812001524</v>
      </c>
      <c r="AJ367" s="494">
        <v>3.8920174203525493</v>
      </c>
      <c r="AK367" s="494">
        <v>3.9088976106612869</v>
      </c>
      <c r="AL367" s="494">
        <v>3.9248115095962501</v>
      </c>
      <c r="AM367" s="494">
        <v>3.9397261674540571</v>
      </c>
      <c r="AN367" s="494">
        <v>3.953619328598716</v>
      </c>
      <c r="AO367" s="494">
        <v>3.9664708457402567</v>
      </c>
      <c r="AP367" s="494">
        <v>3.9782574605050294</v>
      </c>
      <c r="AQ367" s="494">
        <v>3.9889498976249436</v>
      </c>
      <c r="AR367" s="494">
        <v>3.998511552913774</v>
      </c>
      <c r="AS367" s="494">
        <v>4.0068982768148862</v>
      </c>
      <c r="AT367" s="494">
        <v>4.0140589008487702</v>
      </c>
      <c r="AU367" s="494">
        <v>4.0199362472985083</v>
      </c>
      <c r="AV367" s="494">
        <v>4.0244684174215708</v>
      </c>
      <c r="AW367" s="494">
        <v>4.0275901774715859</v>
      </c>
      <c r="AX367" s="494">
        <v>4.0292342556207945</v>
      </c>
      <c r="AY367" s="494">
        <v>4.0293323217881252</v>
      </c>
      <c r="AZ367" s="494">
        <v>4.0278153380137667</v>
      </c>
      <c r="BA367" s="494">
        <v>4.0246128318845074</v>
      </c>
      <c r="BB367" s="494">
        <v>4.0196504632827272</v>
      </c>
      <c r="BC367" s="494">
        <v>4.0128450598304237</v>
      </c>
      <c r="BD367" s="494">
        <v>4.0040961850571355</v>
      </c>
      <c r="BE367" s="494">
        <v>3.9932734708488535</v>
      </c>
      <c r="BF367" s="494">
        <v>3.9801997046855582</v>
      </c>
      <c r="BG367" s="494">
        <v>3.9646313760181049</v>
      </c>
      <c r="BH367" s="494">
        <v>3.9462411949457734</v>
      </c>
      <c r="BI367" s="494">
        <v>3.9443215084257974</v>
      </c>
      <c r="DR367" s="495"/>
    </row>
    <row r="368" spans="1:122" s="494" customFormat="1" ht="15" x14ac:dyDescent="0.2">
      <c r="A368" s="494" t="s">
        <v>58</v>
      </c>
      <c r="B368" s="494">
        <v>1</v>
      </c>
      <c r="C368" s="494">
        <v>0.99483707836846313</v>
      </c>
      <c r="D368" s="494">
        <v>1.0279462657731304</v>
      </c>
      <c r="E368" s="494">
        <v>1.0497525428344607</v>
      </c>
      <c r="F368" s="494">
        <v>1.0585365496262442</v>
      </c>
      <c r="G368" s="494">
        <v>1.0563507670841847</v>
      </c>
      <c r="H368" s="494">
        <v>1.0500566894815164</v>
      </c>
      <c r="I368" s="494">
        <v>1.0400325661667342</v>
      </c>
      <c r="J368" s="494">
        <v>1.027606911492454</v>
      </c>
      <c r="K368" s="494">
        <v>1.014060831249479</v>
      </c>
      <c r="L368" s="494">
        <v>1.0050405656009076</v>
      </c>
      <c r="M368" s="494">
        <v>0.9855143399209928</v>
      </c>
      <c r="N368" s="494">
        <v>0.99681836692011927</v>
      </c>
      <c r="O368" s="494">
        <v>1.0001046134854217</v>
      </c>
      <c r="P368" s="494">
        <v>1.0002361761514176</v>
      </c>
      <c r="Q368" s="494">
        <v>0.999714623219917</v>
      </c>
      <c r="R368" s="494">
        <v>0.99981664461518238</v>
      </c>
      <c r="S368" s="494">
        <v>1.0011862663237132</v>
      </c>
      <c r="T368" s="494">
        <v>1.0041415785166972</v>
      </c>
      <c r="U368" s="494">
        <v>1.0088345053039098</v>
      </c>
      <c r="V368" s="494">
        <v>1.0141464297433331</v>
      </c>
      <c r="W368" s="494">
        <v>1.0193683197901979</v>
      </c>
      <c r="X368" s="494">
        <v>1.0258053753150365</v>
      </c>
      <c r="Y368" s="494">
        <v>1.0327288934138676</v>
      </c>
      <c r="Z368" s="494">
        <v>1.0407318856241727</v>
      </c>
      <c r="AA368" s="494">
        <v>1.050090190563765</v>
      </c>
      <c r="AB368" s="494">
        <v>1.0604621348537338</v>
      </c>
      <c r="AC368" s="494">
        <v>1.0713863963034178</v>
      </c>
      <c r="AD368" s="494">
        <v>1.0826524454002004</v>
      </c>
      <c r="AE368" s="494">
        <v>1.0943287419454446</v>
      </c>
      <c r="AF368" s="494">
        <v>1.1066551553688626</v>
      </c>
      <c r="AG368" s="494">
        <v>1.1195365103928747</v>
      </c>
      <c r="AH368" s="494">
        <v>1.1327574976143069</v>
      </c>
      <c r="AI368" s="494">
        <v>1.1464566737656854</v>
      </c>
      <c r="AJ368" s="494">
        <v>1.1607037884916414</v>
      </c>
      <c r="AK368" s="494">
        <v>1.1755324364131396</v>
      </c>
      <c r="AL368" s="494">
        <v>1.1909525959356428</v>
      </c>
      <c r="AM368" s="494">
        <v>1.2069587801010662</v>
      </c>
      <c r="AN368" s="494">
        <v>1.2235353214041578</v>
      </c>
      <c r="AO368" s="494">
        <v>1.2406597451613921</v>
      </c>
      <c r="AP368" s="494">
        <v>1.2583049001149396</v>
      </c>
      <c r="AQ368" s="494">
        <v>1.2764403039522667</v>
      </c>
      <c r="AR368" s="494">
        <v>1.295033009016072</v>
      </c>
      <c r="AS368" s="494">
        <v>1.3140481865892628</v>
      </c>
      <c r="AT368" s="494">
        <v>1.3334495544559382</v>
      </c>
      <c r="AU368" s="494">
        <v>1.3531997215198761</v>
      </c>
      <c r="AV368" s="494">
        <v>1.373260486613914</v>
      </c>
      <c r="AW368" s="494">
        <v>1.3935930991227665</v>
      </c>
      <c r="AX368" s="494">
        <v>1.414158460034572</v>
      </c>
      <c r="AY368" s="494">
        <v>1.4349172066046678</v>
      </c>
      <c r="AZ368" s="494">
        <v>1.4558295744223702</v>
      </c>
      <c r="BA368" s="494">
        <v>1.4768548600994837</v>
      </c>
      <c r="BB368" s="494">
        <v>1.4979502125986701</v>
      </c>
      <c r="BC368" s="494">
        <v>1.5190683695582512</v>
      </c>
      <c r="BD368" s="494">
        <v>1.5401538606566492</v>
      </c>
      <c r="BE368" s="494">
        <v>1.561137202065322</v>
      </c>
      <c r="BF368" s="494">
        <v>1.5819268446499246</v>
      </c>
      <c r="BG368" s="494">
        <v>1.6023993008759938</v>
      </c>
      <c r="BH368" s="494">
        <v>1.6223890917220429</v>
      </c>
      <c r="BI368" s="494">
        <v>1.6215998651351016</v>
      </c>
      <c r="DR368" s="495"/>
    </row>
    <row r="369" spans="1:122" s="494" customFormat="1" ht="15" x14ac:dyDescent="0.2">
      <c r="A369" s="494" t="s">
        <v>114</v>
      </c>
      <c r="B369" s="494">
        <v>1</v>
      </c>
      <c r="C369" s="494">
        <v>0.795320063483824</v>
      </c>
      <c r="D369" s="494">
        <v>0.70840624245348149</v>
      </c>
      <c r="E369" s="494">
        <v>0.63231265688742533</v>
      </c>
      <c r="F369" s="494">
        <v>0.56432283162813401</v>
      </c>
      <c r="G369" s="494">
        <v>0.50653557032307595</v>
      </c>
      <c r="H369" s="494">
        <v>0.45701758000804887</v>
      </c>
      <c r="I369" s="494">
        <v>0.41461926959542617</v>
      </c>
      <c r="J369" s="494">
        <v>0.37843850766571496</v>
      </c>
      <c r="K369" s="494">
        <v>0.34440795539974695</v>
      </c>
      <c r="L369" s="494">
        <v>0.3165453662759441</v>
      </c>
      <c r="M369" s="494">
        <v>0.29192795228264784</v>
      </c>
      <c r="N369" s="494">
        <v>0.27939313509815278</v>
      </c>
      <c r="O369" s="494">
        <v>0.26606269593333171</v>
      </c>
      <c r="P369" s="494">
        <v>0.25341037514211728</v>
      </c>
      <c r="Q369" s="494">
        <v>0.24198070546604991</v>
      </c>
      <c r="R369" s="494">
        <v>0.23190598094958456</v>
      </c>
      <c r="S369" s="494">
        <v>0.22314222999552633</v>
      </c>
      <c r="T369" s="494">
        <v>0.21557846157954191</v>
      </c>
      <c r="U369" s="494">
        <v>0.20908613863971526</v>
      </c>
      <c r="V369" s="494">
        <v>0.20387497205374289</v>
      </c>
      <c r="W369" s="494">
        <v>0.19940534779005215</v>
      </c>
      <c r="X369" s="494">
        <v>0.19515441292969898</v>
      </c>
      <c r="Y369" s="494">
        <v>0.19111934991606339</v>
      </c>
      <c r="Z369" s="494">
        <v>0.18745819011253481</v>
      </c>
      <c r="AA369" s="494">
        <v>0.18422173581395962</v>
      </c>
      <c r="AB369" s="494">
        <v>0.18138273762254342</v>
      </c>
      <c r="AC369" s="494">
        <v>0.17890100283891588</v>
      </c>
      <c r="AD369" s="494">
        <v>0.17671641450058909</v>
      </c>
      <c r="AE369" s="494">
        <v>0.17480758256383316</v>
      </c>
      <c r="AF369" s="494">
        <v>0.17318241014637781</v>
      </c>
      <c r="AG369" s="494">
        <v>0.17181006308565416</v>
      </c>
      <c r="AH369" s="494">
        <v>0.1706362431490186</v>
      </c>
      <c r="AI369" s="494">
        <v>0.16964818793928546</v>
      </c>
      <c r="AJ369" s="494">
        <v>0.16883225749806449</v>
      </c>
      <c r="AK369" s="494">
        <v>0.16817275632050557</v>
      </c>
      <c r="AL369" s="494">
        <v>0.16765333488180542</v>
      </c>
      <c r="AM369" s="494">
        <v>0.1672577999169729</v>
      </c>
      <c r="AN369" s="494">
        <v>0.1669705398090614</v>
      </c>
      <c r="AO369" s="494">
        <v>0.16677672151737424</v>
      </c>
      <c r="AP369" s="494">
        <v>0.16666235728683529</v>
      </c>
      <c r="AQ369" s="494">
        <v>0.16661430169621913</v>
      </c>
      <c r="AR369" s="494">
        <v>0.16662021551849482</v>
      </c>
      <c r="AS369" s="494">
        <v>0.16666851762540213</v>
      </c>
      <c r="AT369" s="494">
        <v>0.16674833656914076</v>
      </c>
      <c r="AU369" s="494">
        <v>0.16684946737607126</v>
      </c>
      <c r="AV369" s="494">
        <v>0.16696233504509897</v>
      </c>
      <c r="AW369" s="494">
        <v>0.16707796322736324</v>
      </c>
      <c r="AX369" s="494">
        <v>0.16718794375402632</v>
      </c>
      <c r="AY369" s="494">
        <v>0.16728439932991657</v>
      </c>
      <c r="AZ369" s="494">
        <v>0.16735992710990816</v>
      </c>
      <c r="BA369" s="494">
        <v>0.16740750445525951</v>
      </c>
      <c r="BB369" s="494">
        <v>0.16742032988649619</v>
      </c>
      <c r="BC369" s="494">
        <v>0.16739156338460928</v>
      </c>
      <c r="BD369" s="494">
        <v>0.1673139246497729</v>
      </c>
      <c r="BE369" s="494">
        <v>0.16717911386901693</v>
      </c>
      <c r="BF369" s="494">
        <v>0.16697705028985144</v>
      </c>
      <c r="BG369" s="494">
        <v>0.16669499533607601</v>
      </c>
      <c r="BH369" s="494">
        <v>0.16631674620607881</v>
      </c>
      <c r="BI369" s="494">
        <v>0.16623583984481863</v>
      </c>
      <c r="DR369" s="495"/>
    </row>
    <row r="370" spans="1:122" s="494" customFormat="1" ht="15" x14ac:dyDescent="0.2">
      <c r="A370" s="494" t="s">
        <v>224</v>
      </c>
      <c r="B370" s="494">
        <v>1</v>
      </c>
      <c r="C370" s="494">
        <v>0.90372264719375373</v>
      </c>
      <c r="D370" s="494">
        <v>1.0830157822625215</v>
      </c>
      <c r="E370" s="494">
        <v>1.2616856905611531</v>
      </c>
      <c r="F370" s="494">
        <v>1.4412587232259273</v>
      </c>
      <c r="G370" s="494">
        <v>1.6065716752843129</v>
      </c>
      <c r="H370" s="494">
        <v>1.7528408901608628</v>
      </c>
      <c r="I370" s="494">
        <v>1.8869433813509318</v>
      </c>
      <c r="J370" s="494">
        <v>2.0086042824987151</v>
      </c>
      <c r="K370" s="494">
        <v>2.1291353493123335</v>
      </c>
      <c r="L370" s="494">
        <v>2.2334144108242588</v>
      </c>
      <c r="M370" s="494">
        <v>2.3804995748030624</v>
      </c>
      <c r="N370" s="494">
        <v>2.4772240576344946</v>
      </c>
      <c r="O370" s="494">
        <v>2.5658728039592202</v>
      </c>
      <c r="P370" s="494">
        <v>2.6471255834922238</v>
      </c>
      <c r="Q370" s="494">
        <v>2.7214863609766686</v>
      </c>
      <c r="R370" s="494">
        <v>2.7893008643942259</v>
      </c>
      <c r="S370" s="494">
        <v>2.8507738130324976</v>
      </c>
      <c r="T370" s="494">
        <v>2.9059863050482981</v>
      </c>
      <c r="U370" s="494">
        <v>2.9549158952147003</v>
      </c>
      <c r="V370" s="494">
        <v>2.9926201836784876</v>
      </c>
      <c r="W370" s="494">
        <v>3.0170195008937157</v>
      </c>
      <c r="X370" s="494">
        <v>3.0331117005097363</v>
      </c>
      <c r="Y370" s="494">
        <v>3.0381372745862807</v>
      </c>
      <c r="Z370" s="494">
        <v>3.0334209299997421</v>
      </c>
      <c r="AA370" s="494">
        <v>3.0195945872267833</v>
      </c>
      <c r="AB370" s="494">
        <v>2.9958052724037918</v>
      </c>
      <c r="AC370" s="494">
        <v>2.9671411178497502</v>
      </c>
      <c r="AD370" s="494">
        <v>2.9310875802377629</v>
      </c>
      <c r="AE370" s="494">
        <v>2.8880747322472016</v>
      </c>
      <c r="AF370" s="494">
        <v>2.8383965626025325</v>
      </c>
      <c r="AG370" s="494">
        <v>2.7828718603856455</v>
      </c>
      <c r="AH370" s="494">
        <v>2.7224449961805517</v>
      </c>
      <c r="AI370" s="494">
        <v>2.6574225998324938</v>
      </c>
      <c r="AJ370" s="494">
        <v>2.5881645599865708</v>
      </c>
      <c r="AK370" s="494">
        <v>2.5149933452771416</v>
      </c>
      <c r="AL370" s="494">
        <v>2.4381970590682451</v>
      </c>
      <c r="AM370" s="494">
        <v>2.3580390393919282</v>
      </c>
      <c r="AN370" s="494">
        <v>2.2747686648188656</v>
      </c>
      <c r="AO370" s="494">
        <v>2.1886318255357655</v>
      </c>
      <c r="AP370" s="494">
        <v>2.0998805338276032</v>
      </c>
      <c r="AQ370" s="494">
        <v>2.0087816110714232</v>
      </c>
      <c r="AR370" s="494">
        <v>1.9156245977053834</v>
      </c>
      <c r="AS370" s="494">
        <v>1.8207291173534152</v>
      </c>
      <c r="AT370" s="494">
        <v>1.7244519450588824</v>
      </c>
      <c r="AU370" s="494">
        <v>1.6271940048150384</v>
      </c>
      <c r="AV370" s="494">
        <v>1.5294074563543931</v>
      </c>
      <c r="AW370" s="494">
        <v>1.4316029190006538</v>
      </c>
      <c r="AX370" s="494">
        <v>1.3343567133435359</v>
      </c>
      <c r="AY370" s="494">
        <v>1.2383177803273977</v>
      </c>
      <c r="AZ370" s="494">
        <v>1.1442136868891013</v>
      </c>
      <c r="BA370" s="494">
        <v>1.0528549192260441</v>
      </c>
      <c r="BB370" s="494">
        <v>0.96513664807365374</v>
      </c>
      <c r="BC370" s="494">
        <v>0.88203758564427681</v>
      </c>
      <c r="BD370" s="494">
        <v>0.80461684269892941</v>
      </c>
      <c r="BE370" s="494">
        <v>0.73401239150702025</v>
      </c>
      <c r="BF370" s="494">
        <v>0.67144954996924211</v>
      </c>
      <c r="BG370" s="494">
        <v>0.61827570081001493</v>
      </c>
      <c r="BH370" s="494">
        <v>0.57604948900815112</v>
      </c>
      <c r="BI370" s="494">
        <v>0.57576926426154806</v>
      </c>
      <c r="DR370" s="495"/>
    </row>
    <row r="374" spans="1:122" s="146" customFormat="1" x14ac:dyDescent="0.15">
      <c r="A374" s="171" t="s">
        <v>1077</v>
      </c>
      <c r="B374" s="150">
        <f>+B37</f>
        <v>2015</v>
      </c>
      <c r="C374" s="150">
        <f t="shared" ref="C374:AF374" si="118">+C37</f>
        <v>2025</v>
      </c>
      <c r="D374" s="150">
        <f t="shared" si="118"/>
        <v>2035</v>
      </c>
      <c r="E374" s="150">
        <f t="shared" si="118"/>
        <v>2045</v>
      </c>
      <c r="F374" s="150">
        <f t="shared" si="118"/>
        <v>2055</v>
      </c>
      <c r="G374" s="150">
        <f t="shared" si="118"/>
        <v>2065</v>
      </c>
      <c r="H374" s="150">
        <f t="shared" si="118"/>
        <v>2075</v>
      </c>
      <c r="I374" s="150">
        <f t="shared" si="118"/>
        <v>2085</v>
      </c>
      <c r="J374" s="150">
        <f t="shared" si="118"/>
        <v>2095</v>
      </c>
      <c r="K374" s="150">
        <f t="shared" si="118"/>
        <v>2105</v>
      </c>
      <c r="L374" s="150">
        <f t="shared" si="118"/>
        <v>2115</v>
      </c>
      <c r="M374" s="150">
        <f t="shared" si="118"/>
        <v>2125</v>
      </c>
      <c r="N374" s="150">
        <f t="shared" si="118"/>
        <v>2135</v>
      </c>
      <c r="O374" s="150">
        <f t="shared" si="118"/>
        <v>2145</v>
      </c>
      <c r="P374" s="150">
        <f t="shared" si="118"/>
        <v>2155</v>
      </c>
      <c r="Q374" s="150">
        <f t="shared" si="118"/>
        <v>2165</v>
      </c>
      <c r="R374" s="150">
        <f t="shared" si="118"/>
        <v>2175</v>
      </c>
      <c r="S374" s="150">
        <f t="shared" si="118"/>
        <v>2185</v>
      </c>
      <c r="T374" s="150">
        <f t="shared" si="118"/>
        <v>2195</v>
      </c>
      <c r="U374" s="150">
        <f t="shared" si="118"/>
        <v>2205</v>
      </c>
      <c r="V374" s="150">
        <f t="shared" si="118"/>
        <v>2215</v>
      </c>
      <c r="W374" s="150">
        <f t="shared" si="118"/>
        <v>2225</v>
      </c>
      <c r="X374" s="150">
        <f t="shared" si="118"/>
        <v>2235</v>
      </c>
      <c r="Y374" s="150">
        <f t="shared" si="118"/>
        <v>2245</v>
      </c>
      <c r="Z374" s="150">
        <f t="shared" si="118"/>
        <v>2255</v>
      </c>
      <c r="AA374" s="150">
        <f t="shared" si="118"/>
        <v>2265</v>
      </c>
      <c r="AB374" s="150">
        <f t="shared" si="118"/>
        <v>2275</v>
      </c>
      <c r="AC374" s="150">
        <f t="shared" si="118"/>
        <v>2285</v>
      </c>
      <c r="AD374" s="150">
        <f t="shared" si="118"/>
        <v>2295</v>
      </c>
      <c r="AE374" s="150">
        <f t="shared" si="118"/>
        <v>2305</v>
      </c>
      <c r="AF374" s="150">
        <f t="shared" si="118"/>
        <v>0</v>
      </c>
    </row>
    <row r="375" spans="1:122" s="521" customFormat="1" x14ac:dyDescent="0.15">
      <c r="A375" s="521" t="s">
        <v>104</v>
      </c>
      <c r="B375" s="521">
        <v>9.3279313555020352E-3</v>
      </c>
      <c r="C375" s="521">
        <v>7.6456914107725076E-3</v>
      </c>
      <c r="D375" s="521">
        <v>5.7596483440908825E-3</v>
      </c>
      <c r="E375" s="521">
        <v>4.3177913415189213E-3</v>
      </c>
      <c r="F375" s="521">
        <v>2.4627299464364846E-3</v>
      </c>
      <c r="G375" s="521">
        <v>1.3456354717457325E-3</v>
      </c>
      <c r="H375" s="521">
        <v>1.3456354717457325E-3</v>
      </c>
      <c r="I375" s="521">
        <v>1.3456354717457325E-3</v>
      </c>
      <c r="J375" s="521">
        <v>1.3456354717457325E-3</v>
      </c>
      <c r="K375" s="521">
        <v>1.0349976295224235E-3</v>
      </c>
      <c r="L375" s="521">
        <v>7.2435978729911473E-4</v>
      </c>
      <c r="M375" s="521">
        <v>7.2435978729911473E-4</v>
      </c>
      <c r="N375" s="521">
        <v>7.2435978729911473E-4</v>
      </c>
      <c r="O375" s="521">
        <v>7.2435978729911473E-4</v>
      </c>
      <c r="P375" s="521">
        <v>7.2435978729911473E-4</v>
      </c>
      <c r="Q375" s="521">
        <v>7.2435978729911473E-4</v>
      </c>
      <c r="R375" s="521">
        <v>7.2435978729911473E-4</v>
      </c>
      <c r="S375" s="521">
        <v>7.2435978729911473E-4</v>
      </c>
      <c r="T375" s="521">
        <v>7.2435978729911473E-4</v>
      </c>
      <c r="U375" s="521">
        <v>6.0103040758818316E-4</v>
      </c>
      <c r="V375" s="521">
        <v>4.7770102787725164E-4</v>
      </c>
      <c r="W375" s="521">
        <v>4.7770102787725164E-4</v>
      </c>
      <c r="X375" s="521">
        <v>4.7770102787725164E-4</v>
      </c>
      <c r="Y375" s="521">
        <v>4.7770102787725164E-4</v>
      </c>
      <c r="Z375" s="521">
        <v>4.7770102787725164E-4</v>
      </c>
      <c r="AA375" s="521">
        <v>4.7770102787725164E-4</v>
      </c>
      <c r="AB375" s="521">
        <v>4.7770102787725164E-4</v>
      </c>
      <c r="AC375" s="521">
        <v>4.7770102787725164E-4</v>
      </c>
      <c r="AD375" s="521">
        <v>4.7770102787725164E-4</v>
      </c>
      <c r="AE375" s="521">
        <v>2.3885051393862582E-4</v>
      </c>
    </row>
    <row r="376" spans="1:122" s="521" customFormat="1" x14ac:dyDescent="0.15">
      <c r="A376" s="521" t="s">
        <v>31</v>
      </c>
      <c r="B376" s="521">
        <v>4.345714857604566E-3</v>
      </c>
      <c r="C376" s="521">
        <v>2.3580395709591803E-3</v>
      </c>
      <c r="D376" s="521">
        <v>9.6646885779169776E-4</v>
      </c>
      <c r="E376" s="521">
        <v>-1.0403662089125842E-6</v>
      </c>
      <c r="F376" s="521">
        <v>-1.5505729685358206E-3</v>
      </c>
      <c r="G376" s="521">
        <v>-2.3819981331415466E-3</v>
      </c>
      <c r="H376" s="521">
        <v>-2.3819981331415466E-3</v>
      </c>
      <c r="I376" s="521">
        <v>-2.3819981331415466E-3</v>
      </c>
      <c r="J376" s="521">
        <v>-2.3819981331415466E-3</v>
      </c>
      <c r="K376" s="521">
        <v>-9.7103792999540871E-4</v>
      </c>
      <c r="L376" s="521">
        <v>4.3992227315072885E-4</v>
      </c>
      <c r="M376" s="521">
        <v>4.3992227315072885E-4</v>
      </c>
      <c r="N376" s="521">
        <v>4.3992227315072885E-4</v>
      </c>
      <c r="O376" s="521">
        <v>4.3992227315072885E-4</v>
      </c>
      <c r="P376" s="521">
        <v>4.3992227315072885E-4</v>
      </c>
      <c r="Q376" s="521">
        <v>4.3992227315072885E-4</v>
      </c>
      <c r="R376" s="521">
        <v>4.3992227315072885E-4</v>
      </c>
      <c r="S376" s="521">
        <v>4.3992227315072885E-4</v>
      </c>
      <c r="T376" s="521">
        <v>4.3992227315072885E-4</v>
      </c>
      <c r="U376" s="521">
        <v>5.3392836847632999E-4</v>
      </c>
      <c r="V376" s="521">
        <v>6.2793446380193113E-4</v>
      </c>
      <c r="W376" s="521">
        <v>6.2793446380193113E-4</v>
      </c>
      <c r="X376" s="521">
        <v>6.2793446380193113E-4</v>
      </c>
      <c r="Y376" s="521">
        <v>6.2793446380193113E-4</v>
      </c>
      <c r="Z376" s="521">
        <v>6.2793446380193113E-4</v>
      </c>
      <c r="AA376" s="521">
        <v>6.2793446380193113E-4</v>
      </c>
      <c r="AB376" s="521">
        <v>6.2793446380193113E-4</v>
      </c>
      <c r="AC376" s="521">
        <v>6.2793446380193113E-4</v>
      </c>
      <c r="AD376" s="521">
        <v>6.2793446380193113E-4</v>
      </c>
      <c r="AE376" s="521">
        <v>3.1396723190096556E-4</v>
      </c>
    </row>
    <row r="377" spans="1:122" s="521" customFormat="1" x14ac:dyDescent="0.15">
      <c r="A377" s="521" t="s">
        <v>51</v>
      </c>
      <c r="B377" s="521">
        <v>-1.3094485000426947E-3</v>
      </c>
      <c r="C377" s="521">
        <v>-4.054346277486051E-3</v>
      </c>
      <c r="D377" s="521">
        <v>-6.0224740689090502E-3</v>
      </c>
      <c r="E377" s="521">
        <v>-7.2870345305459036E-3</v>
      </c>
      <c r="F377" s="521">
        <v>-5.9300060291662213E-3</v>
      </c>
      <c r="G377" s="521">
        <v>-3.9881769488259652E-3</v>
      </c>
      <c r="H377" s="521">
        <v>-3.9881769488259652E-3</v>
      </c>
      <c r="I377" s="521">
        <v>-3.9881769488259652E-3</v>
      </c>
      <c r="J377" s="521">
        <v>-3.9881769488259652E-3</v>
      </c>
      <c r="K377" s="521">
        <v>-1.7413351781274886E-3</v>
      </c>
      <c r="L377" s="521">
        <v>5.0550659257098812E-4</v>
      </c>
      <c r="M377" s="521">
        <v>5.0550659257098812E-4</v>
      </c>
      <c r="N377" s="521">
        <v>5.0550659257098812E-4</v>
      </c>
      <c r="O377" s="521">
        <v>5.0550659257098812E-4</v>
      </c>
      <c r="P377" s="521">
        <v>5.0550659257098812E-4</v>
      </c>
      <c r="Q377" s="521">
        <v>5.0550659257098812E-4</v>
      </c>
      <c r="R377" s="521">
        <v>5.0550659257098812E-4</v>
      </c>
      <c r="S377" s="521">
        <v>5.0550659257098812E-4</v>
      </c>
      <c r="T377" s="521">
        <v>5.0550659257098812E-4</v>
      </c>
      <c r="U377" s="521">
        <v>5.6115662277203603E-4</v>
      </c>
      <c r="V377" s="521">
        <v>6.1680665297308393E-4</v>
      </c>
      <c r="W377" s="521">
        <v>6.1680665297308393E-4</v>
      </c>
      <c r="X377" s="521">
        <v>6.1680665297308393E-4</v>
      </c>
      <c r="Y377" s="521">
        <v>6.1680665297308393E-4</v>
      </c>
      <c r="Z377" s="521">
        <v>6.1680665297308393E-4</v>
      </c>
      <c r="AA377" s="521">
        <v>6.1680665297308393E-4</v>
      </c>
      <c r="AB377" s="521">
        <v>6.1680665297308393E-4</v>
      </c>
      <c r="AC377" s="521">
        <v>6.1680665297308393E-4</v>
      </c>
      <c r="AD377" s="521">
        <v>6.1680665297308393E-4</v>
      </c>
      <c r="AE377" s="521">
        <v>3.0840332648654197E-4</v>
      </c>
    </row>
    <row r="378" spans="1:122" s="521" customFormat="1" x14ac:dyDescent="0.15">
      <c r="A378" s="521" t="s">
        <v>52</v>
      </c>
      <c r="B378" s="521">
        <v>-3.6902246209143319E-3</v>
      </c>
      <c r="C378" s="521">
        <v>-4.1718339820915069E-3</v>
      </c>
      <c r="D378" s="521">
        <v>-5.4007194778846034E-3</v>
      </c>
      <c r="E378" s="521">
        <v>-5.145827095432578E-3</v>
      </c>
      <c r="F378" s="521">
        <v>-4.9860705512785961E-3</v>
      </c>
      <c r="G378" s="521">
        <v>-4.8680140960981923E-3</v>
      </c>
      <c r="H378" s="521">
        <v>-4.8680140960981923E-3</v>
      </c>
      <c r="I378" s="521">
        <v>-4.8680140960981923E-3</v>
      </c>
      <c r="J378" s="521">
        <v>-4.8680140960981923E-3</v>
      </c>
      <c r="K378" s="521">
        <v>-2.0003461034451284E-3</v>
      </c>
      <c r="L378" s="521">
        <v>8.6732188920793569E-4</v>
      </c>
      <c r="M378" s="521">
        <v>8.6732188920793569E-4</v>
      </c>
      <c r="N378" s="521">
        <v>8.6732188920793569E-4</v>
      </c>
      <c r="O378" s="521">
        <v>8.6732188920793569E-4</v>
      </c>
      <c r="P378" s="521">
        <v>8.6732188920793569E-4</v>
      </c>
      <c r="Q378" s="521">
        <v>8.6732188920793569E-4</v>
      </c>
      <c r="R378" s="521">
        <v>8.6732188920793569E-4</v>
      </c>
      <c r="S378" s="521">
        <v>8.6732188920793569E-4</v>
      </c>
      <c r="T378" s="521">
        <v>8.6732188920793569E-4</v>
      </c>
      <c r="U378" s="521">
        <v>7.0860637129338837E-4</v>
      </c>
      <c r="V378" s="521">
        <v>5.4989085337884094E-4</v>
      </c>
      <c r="W378" s="521">
        <v>5.4989085337884094E-4</v>
      </c>
      <c r="X378" s="521">
        <v>5.4989085337884094E-4</v>
      </c>
      <c r="Y378" s="521">
        <v>5.4989085337884094E-4</v>
      </c>
      <c r="Z378" s="521">
        <v>5.4989085337884094E-4</v>
      </c>
      <c r="AA378" s="521">
        <v>5.4989085337884094E-4</v>
      </c>
      <c r="AB378" s="521">
        <v>5.4989085337884094E-4</v>
      </c>
      <c r="AC378" s="521">
        <v>5.4989085337884094E-4</v>
      </c>
      <c r="AD378" s="521">
        <v>5.4989085337884094E-4</v>
      </c>
      <c r="AE378" s="521">
        <v>2.7494542668942047E-4</v>
      </c>
    </row>
    <row r="379" spans="1:122" s="521" customFormat="1" x14ac:dyDescent="0.15">
      <c r="A379" s="521" t="s">
        <v>254</v>
      </c>
      <c r="B379" s="521">
        <v>1.1403127329362235E-3</v>
      </c>
      <c r="C379" s="521">
        <v>9.4506994247554551E-4</v>
      </c>
      <c r="D379" s="521">
        <v>-9.0942424029197689E-4</v>
      </c>
      <c r="E379" s="521">
        <v>-1.8225700651584489E-3</v>
      </c>
      <c r="F379" s="521">
        <v>-2.9607996654239951E-3</v>
      </c>
      <c r="G379" s="521">
        <v>-3.2973624479236859E-3</v>
      </c>
      <c r="H379" s="521">
        <v>-3.2973624479236859E-3</v>
      </c>
      <c r="I379" s="521">
        <v>-3.2973624479236859E-3</v>
      </c>
      <c r="J379" s="521">
        <v>-3.2973624479236859E-3</v>
      </c>
      <c r="K379" s="521">
        <v>-1.6486397604340622E-3</v>
      </c>
      <c r="L379" s="521">
        <v>8.2927055561628782E-8</v>
      </c>
      <c r="M379" s="521">
        <v>8.2927055561628782E-8</v>
      </c>
      <c r="N379" s="521">
        <v>8.2927055561628782E-8</v>
      </c>
      <c r="O379" s="521">
        <v>8.2927055561628782E-8</v>
      </c>
      <c r="P379" s="521">
        <v>8.2927055561628782E-8</v>
      </c>
      <c r="Q379" s="521">
        <v>8.2927055561628782E-8</v>
      </c>
      <c r="R379" s="521">
        <v>8.2927055561628782E-8</v>
      </c>
      <c r="S379" s="521">
        <v>8.2927055561628782E-8</v>
      </c>
      <c r="T379" s="521">
        <v>8.2927055561628782E-8</v>
      </c>
      <c r="U379" s="521">
        <v>2.6716978256804448E-4</v>
      </c>
      <c r="V379" s="521">
        <v>5.3425663808052731E-4</v>
      </c>
      <c r="W379" s="521">
        <v>5.3425663808052731E-4</v>
      </c>
      <c r="X379" s="521">
        <v>5.3425663808052731E-4</v>
      </c>
      <c r="Y379" s="521">
        <v>5.3425663808052731E-4</v>
      </c>
      <c r="Z379" s="521">
        <v>5.3425663808052731E-4</v>
      </c>
      <c r="AA379" s="521">
        <v>5.3425663808052731E-4</v>
      </c>
      <c r="AB379" s="521">
        <v>5.3425663808052731E-4</v>
      </c>
      <c r="AC379" s="521">
        <v>5.3425663808052731E-4</v>
      </c>
      <c r="AD379" s="521">
        <v>5.3425663808052731E-4</v>
      </c>
      <c r="AE379" s="521">
        <v>2.6712831904026366E-4</v>
      </c>
    </row>
    <row r="380" spans="1:122" s="521" customFormat="1" x14ac:dyDescent="0.15">
      <c r="A380" s="521" t="s">
        <v>54</v>
      </c>
      <c r="B380" s="521">
        <v>6.1864064376996406E-3</v>
      </c>
      <c r="C380" s="521">
        <v>4.0117160646553863E-3</v>
      </c>
      <c r="D380" s="521">
        <v>6.3186822708878035E-4</v>
      </c>
      <c r="E380" s="521">
        <v>-1.5201626695921916E-3</v>
      </c>
      <c r="F380" s="521">
        <v>-3.289442290029311E-3</v>
      </c>
      <c r="G380" s="521">
        <v>-3.3248704884521153E-3</v>
      </c>
      <c r="H380" s="521">
        <v>-3.3248704884521153E-3</v>
      </c>
      <c r="I380" s="521">
        <v>-3.3248704884521153E-3</v>
      </c>
      <c r="J380" s="521">
        <v>-3.3248704884521153E-3</v>
      </c>
      <c r="K380" s="521">
        <v>-1.5817120474196089E-3</v>
      </c>
      <c r="L380" s="521">
        <v>1.6144639361289706E-4</v>
      </c>
      <c r="M380" s="521">
        <v>1.6144639361289706E-4</v>
      </c>
      <c r="N380" s="521">
        <v>1.6144639361289706E-4</v>
      </c>
      <c r="O380" s="521">
        <v>1.6144639361289706E-4</v>
      </c>
      <c r="P380" s="521">
        <v>1.6144639361289706E-4</v>
      </c>
      <c r="Q380" s="521">
        <v>1.6144639361289706E-4</v>
      </c>
      <c r="R380" s="521">
        <v>1.6144639361289706E-4</v>
      </c>
      <c r="S380" s="521">
        <v>1.6144639361289706E-4</v>
      </c>
      <c r="T380" s="521">
        <v>1.6144639361289706E-4</v>
      </c>
      <c r="U380" s="521">
        <v>4.2081210936156061E-4</v>
      </c>
      <c r="V380" s="521">
        <v>6.8017782511022419E-4</v>
      </c>
      <c r="W380" s="521">
        <v>6.8017782511022419E-4</v>
      </c>
      <c r="X380" s="521">
        <v>6.8017782511022419E-4</v>
      </c>
      <c r="Y380" s="521">
        <v>6.8017782511022419E-4</v>
      </c>
      <c r="Z380" s="521">
        <v>6.8017782511022419E-4</v>
      </c>
      <c r="AA380" s="521">
        <v>6.8017782511022419E-4</v>
      </c>
      <c r="AB380" s="521">
        <v>6.8017782511022419E-4</v>
      </c>
      <c r="AC380" s="521">
        <v>6.8017782511022419E-4</v>
      </c>
      <c r="AD380" s="521">
        <v>6.8017782511022419E-4</v>
      </c>
      <c r="AE380" s="521">
        <v>3.400889125551121E-4</v>
      </c>
    </row>
    <row r="381" spans="1:122" s="521" customFormat="1" x14ac:dyDescent="0.15">
      <c r="A381" s="521" t="s">
        <v>505</v>
      </c>
      <c r="B381" s="521">
        <v>1.3512217631474144E-2</v>
      </c>
      <c r="C381" s="521">
        <v>1.0067699718421138E-2</v>
      </c>
      <c r="D381" s="521">
        <v>6.5316939745763327E-3</v>
      </c>
      <c r="E381" s="521">
        <v>4.2273228749606763E-3</v>
      </c>
      <c r="F381" s="521">
        <v>7.5484079541995321E-4</v>
      </c>
      <c r="G381" s="521">
        <v>-9.7790212027657744E-4</v>
      </c>
      <c r="H381" s="521">
        <v>-9.7790212027657744E-4</v>
      </c>
      <c r="I381" s="521">
        <v>-9.7790212027657744E-4</v>
      </c>
      <c r="J381" s="521">
        <v>-9.7790212027657744E-4</v>
      </c>
      <c r="K381" s="521">
        <v>-1.046280847078637E-3</v>
      </c>
      <c r="L381" s="521">
        <v>-1.1146595738806967E-3</v>
      </c>
      <c r="M381" s="521">
        <v>-1.1146595738806967E-3</v>
      </c>
      <c r="N381" s="521">
        <v>-1.1146595738806967E-3</v>
      </c>
      <c r="O381" s="521">
        <v>-1.1146595738806967E-3</v>
      </c>
      <c r="P381" s="521">
        <v>-1.1146595738806967E-3</v>
      </c>
      <c r="Q381" s="521">
        <v>-1.1146595738806967E-3</v>
      </c>
      <c r="R381" s="521">
        <v>-1.1146595738806967E-3</v>
      </c>
      <c r="S381" s="521">
        <v>-1.1146595738806967E-3</v>
      </c>
      <c r="T381" s="521">
        <v>-1.1146595738806967E-3</v>
      </c>
      <c r="U381" s="521">
        <v>-3.0627355789420005E-4</v>
      </c>
      <c r="V381" s="521">
        <v>5.0211245809229661E-4</v>
      </c>
      <c r="W381" s="521">
        <v>5.0211245809229661E-4</v>
      </c>
      <c r="X381" s="521">
        <v>5.0211245809229661E-4</v>
      </c>
      <c r="Y381" s="521">
        <v>5.0211245809229661E-4</v>
      </c>
      <c r="Z381" s="521">
        <v>5.0211245809229661E-4</v>
      </c>
      <c r="AA381" s="521">
        <v>5.0211245809229661E-4</v>
      </c>
      <c r="AB381" s="521">
        <v>5.0211245809229661E-4</v>
      </c>
      <c r="AC381" s="521">
        <v>5.0211245809229661E-4</v>
      </c>
      <c r="AD381" s="521">
        <v>5.0211245809229661E-4</v>
      </c>
      <c r="AE381" s="521">
        <v>2.510562290461483E-4</v>
      </c>
    </row>
    <row r="382" spans="1:122" s="521" customFormat="1" x14ac:dyDescent="0.15">
      <c r="A382" s="521" t="s">
        <v>56</v>
      </c>
      <c r="B382" s="521">
        <v>1.9035212254373903E-2</v>
      </c>
      <c r="C382" s="521">
        <v>1.5401213969369184E-2</v>
      </c>
      <c r="D382" s="521">
        <v>1.1886692955409537E-2</v>
      </c>
      <c r="E382" s="521">
        <v>9.1450617987396277E-3</v>
      </c>
      <c r="F382" s="521">
        <v>5.2092300348727085E-3</v>
      </c>
      <c r="G382" s="521">
        <v>3.4676112907548033E-3</v>
      </c>
      <c r="H382" s="521">
        <v>3.4676112907548033E-3</v>
      </c>
      <c r="I382" s="521">
        <v>3.4676112907548033E-3</v>
      </c>
      <c r="J382" s="521">
        <v>3.4676112907548033E-3</v>
      </c>
      <c r="K382" s="521">
        <v>1.2118836713273565E-3</v>
      </c>
      <c r="L382" s="521">
        <v>-1.0438439481000904E-3</v>
      </c>
      <c r="M382" s="521">
        <v>-1.0438439481000904E-3</v>
      </c>
      <c r="N382" s="521">
        <v>-1.0438439481000904E-3</v>
      </c>
      <c r="O382" s="521">
        <v>-1.0438439481000904E-3</v>
      </c>
      <c r="P382" s="521">
        <v>-1.0438439481000904E-3</v>
      </c>
      <c r="Q382" s="521">
        <v>-1.0438439481000904E-3</v>
      </c>
      <c r="R382" s="521">
        <v>-1.0438439481000904E-3</v>
      </c>
      <c r="S382" s="521">
        <v>-1.0438439481000904E-3</v>
      </c>
      <c r="T382" s="521">
        <v>-1.0438439481000904E-3</v>
      </c>
      <c r="U382" s="521">
        <v>-2.9007363605174118E-4</v>
      </c>
      <c r="V382" s="521">
        <v>4.6369667599660818E-4</v>
      </c>
      <c r="W382" s="521">
        <v>4.6369667599660818E-4</v>
      </c>
      <c r="X382" s="521">
        <v>4.6369667599660818E-4</v>
      </c>
      <c r="Y382" s="521">
        <v>4.6369667599660818E-4</v>
      </c>
      <c r="Z382" s="521">
        <v>4.6369667599660818E-4</v>
      </c>
      <c r="AA382" s="521">
        <v>4.6369667599660818E-4</v>
      </c>
      <c r="AB382" s="521">
        <v>4.6369667599660818E-4</v>
      </c>
      <c r="AC382" s="521">
        <v>4.6369667599660818E-4</v>
      </c>
      <c r="AD382" s="521">
        <v>4.6369667599660818E-4</v>
      </c>
      <c r="AE382" s="521">
        <v>2.3184833799830409E-4</v>
      </c>
    </row>
    <row r="383" spans="1:122" s="521" customFormat="1" x14ac:dyDescent="0.15">
      <c r="A383" s="521" t="s">
        <v>57</v>
      </c>
      <c r="B383" s="521">
        <f>+B393</f>
        <v>2.1463178909745046E-2</v>
      </c>
      <c r="C383" s="521">
        <f t="shared" ref="C383:AE383" si="119">+C393</f>
        <v>1.8421025792865871E-2</v>
      </c>
      <c r="D383" s="521">
        <f t="shared" si="119"/>
        <v>1.5283677903762269E-2</v>
      </c>
      <c r="E383" s="521">
        <f t="shared" si="119"/>
        <v>1.2573476542533851E-2</v>
      </c>
      <c r="F383" s="521">
        <f t="shared" si="119"/>
        <v>6.9549830775917617E-3</v>
      </c>
      <c r="G383" s="521">
        <f t="shared" si="119"/>
        <v>3.4642864150270123E-3</v>
      </c>
      <c r="H383" s="521">
        <f t="shared" si="119"/>
        <v>3.4642864150270123E-3</v>
      </c>
      <c r="I383" s="521">
        <f t="shared" si="119"/>
        <v>3.4642864150270123E-3</v>
      </c>
      <c r="J383" s="521">
        <f t="shared" si="119"/>
        <v>3.4642864150270123E-3</v>
      </c>
      <c r="K383" s="521">
        <f t="shared" si="119"/>
        <v>6.5413524623984332E-4</v>
      </c>
      <c r="L383" s="521">
        <f t="shared" si="119"/>
        <v>-2.1560159225473253E-3</v>
      </c>
      <c r="M383" s="521">
        <f t="shared" si="119"/>
        <v>-2.1560159225473253E-3</v>
      </c>
      <c r="N383" s="521">
        <f t="shared" si="119"/>
        <v>-2.1560159225473253E-3</v>
      </c>
      <c r="O383" s="521">
        <f t="shared" si="119"/>
        <v>-2.1560159225473253E-3</v>
      </c>
      <c r="P383" s="521">
        <f t="shared" si="119"/>
        <v>-2.1560159225473253E-3</v>
      </c>
      <c r="Q383" s="521">
        <f t="shared" si="119"/>
        <v>-2.1560159225473253E-3</v>
      </c>
      <c r="R383" s="521">
        <f t="shared" si="119"/>
        <v>-2.1560159225473253E-3</v>
      </c>
      <c r="S383" s="521">
        <f t="shared" si="119"/>
        <v>-2.1560159225473253E-3</v>
      </c>
      <c r="T383" s="521">
        <f t="shared" si="119"/>
        <v>-2.1560159225473253E-3</v>
      </c>
      <c r="U383" s="521">
        <f t="shared" si="119"/>
        <v>-1.3243145878072803E-3</v>
      </c>
      <c r="V383" s="521">
        <f t="shared" si="119"/>
        <v>-4.9261325306723539E-4</v>
      </c>
      <c r="W383" s="521">
        <f t="shared" si="119"/>
        <v>-4.9261325306723539E-4</v>
      </c>
      <c r="X383" s="521">
        <f t="shared" si="119"/>
        <v>-4.9261325306723539E-4</v>
      </c>
      <c r="Y383" s="521">
        <f t="shared" si="119"/>
        <v>-4.9261325306723539E-4</v>
      </c>
      <c r="Z383" s="521">
        <f t="shared" si="119"/>
        <v>-4.9261325306723539E-4</v>
      </c>
      <c r="AA383" s="521">
        <f t="shared" si="119"/>
        <v>-4.9261325306723539E-4</v>
      </c>
      <c r="AB383" s="521">
        <f t="shared" si="119"/>
        <v>-4.9261325306723539E-4</v>
      </c>
      <c r="AC383" s="521">
        <f t="shared" si="119"/>
        <v>-4.9261325306723539E-4</v>
      </c>
      <c r="AD383" s="521">
        <f t="shared" si="119"/>
        <v>-4.9261325306723539E-4</v>
      </c>
      <c r="AE383" s="521">
        <f t="shared" si="119"/>
        <v>-7.463066265336177E-4</v>
      </c>
    </row>
    <row r="384" spans="1:122" s="521" customFormat="1" x14ac:dyDescent="0.15">
      <c r="A384" s="521" t="s">
        <v>58</v>
      </c>
      <c r="B384" s="521">
        <v>1.0561602408186887E-2</v>
      </c>
      <c r="C384" s="521">
        <v>7.9330626449506721E-3</v>
      </c>
      <c r="D384" s="521">
        <v>5.3270953220981663E-3</v>
      </c>
      <c r="E384" s="521">
        <v>2.7395642009361929E-3</v>
      </c>
      <c r="F384" s="521">
        <v>4.3227802735918383E-6</v>
      </c>
      <c r="G384" s="521">
        <v>-9.3967138859383636E-4</v>
      </c>
      <c r="H384" s="521">
        <v>-9.3967138859383636E-4</v>
      </c>
      <c r="I384" s="521">
        <v>-9.3967138859383636E-4</v>
      </c>
      <c r="J384" s="521">
        <v>-9.3967138859383636E-4</v>
      </c>
      <c r="K384" s="521">
        <v>-8.3687180507177519E-4</v>
      </c>
      <c r="L384" s="521">
        <v>-7.3407222154971391E-4</v>
      </c>
      <c r="M384" s="521">
        <v>-7.3407222154971391E-4</v>
      </c>
      <c r="N384" s="521">
        <v>-7.3407222154971391E-4</v>
      </c>
      <c r="O384" s="521">
        <v>-7.3407222154971391E-4</v>
      </c>
      <c r="P384" s="521">
        <v>-7.3407222154971391E-4</v>
      </c>
      <c r="Q384" s="521">
        <v>-7.3407222154971391E-4</v>
      </c>
      <c r="R384" s="521">
        <v>-7.3407222154971391E-4</v>
      </c>
      <c r="S384" s="521">
        <v>-7.3407222154971391E-4</v>
      </c>
      <c r="T384" s="521">
        <v>-7.3407222154971391E-4</v>
      </c>
      <c r="U384" s="521">
        <v>-6.8399827976049112E-5</v>
      </c>
      <c r="V384" s="521">
        <v>5.9727256559761565E-4</v>
      </c>
      <c r="W384" s="521">
        <v>5.9727256559761565E-4</v>
      </c>
      <c r="X384" s="521">
        <v>5.9727256559761565E-4</v>
      </c>
      <c r="Y384" s="521">
        <v>5.9727256559761565E-4</v>
      </c>
      <c r="Z384" s="521">
        <v>5.9727256559761565E-4</v>
      </c>
      <c r="AA384" s="521">
        <v>5.9727256559761565E-4</v>
      </c>
      <c r="AB384" s="521">
        <v>5.9727256559761565E-4</v>
      </c>
      <c r="AC384" s="521">
        <v>5.9727256559761565E-4</v>
      </c>
      <c r="AD384" s="521">
        <v>5.9727256559761565E-4</v>
      </c>
      <c r="AE384" s="521">
        <v>2.9863628279880783E-4</v>
      </c>
    </row>
    <row r="385" spans="1:59" s="521" customFormat="1" x14ac:dyDescent="0.15">
      <c r="A385" s="521" t="s">
        <v>114</v>
      </c>
      <c r="B385" s="521">
        <v>7.2735310330082183E-3</v>
      </c>
      <c r="C385" s="521">
        <v>5.3378559601259274E-3</v>
      </c>
      <c r="D385" s="521">
        <v>3.1516690413397443E-3</v>
      </c>
      <c r="E385" s="521">
        <v>9.2338789546880036E-4</v>
      </c>
      <c r="F385" s="521">
        <v>-1.342972225334763E-3</v>
      </c>
      <c r="G385" s="521">
        <v>-2.5633551865262534E-3</v>
      </c>
      <c r="H385" s="521">
        <v>-2.5633551865262534E-3</v>
      </c>
      <c r="I385" s="521">
        <v>-2.5633551865262534E-3</v>
      </c>
      <c r="J385" s="521">
        <v>-2.5633551865262534E-3</v>
      </c>
      <c r="K385" s="521">
        <v>-1.0205071447542142E-3</v>
      </c>
      <c r="L385" s="521">
        <v>5.2234089701782465E-4</v>
      </c>
      <c r="M385" s="521">
        <v>5.2234089701782465E-4</v>
      </c>
      <c r="N385" s="521">
        <v>5.2234089701782465E-4</v>
      </c>
      <c r="O385" s="521">
        <v>5.2234089701782465E-4</v>
      </c>
      <c r="P385" s="521">
        <v>5.2234089701782465E-4</v>
      </c>
      <c r="Q385" s="521">
        <v>5.2234089701782465E-4</v>
      </c>
      <c r="R385" s="521">
        <v>5.2234089701782465E-4</v>
      </c>
      <c r="S385" s="521">
        <v>5.2234089701782465E-4</v>
      </c>
      <c r="T385" s="521">
        <v>5.2234089701782465E-4</v>
      </c>
      <c r="U385" s="521">
        <v>5.6284392576038127E-4</v>
      </c>
      <c r="V385" s="521">
        <v>6.0334695450293778E-4</v>
      </c>
      <c r="W385" s="521">
        <v>6.0334695450293778E-4</v>
      </c>
      <c r="X385" s="521">
        <v>6.0334695450293778E-4</v>
      </c>
      <c r="Y385" s="521">
        <v>6.0334695450293778E-4</v>
      </c>
      <c r="Z385" s="521">
        <v>6.0334695450293778E-4</v>
      </c>
      <c r="AA385" s="521">
        <v>6.0334695450293778E-4</v>
      </c>
      <c r="AB385" s="521">
        <v>6.0334695450293778E-4</v>
      </c>
      <c r="AC385" s="521">
        <v>6.0334695450293778E-4</v>
      </c>
      <c r="AD385" s="521">
        <v>6.0334695450293778E-4</v>
      </c>
      <c r="AE385" s="521">
        <v>3.0167347725146889E-4</v>
      </c>
    </row>
    <row r="386" spans="1:59" s="521" customFormat="1" x14ac:dyDescent="0.15">
      <c r="A386" s="521" t="s">
        <v>32</v>
      </c>
      <c r="B386" s="521">
        <v>1.4276192989357461E-2</v>
      </c>
      <c r="C386" s="521">
        <v>1.1656207940794016E-2</v>
      </c>
      <c r="D386" s="521">
        <v>8.9367234613343793E-3</v>
      </c>
      <c r="E386" s="521">
        <v>6.4426526819549345E-3</v>
      </c>
      <c r="F386" s="521">
        <v>2.6853765187099788E-3</v>
      </c>
      <c r="G386" s="521">
        <v>7.4677571723251457E-4</v>
      </c>
      <c r="H386" s="521">
        <v>7.4677571723251457E-4</v>
      </c>
      <c r="I386" s="521">
        <v>7.4677571723251457E-4</v>
      </c>
      <c r="J386" s="521">
        <v>7.4677571723251457E-4</v>
      </c>
      <c r="K386" s="521">
        <v>-1.4462911875713505E-4</v>
      </c>
      <c r="L386" s="521">
        <v>-1.0360339547467847E-3</v>
      </c>
      <c r="M386" s="521">
        <v>-1.0360339547467847E-3</v>
      </c>
      <c r="N386" s="521">
        <v>-1.0360339547467847E-3</v>
      </c>
      <c r="O386" s="521">
        <v>-1.0360339547467847E-3</v>
      </c>
      <c r="P386" s="521">
        <v>-1.0360339547467847E-3</v>
      </c>
      <c r="Q386" s="521">
        <v>-1.0360339547467847E-3</v>
      </c>
      <c r="R386" s="521">
        <v>-1.0360339547467847E-3</v>
      </c>
      <c r="S386" s="521">
        <v>-1.0360339547467847E-3</v>
      </c>
      <c r="T386" s="521">
        <v>-1.0360339547467847E-3</v>
      </c>
      <c r="U386" s="521">
        <v>-2.7212723119892528E-4</v>
      </c>
      <c r="V386" s="521">
        <v>4.9177949234893411E-4</v>
      </c>
      <c r="W386" s="521">
        <v>4.9177949234893411E-4</v>
      </c>
      <c r="X386" s="521">
        <v>4.9177949234893411E-4</v>
      </c>
      <c r="Y386" s="521">
        <v>4.9177949234893411E-4</v>
      </c>
      <c r="Z386" s="521">
        <v>4.9177949234893411E-4</v>
      </c>
      <c r="AA386" s="521">
        <v>4.9177949234893411E-4</v>
      </c>
      <c r="AB386" s="521">
        <v>4.9177949234893411E-4</v>
      </c>
      <c r="AC386" s="521">
        <v>4.9177949234893411E-4</v>
      </c>
      <c r="AD386" s="521">
        <v>4.9177949234893411E-4</v>
      </c>
      <c r="AE386" s="521">
        <v>2.4588974617446705E-4</v>
      </c>
    </row>
    <row r="387" spans="1:59" s="146" customFormat="1" x14ac:dyDescent="0.15">
      <c r="B387" s="150"/>
      <c r="C387" s="150"/>
      <c r="D387" s="150"/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150"/>
      <c r="W387" s="150"/>
      <c r="X387" s="150"/>
      <c r="Y387" s="150"/>
      <c r="Z387" s="150"/>
      <c r="AA387" s="150"/>
      <c r="AB387" s="150"/>
      <c r="AC387" s="150"/>
      <c r="AD387" s="150"/>
      <c r="AE387" s="150"/>
      <c r="AF387" s="150"/>
      <c r="AG387" s="150"/>
      <c r="AH387" s="150"/>
      <c r="AI387" s="150"/>
      <c r="AJ387" s="150"/>
      <c r="AK387" s="150"/>
      <c r="AL387" s="150"/>
      <c r="AM387" s="150"/>
      <c r="AN387" s="150"/>
      <c r="AO387" s="150"/>
      <c r="AP387" s="150"/>
      <c r="AQ387" s="150"/>
      <c r="AR387" s="150"/>
      <c r="AS387" s="150"/>
      <c r="AT387" s="150"/>
      <c r="AU387" s="150"/>
      <c r="AV387" s="150"/>
      <c r="AW387" s="150"/>
      <c r="AX387" s="150"/>
      <c r="AY387" s="150"/>
      <c r="AZ387" s="150"/>
      <c r="BA387" s="150"/>
      <c r="BB387" s="150"/>
      <c r="BC387" s="150"/>
      <c r="BD387" s="150"/>
      <c r="BE387" s="150"/>
      <c r="BF387" s="150"/>
      <c r="BG387" s="150"/>
    </row>
    <row r="388" spans="1:59" s="146" customFormat="1" x14ac:dyDescent="0.15">
      <c r="A388" s="149"/>
    </row>
    <row r="389" spans="1:59" s="146" customFormat="1" x14ac:dyDescent="0.15">
      <c r="A389" s="243"/>
      <c r="B389" s="521">
        <v>9.3279313555020352E-3</v>
      </c>
    </row>
    <row r="390" spans="1:59" s="146" customFormat="1" x14ac:dyDescent="0.15"/>
    <row r="391" spans="1:59" x14ac:dyDescent="0.15">
      <c r="A391" t="s">
        <v>1190</v>
      </c>
      <c r="B391" s="623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21" customFormat="1" x14ac:dyDescent="0.15">
      <c r="A392" s="521" t="s">
        <v>57</v>
      </c>
      <c r="B392" s="521">
        <v>2.2463178909745047E-2</v>
      </c>
      <c r="C392" s="521">
        <v>1.9421025792865872E-2</v>
      </c>
      <c r="D392" s="521">
        <v>1.628367790376227E-2</v>
      </c>
      <c r="E392" s="521">
        <v>1.3573476542533852E-2</v>
      </c>
      <c r="F392" s="521">
        <v>7.9549830775917617E-3</v>
      </c>
      <c r="G392" s="521">
        <v>4.4642864150270124E-3</v>
      </c>
      <c r="H392" s="521">
        <v>4.4642864150270124E-3</v>
      </c>
      <c r="I392" s="521">
        <v>4.4642864150270124E-3</v>
      </c>
      <c r="J392" s="521">
        <v>4.4642864150270124E-3</v>
      </c>
      <c r="K392" s="521">
        <v>1.6541352462398433E-3</v>
      </c>
      <c r="L392" s="521">
        <v>-1.1560159225473252E-3</v>
      </c>
      <c r="M392" s="521">
        <v>-1.1560159225473252E-3</v>
      </c>
      <c r="N392" s="521">
        <v>-1.1560159225473252E-3</v>
      </c>
      <c r="O392" s="521">
        <v>-1.1560159225473252E-3</v>
      </c>
      <c r="P392" s="521">
        <v>-1.1560159225473252E-3</v>
      </c>
      <c r="Q392" s="521">
        <v>-1.1560159225473252E-3</v>
      </c>
      <c r="R392" s="521">
        <v>-1.1560159225473252E-3</v>
      </c>
      <c r="S392" s="521">
        <v>-1.1560159225473252E-3</v>
      </c>
      <c r="T392" s="521">
        <v>-1.1560159225473252E-3</v>
      </c>
      <c r="U392" s="521">
        <v>-3.2431458780728025E-4</v>
      </c>
      <c r="V392" s="521">
        <v>5.0738674693276463E-4</v>
      </c>
      <c r="W392" s="521">
        <v>5.0738674693276463E-4</v>
      </c>
      <c r="X392" s="521">
        <v>5.0738674693276463E-4</v>
      </c>
      <c r="Y392" s="521">
        <v>5.0738674693276463E-4</v>
      </c>
      <c r="Z392" s="521">
        <v>5.0738674693276463E-4</v>
      </c>
      <c r="AA392" s="521">
        <v>5.0738674693276463E-4</v>
      </c>
      <c r="AB392" s="521">
        <v>5.0738674693276463E-4</v>
      </c>
      <c r="AC392" s="521">
        <v>5.0738674693276463E-4</v>
      </c>
      <c r="AD392" s="521">
        <v>5.0738674693276463E-4</v>
      </c>
      <c r="AE392" s="521">
        <v>2.5369337346638232E-4</v>
      </c>
    </row>
    <row r="393" spans="1:59" x14ac:dyDescent="0.15">
      <c r="A393" t="s">
        <v>1191</v>
      </c>
      <c r="B393" s="520">
        <f>+B392+B391</f>
        <v>2.1463178909745046E-2</v>
      </c>
      <c r="C393" s="520">
        <f t="shared" ref="C393:AE393" si="121">+C392+C391</f>
        <v>1.8421025792865871E-2</v>
      </c>
      <c r="D393" s="520">
        <f t="shared" si="121"/>
        <v>1.5283677903762269E-2</v>
      </c>
      <c r="E393" s="520">
        <f t="shared" si="121"/>
        <v>1.2573476542533851E-2</v>
      </c>
      <c r="F393" s="520">
        <f t="shared" si="121"/>
        <v>6.9549830775917617E-3</v>
      </c>
      <c r="G393" s="520">
        <f t="shared" si="121"/>
        <v>3.4642864150270123E-3</v>
      </c>
      <c r="H393" s="520">
        <f t="shared" si="121"/>
        <v>3.4642864150270123E-3</v>
      </c>
      <c r="I393" s="520">
        <f t="shared" si="121"/>
        <v>3.4642864150270123E-3</v>
      </c>
      <c r="J393" s="520">
        <f t="shared" si="121"/>
        <v>3.4642864150270123E-3</v>
      </c>
      <c r="K393" s="520">
        <f t="shared" si="121"/>
        <v>6.5413524623984332E-4</v>
      </c>
      <c r="L393" s="520">
        <f t="shared" si="121"/>
        <v>-2.1560159225473253E-3</v>
      </c>
      <c r="M393" s="520">
        <f t="shared" si="121"/>
        <v>-2.1560159225473253E-3</v>
      </c>
      <c r="N393" s="520">
        <f t="shared" si="121"/>
        <v>-2.1560159225473253E-3</v>
      </c>
      <c r="O393" s="520">
        <f t="shared" si="121"/>
        <v>-2.1560159225473253E-3</v>
      </c>
      <c r="P393" s="520">
        <f t="shared" si="121"/>
        <v>-2.1560159225473253E-3</v>
      </c>
      <c r="Q393" s="520">
        <f t="shared" si="121"/>
        <v>-2.1560159225473253E-3</v>
      </c>
      <c r="R393" s="520">
        <f t="shared" si="121"/>
        <v>-2.1560159225473253E-3</v>
      </c>
      <c r="S393" s="520">
        <f t="shared" si="121"/>
        <v>-2.1560159225473253E-3</v>
      </c>
      <c r="T393" s="520">
        <f t="shared" si="121"/>
        <v>-2.1560159225473253E-3</v>
      </c>
      <c r="U393" s="520">
        <f t="shared" si="121"/>
        <v>-1.3243145878072803E-3</v>
      </c>
      <c r="V393" s="520">
        <f t="shared" si="121"/>
        <v>-4.9261325306723539E-4</v>
      </c>
      <c r="W393" s="520">
        <f t="shared" si="121"/>
        <v>-4.9261325306723539E-4</v>
      </c>
      <c r="X393" s="520">
        <f t="shared" si="121"/>
        <v>-4.9261325306723539E-4</v>
      </c>
      <c r="Y393" s="520">
        <f t="shared" si="121"/>
        <v>-4.9261325306723539E-4</v>
      </c>
      <c r="Z393" s="520">
        <f t="shared" si="121"/>
        <v>-4.9261325306723539E-4</v>
      </c>
      <c r="AA393" s="520">
        <f t="shared" si="121"/>
        <v>-4.9261325306723539E-4</v>
      </c>
      <c r="AB393" s="520">
        <f t="shared" si="121"/>
        <v>-4.9261325306723539E-4</v>
      </c>
      <c r="AC393" s="520">
        <f t="shared" si="121"/>
        <v>-4.9261325306723539E-4</v>
      </c>
      <c r="AD393" s="520">
        <f t="shared" si="121"/>
        <v>-4.9261325306723539E-4</v>
      </c>
      <c r="AE393" s="520">
        <f t="shared" si="121"/>
        <v>-7.463066265336177E-4</v>
      </c>
    </row>
    <row r="394" spans="1:59" x14ac:dyDescent="0.15">
      <c r="A394" s="1"/>
    </row>
    <row r="395" spans="1:59" x14ac:dyDescent="0.15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 x14ac:dyDescent="0.15">
      <c r="A396" s="1" t="s">
        <v>1216</v>
      </c>
    </row>
    <row r="397" spans="1:59" x14ac:dyDescent="0.15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 x14ac:dyDescent="0.15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 x14ac:dyDescent="0.15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 x14ac:dyDescent="0.15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 x14ac:dyDescent="0.15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 x14ac:dyDescent="0.15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 x14ac:dyDescent="0.15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 x14ac:dyDescent="0.15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 x14ac:dyDescent="0.15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 x14ac:dyDescent="0.15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 x14ac:dyDescent="0.15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 x14ac:dyDescent="0.15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 x14ac:dyDescent="0.15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 x14ac:dyDescent="0.15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 x14ac:dyDescent="0.2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 x14ac:dyDescent="0.2">
      <c r="A412" s="204" t="s">
        <v>1301</v>
      </c>
    </row>
    <row r="413" spans="1:62" s="8" customFormat="1" ht="15" x14ac:dyDescent="0.2">
      <c r="A413" t="s">
        <v>104</v>
      </c>
      <c r="B413" s="286">
        <f>+US!B71</f>
        <v>1.3531593612572181</v>
      </c>
      <c r="C413" s="286">
        <f>+US!C71</f>
        <v>1.0249346945718352</v>
      </c>
      <c r="D413" s="286">
        <f>+US!D71</f>
        <v>0.90434403659634821</v>
      </c>
      <c r="E413" s="286">
        <f>+US!E71</f>
        <v>0.80274829064954667</v>
      </c>
      <c r="F413" s="286">
        <f>+US!F71</f>
        <v>0.73022605431524468</v>
      </c>
      <c r="G413" s="286">
        <f>+US!G71</f>
        <v>0.6628673166969884</v>
      </c>
      <c r="H413" s="286">
        <f>+US!H71</f>
        <v>0.61410385665851286</v>
      </c>
      <c r="I413" s="286">
        <f>+US!I71</f>
        <v>0.57771221533232253</v>
      </c>
      <c r="J413" s="286">
        <f>+US!J71</f>
        <v>0.54799911392480138</v>
      </c>
      <c r="K413" s="286">
        <f>+US!K71</f>
        <v>0.52511976515499892</v>
      </c>
      <c r="L413" s="286">
        <f>+US!L71</f>
        <v>0.50298313129183059</v>
      </c>
      <c r="M413" s="286">
        <f>+US!M71</f>
        <v>0.4700430831526497</v>
      </c>
      <c r="N413" s="286">
        <f>+US!N71</f>
        <v>0.44480351833586473</v>
      </c>
      <c r="O413" s="286">
        <f>+US!O71</f>
        <v>0.42747736343326487</v>
      </c>
      <c r="P413" s="286">
        <f>+US!P71</f>
        <v>0.41680690054393893</v>
      </c>
      <c r="Q413" s="286">
        <f>+US!Q71</f>
        <v>0.40650186865782678</v>
      </c>
      <c r="R413" s="286">
        <f>+US!R71</f>
        <v>0.39511956780907359</v>
      </c>
      <c r="S413" s="286">
        <f>+US!S71</f>
        <v>0.3823472370136678</v>
      </c>
      <c r="T413" s="286">
        <f>+US!T71</f>
        <v>0.36414797698946882</v>
      </c>
      <c r="U413" s="286">
        <f>+US!U71</f>
        <v>0.33822955632752744</v>
      </c>
      <c r="V413" s="286">
        <f>+US!V71</f>
        <v>0.33202422852343044</v>
      </c>
      <c r="W413" s="286">
        <f>+US!W71</f>
        <v>0.32290746918073121</v>
      </c>
    </row>
    <row r="414" spans="1:62" s="8" customFormat="1" ht="15" x14ac:dyDescent="0.2">
      <c r="A414" s="1" t="s">
        <v>105</v>
      </c>
      <c r="B414" s="286">
        <f>+EU!B71</f>
        <v>1.2435466666162149</v>
      </c>
      <c r="C414" s="286">
        <f>+EU!C71</f>
        <v>0.88056397828851396</v>
      </c>
      <c r="D414" s="286">
        <f>+EU!D71</f>
        <v>0.78487216872798093</v>
      </c>
      <c r="E414" s="286">
        <f>+EU!E71</f>
        <v>0.69669523858310478</v>
      </c>
      <c r="F414" s="286">
        <f>+EU!F71</f>
        <v>0.63773965785851561</v>
      </c>
      <c r="G414" s="286">
        <f>+EU!G71</f>
        <v>0.59210975688709544</v>
      </c>
      <c r="H414" s="286">
        <f>+EU!H71</f>
        <v>0.55039969365744013</v>
      </c>
      <c r="I414" s="286">
        <f>+EU!I71</f>
        <v>0.52054770135412154</v>
      </c>
      <c r="J414" s="286">
        <f>+EU!J71</f>
        <v>0.49410251269869415</v>
      </c>
      <c r="K414" s="286">
        <f>+EU!K71</f>
        <v>0.46978788953534301</v>
      </c>
      <c r="L414" s="286">
        <f>+EU!L71</f>
        <v>0.45546058751248247</v>
      </c>
      <c r="M414" s="286">
        <f>+EU!M71</f>
        <v>0.43362075831590657</v>
      </c>
      <c r="N414" s="286">
        <f>+EU!N71</f>
        <v>0.41304468742561667</v>
      </c>
      <c r="O414" s="286">
        <f>+EU!O71</f>
        <v>0.39510347811751312</v>
      </c>
      <c r="P414" s="286">
        <f>+EU!P71</f>
        <v>0.38479422051331114</v>
      </c>
      <c r="Q414" s="286">
        <f>+EU!Q71</f>
        <v>0.37411418243505939</v>
      </c>
      <c r="R414" s="286">
        <f>+EU!R71</f>
        <v>0.36860867152778309</v>
      </c>
      <c r="S414" s="286">
        <f>+EU!S71</f>
        <v>0.36286400820363757</v>
      </c>
      <c r="T414" s="286">
        <f>+EU!T71</f>
        <v>0.348905549049564</v>
      </c>
      <c r="U414" s="286">
        <f>+EU!U71</f>
        <v>0.32037071850546539</v>
      </c>
      <c r="V414" s="286">
        <f>+EU!V71</f>
        <v>0.31560485837161184</v>
      </c>
      <c r="W414" s="286">
        <f>+EU!W71</f>
        <v>0.31050292754383363</v>
      </c>
    </row>
    <row r="415" spans="1:62" s="8" customFormat="1" ht="15" x14ac:dyDescent="0.2">
      <c r="A415" t="s">
        <v>51</v>
      </c>
      <c r="B415" s="286">
        <f>+Japan!B71</f>
        <v>0.38756902268862453</v>
      </c>
      <c r="C415" s="286">
        <f>+Japan!C71</f>
        <v>0.3623888225610658</v>
      </c>
      <c r="D415" s="286">
        <f>+Japan!D71</f>
        <v>0.31161582077807776</v>
      </c>
      <c r="E415" s="286">
        <f>+Japan!E71</f>
        <v>0.26793549515532844</v>
      </c>
      <c r="F415" s="286">
        <f>+Japan!F71</f>
        <v>0.23680591729129</v>
      </c>
      <c r="G415" s="286">
        <f>+Japan!G71</f>
        <v>0.21483209737160114</v>
      </c>
      <c r="H415" s="286">
        <f>+Japan!H71</f>
        <v>0.19778780697615256</v>
      </c>
      <c r="I415" s="286">
        <f>+Japan!I71</f>
        <v>0.17988007449484822</v>
      </c>
      <c r="J415" s="286">
        <f>+Japan!J71</f>
        <v>0.16122526746022373</v>
      </c>
      <c r="K415" s="286">
        <f>+Japan!K71</f>
        <v>0.14692521045042015</v>
      </c>
      <c r="L415" s="286">
        <f>+Japan!L71</f>
        <v>0.13894985546468303</v>
      </c>
      <c r="M415" s="286">
        <f>+Japan!M71</f>
        <v>0.12911350602008742</v>
      </c>
      <c r="N415" s="286">
        <f>+Japan!N71</f>
        <v>0.12018868746978692</v>
      </c>
      <c r="O415" s="286">
        <f>+Japan!O71</f>
        <v>0.11408600595192554</v>
      </c>
      <c r="P415" s="286">
        <f>+Japan!P71</f>
        <v>0.10944986194984077</v>
      </c>
      <c r="Q415" s="286">
        <f>+Japan!Q71</f>
        <v>0.10500868335786298</v>
      </c>
      <c r="R415" s="286">
        <f>+Japan!R71</f>
        <v>0.10066522335314299</v>
      </c>
      <c r="S415" s="286">
        <f>+Japan!S71</f>
        <v>9.6906270242863066E-2</v>
      </c>
      <c r="T415" s="286">
        <f>+Japan!T71</f>
        <v>9.1050686623450963E-2</v>
      </c>
      <c r="U415" s="286">
        <f>+Japan!U71</f>
        <v>8.1882828296244464E-2</v>
      </c>
      <c r="V415" s="286">
        <f>+Japan!V71</f>
        <v>8.1466427574798717E-2</v>
      </c>
      <c r="W415" s="286">
        <f>+Japan!W71</f>
        <v>7.8037828852670271E-2</v>
      </c>
    </row>
    <row r="416" spans="1:62" s="8" customFormat="1" ht="15" x14ac:dyDescent="0.2">
      <c r="A416" t="s">
        <v>52</v>
      </c>
      <c r="B416" s="286">
        <f>+Russia!B71</f>
        <v>0.80689093434140557</v>
      </c>
      <c r="C416" s="286">
        <f>+Russia!C71</f>
        <v>0.56828748614327362</v>
      </c>
      <c r="D416" s="286">
        <f>+Russia!D71</f>
        <v>0.41473621871269523</v>
      </c>
      <c r="E416" s="286">
        <f>+Russia!E71</f>
        <v>0.32776451972306964</v>
      </c>
      <c r="F416" s="286">
        <f>+Russia!F71</f>
        <v>0.25095147589457284</v>
      </c>
      <c r="G416" s="286">
        <f>+Russia!G71</f>
        <v>0.21293850319041679</v>
      </c>
      <c r="H416" s="286">
        <f>+Russia!H71</f>
        <v>0.18318261078490614</v>
      </c>
      <c r="I416" s="286">
        <f>+Russia!I71</f>
        <v>0.16747973824286308</v>
      </c>
      <c r="J416" s="286">
        <f>+Russia!J71</f>
        <v>0.14413261876654945</v>
      </c>
      <c r="K416" s="286">
        <f>+Russia!K71</f>
        <v>0.14035305444474158</v>
      </c>
      <c r="L416" s="286">
        <f>+Russia!L71</f>
        <v>0.14219840800114228</v>
      </c>
      <c r="M416" s="286">
        <f>+Russia!M71</f>
        <v>0.1384404536990787</v>
      </c>
      <c r="N416" s="286">
        <f>+Russia!N71</f>
        <v>0.13496212142970643</v>
      </c>
      <c r="O416" s="286">
        <f>+Russia!O71</f>
        <v>0.13546491988857742</v>
      </c>
      <c r="P416" s="286">
        <f>+Russia!P71</f>
        <v>0.13641078122154379</v>
      </c>
      <c r="Q416" s="286">
        <f>+Russia!Q71</f>
        <v>0.13685104725280009</v>
      </c>
      <c r="R416" s="286">
        <f>+Russia!R71</f>
        <v>0.14008808327977532</v>
      </c>
      <c r="S416" s="286">
        <f>+Russia!S71</f>
        <v>0.14423717284060675</v>
      </c>
      <c r="T416" s="286">
        <f>+Russia!T71</f>
        <v>0.14438693934200589</v>
      </c>
      <c r="U416" s="286">
        <f>+Russia!U71</f>
        <v>0.12698833096314335</v>
      </c>
      <c r="V416" s="286">
        <f>+Russia!V71</f>
        <v>0.12686678354616365</v>
      </c>
      <c r="W416" s="286">
        <f>+Russia!W71</f>
        <v>0.12675548505433526</v>
      </c>
    </row>
    <row r="417" spans="1:23" s="8" customFormat="1" ht="15" x14ac:dyDescent="0.2">
      <c r="A417" t="s">
        <v>53</v>
      </c>
      <c r="B417" s="286">
        <f>+Eurasia!B71</f>
        <v>0.60159511876272098</v>
      </c>
      <c r="C417" s="286">
        <f>+Eurasia!C71</f>
        <v>0.36711252194952565</v>
      </c>
      <c r="D417" s="286">
        <f>+Eurasia!D71</f>
        <v>0.26279858823898428</v>
      </c>
      <c r="E417" s="286">
        <f>+Eurasia!E71</f>
        <v>0.19502195576715431</v>
      </c>
      <c r="F417" s="286">
        <f>+Eurasia!F71</f>
        <v>0.14274849122857375</v>
      </c>
      <c r="G417" s="286">
        <f>+Eurasia!G71</f>
        <v>0.1416857922743901</v>
      </c>
      <c r="H417" s="286">
        <f>+Eurasia!H71</f>
        <v>0.12186782245638256</v>
      </c>
      <c r="I417" s="286">
        <f>+Eurasia!I71</f>
        <v>0.1065452585451777</v>
      </c>
      <c r="J417" s="286">
        <f>+Eurasia!J71</f>
        <v>9.4942775357885756E-2</v>
      </c>
      <c r="K417" s="286">
        <f>+Eurasia!K71</f>
        <v>8.4731681586393881E-2</v>
      </c>
      <c r="L417" s="286">
        <f>+Eurasia!L71</f>
        <v>8.0093618951304429E-2</v>
      </c>
      <c r="M417" s="286">
        <f>+Eurasia!M71</f>
        <v>7.734078590741722E-2</v>
      </c>
      <c r="N417" s="286">
        <f>+Eurasia!N71</f>
        <v>7.470275403693831E-2</v>
      </c>
      <c r="O417" s="286">
        <f>+Eurasia!O71</f>
        <v>7.3140582525637751E-2</v>
      </c>
      <c r="P417" s="286">
        <f>+Eurasia!P71</f>
        <v>7.3724161679032771E-2</v>
      </c>
      <c r="Q417" s="286">
        <f>+Eurasia!Q71</f>
        <v>7.2810507080932424E-2</v>
      </c>
      <c r="R417" s="286">
        <f>+Eurasia!R71</f>
        <v>7.3827130679714123E-2</v>
      </c>
      <c r="S417" s="286">
        <f>+Eurasia!S71</f>
        <v>7.5135139971981429E-2</v>
      </c>
      <c r="T417" s="286">
        <f>+Eurasia!T71</f>
        <v>7.4392978063665377E-2</v>
      </c>
      <c r="U417" s="286">
        <f>+Eurasia!U71</f>
        <v>6.633464022584834E-2</v>
      </c>
      <c r="V417" s="286">
        <f>+Eurasia!V71</f>
        <v>6.4593631062733664E-2</v>
      </c>
      <c r="W417" s="286">
        <f>+Eurasia!W71</f>
        <v>6.4307380078050383E-2</v>
      </c>
    </row>
    <row r="418" spans="1:23" s="8" customFormat="1" ht="15" x14ac:dyDescent="0.2">
      <c r="A418" t="s">
        <v>54</v>
      </c>
      <c r="B418" s="286">
        <f>+China!B71</f>
        <v>0.48490804268827326</v>
      </c>
      <c r="C418" s="286">
        <f>+China!C71</f>
        <v>0.42036998311694618</v>
      </c>
      <c r="D418" s="286">
        <f>+China!D71</f>
        <v>0.38293478291362321</v>
      </c>
      <c r="E418" s="286">
        <f>+China!E71</f>
        <v>0.35486277236465741</v>
      </c>
      <c r="F418" s="286">
        <f>+China!F71</f>
        <v>0.33236894449457705</v>
      </c>
      <c r="G418" s="286">
        <f>+China!G71</f>
        <v>0.31058672089805961</v>
      </c>
      <c r="H418" s="286">
        <f>+China!H71</f>
        <v>0.29178364449996097</v>
      </c>
      <c r="I418" s="286">
        <f>+China!I71</f>
        <v>0.27602949053667636</v>
      </c>
      <c r="J418" s="286">
        <f>+China!J71</f>
        <v>0.26088309641801505</v>
      </c>
      <c r="K418" s="286">
        <f>+China!K71</f>
        <v>0.24879316229458809</v>
      </c>
      <c r="L418" s="286">
        <f>+China!L71</f>
        <v>0.24140171106479738</v>
      </c>
      <c r="M418" s="286">
        <f>+China!M71</f>
        <v>0.23593165071699002</v>
      </c>
      <c r="N418" s="286">
        <f>+China!N71</f>
        <v>0.23410194289183833</v>
      </c>
      <c r="O418" s="286">
        <f>+China!O71</f>
        <v>0.23586065067811124</v>
      </c>
      <c r="P418" s="286">
        <f>+China!P71</f>
        <v>0.2393023195903034</v>
      </c>
      <c r="Q418" s="286">
        <f>+China!Q71</f>
        <v>0.24701868868606586</v>
      </c>
      <c r="R418" s="286">
        <f>+China!R71</f>
        <v>0.25934319030263631</v>
      </c>
      <c r="S418" s="286">
        <f>+China!S71</f>
        <v>0.27720310342025201</v>
      </c>
      <c r="T418" s="286">
        <f>+China!T71</f>
        <v>0.28559373075026034</v>
      </c>
      <c r="U418" s="286">
        <f>+China!U71</f>
        <v>0.29465899658140621</v>
      </c>
      <c r="V418" s="286">
        <f>+China!V71</f>
        <v>0.30848354199007261</v>
      </c>
      <c r="W418" s="286">
        <f>+China!W71</f>
        <v>0.32075675789446995</v>
      </c>
    </row>
    <row r="419" spans="1:23" s="8" customFormat="1" ht="15" x14ac:dyDescent="0.2">
      <c r="A419" t="s">
        <v>55</v>
      </c>
      <c r="B419" s="286">
        <f>+India!B71</f>
        <v>0.26272072224848791</v>
      </c>
      <c r="C419" s="286">
        <f>+India!C71</f>
        <v>0.25135402819392283</v>
      </c>
      <c r="D419" s="286">
        <f>+India!D71</f>
        <v>0.21680863863852845</v>
      </c>
      <c r="E419" s="286">
        <f>+India!E71</f>
        <v>0.18901541956840245</v>
      </c>
      <c r="F419" s="286">
        <f>+India!F71</f>
        <v>0.17046892275931622</v>
      </c>
      <c r="G419" s="286">
        <f>+India!G71</f>
        <v>0.15729102344717191</v>
      </c>
      <c r="H419" s="286">
        <f>+India!H71</f>
        <v>0.14697403075640958</v>
      </c>
      <c r="I419" s="286">
        <f>+India!I71</f>
        <v>0.1344098204544949</v>
      </c>
      <c r="J419" s="286">
        <f>+India!J71</f>
        <v>0.12675340213327232</v>
      </c>
      <c r="K419" s="286">
        <f>+India!K71</f>
        <v>0.1236818183724122</v>
      </c>
      <c r="L419" s="286">
        <f>+India!L71</f>
        <v>0.11610999979162299</v>
      </c>
      <c r="M419" s="286">
        <f>+India!M71</f>
        <v>0.11087134673514568</v>
      </c>
      <c r="N419" s="286">
        <f>+India!N71</f>
        <v>0.10555703127149317</v>
      </c>
      <c r="O419" s="286">
        <f>+India!O71</f>
        <v>0.10506818872961207</v>
      </c>
      <c r="P419" s="286">
        <f>+India!P71</f>
        <v>0.10522248650416635</v>
      </c>
      <c r="Q419" s="286">
        <f>+India!Q71</f>
        <v>0.10590321602654931</v>
      </c>
      <c r="R419" s="286">
        <f>+India!R71</f>
        <v>0.10720302855134099</v>
      </c>
      <c r="S419" s="286">
        <f>+India!S71</f>
        <v>0.10855387945023438</v>
      </c>
      <c r="T419" s="286">
        <f>+India!T71</f>
        <v>0.10563410898767803</v>
      </c>
      <c r="U419" s="286">
        <f>+India!U71</f>
        <v>0.10790619912640063</v>
      </c>
      <c r="V419" s="286">
        <f>+India!V71</f>
        <v>0.11120309323178766</v>
      </c>
      <c r="W419" s="286">
        <f>+India!W71</f>
        <v>0.1114556566685049</v>
      </c>
    </row>
    <row r="420" spans="1:23" s="8" customFormat="1" ht="15" x14ac:dyDescent="0.2">
      <c r="A420" t="s">
        <v>56</v>
      </c>
      <c r="B420" s="286">
        <f>+MidEast!B71</f>
        <v>0.28449498821855751</v>
      </c>
      <c r="C420" s="286">
        <f>+MidEast!C71</f>
        <v>0.24935212857970179</v>
      </c>
      <c r="D420" s="286">
        <f>+MidEast!D71</f>
        <v>0.23095079835798871</v>
      </c>
      <c r="E420" s="286">
        <f>+MidEast!E71</f>
        <v>0.20304875267350367</v>
      </c>
      <c r="F420" s="286">
        <f>+MidEast!F71</f>
        <v>0.17991778440811218</v>
      </c>
      <c r="G420" s="286">
        <f>+MidEast!G71</f>
        <v>0.17461230000933545</v>
      </c>
      <c r="H420" s="286">
        <f>+MidEast!H71</f>
        <v>0.16302424458255019</v>
      </c>
      <c r="I420" s="286">
        <f>+MidEast!I71</f>
        <v>0.15156626933925038</v>
      </c>
      <c r="J420" s="286">
        <f>+MidEast!J71</f>
        <v>0.14313840215194143</v>
      </c>
      <c r="K420" s="286">
        <f>+MidEast!K71</f>
        <v>0.13209889408985873</v>
      </c>
      <c r="L420" s="286">
        <f>+MidEast!L71</f>
        <v>0.13276871991342631</v>
      </c>
      <c r="M420" s="286">
        <f>+MidEast!M71</f>
        <v>0.12409851578824685</v>
      </c>
      <c r="N420" s="286">
        <f>+MidEast!N71</f>
        <v>0.11701909919961498</v>
      </c>
      <c r="O420" s="286">
        <f>+MidEast!O71</f>
        <v>0.11514210290582977</v>
      </c>
      <c r="P420" s="286">
        <f>+MidEast!P71</f>
        <v>0.11771458644026501</v>
      </c>
      <c r="Q420" s="286">
        <f>+MidEast!Q71</f>
        <v>0.11607818880807422</v>
      </c>
      <c r="R420" s="286">
        <f>+MidEast!R71</f>
        <v>0.11589183842136773</v>
      </c>
      <c r="S420" s="286">
        <f>+MidEast!S71</f>
        <v>0.11552603420922242</v>
      </c>
      <c r="T420" s="286">
        <f>+MidEast!T71</f>
        <v>0.11462252141187755</v>
      </c>
      <c r="U420" s="286">
        <f>+MidEast!U71</f>
        <v>0.10905461472301488</v>
      </c>
      <c r="V420" s="286">
        <f>+MidEast!V71</f>
        <v>0.10946881468045166</v>
      </c>
      <c r="W420" s="286">
        <f>+MidEast!W71</f>
        <v>0.11188954582008</v>
      </c>
    </row>
    <row r="421" spans="1:23" s="8" customFormat="1" ht="15" x14ac:dyDescent="0.2">
      <c r="A421" t="s">
        <v>57</v>
      </c>
      <c r="B421" s="286">
        <f>+Africa!B71</f>
        <v>0.31807172352011859</v>
      </c>
      <c r="C421" s="286">
        <f>+Africa!C71</f>
        <v>0.21697436312026022</v>
      </c>
      <c r="D421" s="286">
        <f>+Africa!D71</f>
        <v>0.17931968356943587</v>
      </c>
      <c r="E421" s="286">
        <f>+Africa!E71</f>
        <v>0.14939361872932533</v>
      </c>
      <c r="F421" s="286">
        <f>+Africa!F71</f>
        <v>0.12877974987173721</v>
      </c>
      <c r="G421" s="286">
        <f>+Africa!G71</f>
        <v>0.11412136780386117</v>
      </c>
      <c r="H421" s="286">
        <f>+Africa!H71</f>
        <v>0.10461859527269125</v>
      </c>
      <c r="I421" s="286">
        <f>+Africa!I71</f>
        <v>9.5730017764819583E-2</v>
      </c>
      <c r="J421" s="286">
        <f>+Africa!J71</f>
        <v>8.81229218740186E-2</v>
      </c>
      <c r="K421" s="286">
        <f>+Africa!K71</f>
        <v>8.5583983610361153E-2</v>
      </c>
      <c r="L421" s="286">
        <f>+Africa!L71</f>
        <v>8.0732437951381256E-2</v>
      </c>
      <c r="M421" s="286">
        <f>+Africa!M71</f>
        <v>7.6459866434152035E-2</v>
      </c>
      <c r="N421" s="286">
        <f>+Africa!N71</f>
        <v>7.3504785965189112E-2</v>
      </c>
      <c r="O421" s="286">
        <f>+Africa!O71</f>
        <v>7.1030981095897741E-2</v>
      </c>
      <c r="P421" s="286">
        <f>+Africa!P71</f>
        <v>6.9687065398632134E-2</v>
      </c>
      <c r="Q421" s="286">
        <f>+Africa!Q71</f>
        <v>6.8784063449813609E-2</v>
      </c>
      <c r="R421" s="286">
        <f>+Africa!R71</f>
        <v>6.8269928687182499E-2</v>
      </c>
      <c r="S421" s="286">
        <f>+Africa!S71</f>
        <v>6.8067383047641719E-2</v>
      </c>
      <c r="T421" s="286">
        <f>+Africa!T71</f>
        <v>6.7516364534559184E-2</v>
      </c>
      <c r="U421" s="286">
        <f>+Africa!U71</f>
        <v>6.5732503754621072E-2</v>
      </c>
      <c r="V421" s="286">
        <f>+Africa!V71</f>
        <v>6.5762577939400726E-2</v>
      </c>
      <c r="W421" s="286">
        <f>+Africa!W71</f>
        <v>6.3504347900519967E-2</v>
      </c>
    </row>
    <row r="422" spans="1:23" s="8" customFormat="1" ht="15" x14ac:dyDescent="0.2">
      <c r="A422" t="s">
        <v>58</v>
      </c>
      <c r="B422" s="286">
        <f>+LatAm!B71</f>
        <v>0.39622122051011505</v>
      </c>
      <c r="C422" s="286">
        <f>+LatAm!C71</f>
        <v>0.33886881765913685</v>
      </c>
      <c r="D422" s="286">
        <f>+LatAm!D71</f>
        <v>0.3039021992449546</v>
      </c>
      <c r="E422" s="286">
        <f>+LatAm!E71</f>
        <v>0.2803538334236863</v>
      </c>
      <c r="F422" s="286">
        <f>+LatAm!F71</f>
        <v>0.26279068371821307</v>
      </c>
      <c r="G422" s="286">
        <f>+LatAm!G71</f>
        <v>0.23754829211639275</v>
      </c>
      <c r="H422" s="286">
        <f>+LatAm!H71</f>
        <v>0.22388062645006696</v>
      </c>
      <c r="I422" s="286">
        <f>+LatAm!I71</f>
        <v>0.21555594764944666</v>
      </c>
      <c r="J422" s="286">
        <f>+LatAm!J71</f>
        <v>0.20410933918004595</v>
      </c>
      <c r="K422" s="286">
        <f>+LatAm!K71</f>
        <v>0.18963102815391331</v>
      </c>
      <c r="L422" s="286">
        <f>+LatAm!L71</f>
        <v>0.18262229431947666</v>
      </c>
      <c r="M422" s="286">
        <f>+LatAm!M71</f>
        <v>0.1709906054535581</v>
      </c>
      <c r="N422" s="286">
        <f>+LatAm!N71</f>
        <v>0.16114539844521525</v>
      </c>
      <c r="O422" s="286">
        <f>+LatAm!O71</f>
        <v>0.15552084042084255</v>
      </c>
      <c r="P422" s="286">
        <f>+LatAm!P71</f>
        <v>0.15468551477906353</v>
      </c>
      <c r="Q422" s="286">
        <f>+LatAm!Q71</f>
        <v>0.15245782311923514</v>
      </c>
      <c r="R422" s="286">
        <f>+LatAm!R71</f>
        <v>0.15254594170370681</v>
      </c>
      <c r="S422" s="286">
        <f>+LatAm!S71</f>
        <v>0.15300100762076896</v>
      </c>
      <c r="T422" s="286">
        <f>+LatAm!T71</f>
        <v>0.15155550508469556</v>
      </c>
      <c r="U422" s="286">
        <f>+LatAm!U71</f>
        <v>0.14159226471533304</v>
      </c>
      <c r="V422" s="286">
        <f>+LatAm!V71</f>
        <v>0.14464208991146407</v>
      </c>
      <c r="W422" s="286">
        <f>+LatAm!W71</f>
        <v>0.14530837495282545</v>
      </c>
    </row>
    <row r="423" spans="1:23" s="8" customFormat="1" ht="15" x14ac:dyDescent="0.2">
      <c r="A423" t="s">
        <v>114</v>
      </c>
      <c r="B423" s="286">
        <f>+OHI!B71</f>
        <v>0.34033529692301251</v>
      </c>
      <c r="C423" s="286">
        <f>+OHI!C71</f>
        <v>0.27581559498477043</v>
      </c>
      <c r="D423" s="286">
        <f>+OHI!D71</f>
        <v>0.23915711361147821</v>
      </c>
      <c r="E423" s="286">
        <f>+OHI!E71</f>
        <v>0.21456976214660378</v>
      </c>
      <c r="F423" s="286">
        <f>+OHI!F71</f>
        <v>0.19734421907434549</v>
      </c>
      <c r="G423" s="286">
        <f>+OHI!G71</f>
        <v>0.18185921672301247</v>
      </c>
      <c r="H423" s="286">
        <f>+OHI!H71</f>
        <v>0.16831072703376512</v>
      </c>
      <c r="I423" s="286">
        <f>+OHI!I71</f>
        <v>0.15805841151597019</v>
      </c>
      <c r="J423" s="286">
        <f>+OHI!J71</f>
        <v>0.14296972682679959</v>
      </c>
      <c r="K423" s="286">
        <f>+OHI!K71</f>
        <v>0.13871961040872122</v>
      </c>
      <c r="L423" s="286">
        <f>+OHI!L71</f>
        <v>0.13511613081483118</v>
      </c>
      <c r="M423" s="286">
        <f>+OHI!M71</f>
        <v>0.12774901897803409</v>
      </c>
      <c r="N423" s="286">
        <f>+OHI!N71</f>
        <v>0.12395251689460306</v>
      </c>
      <c r="O423" s="286">
        <f>+OHI!O71</f>
        <v>0.11880559561726957</v>
      </c>
      <c r="P423" s="286">
        <f>+OHI!P71</f>
        <v>0.11666635455867309</v>
      </c>
      <c r="Q423" s="286">
        <f>+OHI!Q71</f>
        <v>0.11415984845238324</v>
      </c>
      <c r="R423" s="286">
        <f>+OHI!R71</f>
        <v>0.11229334670360908</v>
      </c>
      <c r="S423" s="286">
        <f>+OHI!S71</f>
        <v>0.11103452245269654</v>
      </c>
      <c r="T423" s="286">
        <f>+OHI!T71</f>
        <v>0.10774209103047874</v>
      </c>
      <c r="U423" s="286">
        <f>+OHI!U71</f>
        <v>0.10211467134907042</v>
      </c>
      <c r="V423" s="286">
        <f>+OHI!V71</f>
        <v>0.10265114416825621</v>
      </c>
      <c r="W423" s="286">
        <f>+OHI!W71</f>
        <v>0.10182368660613779</v>
      </c>
    </row>
    <row r="424" spans="1:23" s="8" customFormat="1" ht="15" x14ac:dyDescent="0.2">
      <c r="A424" t="s">
        <v>32</v>
      </c>
      <c r="B424" s="286">
        <f>+OthAsia!B71</f>
        <v>0.35157696853612941</v>
      </c>
      <c r="C424" s="286">
        <f>+OthAsia!C71</f>
        <v>0.40376188066653579</v>
      </c>
      <c r="D424" s="286">
        <f>+OthAsia!D71</f>
        <v>0.36121413398474445</v>
      </c>
      <c r="E424" s="286">
        <f>+OthAsia!E71</f>
        <v>0.32818867927761619</v>
      </c>
      <c r="F424" s="286">
        <f>+OthAsia!F71</f>
        <v>0.30197494392528174</v>
      </c>
      <c r="G424" s="286">
        <f>+OthAsia!G71</f>
        <v>0.28353951167130881</v>
      </c>
      <c r="H424" s="286">
        <f>+OthAsia!H71</f>
        <v>0.26771725151902076</v>
      </c>
      <c r="I424" s="286">
        <f>+OthAsia!I71</f>
        <v>0.24727068558622986</v>
      </c>
      <c r="J424" s="286">
        <f>+OthAsia!J71</f>
        <v>0.21133119888731833</v>
      </c>
      <c r="K424" s="286">
        <f>+OthAsia!K71</f>
        <v>0.19847092554655679</v>
      </c>
      <c r="L424" s="286">
        <f>+OthAsia!L71</f>
        <v>0.1913197772789646</v>
      </c>
      <c r="M424" s="286">
        <f>+OthAsia!M71</f>
        <v>0.18233959060688495</v>
      </c>
      <c r="N424" s="286">
        <f>+OthAsia!N71</f>
        <v>0.17775877896809938</v>
      </c>
      <c r="O424" s="286">
        <f>+OthAsia!O71</f>
        <v>0.17488146304435287</v>
      </c>
      <c r="P424" s="286">
        <f>+OthAsia!P71</f>
        <v>0.17369760554864894</v>
      </c>
      <c r="Q424" s="286">
        <f>+OthAsia!Q71</f>
        <v>0.17276289619486201</v>
      </c>
      <c r="R424" s="286">
        <f>+OthAsia!R71</f>
        <v>0.17246003817305069</v>
      </c>
      <c r="S424" s="286">
        <f>+OthAsia!S71</f>
        <v>0.17327667440473346</v>
      </c>
      <c r="T424" s="286">
        <f>+OthAsia!T71</f>
        <v>0.17195767160375675</v>
      </c>
      <c r="U424" s="286">
        <f>+OthAsia!U71</f>
        <v>0.1686407357273533</v>
      </c>
      <c r="V424" s="286">
        <f>+OthAsia!V71</f>
        <v>0.17075835133784456</v>
      </c>
      <c r="W424" s="286">
        <f>+OthAsia!W71</f>
        <v>0.17095487623906674</v>
      </c>
    </row>
    <row r="425" spans="1:23" s="8" customFormat="1" x14ac:dyDescent="0.15">
      <c r="B425" s="8">
        <f t="shared" ref="B425" si="123">SUM(B413:B424)</f>
        <v>6.8310900663108773</v>
      </c>
      <c r="C425" s="8">
        <f>SUM(C413:C424)</f>
        <v>5.3597842998354883</v>
      </c>
      <c r="D425" s="8">
        <f t="shared" ref="D425:W425" si="124">SUM(D413:D424)</f>
        <v>4.5926541833748402</v>
      </c>
      <c r="E425" s="8">
        <f t="shared" si="124"/>
        <v>4.0095983380619993</v>
      </c>
      <c r="F425" s="8">
        <f t="shared" si="124"/>
        <v>3.5721168448397802</v>
      </c>
      <c r="G425" s="8">
        <f t="shared" si="124"/>
        <v>3.2839918990896342</v>
      </c>
      <c r="H425" s="8">
        <f t="shared" si="124"/>
        <v>3.0336509106478595</v>
      </c>
      <c r="I425" s="8">
        <f t="shared" si="124"/>
        <v>2.8307856308162207</v>
      </c>
      <c r="J425" s="8">
        <f t="shared" si="124"/>
        <v>2.6197103756795661</v>
      </c>
      <c r="K425" s="8">
        <f t="shared" si="124"/>
        <v>2.4838970236483089</v>
      </c>
      <c r="L425" s="8">
        <f t="shared" si="124"/>
        <v>2.3997566723559434</v>
      </c>
      <c r="M425" s="8">
        <f t="shared" si="124"/>
        <v>2.2769991818081512</v>
      </c>
      <c r="N425" s="8">
        <f t="shared" si="124"/>
        <v>2.180741322333966</v>
      </c>
      <c r="O425" s="8">
        <f t="shared" si="124"/>
        <v>2.1215821724088344</v>
      </c>
      <c r="P425" s="8">
        <f t="shared" si="124"/>
        <v>2.09816185872742</v>
      </c>
      <c r="Q425" s="8">
        <f t="shared" si="124"/>
        <v>2.0724510135214649</v>
      </c>
      <c r="R425" s="8">
        <f t="shared" si="124"/>
        <v>2.066315989192383</v>
      </c>
      <c r="S425" s="8">
        <f t="shared" si="124"/>
        <v>2.0681524328783061</v>
      </c>
      <c r="T425" s="8">
        <f t="shared" si="124"/>
        <v>2.0275061234714609</v>
      </c>
      <c r="U425" s="8">
        <f t="shared" si="124"/>
        <v>1.9235060602954286</v>
      </c>
      <c r="V425" s="8">
        <f t="shared" si="124"/>
        <v>1.9335255423380155</v>
      </c>
      <c r="W425" s="8">
        <f t="shared" si="124"/>
        <v>1.9282043367912254</v>
      </c>
    </row>
    <row r="426" spans="1:23" x14ac:dyDescent="0.15">
      <c r="A426" s="1"/>
    </row>
    <row r="427" spans="1:23" ht="16" x14ac:dyDescent="0.25">
      <c r="A427" s="594"/>
      <c r="E427" s="594"/>
      <c r="F427" s="594"/>
      <c r="G427" s="594"/>
      <c r="H427" s="594"/>
      <c r="I427" s="594"/>
      <c r="J427" s="594"/>
      <c r="K427" s="594"/>
    </row>
    <row r="428" spans="1:23" x14ac:dyDescent="0.15">
      <c r="J428" s="177"/>
    </row>
    <row r="429" spans="1:23" x14ac:dyDescent="0.15">
      <c r="A429" s="1"/>
    </row>
    <row r="433" spans="1:13" x14ac:dyDescent="0.15">
      <c r="A433" s="1"/>
    </row>
    <row r="434" spans="1:13" ht="16" x14ac:dyDescent="0.25">
      <c r="A434" s="594"/>
      <c r="E434" s="594"/>
      <c r="F434" s="594"/>
      <c r="G434" s="594"/>
      <c r="H434" s="594"/>
      <c r="I434" s="594"/>
      <c r="J434" s="594"/>
      <c r="K434" s="594"/>
    </row>
    <row r="435" spans="1:13" s="12" customFormat="1" x14ac:dyDescent="0.15"/>
    <row r="436" spans="1:13" s="12" customFormat="1" x14ac:dyDescent="0.15">
      <c r="J436"/>
      <c r="K436"/>
    </row>
    <row r="437" spans="1:13" s="12" customFormat="1" x14ac:dyDescent="0.15"/>
    <row r="438" spans="1:13" s="12" customFormat="1" x14ac:dyDescent="0.15"/>
    <row r="439" spans="1:13" s="12" customFormat="1" x14ac:dyDescent="0.15"/>
    <row r="440" spans="1:13" s="12" customFormat="1" x14ac:dyDescent="0.15"/>
    <row r="441" spans="1:13" s="12" customFormat="1" x14ac:dyDescent="0.15">
      <c r="A441" s="1"/>
    </row>
    <row r="442" spans="1:13" s="12" customFormat="1" ht="16" x14ac:dyDescent="0.25">
      <c r="A442"/>
      <c r="J442" s="595"/>
      <c r="K442" s="595"/>
    </row>
    <row r="443" spans="1:13" s="12" customFormat="1" x14ac:dyDescent="0.15">
      <c r="A443" s="1"/>
    </row>
    <row r="444" spans="1:13" s="12" customFormat="1" ht="16" x14ac:dyDescent="0.25">
      <c r="A444"/>
      <c r="M444" s="595"/>
    </row>
    <row r="445" spans="1:13" s="12" customFormat="1" ht="16" x14ac:dyDescent="0.25">
      <c r="A445"/>
      <c r="M445" s="595"/>
    </row>
    <row r="446" spans="1:13" s="12" customFormat="1" x14ac:dyDescent="0.15">
      <c r="A446"/>
    </row>
    <row r="447" spans="1:13" s="12" customFormat="1" ht="16" x14ac:dyDescent="0.25">
      <c r="A447"/>
      <c r="J447" s="595"/>
      <c r="K447" s="595"/>
    </row>
    <row r="448" spans="1:13" s="12" customFormat="1" x14ac:dyDescent="0.15">
      <c r="A448"/>
    </row>
    <row r="449" spans="1:1" s="12" customFormat="1" x14ac:dyDescent="0.15">
      <c r="A449"/>
    </row>
    <row r="450" spans="1:1" s="12" customFormat="1" x14ac:dyDescent="0.15">
      <c r="A450"/>
    </row>
    <row r="451" spans="1:1" s="12" customFormat="1" x14ac:dyDescent="0.15">
      <c r="A451"/>
    </row>
    <row r="452" spans="1:1" s="12" customFormat="1" x14ac:dyDescent="0.15">
      <c r="A452"/>
    </row>
    <row r="453" spans="1:1" s="12" customFormat="1" x14ac:dyDescent="0.15">
      <c r="A453"/>
    </row>
    <row r="454" spans="1:1" s="12" customFormat="1" x14ac:dyDescent="0.15">
      <c r="A454" s="1"/>
    </row>
    <row r="455" spans="1:1" s="12" customFormat="1" x14ac:dyDescent="0.1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baseColWidth="10" defaultColWidth="8.83203125" defaultRowHeight="13" x14ac:dyDescent="0.15"/>
  <cols>
    <col min="1" max="1" width="28.6640625" customWidth="1"/>
    <col min="2" max="2" width="0.33203125" customWidth="1"/>
    <col min="3" max="3" width="9" customWidth="1"/>
    <col min="4" max="4" width="0.1640625" hidden="1" customWidth="1"/>
    <col min="5" max="6" width="7.33203125" hidden="1" customWidth="1"/>
    <col min="7" max="7" width="9.5" hidden="1" customWidth="1"/>
    <col min="8" max="8" width="8.6640625" hidden="1" customWidth="1"/>
    <col min="9" max="9" width="0.1640625" hidden="1" customWidth="1"/>
    <col min="10" max="12" width="0.1640625" customWidth="1"/>
    <col min="14" max="15" width="0" hidden="1" customWidth="1"/>
    <col min="16" max="17" width="9.1640625" hidden="1" customWidth="1"/>
    <col min="18" max="18" width="10.5" bestFit="1" customWidth="1"/>
    <col min="19" max="21" width="0.33203125" customWidth="1"/>
    <col min="22" max="23" width="11.5" customWidth="1"/>
    <col min="24" max="24" width="12.33203125" customWidth="1"/>
    <col min="25" max="25" width="13" customWidth="1"/>
    <col min="26" max="26" width="12.5" customWidth="1"/>
    <col min="27" max="27" width="11.83203125" customWidth="1"/>
    <col min="28" max="28" width="10.6640625" bestFit="1" customWidth="1"/>
    <col min="29" max="34" width="9.6640625" bestFit="1" customWidth="1"/>
    <col min="35" max="63" width="9.33203125" bestFit="1" customWidth="1"/>
    <col min="69" max="69" width="21.1640625" customWidth="1"/>
    <col min="71" max="71" width="11.1640625" bestFit="1" customWidth="1"/>
    <col min="72" max="72" width="10.1640625" bestFit="1" customWidth="1"/>
    <col min="73" max="81" width="9.33203125" bestFit="1" customWidth="1"/>
    <col min="82" max="82" width="13.1640625" customWidth="1"/>
    <col min="83" max="88" width="9.33203125" bestFit="1" customWidth="1"/>
    <col min="89" max="130" width="10.5" bestFit="1" customWidth="1"/>
  </cols>
  <sheetData>
    <row r="1" spans="1:131" ht="19" x14ac:dyDescent="0.25">
      <c r="A1" s="320" t="s">
        <v>866</v>
      </c>
      <c r="BR1" s="1" t="s">
        <v>957</v>
      </c>
    </row>
    <row r="2" spans="1:131" ht="15" x14ac:dyDescent="0.2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6" x14ac:dyDescent="0.2">
      <c r="A3" s="321" t="s">
        <v>867</v>
      </c>
      <c r="B3" s="321"/>
      <c r="C3" s="321">
        <v>1990</v>
      </c>
      <c r="D3" s="321">
        <v>1991</v>
      </c>
      <c r="E3" s="321">
        <v>1992</v>
      </c>
      <c r="F3" s="321">
        <v>1993</v>
      </c>
      <c r="G3" s="321">
        <v>1994</v>
      </c>
      <c r="H3" s="321">
        <v>1995</v>
      </c>
      <c r="I3" s="321">
        <v>1996</v>
      </c>
      <c r="J3" s="321">
        <v>1997</v>
      </c>
      <c r="K3" s="322">
        <v>1998</v>
      </c>
      <c r="L3" s="321">
        <v>1999</v>
      </c>
      <c r="M3" s="321">
        <v>2000</v>
      </c>
      <c r="N3" s="321">
        <v>2001</v>
      </c>
      <c r="O3" s="321">
        <v>2002</v>
      </c>
      <c r="P3" s="321">
        <v>2003</v>
      </c>
      <c r="Q3" s="321">
        <v>2004</v>
      </c>
      <c r="R3" s="321">
        <v>2005</v>
      </c>
      <c r="S3" s="321">
        <v>2006</v>
      </c>
      <c r="T3" s="321">
        <v>2007</v>
      </c>
      <c r="U3" s="321">
        <v>2008</v>
      </c>
      <c r="V3" s="321">
        <v>2009</v>
      </c>
      <c r="W3" s="321">
        <v>2010</v>
      </c>
      <c r="X3" s="321">
        <v>2015</v>
      </c>
      <c r="Y3" s="321">
        <v>2020</v>
      </c>
      <c r="Z3" s="321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0</v>
      </c>
      <c r="DA3" s="20">
        <f t="shared" si="2"/>
        <v>0</v>
      </c>
      <c r="DB3" s="20">
        <f t="shared" si="2"/>
        <v>0</v>
      </c>
      <c r="DC3" s="20">
        <f t="shared" si="2"/>
        <v>0</v>
      </c>
      <c r="DD3" s="20">
        <f t="shared" si="2"/>
        <v>0</v>
      </c>
      <c r="DE3" s="20">
        <f t="shared" si="2"/>
        <v>0</v>
      </c>
      <c r="DF3" s="20">
        <f t="shared" si="2"/>
        <v>0</v>
      </c>
      <c r="DG3" s="20">
        <f t="shared" si="2"/>
        <v>0</v>
      </c>
      <c r="DH3" s="20">
        <f t="shared" si="2"/>
        <v>0</v>
      </c>
      <c r="DI3" s="20">
        <f t="shared" si="2"/>
        <v>0</v>
      </c>
      <c r="DJ3" s="20">
        <f t="shared" si="2"/>
        <v>0</v>
      </c>
      <c r="DK3" s="20">
        <f t="shared" si="2"/>
        <v>0</v>
      </c>
      <c r="DL3" s="20">
        <f t="shared" si="2"/>
        <v>0</v>
      </c>
      <c r="DM3" s="20">
        <f t="shared" si="2"/>
        <v>0</v>
      </c>
      <c r="DN3" s="20">
        <f t="shared" si="2"/>
        <v>0</v>
      </c>
      <c r="DO3" s="20">
        <f t="shared" si="2"/>
        <v>0</v>
      </c>
      <c r="DP3" s="20">
        <f t="shared" si="2"/>
        <v>0</v>
      </c>
      <c r="DQ3" s="20">
        <f t="shared" si="2"/>
        <v>0</v>
      </c>
      <c r="DR3" s="20">
        <f t="shared" si="2"/>
        <v>0</v>
      </c>
      <c r="DS3" s="20">
        <f t="shared" si="2"/>
        <v>0</v>
      </c>
      <c r="DT3" s="20">
        <f t="shared" si="2"/>
        <v>0</v>
      </c>
      <c r="DU3" s="20">
        <f t="shared" si="2"/>
        <v>0</v>
      </c>
      <c r="DV3" s="20">
        <f t="shared" si="2"/>
        <v>0</v>
      </c>
      <c r="DW3" s="20">
        <f t="shared" si="2"/>
        <v>0</v>
      </c>
      <c r="DX3" s="20">
        <f t="shared" si="2"/>
        <v>0</v>
      </c>
      <c r="DY3" s="20">
        <f t="shared" si="2"/>
        <v>0</v>
      </c>
      <c r="DZ3" s="20">
        <f t="shared" si="2"/>
        <v>0</v>
      </c>
      <c r="EA3" s="20"/>
    </row>
    <row r="4" spans="1:131" s="17" customFormat="1" x14ac:dyDescent="0.15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8" x14ac:dyDescent="0.2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677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 x14ac:dyDescent="0.15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 x14ac:dyDescent="0.15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0.68902032652967593</v>
      </c>
      <c r="DL7" s="8">
        <f t="shared" si="46"/>
        <v>0.69544919430862151</v>
      </c>
      <c r="DM7" s="8">
        <f t="shared" si="46"/>
        <v>0.70184529789376893</v>
      </c>
      <c r="DN7" s="8">
        <f t="shared" si="46"/>
        <v>0.70821628090480748</v>
      </c>
      <c r="DO7" s="8">
        <f t="shared" si="46"/>
        <v>0.71456913791629395</v>
      </c>
      <c r="DP7" s="8">
        <f t="shared" si="46"/>
        <v>0.72091025794507202</v>
      </c>
      <c r="DQ7" s="8">
        <f t="shared" si="46"/>
        <v>0.72724547009402551</v>
      </c>
      <c r="DR7" s="8">
        <f t="shared" si="46"/>
        <v>0.73358008938881902</v>
      </c>
      <c r="DS7" s="8">
        <f t="shared" si="46"/>
        <v>0.73991896142157909</v>
      </c>
      <c r="DT7" s="8">
        <f t="shared" si="46"/>
        <v>0.7462665048940863</v>
      </c>
      <c r="DU7" s="8">
        <f t="shared" si="46"/>
        <v>0.75262675152037739</v>
      </c>
      <c r="DV7" s="8">
        <f t="shared" si="46"/>
        <v>0.7590033830164129</v>
      </c>
      <c r="DW7" s="8">
        <f t="shared" si="46"/>
        <v>0.76539976509160634</v>
      </c>
      <c r="DX7" s="8">
        <f t="shared" si="46"/>
        <v>0.7718189784824806</v>
      </c>
      <c r="DY7" s="8">
        <f t="shared" si="46"/>
        <v>0.77826384714875563</v>
      </c>
      <c r="DZ7" s="8">
        <f t="shared" si="46"/>
        <v>0.78473696379969504</v>
      </c>
      <c r="EA7" s="8"/>
    </row>
    <row r="8" spans="1:131" s="17" customFormat="1" x14ac:dyDescent="0.15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 x14ac:dyDescent="0.15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 x14ac:dyDescent="0.15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 x14ac:dyDescent="0.15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1.8812734678357719</v>
      </c>
      <c r="CP11" s="8">
        <f t="shared" si="46"/>
        <v>1.9286250417622046</v>
      </c>
      <c r="CQ11" s="8">
        <f t="shared" si="46"/>
        <v>1.9756446984818865</v>
      </c>
      <c r="CR11" s="8">
        <f t="shared" si="46"/>
        <v>2.0214555428337588</v>
      </c>
      <c r="CS11" s="8">
        <f t="shared" si="46"/>
        <v>2.0657017182389801</v>
      </c>
      <c r="CT11" s="8">
        <f t="shared" si="46"/>
        <v>2.1087156458276421</v>
      </c>
      <c r="CU11" s="8">
        <f t="shared" si="46"/>
        <v>2.1518230851481475</v>
      </c>
      <c r="CV11" s="8">
        <f t="shared" si="46"/>
        <v>2.1950009495995837</v>
      </c>
      <c r="CW11" s="8">
        <f t="shared" si="46"/>
        <v>2.234064926128033</v>
      </c>
      <c r="CX11" s="8">
        <f t="shared" si="46"/>
        <v>2.2677562734660581</v>
      </c>
      <c r="CY11" s="8">
        <f t="shared" si="46"/>
        <v>2.2993344091228587</v>
      </c>
      <c r="CZ11" s="8">
        <f t="shared" si="46"/>
        <v>2.3292307216411072</v>
      </c>
      <c r="DA11" s="8">
        <f t="shared" si="46"/>
        <v>2.3576529635913746</v>
      </c>
      <c r="DB11" s="8">
        <f t="shared" si="46"/>
        <v>2.384725120940872</v>
      </c>
      <c r="DC11" s="8">
        <f t="shared" si="46"/>
        <v>2.4105381368168111</v>
      </c>
      <c r="DD11" s="8">
        <f t="shared" si="46"/>
        <v>2.4351716916654316</v>
      </c>
      <c r="DE11" s="8">
        <f t="shared" si="46"/>
        <v>2.4587024137596596</v>
      </c>
      <c r="DF11" s="8">
        <f t="shared" si="46"/>
        <v>2.4812060252419248</v>
      </c>
      <c r="DG11" s="8">
        <f t="shared" si="46"/>
        <v>2.5027570681195423</v>
      </c>
      <c r="DH11" s="8">
        <f t="shared" si="46"/>
        <v>2.5234278954271576</v>
      </c>
      <c r="DI11" s="8">
        <f t="shared" si="46"/>
        <v>2.5432876439341054</v>
      </c>
      <c r="DJ11" s="8">
        <f t="shared" si="46"/>
        <v>2.5624014442242991</v>
      </c>
      <c r="DK11" s="8">
        <f t="shared" si="46"/>
        <v>2.5808299183006778</v>
      </c>
      <c r="DL11" s="8">
        <f t="shared" si="46"/>
        <v>2.5986289329658554</v>
      </c>
      <c r="DM11" s="8">
        <f t="shared" si="46"/>
        <v>2.615849552640038</v>
      </c>
      <c r="DN11" s="8">
        <f t="shared" si="46"/>
        <v>2.6325381351847108</v>
      </c>
      <c r="DO11" s="8">
        <f t="shared" si="46"/>
        <v>2.6487365231063782</v>
      </c>
      <c r="DP11" s="8">
        <f t="shared" si="46"/>
        <v>2.6644822932253813</v>
      </c>
      <c r="DQ11" s="8">
        <f t="shared" si="46"/>
        <v>2.6798090376901329</v>
      </c>
      <c r="DR11" s="8">
        <f t="shared" si="46"/>
        <v>2.6947466572105121</v>
      </c>
      <c r="DS11" s="8">
        <f t="shared" si="46"/>
        <v>2.7093216535212354</v>
      </c>
      <c r="DT11" s="8">
        <f t="shared" si="46"/>
        <v>2.7235574126210569</v>
      </c>
      <c r="DU11" s="8">
        <f t="shared" ref="BT11:DZ14" si="47">+DU30*DU43</f>
        <v>2.7374744735945544</v>
      </c>
      <c r="DV11" s="8">
        <f t="shared" si="47"/>
        <v>2.7510907801166726</v>
      </c>
      <c r="DW11" s="8">
        <f t="shared" si="47"/>
        <v>2.7644219133194996</v>
      </c>
      <c r="DX11" s="8">
        <f t="shared" si="47"/>
        <v>2.7774813057636556</v>
      </c>
      <c r="DY11" s="8">
        <f t="shared" si="47"/>
        <v>2.7902804369515519</v>
      </c>
      <c r="DZ11" s="8">
        <f t="shared" si="47"/>
        <v>2.8028290112560286</v>
      </c>
      <c r="EA11" s="8"/>
    </row>
    <row r="12" spans="1:131" s="17" customFormat="1" x14ac:dyDescent="0.15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 x14ac:dyDescent="0.15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 x14ac:dyDescent="0.15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 x14ac:dyDescent="0.15">
      <c r="A15" s="1" t="s">
        <v>32</v>
      </c>
      <c r="B15" s="1" t="s">
        <v>1009</v>
      </c>
      <c r="C15" s="323">
        <v>0.16534354262160889</v>
      </c>
      <c r="D15" s="323">
        <v>0.16964405027157503</v>
      </c>
      <c r="E15" s="323">
        <v>0.17480689918800291</v>
      </c>
      <c r="F15" s="323">
        <v>0.19063363235333924</v>
      </c>
      <c r="G15" s="323">
        <v>0.20038327209049592</v>
      </c>
      <c r="H15" s="323">
        <v>0.21093044747153825</v>
      </c>
      <c r="I15" s="323">
        <v>0.22882929282416828</v>
      </c>
      <c r="J15" s="323">
        <v>0.23439200886275496</v>
      </c>
      <c r="K15" s="323">
        <v>0.22954883490812503</v>
      </c>
      <c r="L15" s="323">
        <v>0.24609385944428178</v>
      </c>
      <c r="M15" s="323">
        <v>0.25130829431480262</v>
      </c>
      <c r="N15" s="324">
        <v>266.12022394136051</v>
      </c>
      <c r="O15" s="324">
        <v>280.46251736081666</v>
      </c>
      <c r="P15" s="324">
        <v>290.98782957503823</v>
      </c>
      <c r="Q15" s="324">
        <v>313.9017547858071</v>
      </c>
      <c r="R15" s="8">
        <f>+Data!F100/1000</f>
        <v>0.36395210273783346</v>
      </c>
      <c r="S15" s="326">
        <v>0.693189381913491</v>
      </c>
      <c r="T15" s="325">
        <f t="shared" si="4"/>
        <v>0.68596402340909035</v>
      </c>
      <c r="U15" s="325">
        <f t="shared" si="4"/>
        <v>0.67881397737611415</v>
      </c>
      <c r="V15" s="325">
        <f t="shared" si="4"/>
        <v>0.67173845880599181</v>
      </c>
      <c r="W15" s="325">
        <f t="shared" si="4"/>
        <v>0.66473669087257503</v>
      </c>
      <c r="X15" s="325">
        <f t="shared" si="5"/>
        <v>0.63080748393847597</v>
      </c>
      <c r="Y15" s="326">
        <f t="shared" si="6"/>
        <v>0.74448884429851503</v>
      </c>
      <c r="Z15" s="325">
        <f t="shared" si="7"/>
        <v>0.87865736123542426</v>
      </c>
      <c r="AA15" s="326">
        <f t="shared" si="8"/>
        <v>1.0057893085036811</v>
      </c>
      <c r="AB15" s="325">
        <f t="shared" si="9"/>
        <v>1.1513158345113612</v>
      </c>
      <c r="AC15" s="326">
        <f t="shared" si="10"/>
        <v>1.2868226018853761</v>
      </c>
      <c r="AD15" s="325">
        <f t="shared" si="11"/>
        <v>1.4382781501705377</v>
      </c>
      <c r="AE15" s="326">
        <f t="shared" si="12"/>
        <v>1.565696108906337</v>
      </c>
      <c r="AF15" s="325">
        <f t="shared" si="13"/>
        <v>1.7044021041088468</v>
      </c>
      <c r="AG15" s="326">
        <f t="shared" si="14"/>
        <v>1.825121642651965</v>
      </c>
      <c r="AH15" s="325">
        <f t="shared" si="15"/>
        <v>1.9543915150341058</v>
      </c>
      <c r="AI15" s="326">
        <f t="shared" si="16"/>
        <v>2.0793312643348947</v>
      </c>
      <c r="AJ15" s="325">
        <f t="shared" si="17"/>
        <v>2.2122581241175219</v>
      </c>
      <c r="AK15" s="326">
        <f t="shared" si="18"/>
        <v>2.3409478350874107</v>
      </c>
      <c r="AL15" s="325">
        <f t="shared" si="19"/>
        <v>2.4771235810407264</v>
      </c>
      <c r="AM15" s="326">
        <f t="shared" si="20"/>
        <v>2.6090692250421958</v>
      </c>
      <c r="AN15" s="325">
        <f t="shared" si="21"/>
        <v>2.7480430420037112</v>
      </c>
      <c r="AO15" s="326">
        <f t="shared" si="22"/>
        <v>2.8697883911445494</v>
      </c>
      <c r="AP15" s="325">
        <f t="shared" si="23"/>
        <v>2.9969273712478119</v>
      </c>
      <c r="AQ15" s="326">
        <f t="shared" si="24"/>
        <v>3.1048867620358358</v>
      </c>
      <c r="AR15" s="325">
        <f t="shared" si="25"/>
        <v>3.216735212722722</v>
      </c>
      <c r="AS15" s="326">
        <f t="shared" si="26"/>
        <v>3.3232862588508061</v>
      </c>
      <c r="AT15" s="325">
        <f t="shared" si="27"/>
        <v>3.4333666988146292</v>
      </c>
      <c r="AU15" s="326">
        <f t="shared" si="28"/>
        <v>3.5258237550019422</v>
      </c>
      <c r="AV15" s="325">
        <f t="shared" si="29"/>
        <v>3.6207705852182794</v>
      </c>
      <c r="AW15" s="326">
        <f t="shared" si="30"/>
        <v>3.7101275573535277</v>
      </c>
      <c r="AX15" s="325">
        <f t="shared" si="31"/>
        <v>3.8016897695837373</v>
      </c>
      <c r="AY15" s="326">
        <f t="shared" si="32"/>
        <v>3.8864537032821684</v>
      </c>
      <c r="AZ15" s="325">
        <f t="shared" si="33"/>
        <v>3.9731075661677515</v>
      </c>
      <c r="BA15" s="326">
        <f t="shared" si="34"/>
        <v>4.0523948208800373</v>
      </c>
      <c r="BB15" s="325">
        <f t="shared" si="35"/>
        <v>4.133264330453315</v>
      </c>
      <c r="BC15" s="326">
        <f t="shared" si="36"/>
        <v>4.2065698157892717</v>
      </c>
      <c r="BD15" s="325">
        <f t="shared" si="37"/>
        <v>4.2811754101312625</v>
      </c>
      <c r="BE15" s="326">
        <f t="shared" si="38"/>
        <v>4.3482341252988155</v>
      </c>
      <c r="BF15" s="325">
        <f t="shared" si="39"/>
        <v>4.4163432228611841</v>
      </c>
      <c r="BG15" s="326">
        <f t="shared" si="40"/>
        <v>4.4770477072014465</v>
      </c>
      <c r="BH15" s="325">
        <f t="shared" si="41"/>
        <v>4.5385866000632076</v>
      </c>
      <c r="BI15" s="326">
        <f t="shared" si="42"/>
        <v>4.6052324863309346</v>
      </c>
      <c r="BJ15" s="325">
        <f t="shared" si="43"/>
        <v>4.6728570195977834</v>
      </c>
      <c r="BK15" s="326">
        <f t="shared" si="44"/>
        <v>4.7490584370538214</v>
      </c>
      <c r="BL15" s="325">
        <f t="shared" si="45"/>
        <v>4.8265024895825688</v>
      </c>
    </row>
    <row r="16" spans="1:131" s="1" customFormat="1" x14ac:dyDescent="0.15">
      <c r="A16" s="1" t="s">
        <v>255</v>
      </c>
      <c r="B16" s="1" t="s">
        <v>1009</v>
      </c>
      <c r="C16" s="323">
        <f t="shared" ref="C16:M16" si="48">SUM(C4:C15)</f>
        <v>5.899319678110488</v>
      </c>
      <c r="D16" s="323">
        <f t="shared" si="48"/>
        <v>5.8796183148485284</v>
      </c>
      <c r="E16" s="323">
        <f t="shared" si="48"/>
        <v>5.86638486639721</v>
      </c>
      <c r="F16" s="323">
        <f t="shared" si="48"/>
        <v>5.9350135442711149</v>
      </c>
      <c r="G16" s="323">
        <f t="shared" si="48"/>
        <v>5.9814283388532941</v>
      </c>
      <c r="H16" s="323">
        <f t="shared" si="48"/>
        <v>6.0774692916248911</v>
      </c>
      <c r="I16" s="323">
        <f t="shared" si="48"/>
        <v>6.2197216452769366</v>
      </c>
      <c r="J16" s="323">
        <f t="shared" si="48"/>
        <v>6.340068588075221</v>
      </c>
      <c r="K16" s="323">
        <f t="shared" si="48"/>
        <v>6.316308792154274</v>
      </c>
      <c r="L16" s="323">
        <f t="shared" si="48"/>
        <v>6.4187266014864255</v>
      </c>
      <c r="M16" s="323">
        <f t="shared" si="48"/>
        <v>6.5483744602537586</v>
      </c>
      <c r="N16" s="324">
        <v>6614.6014452253912</v>
      </c>
      <c r="O16" s="324">
        <v>6770.003388291394</v>
      </c>
      <c r="P16" s="324">
        <v>7108.3659687026602</v>
      </c>
      <c r="Q16" s="324">
        <v>7487.2770500275237</v>
      </c>
      <c r="R16" s="325">
        <f t="shared" ref="R16:X16" si="49">SUM(R4:R15)</f>
        <v>7.971000000000001</v>
      </c>
      <c r="S16" s="325">
        <f t="shared" si="49"/>
        <v>9.4088059522690664</v>
      </c>
      <c r="T16" s="325">
        <f t="shared" si="49"/>
        <v>9.3968676837940723</v>
      </c>
      <c r="U16" s="325">
        <f t="shared" si="49"/>
        <v>9.4047371451223913</v>
      </c>
      <c r="V16" s="325">
        <f t="shared" si="49"/>
        <v>9.4321916808679696</v>
      </c>
      <c r="W16" s="325">
        <f t="shared" si="49"/>
        <v>9.4791145362685771</v>
      </c>
      <c r="X16" s="325">
        <f t="shared" si="49"/>
        <v>10.008731839961026</v>
      </c>
      <c r="Y16" s="326">
        <f t="shared" ref="Y16" si="50">+(X16*Z16)^0.5</f>
        <v>10.832739846933443</v>
      </c>
      <c r="Z16" s="325">
        <f>SUM(Z4:Z15)</f>
        <v>11.724587536935804</v>
      </c>
      <c r="AA16" s="326">
        <f t="shared" ref="AA16" si="51">+(Z16*AB16)^0.5</f>
        <v>0</v>
      </c>
      <c r="AB16" s="325">
        <f t="shared" ref="AB16" si="52">+BV15</f>
        <v>0</v>
      </c>
      <c r="AC16" s="326">
        <f t="shared" ref="AC16" si="53">+(AB16*AD16)^0.5</f>
        <v>0</v>
      </c>
      <c r="AD16" s="325">
        <f>SUM(AD4:AD15)</f>
        <v>14.448589212754504</v>
      </c>
      <c r="AE16" s="326">
        <f t="shared" ref="AE16" si="54">+(AD16*AF16)^0.5</f>
        <v>14.936653790009016</v>
      </c>
      <c r="AF16" s="325">
        <f>SUM(AF4:AF15)</f>
        <v>15.441204892561124</v>
      </c>
      <c r="AG16" s="326">
        <f t="shared" ref="AG16" si="55">+(AF16*AH16)^0.5</f>
        <v>15.860538104515742</v>
      </c>
      <c r="AH16" s="325">
        <f>SUM(AH4:AH15)</f>
        <v>16.291259051033283</v>
      </c>
      <c r="AI16" s="326">
        <f t="shared" ref="AI16" si="56">+(AH16*AJ16)^0.5</f>
        <v>16.704295046807875</v>
      </c>
      <c r="AJ16" s="325">
        <f>SUM(AJ4:AJ15)</f>
        <v>17.127802838118413</v>
      </c>
      <c r="AK16" s="326">
        <f t="shared" ref="AK16" si="57">+(AJ16*AL16)^0.5</f>
        <v>17.539307821913361</v>
      </c>
      <c r="AL16" s="325">
        <f>SUM(AL4:AL15)</f>
        <v>17.960699441681911</v>
      </c>
      <c r="AM16" s="326">
        <f t="shared" ref="AM16" si="58">+(AL16*AN16)^0.5</f>
        <v>18.372971946509033</v>
      </c>
      <c r="AN16" s="325">
        <f>SUM(AN4:AN15)</f>
        <v>18.794707814318667</v>
      </c>
      <c r="AO16" s="326">
        <f t="shared" ref="AO16" si="59">+(AN16*AP16)^0.5</f>
        <v>19.205223852060648</v>
      </c>
      <c r="AP16" s="325">
        <f>SUM(AP4:AP15)</f>
        <v>19.624706425431082</v>
      </c>
      <c r="AQ16" s="326">
        <f t="shared" ref="AQ16" si="60">+(AP16*AR16)^0.5</f>
        <v>20.019564420489942</v>
      </c>
      <c r="AR16" s="325">
        <f>SUM(AR4:AR15)</f>
        <v>20.42236713751722</v>
      </c>
      <c r="AS16" s="326">
        <f t="shared" ref="AS16" si="61">+(AR16*AT16)^0.5</f>
        <v>20.799858467491923</v>
      </c>
      <c r="AT16" s="325">
        <f>SUM(AT4:AT15)</f>
        <v>21.184327426614438</v>
      </c>
      <c r="AU16" s="326">
        <f t="shared" ref="AU16" si="62">+(AT16*AV16)^0.5</f>
        <v>21.55585235681658</v>
      </c>
      <c r="AV16" s="325">
        <f>SUM(AV4:AV15)</f>
        <v>21.933892989452033</v>
      </c>
      <c r="AW16" s="326">
        <f t="shared" ref="AW16" si="63">+(AV16*AX16)^0.5</f>
        <v>22.268611965022203</v>
      </c>
      <c r="AX16" s="325">
        <f>SUM(AX4:AX15)</f>
        <v>22.608438870710412</v>
      </c>
      <c r="AY16" s="326">
        <f t="shared" ref="AY16" si="64">+(AX16*AZ16)^0.5</f>
        <v>22.914000603634328</v>
      </c>
      <c r="AZ16" s="325">
        <f>SUM(AZ4:AZ15)</f>
        <v>23.223692120713686</v>
      </c>
      <c r="BA16" s="326">
        <f t="shared" ref="BA16" si="65">+(AZ16*BB16)^0.5</f>
        <v>23.504236199353347</v>
      </c>
      <c r="BB16" s="325">
        <f>SUM(BB4:BB15)</f>
        <v>23.788169273147215</v>
      </c>
      <c r="BC16" s="326">
        <f t="shared" ref="BC16" si="66">+(BB16*BD16)^0.5</f>
        <v>24.046115472640775</v>
      </c>
      <c r="BD16" s="325">
        <f>SUM(BD4:BD15)</f>
        <v>24.306858702921744</v>
      </c>
      <c r="BE16" s="326">
        <f t="shared" ref="BE16" si="67">+(BD16*BF16)^0.5</f>
        <v>24.543786322012753</v>
      </c>
      <c r="BF16" s="325">
        <f>SUM(BF4:BF15)</f>
        <v>24.783023359090436</v>
      </c>
      <c r="BG16" s="326">
        <f t="shared" ref="BG16" si="68">+(BF16*BH16)^0.5</f>
        <v>25.00011469262887</v>
      </c>
      <c r="BH16" s="325">
        <f>SUM(BH4:BH15)</f>
        <v>25.219107676600128</v>
      </c>
      <c r="BI16" s="326">
        <f t="shared" ref="BI16:BK16" si="69">+(BH16*BJ16)^0.5</f>
        <v>25.4601052341736</v>
      </c>
      <c r="BJ16" s="325">
        <f>SUM(BJ4:BJ15)</f>
        <v>25.703405800382477</v>
      </c>
      <c r="BK16" s="326">
        <f t="shared" si="69"/>
        <v>25.980559325300874</v>
      </c>
      <c r="BL16" s="325">
        <f>SUM(BL4:BL15)</f>
        <v>26.260701328748976</v>
      </c>
    </row>
    <row r="17" spans="1:130" s="1" customFormat="1" x14ac:dyDescent="0.15"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7">
        <f>+LN(T16/S16)</f>
        <v>-1.2696455665175354E-3</v>
      </c>
      <c r="U17" s="327">
        <f>+LN(U16/T16)</f>
        <v>8.3710532791926898E-4</v>
      </c>
      <c r="V17" s="327">
        <f>+LN(V16/U16)</f>
        <v>2.9149714838789561E-3</v>
      </c>
      <c r="W17" s="327">
        <f>+LN(W16/V16)</f>
        <v>4.9624231297333192E-3</v>
      </c>
      <c r="X17" s="327">
        <f t="shared" ref="X17:AD17" si="70">+LN(X16/W16)/5</f>
        <v>1.0873397485881536E-2</v>
      </c>
      <c r="Y17" s="327">
        <f t="shared" si="70"/>
        <v>1.5823023964030365E-2</v>
      </c>
      <c r="Z17" s="327">
        <f t="shared" si="70"/>
        <v>1.5823023964030403E-2</v>
      </c>
      <c r="AA17" s="327" t="e">
        <f t="shared" si="70"/>
        <v>#NUM!</v>
      </c>
      <c r="AB17" s="327" t="e">
        <f t="shared" si="70"/>
        <v>#DIV/0!</v>
      </c>
      <c r="AC17" s="327" t="e">
        <f t="shared" si="70"/>
        <v>#DIV/0!</v>
      </c>
      <c r="AD17" s="327" t="e">
        <f t="shared" si="70"/>
        <v>#DIV/0!</v>
      </c>
      <c r="AE17" s="324"/>
      <c r="AF17" s="324"/>
      <c r="AG17" s="324"/>
      <c r="AH17" s="324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24"/>
      <c r="BB17" s="324"/>
      <c r="BC17" s="324"/>
      <c r="BD17" s="324"/>
      <c r="BE17" s="325">
        <f>SUM(BF5:BF16)</f>
        <v>47.030752599389174</v>
      </c>
      <c r="BF17" s="324"/>
      <c r="BG17" s="324"/>
      <c r="BH17" s="324"/>
      <c r="BI17" s="324"/>
      <c r="BJ17" s="324"/>
      <c r="BK17" s="324"/>
      <c r="BL17" s="324"/>
    </row>
    <row r="18" spans="1:130" s="1" customFormat="1" x14ac:dyDescent="0.15"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7"/>
      <c r="U18" s="327"/>
      <c r="V18" s="327"/>
      <c r="W18" s="327"/>
      <c r="X18" s="327"/>
      <c r="Y18" s="327"/>
      <c r="Z18" s="327"/>
      <c r="AA18" s="327"/>
      <c r="AB18" s="327"/>
      <c r="AC18" s="327"/>
      <c r="AD18" s="327"/>
      <c r="AE18" s="324"/>
      <c r="AF18" s="324"/>
      <c r="AG18" s="324"/>
      <c r="AH18" s="324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24"/>
      <c r="BB18" s="324"/>
      <c r="BC18" s="324"/>
      <c r="BD18" s="324"/>
      <c r="BE18" s="325"/>
      <c r="BF18" s="324"/>
      <c r="BG18" s="324"/>
      <c r="BH18" s="324"/>
      <c r="BI18" s="324"/>
      <c r="BJ18" s="324"/>
      <c r="BK18" s="324"/>
      <c r="BL18" s="324"/>
    </row>
    <row r="19" spans="1:130" s="1" customFormat="1" ht="18" x14ac:dyDescent="0.2">
      <c r="A19" s="328" t="s">
        <v>868</v>
      </c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7"/>
      <c r="U19" s="327"/>
      <c r="V19" s="327"/>
      <c r="W19" s="327"/>
      <c r="X19" s="327"/>
      <c r="Y19" s="327"/>
      <c r="Z19" s="327"/>
      <c r="AA19" s="327"/>
      <c r="AB19" s="327"/>
      <c r="AC19" s="327"/>
      <c r="AD19" s="327"/>
      <c r="AE19" s="324"/>
      <c r="AF19" s="324"/>
      <c r="AG19" s="324"/>
      <c r="AH19" s="324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24"/>
      <c r="BB19" s="324"/>
      <c r="BC19" s="324"/>
      <c r="BD19" s="324"/>
      <c r="BE19" s="325"/>
      <c r="BF19" s="324"/>
      <c r="BG19" s="324"/>
      <c r="BH19" s="324"/>
      <c r="BI19" s="324"/>
      <c r="BJ19" s="324"/>
      <c r="BK19" s="324"/>
      <c r="BL19" s="324"/>
      <c r="BR19" s="1" t="s">
        <v>963</v>
      </c>
    </row>
    <row r="20" spans="1:130" s="1" customFormat="1" x14ac:dyDescent="0.15"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7"/>
      <c r="U20" s="327"/>
      <c r="V20" s="327"/>
      <c r="W20" s="327"/>
      <c r="X20" s="327"/>
      <c r="Y20" s="327"/>
      <c r="Z20" s="327"/>
      <c r="AA20" s="327"/>
      <c r="AB20" s="327"/>
      <c r="AC20" s="327"/>
      <c r="AD20" s="327"/>
      <c r="AE20" s="324"/>
      <c r="AF20" s="324"/>
      <c r="AG20" s="324"/>
      <c r="AH20" s="324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4"/>
      <c r="BC20" s="324"/>
      <c r="BD20" s="324"/>
      <c r="BE20" s="325"/>
      <c r="BF20" s="324"/>
      <c r="BG20" s="324"/>
      <c r="BH20" s="324"/>
      <c r="BI20" s="324"/>
      <c r="BJ20" s="324"/>
      <c r="BK20" s="324"/>
      <c r="BL20" s="324"/>
    </row>
    <row r="21" spans="1:130" s="1" customFormat="1" ht="16" x14ac:dyDescent="0.2">
      <c r="A21" s="321" t="s">
        <v>869</v>
      </c>
      <c r="N21" s="324"/>
      <c r="O21" s="324"/>
      <c r="P21" s="324"/>
      <c r="Q21" s="324"/>
      <c r="R21" s="324"/>
      <c r="S21" s="329">
        <v>2006</v>
      </c>
      <c r="W21" s="329">
        <v>2010</v>
      </c>
      <c r="X21" s="329">
        <v>2015</v>
      </c>
      <c r="Y21" s="329">
        <v>2020</v>
      </c>
      <c r="Z21" s="329">
        <v>2025</v>
      </c>
      <c r="AA21" s="329">
        <v>2030</v>
      </c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5"/>
      <c r="BF21" s="324"/>
      <c r="BG21" s="324"/>
      <c r="BH21" s="324"/>
      <c r="BI21" s="324"/>
      <c r="BJ21" s="324"/>
      <c r="BK21" s="324"/>
      <c r="BL21" s="324"/>
      <c r="BR21" s="1" t="s">
        <v>1200</v>
      </c>
    </row>
    <row r="22" spans="1:130" s="1" customFormat="1" x14ac:dyDescent="0.15">
      <c r="A22"/>
      <c r="N22" s="324"/>
      <c r="O22" s="324"/>
      <c r="P22" s="324"/>
      <c r="Q22" s="324"/>
      <c r="R22" s="324"/>
      <c r="S22"/>
      <c r="W22"/>
      <c r="X22"/>
      <c r="Y22"/>
      <c r="Z22"/>
      <c r="AA22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24"/>
      <c r="BB22" s="324"/>
      <c r="BC22" s="324"/>
      <c r="BD22" s="324"/>
      <c r="BE22" s="325"/>
      <c r="BF22" s="324"/>
      <c r="BG22" s="324"/>
      <c r="BH22" s="324"/>
      <c r="BI22" s="324"/>
      <c r="BJ22" s="324"/>
      <c r="BK22" s="324"/>
      <c r="BL22" s="324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0</v>
      </c>
      <c r="DA22" s="10">
        <f>+US!AJ40</f>
        <v>0</v>
      </c>
      <c r="DB22" s="10">
        <f>+US!AK40</f>
        <v>0</v>
      </c>
      <c r="DC22" s="10">
        <f>+US!AL40</f>
        <v>0</v>
      </c>
      <c r="DD22" s="10">
        <f>+US!AM40</f>
        <v>0</v>
      </c>
      <c r="DE22" s="10">
        <f>+US!AN40</f>
        <v>0</v>
      </c>
      <c r="DF22" s="10">
        <f>+US!AO40</f>
        <v>0</v>
      </c>
      <c r="DG22" s="10">
        <f>+US!AP40</f>
        <v>0</v>
      </c>
      <c r="DH22" s="10">
        <f>+US!AQ40</f>
        <v>0</v>
      </c>
      <c r="DI22" s="10">
        <f>+US!AR40</f>
        <v>0</v>
      </c>
      <c r="DJ22" s="10">
        <f>+US!AS40</f>
        <v>0</v>
      </c>
      <c r="DK22" s="10">
        <f>+US!AT40</f>
        <v>0</v>
      </c>
      <c r="DL22" s="10">
        <f>+US!AU40</f>
        <v>0</v>
      </c>
      <c r="DM22" s="10">
        <f>+US!AV40</f>
        <v>0</v>
      </c>
      <c r="DN22" s="10">
        <f>+US!AW40</f>
        <v>0</v>
      </c>
      <c r="DO22" s="10">
        <f>+US!AX40</f>
        <v>0</v>
      </c>
      <c r="DP22" s="10">
        <f>+US!AY40</f>
        <v>0</v>
      </c>
      <c r="DQ22" s="10">
        <f>+US!AZ40</f>
        <v>0</v>
      </c>
      <c r="DR22" s="10">
        <f>+US!BA40</f>
        <v>0</v>
      </c>
      <c r="DS22" s="10">
        <f>+US!BB40</f>
        <v>0</v>
      </c>
      <c r="DT22" s="10">
        <f>+US!BC40</f>
        <v>0</v>
      </c>
      <c r="DU22" s="10">
        <f>+US!BD40</f>
        <v>0</v>
      </c>
      <c r="DV22" s="10">
        <f>+US!BE40</f>
        <v>0</v>
      </c>
      <c r="DW22" s="10">
        <f>+US!BF40</f>
        <v>0</v>
      </c>
      <c r="DX22" s="10">
        <f>+US!BG40</f>
        <v>0</v>
      </c>
      <c r="DY22" s="10">
        <f>+US!BH40</f>
        <v>0</v>
      </c>
      <c r="DZ22" s="10">
        <f>+US!BI40</f>
        <v>0</v>
      </c>
    </row>
    <row r="23" spans="1:130" s="1" customFormat="1" x14ac:dyDescent="0.15">
      <c r="A23" s="1" t="s">
        <v>870</v>
      </c>
      <c r="N23" s="324"/>
      <c r="O23" s="324"/>
      <c r="P23" s="324"/>
      <c r="Q23" s="324"/>
      <c r="R23" s="324"/>
      <c r="S23"/>
      <c r="W23"/>
      <c r="X23"/>
      <c r="Y23"/>
      <c r="Z23"/>
      <c r="AA23"/>
      <c r="AB23" s="324"/>
      <c r="AC23" s="324"/>
      <c r="AD23" s="324"/>
      <c r="AG23" s="324"/>
      <c r="AH23" s="324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24"/>
      <c r="BB23" s="324"/>
      <c r="BC23" s="324"/>
      <c r="BD23" s="324"/>
      <c r="BE23" s="325"/>
      <c r="BF23" s="324"/>
      <c r="BG23" s="324"/>
      <c r="BH23" s="324"/>
      <c r="BI23" s="324"/>
      <c r="BJ23" s="324"/>
      <c r="BK23" s="324"/>
      <c r="BL23" s="324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 x14ac:dyDescent="0.15">
      <c r="A24" s="329" t="s">
        <v>871</v>
      </c>
      <c r="N24" s="324"/>
      <c r="O24" s="324"/>
      <c r="P24" s="324"/>
      <c r="Q24" s="324"/>
      <c r="R24" s="324"/>
      <c r="S24"/>
      <c r="W24"/>
      <c r="X24"/>
      <c r="Y24"/>
      <c r="Z24"/>
      <c r="AA24"/>
      <c r="AB24" s="324"/>
      <c r="AC24" s="324"/>
      <c r="AD24" s="324"/>
      <c r="AG24" s="324"/>
      <c r="AH24" s="324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5"/>
      <c r="BF24" s="324"/>
      <c r="BG24" s="324"/>
      <c r="BH24" s="324"/>
      <c r="BI24" s="324"/>
      <c r="BJ24" s="324"/>
      <c r="BK24" s="324"/>
      <c r="BL24" s="324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9" x14ac:dyDescent="0.25">
      <c r="A25" s="330" t="s">
        <v>872</v>
      </c>
      <c r="N25" s="324"/>
      <c r="O25" s="324"/>
      <c r="P25" s="324"/>
      <c r="Q25" s="324"/>
      <c r="R25" s="324"/>
      <c r="S25"/>
      <c r="W25"/>
      <c r="X25"/>
      <c r="Y25"/>
      <c r="Z25"/>
      <c r="AA25"/>
      <c r="AB25" s="324"/>
      <c r="AC25" s="324"/>
      <c r="AD25" s="324"/>
      <c r="AG25" s="324"/>
      <c r="AH25" s="324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24"/>
      <c r="BB25" s="324"/>
      <c r="BC25" s="324"/>
      <c r="BD25" s="324"/>
      <c r="BE25" s="325"/>
      <c r="BF25" s="324"/>
      <c r="BG25" s="324"/>
      <c r="BH25" s="324"/>
      <c r="BI25" s="324"/>
      <c r="BJ25" s="324"/>
      <c r="BK25" s="324"/>
      <c r="BL25" s="324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 x14ac:dyDescent="0.15">
      <c r="A26" t="s">
        <v>873</v>
      </c>
      <c r="N26" s="324"/>
      <c r="O26" s="324"/>
      <c r="P26" s="324"/>
      <c r="Q26" s="324"/>
      <c r="R26" s="324"/>
      <c r="S26" s="177">
        <v>72.870498999999995</v>
      </c>
      <c r="W26" s="177">
        <v>71.260292000000007</v>
      </c>
      <c r="X26" s="177">
        <v>73.134995000000004</v>
      </c>
      <c r="Y26" s="177">
        <v>74.432426000000007</v>
      </c>
      <c r="Z26" s="177">
        <v>77.080085999999994</v>
      </c>
      <c r="AA26" s="177">
        <v>78.997146999999998</v>
      </c>
      <c r="AB26" s="324"/>
      <c r="AC26" s="324"/>
      <c r="AD26" s="324"/>
      <c r="AG26" s="324"/>
      <c r="AH26" s="324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24"/>
      <c r="BB26" s="324"/>
      <c r="BC26" s="324"/>
      <c r="BD26" s="324"/>
      <c r="BE26" s="325"/>
      <c r="BF26" s="324"/>
      <c r="BG26" s="324"/>
      <c r="BH26" s="324"/>
      <c r="BI26" s="324"/>
      <c r="BJ26" s="324"/>
      <c r="BK26" s="324"/>
      <c r="BL26" s="324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1.0747958763585695E-2</v>
      </c>
      <c r="DL26" s="10">
        <f>+Eurasia!AU40</f>
        <v>1.0460756455726264E-2</v>
      </c>
      <c r="DM26" s="10">
        <f>+Eurasia!AV40</f>
        <v>1.0183351731884246E-2</v>
      </c>
      <c r="DN26" s="10">
        <f>+Eurasia!AW40</f>
        <v>9.9151638723782003E-3</v>
      </c>
      <c r="DO26" s="10">
        <f>+Eurasia!AX40</f>
        <v>9.6556696068279078E-3</v>
      </c>
      <c r="DP26" s="10">
        <f>+Eurasia!AY40</f>
        <v>9.4043960647036823E-3</v>
      </c>
      <c r="DQ26" s="10">
        <f>+Eurasia!AZ40</f>
        <v>9.1609146655424623E-3</v>
      </c>
      <c r="DR26" s="10">
        <f>+Eurasia!BA40</f>
        <v>8.9248358154017261E-3</v>
      </c>
      <c r="DS26" s="10">
        <f>+Eurasia!BB40</f>
        <v>8.6958042965040068E-3</v>
      </c>
      <c r="DT26" s="10">
        <f>+Eurasia!BC40</f>
        <v>8.4734952540212408E-3</v>
      </c>
      <c r="DU26" s="10">
        <f>+Eurasia!BD40</f>
        <v>8.2576106981719233E-3</v>
      </c>
      <c r="DV26" s="10">
        <f>+Eurasia!BE40</f>
        <v>8.0478764517478447E-3</v>
      </c>
      <c r="DW26" s="10">
        <f>+Eurasia!BF40</f>
        <v>7.8440394832488824E-3</v>
      </c>
      <c r="DX26" s="10">
        <f>+Eurasia!BG40</f>
        <v>7.6458655743066387E-3</v>
      </c>
      <c r="DY26" s="10">
        <f>+Eurasia!BH40</f>
        <v>7.4531372772831481E-3</v>
      </c>
      <c r="DZ26" s="10">
        <f>+Eurasia!BI40</f>
        <v>7.2656521250540991E-3</v>
      </c>
    </row>
    <row r="27" spans="1:130" s="1" customFormat="1" x14ac:dyDescent="0.15">
      <c r="A27" t="s">
        <v>874</v>
      </c>
      <c r="N27" s="324"/>
      <c r="O27" s="324"/>
      <c r="P27" s="324"/>
      <c r="Q27" s="324"/>
      <c r="R27" s="324"/>
      <c r="S27" s="177">
        <v>100.018349</v>
      </c>
      <c r="W27" s="177">
        <v>99.061310000000006</v>
      </c>
      <c r="X27" s="177">
        <v>102.078163</v>
      </c>
      <c r="Y27" s="177">
        <v>104.671684</v>
      </c>
      <c r="Z27" s="177">
        <v>108.15479999999999</v>
      </c>
      <c r="AA27" s="177">
        <v>110.953903</v>
      </c>
      <c r="AB27" s="324"/>
      <c r="AC27" s="324"/>
      <c r="AD27" s="324"/>
      <c r="AG27" s="324"/>
      <c r="AH27" s="324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24"/>
      <c r="BB27" s="324"/>
      <c r="BC27" s="324"/>
      <c r="BD27" s="324"/>
      <c r="BE27" s="325"/>
      <c r="BF27" s="324"/>
      <c r="BG27" s="324"/>
      <c r="BH27" s="324"/>
      <c r="BI27" s="324"/>
      <c r="BJ27" s="324"/>
      <c r="BK27" s="324"/>
      <c r="BL27" s="324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 x14ac:dyDescent="0.15">
      <c r="A28" t="s">
        <v>875</v>
      </c>
      <c r="N28" s="324"/>
      <c r="O28" s="324"/>
      <c r="P28" s="324"/>
      <c r="Q28" s="324"/>
      <c r="R28" s="324"/>
      <c r="S28" s="177">
        <v>0.47110999999999997</v>
      </c>
      <c r="W28" s="177">
        <v>1.0932900000000001</v>
      </c>
      <c r="X28" s="177">
        <v>1.238586</v>
      </c>
      <c r="Y28" s="177">
        <v>1.5943890000000001</v>
      </c>
      <c r="Z28" s="177">
        <v>1.8573170000000001</v>
      </c>
      <c r="AA28" s="177">
        <v>2.2246800000000002</v>
      </c>
      <c r="AB28" s="324"/>
      <c r="AC28" s="324"/>
      <c r="AD28" s="324"/>
      <c r="AG28" s="324"/>
      <c r="AH28" s="324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24"/>
      <c r="BB28" s="324"/>
      <c r="BC28" s="324"/>
      <c r="BD28" s="324"/>
      <c r="BE28" s="325"/>
      <c r="BF28" s="324"/>
      <c r="BG28" s="324"/>
      <c r="BH28" s="324"/>
      <c r="BI28" s="324"/>
      <c r="BJ28" s="324"/>
      <c r="BK28" s="324"/>
      <c r="BL28" s="324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 x14ac:dyDescent="0.15">
      <c r="A29" t="s">
        <v>876</v>
      </c>
      <c r="N29" s="324"/>
      <c r="O29" s="324"/>
      <c r="P29" s="324"/>
      <c r="Q29" s="324"/>
      <c r="R29" s="324"/>
      <c r="S29" s="177">
        <v>299.56594799999999</v>
      </c>
      <c r="W29" s="177">
        <v>311.37261999999998</v>
      </c>
      <c r="X29" s="177">
        <v>326.69729599999999</v>
      </c>
      <c r="Y29" s="177">
        <v>342.55276500000002</v>
      </c>
      <c r="Z29" s="177">
        <v>358.618988</v>
      </c>
      <c r="AA29" s="177">
        <v>374.66973899999999</v>
      </c>
      <c r="AB29" s="324"/>
      <c r="AC29" s="324"/>
      <c r="AD29" s="324"/>
      <c r="AG29" s="324"/>
      <c r="AH29" s="324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24"/>
      <c r="BB29" s="324"/>
      <c r="BC29" s="324"/>
      <c r="BD29" s="324"/>
      <c r="BE29" s="325"/>
      <c r="BF29" s="324"/>
      <c r="BG29" s="324"/>
      <c r="BH29" s="324"/>
      <c r="BI29" s="324"/>
      <c r="BJ29" s="324"/>
      <c r="BK29" s="324"/>
      <c r="BL29" s="324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 x14ac:dyDescent="0.15">
      <c r="A30" t="s">
        <v>877</v>
      </c>
      <c r="N30" s="324"/>
      <c r="O30" s="324"/>
      <c r="P30" s="324"/>
      <c r="Q30" s="324"/>
      <c r="R30" s="324"/>
      <c r="S30" s="175">
        <v>11294.875</v>
      </c>
      <c r="W30" s="175">
        <v>11599.082031</v>
      </c>
      <c r="X30" s="175">
        <v>13450.767578000001</v>
      </c>
      <c r="Y30" s="175">
        <v>15398.419921999999</v>
      </c>
      <c r="Z30" s="175">
        <v>17548.300781000002</v>
      </c>
      <c r="AA30" s="175">
        <v>19875.029297000001</v>
      </c>
      <c r="AB30" s="324"/>
      <c r="AC30" s="324"/>
      <c r="AD30" s="324"/>
      <c r="AG30" s="324"/>
      <c r="AH30" s="324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24"/>
      <c r="BB30" s="324"/>
      <c r="BC30" s="324"/>
      <c r="BD30" s="324"/>
      <c r="BE30" s="325"/>
      <c r="BF30" s="324"/>
      <c r="BG30" s="324"/>
      <c r="BH30" s="324"/>
      <c r="BI30" s="324"/>
      <c r="BJ30" s="324"/>
      <c r="BK30" s="324"/>
      <c r="BL30" s="324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1.2191192149871731E-2</v>
      </c>
      <c r="CP30" s="10">
        <f>+Africa!Y40</f>
        <v>1.1662661966358194E-2</v>
      </c>
      <c r="CQ30" s="10">
        <f>+Africa!Z40</f>
        <v>1.1178623068274258E-2</v>
      </c>
      <c r="CR30" s="10">
        <f>+Africa!AA40</f>
        <v>1.0733321498869974E-2</v>
      </c>
      <c r="CS30" s="10">
        <f>+Africa!AB40</f>
        <v>1.0321899947642882E-2</v>
      </c>
      <c r="CT30" s="10">
        <f>+Africa!AC40</f>
        <v>9.940239881306644E-3</v>
      </c>
      <c r="CU30" s="10">
        <f>+Africa!AD40</f>
        <v>9.5848346877505097E-3</v>
      </c>
      <c r="CV30" s="10">
        <f>+Africa!AE40</f>
        <v>9.2526871111134213E-3</v>
      </c>
      <c r="CW30" s="10">
        <f>+Africa!AF40</f>
        <v>8.9412258408821787E-3</v>
      </c>
      <c r="CX30" s="10">
        <f>+Africa!AG40</f>
        <v>8.648237301520147E-3</v>
      </c>
      <c r="CY30" s="10">
        <f>+Africa!AH40</f>
        <v>8.3718095795337222E-3</v>
      </c>
      <c r="CZ30" s="10">
        <f>+Africa!AI40</f>
        <v>8.1102860993849963E-3</v>
      </c>
      <c r="DA30" s="10">
        <f>+Africa!AJ40</f>
        <v>7.8622271740260846E-3</v>
      </c>
      <c r="DB30" s="10">
        <f>+Africa!AK40</f>
        <v>7.6263779506003781E-3</v>
      </c>
      <c r="DC30" s="10">
        <f>+Africa!AL40</f>
        <v>7.4016415767096388E-3</v>
      </c>
      <c r="DD30" s="10">
        <f>+Africa!AM40</f>
        <v>7.1870566494671682E-3</v>
      </c>
      <c r="DE30" s="10">
        <f>+Africa!AN40</f>
        <v>6.9817781945882267E-3</v>
      </c>
      <c r="DF30" s="10">
        <f>+Africa!AO40</f>
        <v>6.7850615681414473E-3</v>
      </c>
      <c r="DG30" s="10">
        <f>+Africa!AP40</f>
        <v>6.5962487884163902E-3</v>
      </c>
      <c r="DH30" s="10">
        <f>+Africa!AQ40</f>
        <v>6.4147568965446412E-3</v>
      </c>
      <c r="DI30" s="10">
        <f>+Africa!AR40</f>
        <v>6.2400680172843871E-3</v>
      </c>
      <c r="DJ30" s="10">
        <f>+Africa!AS40</f>
        <v>6.0717208497458415E-3</v>
      </c>
      <c r="DK30" s="10">
        <f>+Africa!AT40</f>
        <v>5.9093033648742448E-3</v>
      </c>
      <c r="DL30" s="10">
        <f>+Africa!AU40</f>
        <v>5.7524465245946989E-3</v>
      </c>
      <c r="DM30" s="10">
        <f>+Africa!AV40</f>
        <v>5.6008188685028656E-3</v>
      </c>
      <c r="DN30" s="10">
        <f>+Africa!AW40</f>
        <v>5.4541218392955134E-3</v>
      </c>
      <c r="DO30" s="10">
        <f>+Africa!AX40</f>
        <v>5.3120857389014273E-3</v>
      </c>
      <c r="DP30" s="10">
        <f>+Africa!AY40</f>
        <v>5.1744662243827615E-3</v>
      </c>
      <c r="DQ30" s="10">
        <f>+Africa!AZ40</f>
        <v>5.0410412668300984E-3</v>
      </c>
      <c r="DR30" s="10">
        <f>+Africa!BA40</f>
        <v>4.9116085082274693E-3</v>
      </c>
      <c r="DS30" s="10">
        <f>+Africa!BB40</f>
        <v>4.7859829610597988E-3</v>
      </c>
      <c r="DT30" s="10">
        <f>+Africa!BC40</f>
        <v>4.6639950036295912E-3</v>
      </c>
      <c r="DU30" s="10">
        <f>+Africa!BD40</f>
        <v>4.5454886309275466E-3</v>
      </c>
      <c r="DV30" s="10">
        <f>+Africa!BE40</f>
        <v>4.4303199266934896E-3</v>
      </c>
      <c r="DW30" s="10">
        <f>+Africa!BF40</f>
        <v>4.3183557271960805E-3</v>
      </c>
      <c r="DX30" s="10">
        <f>+Africa!BG40</f>
        <v>4.209472451404208E-3</v>
      </c>
      <c r="DY30" s="10">
        <f>+Africa!BH40</f>
        <v>4.1035550757435911E-3</v>
      </c>
      <c r="DZ30" s="10">
        <f>+Africa!BI40</f>
        <v>4.0004962346307628E-3</v>
      </c>
    </row>
    <row r="31" spans="1:130" s="1" customFormat="1" x14ac:dyDescent="0.15">
      <c r="A31" t="s">
        <v>878</v>
      </c>
      <c r="N31" s="324"/>
      <c r="O31" s="324"/>
      <c r="P31" s="324"/>
      <c r="Q31" s="324"/>
      <c r="R31" s="324"/>
      <c r="S31" s="331">
        <v>5906.7802730000003</v>
      </c>
      <c r="W31" s="331">
        <v>5745.9418949999999</v>
      </c>
      <c r="X31" s="331">
        <v>5829.6899409999996</v>
      </c>
      <c r="Y31" s="331">
        <v>5904.5942379999997</v>
      </c>
      <c r="Z31" s="331">
        <v>6047.076172</v>
      </c>
      <c r="AA31" s="331">
        <v>6207.1416019999997</v>
      </c>
      <c r="AB31" s="324"/>
      <c r="AC31" s="324"/>
      <c r="AD31" s="324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32" customFormat="1" x14ac:dyDescent="0.15">
      <c r="A32" s="332" t="s">
        <v>879</v>
      </c>
      <c r="N32" s="325"/>
      <c r="O32" s="325"/>
      <c r="P32" s="325"/>
      <c r="Q32" s="325"/>
      <c r="R32" s="325"/>
      <c r="S32" s="325">
        <f>+S31/S30</f>
        <v>0.52296110165008469</v>
      </c>
      <c r="W32" s="325">
        <f>+W31/W30</f>
        <v>0.49537902048138382</v>
      </c>
      <c r="X32" s="325">
        <f>+X31/X30</f>
        <v>0.43340946211389508</v>
      </c>
      <c r="Y32" s="325">
        <f>+Y31/Y30</f>
        <v>0.38345455364313058</v>
      </c>
      <c r="Z32" s="325">
        <f>+Z31/Z30</f>
        <v>0.34459610918837941</v>
      </c>
      <c r="AA32" s="325">
        <f>+AA31/AA30</f>
        <v>0.31230855105893729</v>
      </c>
      <c r="AB32" s="325"/>
      <c r="AC32" s="325"/>
      <c r="AD32" s="325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 x14ac:dyDescent="0.15">
      <c r="A33" t="s">
        <v>880</v>
      </c>
      <c r="N33" s="324"/>
      <c r="O33" s="324"/>
      <c r="P33" s="324"/>
      <c r="Q33" s="324"/>
      <c r="R33" s="324"/>
      <c r="S33" s="331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24"/>
      <c r="AC33" s="324"/>
      <c r="AD33" s="324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9" x14ac:dyDescent="0.25">
      <c r="A34" s="330" t="s">
        <v>881</v>
      </c>
      <c r="N34" s="324"/>
      <c r="O34" s="324"/>
      <c r="P34" s="324"/>
      <c r="Q34" s="324"/>
      <c r="R34" s="324"/>
      <c r="S34" s="331"/>
      <c r="W34" s="331"/>
      <c r="X34" s="331"/>
      <c r="Y34" s="331"/>
      <c r="Z34" s="331"/>
      <c r="AA34" s="331"/>
      <c r="AB34" s="324"/>
      <c r="AC34" s="324"/>
      <c r="AD34" s="324"/>
      <c r="BO34" s="1" t="s">
        <v>1201</v>
      </c>
      <c r="BR34" s="1" t="s">
        <v>1255</v>
      </c>
    </row>
    <row r="35" spans="1:131" s="1" customFormat="1" x14ac:dyDescent="0.15">
      <c r="A35" t="s">
        <v>873</v>
      </c>
      <c r="N35" s="324"/>
      <c r="O35" s="324"/>
      <c r="P35" s="324"/>
      <c r="Q35" s="324"/>
      <c r="R35" s="324"/>
      <c r="S35" s="331"/>
      <c r="W35" s="331"/>
      <c r="X35" s="331"/>
      <c r="Y35" s="331"/>
      <c r="Z35" s="331"/>
      <c r="AA35" s="331"/>
      <c r="AB35" s="324"/>
      <c r="AC35" s="324"/>
      <c r="AD35" s="324"/>
      <c r="AE35" s="324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2">
        <v>573.92380422036115</v>
      </c>
      <c r="EA35" s="10"/>
    </row>
    <row r="36" spans="1:131" s="1" customFormat="1" x14ac:dyDescent="0.15">
      <c r="A36" t="s">
        <v>874</v>
      </c>
      <c r="N36" s="324"/>
      <c r="O36" s="324"/>
      <c r="P36" s="324"/>
      <c r="Q36" s="324"/>
      <c r="R36" s="324"/>
      <c r="S36" s="331"/>
      <c r="W36" s="331"/>
      <c r="X36" s="331"/>
      <c r="Y36" s="331"/>
      <c r="Z36" s="331"/>
      <c r="AA36" s="331"/>
      <c r="AB36" s="324"/>
      <c r="AC36" s="324"/>
      <c r="AD36" s="324"/>
      <c r="AE36" s="324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2">
        <v>540.14303514365145</v>
      </c>
      <c r="EA36" s="10"/>
    </row>
    <row r="37" spans="1:131" s="1" customFormat="1" x14ac:dyDescent="0.15">
      <c r="A37" t="s">
        <v>875</v>
      </c>
      <c r="N37" s="324"/>
      <c r="O37" s="324"/>
      <c r="P37" s="324"/>
      <c r="Q37" s="324"/>
      <c r="R37" s="324"/>
      <c r="S37" s="331"/>
      <c r="W37" s="331"/>
      <c r="X37" s="331"/>
      <c r="Y37" s="331"/>
      <c r="Z37" s="331"/>
      <c r="AA37" s="331"/>
      <c r="AB37" s="324"/>
      <c r="AC37" s="324"/>
      <c r="AD37" s="324"/>
      <c r="AE37" s="324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2">
        <v>101.62321021137637</v>
      </c>
      <c r="EA37" s="10"/>
    </row>
    <row r="38" spans="1:131" s="1" customFormat="1" x14ac:dyDescent="0.15">
      <c r="A38" t="s">
        <v>876</v>
      </c>
      <c r="N38" s="324"/>
      <c r="O38" s="324"/>
      <c r="P38" s="324"/>
      <c r="Q38" s="324"/>
      <c r="R38" s="324"/>
      <c r="S38" s="333">
        <v>296.73387000000002</v>
      </c>
      <c r="T38" s="333"/>
      <c r="U38" s="333"/>
      <c r="V38" s="333"/>
      <c r="W38" s="333">
        <f>+(S38*X38)^0.5</f>
        <v>310.90124864131093</v>
      </c>
      <c r="X38" s="333">
        <v>325.74504018272751</v>
      </c>
      <c r="Y38" s="333">
        <f>+(X38*Z38)^0.5</f>
        <v>338.43885710593366</v>
      </c>
      <c r="Z38" s="333">
        <v>351.62733386491038</v>
      </c>
      <c r="AA38" s="333">
        <f>+(Z38*AB38)^0.5</f>
        <v>361.90080172080002</v>
      </c>
      <c r="AB38" s="333">
        <v>372.47442867019902</v>
      </c>
      <c r="AC38" s="334">
        <f t="shared" ref="AA38:AC40" si="71">+(AB38*AD38)^0.5</f>
        <v>380.60319303560885</v>
      </c>
      <c r="AD38" s="333">
        <v>388.90935698880855</v>
      </c>
      <c r="AE38" s="334">
        <f>+(AD38*AF38)^0.5</f>
        <v>393.72785636110683</v>
      </c>
      <c r="AF38" s="333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2">
        <v>82.760193909976579</v>
      </c>
      <c r="EA38" s="10"/>
    </row>
    <row r="39" spans="1:131" s="1" customFormat="1" x14ac:dyDescent="0.15">
      <c r="A39" t="s">
        <v>877</v>
      </c>
      <c r="N39" s="324"/>
      <c r="O39" s="324"/>
      <c r="P39" s="324"/>
      <c r="Q39" s="324"/>
      <c r="R39" s="324"/>
      <c r="S39" s="335">
        <v>11294.875</v>
      </c>
      <c r="T39" s="334"/>
      <c r="U39" s="334"/>
      <c r="V39" s="334"/>
      <c r="W39" s="334">
        <f>+(S39*X39)^0.5</f>
        <v>13206.953189349768</v>
      </c>
      <c r="X39" s="335">
        <v>15442.721813714272</v>
      </c>
      <c r="Y39" s="334">
        <f>+(X39*Z39)^0.5</f>
        <v>17297.906113014167</v>
      </c>
      <c r="Z39" s="335">
        <v>19375.959724206499</v>
      </c>
      <c r="AA39" s="334">
        <f t="shared" si="71"/>
        <v>21395.399090869207</v>
      </c>
      <c r="AB39" s="335">
        <v>23625.312437333399</v>
      </c>
      <c r="AC39" s="334">
        <f t="shared" si="71"/>
        <v>25722.237143964987</v>
      </c>
      <c r="AD39" s="335">
        <v>28005.279737373534</v>
      </c>
      <c r="AE39" s="334">
        <f>+(AD39*AF39)^0.5</f>
        <v>30102.148055414196</v>
      </c>
      <c r="AF39" s="335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2">
        <v>108.00640469610317</v>
      </c>
      <c r="EA39" s="10"/>
    </row>
    <row r="40" spans="1:131" s="1" customFormat="1" x14ac:dyDescent="0.15">
      <c r="A40" t="s">
        <v>878</v>
      </c>
      <c r="N40" s="324"/>
      <c r="O40" s="324"/>
      <c r="P40" s="324"/>
      <c r="Q40" s="324"/>
      <c r="R40" s="324"/>
      <c r="S40" s="331">
        <f>+S4*3.666*1000</f>
        <v>5954.3449468587696</v>
      </c>
      <c r="W40" s="331">
        <f t="shared" ref="W40:AF40" si="72">+W4*3.666*1000</f>
        <v>5953.8259283914076</v>
      </c>
      <c r="X40" s="331">
        <f t="shared" si="72"/>
        <v>5953.1772189268149</v>
      </c>
      <c r="Y40" s="331">
        <f t="shared" si="72"/>
        <v>6256.7017742813832</v>
      </c>
      <c r="Z40" s="331">
        <f t="shared" si="72"/>
        <v>6575.7016216212623</v>
      </c>
      <c r="AA40" s="331">
        <f t="shared" si="72"/>
        <v>6796.131404190417</v>
      </c>
      <c r="AB40" s="331">
        <f t="shared" si="72"/>
        <v>7023.9504041905629</v>
      </c>
      <c r="AC40" s="334">
        <f t="shared" si="71"/>
        <v>7187.7965402330419</v>
      </c>
      <c r="AD40" s="331">
        <f t="shared" si="72"/>
        <v>7355.4646788170003</v>
      </c>
      <c r="AE40" s="331">
        <f t="shared" si="72"/>
        <v>7459.1946743471171</v>
      </c>
      <c r="AF40" s="331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2">
        <v>632.21927328566335</v>
      </c>
      <c r="EA40" s="10"/>
    </row>
    <row r="41" spans="1:131" s="332" customFormat="1" ht="15" x14ac:dyDescent="0.2">
      <c r="A41" s="336" t="s">
        <v>879</v>
      </c>
      <c r="N41" s="325"/>
      <c r="O41" s="325"/>
      <c r="P41" s="325"/>
      <c r="Q41" s="325"/>
      <c r="R41" s="325"/>
      <c r="S41" s="325">
        <f>+S40/S39</f>
        <v>0.52717227475813322</v>
      </c>
      <c r="W41" s="325">
        <f t="shared" ref="W41:AF41" si="73">+W40/W39</f>
        <v>0.4508099516240156</v>
      </c>
      <c r="X41" s="325">
        <f t="shared" si="73"/>
        <v>0.3855005154363369</v>
      </c>
      <c r="Y41" s="325">
        <f t="shared" si="73"/>
        <v>0.36170284041339096</v>
      </c>
      <c r="Z41" s="325">
        <f t="shared" si="73"/>
        <v>0.33937424082308554</v>
      </c>
      <c r="AA41" s="325">
        <f t="shared" si="73"/>
        <v>0.31764452606498766</v>
      </c>
      <c r="AB41" s="325">
        <f t="shared" si="73"/>
        <v>0.29730613818639345</v>
      </c>
      <c r="AC41" s="325">
        <f t="shared" si="73"/>
        <v>0.27943901224468182</v>
      </c>
      <c r="AD41" s="325">
        <f t="shared" si="73"/>
        <v>0.26264564210015745</v>
      </c>
      <c r="AE41" s="325">
        <f t="shared" si="73"/>
        <v>0.24779609284412846</v>
      </c>
      <c r="AF41" s="325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2">
        <v>840.7075544754357</v>
      </c>
      <c r="EA41" s="10"/>
    </row>
    <row r="42" spans="1:131" s="1" customFormat="1" x14ac:dyDescent="0.15">
      <c r="A42"/>
      <c r="N42" s="324"/>
      <c r="O42" s="324"/>
      <c r="P42" s="324"/>
      <c r="Q42" s="324"/>
      <c r="R42" s="324"/>
      <c r="S42" s="331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2">
        <v>533.54392715518043</v>
      </c>
      <c r="EA42" s="10"/>
    </row>
    <row r="43" spans="1:131" s="1" customFormat="1" x14ac:dyDescent="0.15">
      <c r="A43"/>
      <c r="N43" s="324"/>
      <c r="O43" s="324"/>
      <c r="P43" s="324"/>
      <c r="Q43" s="324"/>
      <c r="R43" s="324"/>
      <c r="S43" s="331">
        <v>911.03128884619628</v>
      </c>
      <c r="W43" s="331"/>
      <c r="X43" s="331"/>
      <c r="Y43" s="331"/>
      <c r="Z43" s="331"/>
      <c r="AA43" s="331"/>
      <c r="AB43" s="324"/>
      <c r="AC43" s="324"/>
      <c r="AD43" s="324"/>
      <c r="AE43" s="324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2">
        <v>700.62033479572153</v>
      </c>
      <c r="EA43" s="10"/>
    </row>
    <row r="44" spans="1:131" s="1" customFormat="1" x14ac:dyDescent="0.15">
      <c r="A44" t="s">
        <v>882</v>
      </c>
      <c r="N44" s="324"/>
      <c r="O44" s="324"/>
      <c r="P44" s="324"/>
      <c r="Q44" s="324"/>
      <c r="R44" s="324"/>
      <c r="S44" s="331"/>
      <c r="W44" s="331"/>
      <c r="X44" s="331"/>
      <c r="Y44" s="331"/>
      <c r="Z44" s="331"/>
      <c r="AA44" s="331"/>
      <c r="AB44" s="324"/>
      <c r="AC44" s="324"/>
      <c r="AD44" s="324"/>
      <c r="AE44" s="324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2">
        <v>619.44819542216067</v>
      </c>
      <c r="EA44" s="10"/>
    </row>
    <row r="45" spans="1:131" s="1" customFormat="1" x14ac:dyDescent="0.15">
      <c r="A45" t="s">
        <v>876</v>
      </c>
      <c r="N45" s="324"/>
      <c r="O45" s="324"/>
      <c r="P45" s="324"/>
      <c r="Q45" s="324"/>
      <c r="R45" s="324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24"/>
      <c r="AD45" s="324"/>
      <c r="AE45" s="324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2">
        <v>149.21092009940068</v>
      </c>
      <c r="EA45" s="10"/>
    </row>
    <row r="46" spans="1:131" s="1" customFormat="1" x14ac:dyDescent="0.15">
      <c r="A46" t="s">
        <v>877</v>
      </c>
      <c r="N46" s="324"/>
      <c r="O46" s="324"/>
      <c r="P46" s="324"/>
      <c r="Q46" s="324"/>
      <c r="R46" s="324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24"/>
      <c r="AC46" s="324"/>
      <c r="AD46" s="324"/>
      <c r="AE46" s="324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2">
        <v>679.05306747441819</v>
      </c>
      <c r="EA46" s="10"/>
    </row>
    <row r="47" spans="1:131" s="1" customFormat="1" x14ac:dyDescent="0.15">
      <c r="A47" t="s">
        <v>878</v>
      </c>
      <c r="N47" s="324"/>
      <c r="O47" s="324"/>
      <c r="P47" s="324"/>
      <c r="Q47" s="324"/>
      <c r="R47" s="324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24"/>
      <c r="AC47" s="324"/>
      <c r="AD47" s="324"/>
      <c r="AE47" s="324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 x14ac:dyDescent="0.15">
      <c r="A48" t="s">
        <v>879</v>
      </c>
      <c r="N48" s="324"/>
      <c r="O48" s="324"/>
      <c r="P48" s="324"/>
      <c r="Q48" s="324"/>
      <c r="R48" s="324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24"/>
      <c r="AC48" s="324"/>
      <c r="AD48" s="324"/>
      <c r="AE48" s="324"/>
      <c r="BO48" s="207" t="s">
        <v>1256</v>
      </c>
      <c r="BR48" s="1" t="s">
        <v>133</v>
      </c>
    </row>
    <row r="49" spans="1:130" s="1" customFormat="1" x14ac:dyDescent="0.15">
      <c r="A49"/>
      <c r="N49" s="324"/>
      <c r="O49" s="324"/>
      <c r="P49" s="324"/>
      <c r="Q49" s="324"/>
      <c r="R49" s="324"/>
      <c r="S49" s="331"/>
      <c r="W49" s="331"/>
      <c r="X49" s="331"/>
      <c r="Y49" s="331"/>
      <c r="Z49" s="331"/>
      <c r="AA49" s="331"/>
      <c r="AB49" s="324"/>
      <c r="AC49" s="324"/>
      <c r="AD49" s="324"/>
      <c r="AE49" s="324"/>
      <c r="BP49" s="12"/>
      <c r="BR49" s="1" t="s">
        <v>104</v>
      </c>
      <c r="BS49" s="12">
        <f>+US!B61</f>
        <v>10.097624386310635</v>
      </c>
      <c r="BT49" s="12">
        <f>+US!C61</f>
        <v>10.086692214387417</v>
      </c>
      <c r="BU49" s="12">
        <f>+US!D61</f>
        <v>10.441989948821607</v>
      </c>
      <c r="BV49" s="12">
        <f>+US!E61</f>
        <v>10.729330649577102</v>
      </c>
      <c r="BW49" s="12">
        <f>+US!F61</f>
        <v>11.16159319962169</v>
      </c>
      <c r="BX49" s="12">
        <f>+US!G61</f>
        <v>11.461194612125004</v>
      </c>
      <c r="BY49" s="12">
        <f>+US!H61</f>
        <v>11.893575685859824</v>
      </c>
      <c r="BZ49" s="12">
        <f>+US!I61</f>
        <v>12.422503803855163</v>
      </c>
      <c r="CA49" s="12">
        <f>+US!J61</f>
        <v>12.979205197580605</v>
      </c>
      <c r="CB49" s="12">
        <f>+US!K61</f>
        <v>13.601493066785027</v>
      </c>
      <c r="CC49" s="12">
        <f>+US!L61</f>
        <v>14.156047630699589</v>
      </c>
      <c r="CD49" s="12">
        <f>+US!M61</f>
        <v>14.29114427569376</v>
      </c>
      <c r="CE49" s="12">
        <f>+US!N61</f>
        <v>14.533513925617321</v>
      </c>
      <c r="CF49" s="12">
        <f>+US!O61</f>
        <v>14.939901364652821</v>
      </c>
      <c r="CG49" s="12">
        <f>+US!P61</f>
        <v>15.515468923210326</v>
      </c>
      <c r="CH49" s="12">
        <f>+US!Q61</f>
        <v>16.055906889526064</v>
      </c>
      <c r="CI49" s="12">
        <f>+US!R61</f>
        <v>16.502712372523298</v>
      </c>
      <c r="CJ49" s="12">
        <f>+US!S61</f>
        <v>16.834500650997196</v>
      </c>
      <c r="CK49" s="12">
        <f>+US!T61</f>
        <v>16.855070465225207</v>
      </c>
      <c r="CL49" s="12">
        <f>+US!U61</f>
        <v>16.416857451632552</v>
      </c>
      <c r="CM49" s="12">
        <f>+US!V61</f>
        <v>16.861566593687847</v>
      </c>
      <c r="CN49" s="12">
        <f>+US!W61</f>
        <v>17.122903162843045</v>
      </c>
      <c r="CO49" s="12">
        <f>+US!X61</f>
        <v>17.513423092584549</v>
      </c>
      <c r="CP49" s="12">
        <f>+US!Y61</f>
        <v>17.835998523381839</v>
      </c>
      <c r="CQ49" s="12">
        <f>+US!Z61</f>
        <v>18.244046204930381</v>
      </c>
      <c r="CR49" s="12">
        <f>+US!AA61</f>
        <v>18.737797521903591</v>
      </c>
      <c r="CS49" s="12">
        <f>+US!AB61</f>
        <v>19.050245063231607</v>
      </c>
      <c r="CT49" s="12">
        <f>+US!AC61</f>
        <v>19.477336548999897</v>
      </c>
      <c r="CU49" s="12">
        <f>+US!AD61</f>
        <v>20.051019065249122</v>
      </c>
      <c r="CV49" s="12">
        <f>+US!AE61</f>
        <v>20.511077482157891</v>
      </c>
      <c r="CW49" s="12">
        <f>+US!AF61</f>
        <v>19.943371364490343</v>
      </c>
      <c r="CX49" s="12">
        <f>+US!AG61</f>
        <v>21.129101469839974</v>
      </c>
      <c r="CY49" s="12">
        <f>+US!AH61</f>
        <v>21.538083666841679</v>
      </c>
      <c r="CZ49" s="12">
        <f>+US!AI61</f>
        <v>0</v>
      </c>
      <c r="DA49" s="12">
        <f>+US!AJ61</f>
        <v>0</v>
      </c>
      <c r="DB49" s="12">
        <f>+US!AK61</f>
        <v>0</v>
      </c>
      <c r="DC49" s="12">
        <f>+US!AL61</f>
        <v>0</v>
      </c>
      <c r="DD49" s="12">
        <f>+US!AM61</f>
        <v>0</v>
      </c>
      <c r="DE49" s="12">
        <f>+US!AN61</f>
        <v>0</v>
      </c>
      <c r="DF49" s="12">
        <f>+US!AO61</f>
        <v>0</v>
      </c>
      <c r="DG49" s="12">
        <f>+US!AP61</f>
        <v>0</v>
      </c>
      <c r="DH49" s="12">
        <f>+US!AQ61</f>
        <v>0</v>
      </c>
      <c r="DI49" s="12">
        <f>+US!AR61</f>
        <v>0</v>
      </c>
      <c r="DJ49" s="12">
        <f>+US!AS61</f>
        <v>0</v>
      </c>
      <c r="DK49" s="12">
        <f>+US!AT61</f>
        <v>0</v>
      </c>
      <c r="DL49" s="12">
        <f>+US!AU61</f>
        <v>0</v>
      </c>
      <c r="DM49" s="12">
        <f>+US!AV61</f>
        <v>0</v>
      </c>
      <c r="DN49" s="12">
        <f>+US!AW61</f>
        <v>0</v>
      </c>
      <c r="DO49" s="12">
        <f>+US!AX61</f>
        <v>0</v>
      </c>
      <c r="DP49" s="12">
        <f>+US!AY61</f>
        <v>0</v>
      </c>
      <c r="DQ49" s="12">
        <f>+US!AZ61</f>
        <v>0</v>
      </c>
      <c r="DR49" s="12">
        <f>+US!BA61</f>
        <v>0</v>
      </c>
      <c r="DS49" s="12">
        <f>+US!BB61</f>
        <v>0</v>
      </c>
      <c r="DT49" s="12">
        <f>+US!BC61</f>
        <v>0</v>
      </c>
      <c r="DU49" s="12">
        <f>+US!BD61</f>
        <v>0</v>
      </c>
      <c r="DV49" s="12">
        <f>+US!BE61</f>
        <v>0</v>
      </c>
      <c r="DW49" s="12">
        <f>+US!BF61</f>
        <v>0</v>
      </c>
      <c r="DX49" s="12">
        <f>+US!BG61</f>
        <v>0</v>
      </c>
      <c r="DY49" s="12">
        <f>+US!BH61</f>
        <v>0</v>
      </c>
      <c r="DZ49" s="12">
        <f>+US!BI61</f>
        <v>0</v>
      </c>
    </row>
    <row r="50" spans="1:130" s="1" customFormat="1" ht="19" x14ac:dyDescent="0.25">
      <c r="A50" s="320" t="s">
        <v>883</v>
      </c>
      <c r="N50" s="324"/>
      <c r="O50" s="324"/>
      <c r="P50" s="324"/>
      <c r="Q50" s="324"/>
      <c r="R50" s="324"/>
      <c r="S50" s="331"/>
      <c r="W50" s="331"/>
      <c r="X50" s="331"/>
      <c r="Y50" s="331"/>
      <c r="Z50" s="331"/>
      <c r="AA50" s="331"/>
      <c r="AB50" s="324"/>
      <c r="AC50" s="324"/>
      <c r="AD50" s="324"/>
      <c r="AE50" s="324"/>
      <c r="BP50" s="12"/>
      <c r="BR50" s="1" t="s">
        <v>105</v>
      </c>
      <c r="BS50" s="12">
        <f>+EU!B61</f>
        <v>14.144416532088242</v>
      </c>
      <c r="BT50" s="12">
        <f>+EU!C61</f>
        <v>14.514629992300486</v>
      </c>
      <c r="BU50" s="12">
        <f>+EU!D61</f>
        <v>14.772087625065955</v>
      </c>
      <c r="BV50" s="12">
        <f>+EU!E61</f>
        <v>14.811876889206818</v>
      </c>
      <c r="BW50" s="12">
        <f>+EU!F61</f>
        <v>15.168015405468575</v>
      </c>
      <c r="BX50" s="12">
        <f>+EU!G61</f>
        <v>15.617806902691907</v>
      </c>
      <c r="BY50" s="12">
        <f>+EU!H61</f>
        <v>15.974287097078674</v>
      </c>
      <c r="BZ50" s="12">
        <f>+EU!I61</f>
        <v>16.506803865007019</v>
      </c>
      <c r="CA50" s="12">
        <f>+EU!J61</f>
        <v>17.010575236957663</v>
      </c>
      <c r="CB50" s="12">
        <f>+EU!K61</f>
        <v>17.45900674241258</v>
      </c>
      <c r="CC50" s="12">
        <f>+EU!L61</f>
        <v>18.178120179884512</v>
      </c>
      <c r="CD50" s="12">
        <f>+EU!M61</f>
        <v>18.500220261899823</v>
      </c>
      <c r="CE50" s="12">
        <f>+EU!N61</f>
        <v>18.75952939538778</v>
      </c>
      <c r="CF50" s="12">
        <f>+EU!O61</f>
        <v>19.03111701619763</v>
      </c>
      <c r="CG50" s="12">
        <f>+EU!P61</f>
        <v>19.590427710133042</v>
      </c>
      <c r="CH50" s="12">
        <f>+EU!Q61</f>
        <v>20.070656838954864</v>
      </c>
      <c r="CI50" s="12">
        <f>+EU!R61</f>
        <v>20.781508917942585</v>
      </c>
      <c r="CJ50" s="12">
        <f>+EU!S61</f>
        <v>21.445709432556672</v>
      </c>
      <c r="CK50" s="12">
        <f>+EU!T61</f>
        <v>21.568859784802402</v>
      </c>
      <c r="CL50" s="12">
        <f>+EU!U61</f>
        <v>20.674210271961297</v>
      </c>
      <c r="CM50" s="12">
        <f>+EU!V61</f>
        <v>21.222532855028629</v>
      </c>
      <c r="CN50" s="12">
        <f>+EU!W61</f>
        <v>21.721770072222657</v>
      </c>
      <c r="CO50" s="12">
        <f>+EU!X61</f>
        <v>21.719233627273184</v>
      </c>
      <c r="CP50" s="12">
        <f>+EU!Y61</f>
        <v>21.904608476582606</v>
      </c>
      <c r="CQ50" s="12">
        <f>+EU!Z61</f>
        <v>22.369824318378743</v>
      </c>
      <c r="CR50" s="12">
        <f>+EU!AA61</f>
        <v>22.960022641982945</v>
      </c>
      <c r="CS50" s="12">
        <f>+EU!AB61</f>
        <v>23.436594850650071</v>
      </c>
      <c r="CT50" s="12">
        <f>+EU!AC61</f>
        <v>24.184270737709557</v>
      </c>
      <c r="CU50" s="12">
        <f>+EU!AD61</f>
        <v>24.695155117757157</v>
      </c>
      <c r="CV50" s="12">
        <f>+EU!AE61</f>
        <v>25.112959888559278</v>
      </c>
      <c r="CW50" s="12">
        <f>+EU!AF61</f>
        <v>23.732566132389419</v>
      </c>
      <c r="CX50" s="12">
        <f>+EU!AG61</f>
        <v>25.348269060713665</v>
      </c>
      <c r="CY50" s="12">
        <f>+EU!AH61</f>
        <v>26.31651101820021</v>
      </c>
      <c r="CZ50" s="12">
        <f>+EU!AI61</f>
        <v>125.80485951192458</v>
      </c>
      <c r="DA50" s="12">
        <f>+EU!AJ61</f>
        <v>188.46212018978261</v>
      </c>
      <c r="DB50" s="12">
        <f>+EU!AK61</f>
        <v>226.78886879062932</v>
      </c>
      <c r="DC50" s="12">
        <f>+EU!AL61</f>
        <v>252.07999165079474</v>
      </c>
      <c r="DD50" s="12">
        <f>+EU!AM61</f>
        <v>270.64529769731041</v>
      </c>
      <c r="DE50" s="12">
        <f>+EU!AN61</f>
        <v>285.73397745716107</v>
      </c>
      <c r="DF50" s="12">
        <f>+EU!AO61</f>
        <v>299.06641413742994</v>
      </c>
      <c r="DG50" s="12">
        <f>+EU!AP61</f>
        <v>311.57599401368833</v>
      </c>
      <c r="DH50" s="12">
        <f>+EU!AQ61</f>
        <v>323.77837666496634</v>
      </c>
      <c r="DI50" s="12">
        <f>+EU!AR61</f>
        <v>335.96330405219584</v>
      </c>
      <c r="DJ50" s="12">
        <f>+EU!AS61</f>
        <v>348.29709317231578</v>
      </c>
      <c r="DK50" s="12">
        <f>+EU!AT61</f>
        <v>360.87831070879218</v>
      </c>
      <c r="DL50" s="12">
        <f>+EU!AU61</f>
        <v>373.76829246069332</v>
      </c>
      <c r="DM50" s="12">
        <f>+EU!AV61</f>
        <v>387.00795709268328</v>
      </c>
      <c r="DN50" s="12">
        <f>+EU!AW61</f>
        <v>400.6270957975243</v>
      </c>
      <c r="DO50" s="12">
        <f>+EU!AX61</f>
        <v>414.64951503396156</v>
      </c>
      <c r="DP50" s="12">
        <f>+EU!AY61</f>
        <v>429.09588914280596</v>
      </c>
      <c r="DQ50" s="12">
        <f>+EU!AZ61</f>
        <v>443.98534712409167</v>
      </c>
      <c r="DR50" s="12">
        <f>+EU!BA61</f>
        <v>459.33635954912597</v>
      </c>
      <c r="DS50" s="12">
        <f>+EU!BB61</f>
        <v>475.16723858307239</v>
      </c>
      <c r="DT50" s="12">
        <f>+EU!BC61</f>
        <v>491.49642424287032</v>
      </c>
      <c r="DU50" s="12">
        <f>+EU!BD61</f>
        <v>508.34265266239578</v>
      </c>
      <c r="DV50" s="12">
        <f>+EU!BE61</f>
        <v>525.72505934326898</v>
      </c>
      <c r="DW50" s="12">
        <f>+EU!BF61</f>
        <v>543.69146749770141</v>
      </c>
      <c r="DX50" s="12">
        <f>+EU!BG61</f>
        <v>562.23517900012939</v>
      </c>
      <c r="DY50" s="12">
        <f>+EU!BH61</f>
        <v>581.36904505558857</v>
      </c>
      <c r="DZ50" s="12">
        <f>+EU!BI61</f>
        <v>601.11358304827399</v>
      </c>
    </row>
    <row r="51" spans="1:130" s="338" customFormat="1" ht="15" x14ac:dyDescent="0.2">
      <c r="A51" s="337" t="s">
        <v>884</v>
      </c>
      <c r="N51" s="339"/>
      <c r="O51" s="339"/>
      <c r="P51" s="339"/>
      <c r="Q51" s="339"/>
      <c r="R51" s="339"/>
      <c r="S51" s="340"/>
      <c r="W51" s="340"/>
      <c r="X51" s="340"/>
      <c r="Y51" s="340"/>
      <c r="Z51" s="340"/>
      <c r="AA51" s="340"/>
      <c r="AB51" s="339"/>
      <c r="AC51" s="339"/>
      <c r="AD51" s="339"/>
      <c r="AE51" s="339"/>
      <c r="BO51" s="1"/>
      <c r="BP51" s="12"/>
      <c r="BR51" s="1" t="s">
        <v>51</v>
      </c>
      <c r="BS51" s="12">
        <f>+Japan!B61</f>
        <v>4.0558065344852867</v>
      </c>
      <c r="BT51" s="12">
        <f>+Japan!C61</f>
        <v>4.1987070874691526</v>
      </c>
      <c r="BU51" s="12">
        <f>+Japan!D61</f>
        <v>4.2365200584661897</v>
      </c>
      <c r="BV51" s="12">
        <f>+Japan!E61</f>
        <v>4.2170651230790295</v>
      </c>
      <c r="BW51" s="12">
        <f>+Japan!F61</f>
        <v>4.2627520970717185</v>
      </c>
      <c r="BX51" s="12">
        <f>+Japan!G61</f>
        <v>4.3749050883958454</v>
      </c>
      <c r="BY51" s="12">
        <f>+Japan!H61</f>
        <v>4.5120089699238086</v>
      </c>
      <c r="BZ51" s="12">
        <f>+Japan!I61</f>
        <v>4.5562820983330843</v>
      </c>
      <c r="CA51" s="12">
        <f>+Japan!J61</f>
        <v>4.4984022574161466</v>
      </c>
      <c r="CB51" s="12">
        <f>+Japan!K61</f>
        <v>4.483380744658648</v>
      </c>
      <c r="CC51" s="12">
        <f>+Japan!L61</f>
        <v>4.6073304206374281</v>
      </c>
      <c r="CD51" s="12">
        <f>+Japan!M61</f>
        <v>4.6251194812453642</v>
      </c>
      <c r="CE51" s="12">
        <f>+Japan!N61</f>
        <v>4.6270602969758876</v>
      </c>
      <c r="CF51" s="12">
        <f>+Japan!O61</f>
        <v>4.69809147946183</v>
      </c>
      <c r="CG51" s="12">
        <f>+Japan!P61</f>
        <v>4.8007971946326302</v>
      </c>
      <c r="CH51" s="12">
        <f>+Japan!Q61</f>
        <v>4.8873988171026994</v>
      </c>
      <c r="CI51" s="12">
        <f>+Japan!R61</f>
        <v>4.9544710410065242</v>
      </c>
      <c r="CJ51" s="12">
        <f>+Japan!S61</f>
        <v>5.0279938757633724</v>
      </c>
      <c r="CK51" s="12">
        <f>+Japan!T61</f>
        <v>4.9664366997851097</v>
      </c>
      <c r="CL51" s="12">
        <f>+Japan!U61</f>
        <v>4.6836857198550312</v>
      </c>
      <c r="CM51" s="12">
        <f>+Japan!V61</f>
        <v>4.8756193162527293</v>
      </c>
      <c r="CN51" s="12">
        <f>+Japan!W61</f>
        <v>4.8767801779930027</v>
      </c>
      <c r="CO51" s="12">
        <f>+Japan!X61</f>
        <v>4.943823762219175</v>
      </c>
      <c r="CP51" s="12">
        <f>+Japan!Y61</f>
        <v>5.0429523812147572</v>
      </c>
      <c r="CQ51" s="12">
        <f>+Japan!Z61</f>
        <v>5.0578898842435018</v>
      </c>
      <c r="CR51" s="12">
        <f>+Japan!AA61</f>
        <v>5.1368246640691746</v>
      </c>
      <c r="CS51" s="12">
        <f>+Japan!AB61</f>
        <v>5.1755474222770976</v>
      </c>
      <c r="CT51" s="12">
        <f>+Japan!AC61</f>
        <v>5.262255011564986</v>
      </c>
      <c r="CU51" s="12">
        <f>+Japan!AD61</f>
        <v>5.2961118879409872</v>
      </c>
      <c r="CV51" s="12">
        <f>+Japan!AE61</f>
        <v>5.2748125570819049</v>
      </c>
      <c r="CW51" s="12">
        <f>+Japan!AF61</f>
        <v>5.0560598086151805</v>
      </c>
      <c r="CX51" s="12">
        <f>+Japan!AG61</f>
        <v>5.1854605705756303</v>
      </c>
      <c r="CY51" s="12">
        <f>+Japan!AH61</f>
        <v>5.2349680780370038</v>
      </c>
      <c r="CZ51" s="12">
        <f>+Japan!AI61</f>
        <v>23.02077801957584</v>
      </c>
      <c r="DA51" s="12">
        <f>+Japan!AJ61</f>
        <v>33.588435996500429</v>
      </c>
      <c r="DB51" s="12">
        <f>+Japan!AK61</f>
        <v>40.102607469006585</v>
      </c>
      <c r="DC51" s="12">
        <f>+Japan!AL61</f>
        <v>44.436677387432752</v>
      </c>
      <c r="DD51" s="12">
        <f>+Japan!AM61</f>
        <v>47.640702203146738</v>
      </c>
      <c r="DE51" s="12">
        <f>+Japan!AN61</f>
        <v>50.2591611675889</v>
      </c>
      <c r="DF51" s="12">
        <f>+Japan!AO61</f>
        <v>52.581937447404655</v>
      </c>
      <c r="DG51" s="12">
        <f>+Japan!AP61</f>
        <v>54.766963620214582</v>
      </c>
      <c r="DH51" s="12">
        <f>+Japan!AQ61</f>
        <v>56.90180200126342</v>
      </c>
      <c r="DI51" s="12">
        <f>+Japan!AR61</f>
        <v>59.03582099656996</v>
      </c>
      <c r="DJ51" s="12">
        <f>+Japan!AS61</f>
        <v>61.197461391732453</v>
      </c>
      <c r="DK51" s="12">
        <f>+Japan!AT61</f>
        <v>63.403646788078397</v>
      </c>
      <c r="DL51" s="12">
        <f>+Japan!AU61</f>
        <v>65.664957030477154</v>
      </c>
      <c r="DM51" s="12">
        <f>+Japan!AV61</f>
        <v>67.988485973944293</v>
      </c>
      <c r="DN51" s="12">
        <f>+Japan!AW61</f>
        <v>70.37942451914806</v>
      </c>
      <c r="DO51" s="12">
        <f>+Japan!AX61</f>
        <v>72.84193926206504</v>
      </c>
      <c r="DP51" s="12">
        <f>+Japan!AY61</f>
        <v>75.379661170290802</v>
      </c>
      <c r="DQ51" s="12">
        <f>+Japan!AZ61</f>
        <v>77.99595816663583</v>
      </c>
      <c r="DR51" s="12">
        <f>+Japan!BA61</f>
        <v>80.694087938152109</v>
      </c>
      <c r="DS51" s="12">
        <f>+Japan!BB61</f>
        <v>83.477284365995317</v>
      </c>
      <c r="DT51" s="12">
        <f>+Japan!BC61</f>
        <v>86.348807186586029</v>
      </c>
      <c r="DU51" s="12">
        <f>+Japan!BD61</f>
        <v>89.311971306368974</v>
      </c>
      <c r="DV51" s="12">
        <f>+Japan!BE61</f>
        <v>92.370164878261775</v>
      </c>
      <c r="DW51" s="12">
        <f>+Japan!BF61</f>
        <v>95.532139863532535</v>
      </c>
      <c r="DX51" s="12">
        <f>+Japan!BG61</f>
        <v>98.796445224788854</v>
      </c>
      <c r="DY51" s="12">
        <f>+Japan!BH61</f>
        <v>102.16529145852434</v>
      </c>
      <c r="DZ51" s="12">
        <f>+Japan!BI61</f>
        <v>105.64231283704024</v>
      </c>
    </row>
    <row r="52" spans="1:130" s="338" customFormat="1" ht="15" x14ac:dyDescent="0.2">
      <c r="A52" s="337" t="s">
        <v>885</v>
      </c>
      <c r="B52" s="338">
        <v>0.2</v>
      </c>
      <c r="N52" s="339"/>
      <c r="O52" s="339"/>
      <c r="P52" s="339"/>
      <c r="Q52" s="339"/>
      <c r="R52" s="339"/>
      <c r="S52" s="340"/>
      <c r="W52" s="340"/>
      <c r="X52" s="340"/>
      <c r="Y52" s="340"/>
      <c r="Z52" s="340"/>
      <c r="AA52" s="340"/>
      <c r="AB52" s="339"/>
      <c r="AC52" s="339"/>
      <c r="AD52" s="339"/>
      <c r="AE52" s="339"/>
      <c r="BO52" s="1"/>
      <c r="BP52" s="12"/>
      <c r="BR52" s="1" t="s">
        <v>52</v>
      </c>
      <c r="BS52" s="12">
        <f>+Russia!B61</f>
        <v>3.1787896424460942</v>
      </c>
      <c r="BT52" s="12">
        <f>+Russia!C61</f>
        <v>3.0183580539036825</v>
      </c>
      <c r="BU52" s="12">
        <f>+Russia!D61</f>
        <v>2.5797582183598742</v>
      </c>
      <c r="BV52" s="12">
        <f>+Russia!E61</f>
        <v>2.3561308364597</v>
      </c>
      <c r="BW52" s="12">
        <f>+Russia!F61</f>
        <v>2.0599709397421151</v>
      </c>
      <c r="BX52" s="12">
        <f>+Russia!G61</f>
        <v>1.9746154587137954</v>
      </c>
      <c r="BY52" s="12">
        <f>+Russia!H61</f>
        <v>1.9004672770985134</v>
      </c>
      <c r="BZ52" s="12">
        <f>+Russia!I61</f>
        <v>1.9270722188850999</v>
      </c>
      <c r="CA52" s="12">
        <f>+Russia!J61</f>
        <v>1.82493813076686</v>
      </c>
      <c r="CB52" s="12">
        <f>+Russia!K61</f>
        <v>1.9417326143075169</v>
      </c>
      <c r="CC52" s="12">
        <f>+Russia!L61</f>
        <v>2.1359071730807302</v>
      </c>
      <c r="CD52" s="12">
        <f>+Russia!M61</f>
        <v>2.2448395330417967</v>
      </c>
      <c r="CE52" s="12">
        <f>+Russia!N61</f>
        <v>2.3503468094679958</v>
      </c>
      <c r="CF52" s="12">
        <f>+Russia!O61</f>
        <v>2.5219210065080127</v>
      </c>
      <c r="CG52" s="12">
        <f>+Russia!P61</f>
        <v>2.7034980042877836</v>
      </c>
      <c r="CH52" s="12">
        <f>+Russia!Q61</f>
        <v>2.8765209424494276</v>
      </c>
      <c r="CI52" s="12">
        <f>+Russia!R61</f>
        <v>3.1123976230870856</v>
      </c>
      <c r="CJ52" s="12">
        <f>+Russia!S61</f>
        <v>3.3769507291375116</v>
      </c>
      <c r="CK52" s="12">
        <f>+Russia!T61</f>
        <v>3.5525511291147605</v>
      </c>
      <c r="CL52" s="12">
        <f>+Russia!U61</f>
        <v>3.2754523572978012</v>
      </c>
      <c r="CM52" s="12">
        <f>+Russia!V61</f>
        <v>3.4228477133502189</v>
      </c>
      <c r="CN52" s="12">
        <f>+Russia!W61</f>
        <v>3.5700311640055729</v>
      </c>
      <c r="CO52" s="12">
        <f>+Russia!X61</f>
        <v>3.7136922938936583</v>
      </c>
      <c r="CP52" s="12">
        <f>+Russia!Y61</f>
        <v>3.7788832709568285</v>
      </c>
      <c r="CQ52" s="12">
        <f>+Russia!Z61</f>
        <v>3.80670594982967</v>
      </c>
      <c r="CR52" s="12">
        <f>+Russia!AA61</f>
        <v>3.7316103296875518</v>
      </c>
      <c r="CS52" s="12">
        <f>+Russia!AB61</f>
        <v>3.7388380883942891</v>
      </c>
      <c r="CT52" s="12">
        <f>+Russia!AC61</f>
        <v>3.8071014227219249</v>
      </c>
      <c r="CU52" s="12">
        <f>+Russia!AD61</f>
        <v>3.9139761026880211</v>
      </c>
      <c r="CV52" s="12">
        <f>+Russia!AE61</f>
        <v>4.0000082608275322</v>
      </c>
      <c r="CW52" s="12">
        <f>+Russia!AF61</f>
        <v>3.8938618615726019</v>
      </c>
      <c r="CX52" s="12">
        <f>+Russia!AG61</f>
        <v>4.1124745733131745</v>
      </c>
      <c r="CY52" s="12">
        <f>+Russia!AH61</f>
        <v>4.027358213095213</v>
      </c>
      <c r="CZ52" s="12">
        <f>+Russia!AI61</f>
        <v>18.093192989797213</v>
      </c>
      <c r="DA52" s="12">
        <f>+Russia!AJ61</f>
        <v>26.536938231987662</v>
      </c>
      <c r="DB52" s="12">
        <f>+Russia!AK61</f>
        <v>31.759922878885583</v>
      </c>
      <c r="DC52" s="12">
        <f>+Russia!AL61</f>
        <v>35.250572411041574</v>
      </c>
      <c r="DD52" s="12">
        <f>+Russia!AM61</f>
        <v>37.841425106990819</v>
      </c>
      <c r="DE52" s="12">
        <f>+Russia!AN61</f>
        <v>39.964922681784152</v>
      </c>
      <c r="DF52" s="12">
        <f>+Russia!AO61</f>
        <v>41.851605852967047</v>
      </c>
      <c r="DG52" s="12">
        <f>+Russia!AP61</f>
        <v>43.627246339786524</v>
      </c>
      <c r="DH52" s="12">
        <f>+Russia!AQ61</f>
        <v>45.361681641831687</v>
      </c>
      <c r="DI52" s="12">
        <f>+Russia!AR61</f>
        <v>47.0943593937047</v>
      </c>
      <c r="DJ52" s="12">
        <f>+Russia!AS61</f>
        <v>48.848059018853512</v>
      </c>
      <c r="DK52" s="12">
        <f>+Russia!AT61</f>
        <v>50.63637771469525</v>
      </c>
      <c r="DL52" s="12">
        <f>+Russia!AU61</f>
        <v>52.467849783476218</v>
      </c>
      <c r="DM52" s="12">
        <f>+Russia!AV61</f>
        <v>54.348224134531563</v>
      </c>
      <c r="DN52" s="12">
        <f>+Russia!AW61</f>
        <v>56.281726931602918</v>
      </c>
      <c r="DO52" s="12">
        <f>+Russia!AX61</f>
        <v>58.271762962008765</v>
      </c>
      <c r="DP52" s="12">
        <f>+Russia!AY61</f>
        <v>60.321306011547669</v>
      </c>
      <c r="DQ52" s="12">
        <f>+Russia!AZ61</f>
        <v>62.433116785591587</v>
      </c>
      <c r="DR52" s="12">
        <f>+Russia!BA61</f>
        <v>64.609865182463807</v>
      </c>
      <c r="DS52" s="12">
        <f>+Russia!BB61</f>
        <v>66.854199530078048</v>
      </c>
      <c r="DT52" s="12">
        <f>+Russia!BC61</f>
        <v>69.168786431852311</v>
      </c>
      <c r="DU52" s="12">
        <f>+Russia!BD61</f>
        <v>71.556334343966938</v>
      </c>
      <c r="DV52" s="12">
        <f>+Russia!BE61</f>
        <v>74.019608165191158</v>
      </c>
      <c r="DW52" s="12">
        <f>+Russia!BF61</f>
        <v>76.565464241698521</v>
      </c>
      <c r="DX52" s="12">
        <f>+Russia!BG61</f>
        <v>79.192980881862681</v>
      </c>
      <c r="DY52" s="12">
        <f>+Russia!BH61</f>
        <v>81.904029903470402</v>
      </c>
      <c r="DZ52" s="12">
        <f>+Russia!BI61</f>
        <v>84.701570451530486</v>
      </c>
    </row>
    <row r="53" spans="1:130" s="338" customFormat="1" ht="15" x14ac:dyDescent="0.2">
      <c r="A53" s="337" t="s">
        <v>886</v>
      </c>
      <c r="B53" s="338">
        <v>0.95</v>
      </c>
      <c r="N53" s="339"/>
      <c r="O53" s="339"/>
      <c r="P53" s="339"/>
      <c r="Q53" s="339"/>
      <c r="R53" s="339"/>
      <c r="S53" s="340"/>
      <c r="W53" s="340"/>
      <c r="X53" s="340"/>
      <c r="Y53" s="340"/>
      <c r="Z53" s="340"/>
      <c r="AA53" s="340"/>
      <c r="AB53" s="339"/>
      <c r="AC53" s="339"/>
      <c r="AD53" s="339"/>
      <c r="AE53" s="339"/>
      <c r="BO53" s="1"/>
      <c r="BP53" s="12"/>
      <c r="BR53" s="1" t="s">
        <v>53</v>
      </c>
      <c r="BS53" s="12">
        <f>+Eurasia!B61</f>
        <v>1.8933234356568716</v>
      </c>
      <c r="BT53" s="12">
        <f>+Eurasia!C61</f>
        <v>1.7199561821751872</v>
      </c>
      <c r="BU53" s="12">
        <f>+Eurasia!D61</f>
        <v>1.5319459090514156</v>
      </c>
      <c r="BV53" s="12">
        <f>+Eurasia!E61</f>
        <v>1.3874022388858192</v>
      </c>
      <c r="BW53" s="12">
        <f>+Eurasia!F61</f>
        <v>1.2179390021060865</v>
      </c>
      <c r="BX53" s="12">
        <f>+Eurasia!G61</f>
        <v>1.427277558152392</v>
      </c>
      <c r="BY53" s="12">
        <f>+Eurasia!H61</f>
        <v>1.4291342103175888</v>
      </c>
      <c r="BZ53" s="12">
        <f>+Eurasia!I61</f>
        <v>1.4361713863174441</v>
      </c>
      <c r="CA53" s="12">
        <f>+Eurasia!J61</f>
        <v>1.4543199687213439</v>
      </c>
      <c r="CB53" s="12">
        <f>+Eurasia!K61</f>
        <v>1.4598348761770872</v>
      </c>
      <c r="CC53" s="12">
        <f>+Eurasia!L61</f>
        <v>1.5377872948332798</v>
      </c>
      <c r="CD53" s="12">
        <f>+Eurasia!M61</f>
        <v>1.6410805671484674</v>
      </c>
      <c r="CE53" s="12">
        <f>+Eurasia!N61</f>
        <v>1.7387021504947691</v>
      </c>
      <c r="CF53" s="12">
        <f>+Eurasia!O61</f>
        <v>1.8547445999084364</v>
      </c>
      <c r="CG53" s="12">
        <f>+Eurasia!P61</f>
        <v>2.0245828470133471</v>
      </c>
      <c r="CH53" s="12">
        <f>+Eurasia!Q61</f>
        <v>2.1535074682488875</v>
      </c>
      <c r="CI53" s="12">
        <f>+Eurasia!R61</f>
        <v>2.3402318499455501</v>
      </c>
      <c r="CJ53" s="12">
        <f>+Eurasia!S61</f>
        <v>2.5412894252611298</v>
      </c>
      <c r="CK53" s="12">
        <f>+Eurasia!T61</f>
        <v>2.6741201771234913</v>
      </c>
      <c r="CL53" s="12">
        <f>+Eurasia!U61</f>
        <v>2.5250509071768619</v>
      </c>
      <c r="CM53" s="12">
        <f>+Eurasia!V61</f>
        <v>2.5953671307138744</v>
      </c>
      <c r="CN53" s="12">
        <f>+Eurasia!W61</f>
        <v>2.7194931191346816</v>
      </c>
      <c r="CO53" s="12">
        <f>+Eurasia!X61</f>
        <v>2.7771940857472037</v>
      </c>
      <c r="CP53" s="12">
        <f>+Eurasia!Y61</f>
        <v>2.8455719742688887</v>
      </c>
      <c r="CQ53" s="12">
        <f>+Eurasia!Z61</f>
        <v>2.861630235428152</v>
      </c>
      <c r="CR53" s="12">
        <f>+Eurasia!AA61</f>
        <v>2.8658478781932391</v>
      </c>
      <c r="CS53" s="12">
        <f>+Eurasia!AB61</f>
        <v>2.9316817125273249</v>
      </c>
      <c r="CT53" s="12">
        <f>+Eurasia!AC61</f>
        <v>3.0547366948220827</v>
      </c>
      <c r="CU53" s="12">
        <f>+Eurasia!AD61</f>
        <v>3.1855552474942295</v>
      </c>
      <c r="CV53" s="12">
        <f>+Eurasia!AE61</f>
        <v>3.3099085924571114</v>
      </c>
      <c r="CW53" s="12">
        <f>+Eurasia!AF61</f>
        <v>3.2094430268435743</v>
      </c>
      <c r="CX53" s="12">
        <f>+Eurasia!AG61</f>
        <v>3.3991655225164785</v>
      </c>
      <c r="CY53" s="12">
        <f>+Eurasia!AH61</f>
        <v>3.3455012916662783</v>
      </c>
      <c r="CZ53" s="12">
        <f>+Eurasia!AI61</f>
        <v>20.200920287566337</v>
      </c>
      <c r="DA53" s="12">
        <f>+Eurasia!AJ61</f>
        <v>32.192381009044936</v>
      </c>
      <c r="DB53" s="12">
        <f>+Eurasia!AK61</f>
        <v>39.640160387700377</v>
      </c>
      <c r="DC53" s="12">
        <f>+Eurasia!AL61</f>
        <v>44.564648055126632</v>
      </c>
      <c r="DD53" s="12">
        <f>+Eurasia!AM61</f>
        <v>48.175539775952331</v>
      </c>
      <c r="DE53" s="12">
        <f>+Eurasia!AN61</f>
        <v>51.101051103946169</v>
      </c>
      <c r="DF53" s="12">
        <f>+Eurasia!AO61</f>
        <v>53.674925664969166</v>
      </c>
      <c r="DG53" s="12">
        <f>+Eurasia!AP61</f>
        <v>56.078862418489344</v>
      </c>
      <c r="DH53" s="12">
        <f>+Eurasia!AQ61</f>
        <v>58.413646974341056</v>
      </c>
      <c r="DI53" s="12">
        <f>+Eurasia!AR61</f>
        <v>60.736161067057445</v>
      </c>
      <c r="DJ53" s="12">
        <f>+Eurasia!AS61</f>
        <v>63.079208584526967</v>
      </c>
      <c r="DK53" s="12">
        <f>+Eurasia!AT61</f>
        <v>65.462320919181153</v>
      </c>
      <c r="DL53" s="12">
        <f>+Eurasia!AU61</f>
        <v>67.897702377691829</v>
      </c>
      <c r="DM53" s="12">
        <f>+Eurasia!AV61</f>
        <v>70.393518410418878</v>
      </c>
      <c r="DN53" s="12">
        <f>+Eurasia!AW61</f>
        <v>72.955719438810064</v>
      </c>
      <c r="DO53" s="12">
        <f>+Eurasia!AX61</f>
        <v>75.589054330518906</v>
      </c>
      <c r="DP53" s="12">
        <f>+Eurasia!AY61</f>
        <v>78.297634577177547</v>
      </c>
      <c r="DQ53" s="12">
        <f>+Eurasia!AZ61</f>
        <v>81.085249171191791</v>
      </c>
      <c r="DR53" s="12">
        <f>+Eurasia!BA61</f>
        <v>83.955541144850415</v>
      </c>
      <c r="DS53" s="12">
        <f>+Eurasia!BB61</f>
        <v>86.912107377900981</v>
      </c>
      <c r="DT53" s="12">
        <f>+Eurasia!BC61</f>
        <v>89.958555881516048</v>
      </c>
      <c r="DU53" s="12">
        <f>+Eurasia!BD61</f>
        <v>93.098539550045743</v>
      </c>
      <c r="DV53" s="12">
        <f>+Eurasia!BE61</f>
        <v>96.33577692039043</v>
      </c>
      <c r="DW53" s="12">
        <f>+Eurasia!BF61</f>
        <v>99.677316181173737</v>
      </c>
      <c r="DX53" s="12">
        <f>+Eurasia!BG61</f>
        <v>103.12395553736494</v>
      </c>
      <c r="DY53" s="12">
        <f>+Eurasia!BH61</f>
        <v>106.67878112881127</v>
      </c>
      <c r="DZ53" s="12">
        <f>+Eurasia!BI61</f>
        <v>110.34579303848655</v>
      </c>
    </row>
    <row r="54" spans="1:130" s="338" customFormat="1" ht="15" x14ac:dyDescent="0.2">
      <c r="A54" s="337" t="s">
        <v>887</v>
      </c>
      <c r="B54" s="338">
        <v>0.1</v>
      </c>
      <c r="N54" s="339"/>
      <c r="O54" s="339"/>
      <c r="P54" s="339"/>
      <c r="Q54" s="339"/>
      <c r="R54" s="339"/>
      <c r="S54" s="340"/>
      <c r="W54" s="340"/>
      <c r="X54" s="340"/>
      <c r="Y54" s="340"/>
      <c r="Z54" s="340"/>
      <c r="AA54" s="340"/>
      <c r="AB54" s="339"/>
      <c r="AC54" s="339"/>
      <c r="AD54" s="339"/>
      <c r="AE54" s="339"/>
      <c r="BO54" s="1"/>
      <c r="BP54" s="12"/>
      <c r="BR54" s="1" t="s">
        <v>54</v>
      </c>
      <c r="BS54" s="12">
        <f>+China!B61</f>
        <v>1.6163857757071491</v>
      </c>
      <c r="BT54" s="12">
        <f>+China!C61</f>
        <v>1.7661081324041139</v>
      </c>
      <c r="BU54" s="12">
        <f>+China!D61</f>
        <v>2.0173287063455381</v>
      </c>
      <c r="BV54" s="12">
        <f>+China!E61</f>
        <v>2.2974091630681714</v>
      </c>
      <c r="BW54" s="12">
        <f>+China!F61</f>
        <v>2.5969179532529947</v>
      </c>
      <c r="BX54" s="12">
        <f>+China!G61</f>
        <v>2.8813831600170006</v>
      </c>
      <c r="BY54" s="12">
        <f>+China!H61</f>
        <v>3.1672900394323209</v>
      </c>
      <c r="BZ54" s="12">
        <f>+China!I61</f>
        <v>3.4598456489798934</v>
      </c>
      <c r="CA54" s="12">
        <f>+China!J61</f>
        <v>3.7313034703421142</v>
      </c>
      <c r="CB54" s="12">
        <f>+China!K61</f>
        <v>4.0171829388770073</v>
      </c>
      <c r="CC54" s="12">
        <f>+China!L61</f>
        <v>4.3582455225832231</v>
      </c>
      <c r="CD54" s="12">
        <f>+China!M61</f>
        <v>4.7215372535657121</v>
      </c>
      <c r="CE54" s="12">
        <f>+China!N61</f>
        <v>5.1527850338972137</v>
      </c>
      <c r="CF54" s="12">
        <f>+China!O61</f>
        <v>5.67002316641278</v>
      </c>
      <c r="CG54" s="12">
        <f>+China!P61</f>
        <v>6.2434678415541338</v>
      </c>
      <c r="CH54" s="12">
        <f>+China!Q61</f>
        <v>6.9548855168059793</v>
      </c>
      <c r="CI54" s="12">
        <f>+China!R61</f>
        <v>7.8396134198770078</v>
      </c>
      <c r="CJ54" s="12">
        <f>+China!S61</f>
        <v>8.9552579034265971</v>
      </c>
      <c r="CK54" s="12">
        <f>+China!T61</f>
        <v>9.8195010899961819</v>
      </c>
      <c r="CL54" s="12">
        <f>+China!U61</f>
        <v>10.742409055840049</v>
      </c>
      <c r="CM54" s="12">
        <f>+China!V61</f>
        <v>11.884957832396907</v>
      </c>
      <c r="CN54" s="12">
        <f>+China!W61</f>
        <v>13.020070209495271</v>
      </c>
      <c r="CO54" s="12">
        <f>+China!X61</f>
        <v>14.043934216173476</v>
      </c>
      <c r="CP54" s="12">
        <f>+China!Y61</f>
        <v>15.134607226975881</v>
      </c>
      <c r="CQ54" s="12">
        <f>+China!Z61</f>
        <v>16.258467389910336</v>
      </c>
      <c r="CR54" s="12">
        <f>+China!AA61</f>
        <v>17.403279549596206</v>
      </c>
      <c r="CS54" s="12">
        <f>+China!AB61</f>
        <v>18.5951887817223</v>
      </c>
      <c r="CT54" s="12">
        <f>+China!AC61</f>
        <v>19.887033884256706</v>
      </c>
      <c r="CU54" s="12">
        <f>+China!AD61</f>
        <v>21.229363693438955</v>
      </c>
      <c r="CV54" s="12">
        <f>+China!AE61</f>
        <v>22.492617140169905</v>
      </c>
      <c r="CW54" s="12">
        <f>+China!AF61</f>
        <v>22.996145494904699</v>
      </c>
      <c r="CX54" s="12">
        <f>+China!AG61</f>
        <v>24.938967813965299</v>
      </c>
      <c r="CY54" s="12">
        <f>+China!AH61</f>
        <v>25.68441453211431</v>
      </c>
      <c r="CZ54" s="12">
        <f>+China!AI61</f>
        <v>172.38429831697047</v>
      </c>
      <c r="DA54" s="12">
        <f>+China!AJ61</f>
        <v>284.15117191772413</v>
      </c>
      <c r="DB54" s="12">
        <f>+China!AK61</f>
        <v>351.14412628207162</v>
      </c>
      <c r="DC54" s="12">
        <f>+China!AL61</f>
        <v>394.3528800954997</v>
      </c>
      <c r="DD54" s="12">
        <f>+China!AM61</f>
        <v>425.57681168360199</v>
      </c>
      <c r="DE54" s="12">
        <f>+China!AN61</f>
        <v>450.68934645048608</v>
      </c>
      <c r="DF54" s="12">
        <f>+China!AO61</f>
        <v>472.72579463851258</v>
      </c>
      <c r="DG54" s="12">
        <f>+China!AP61</f>
        <v>493.30420468884955</v>
      </c>
      <c r="DH54" s="12">
        <f>+China!AQ61</f>
        <v>513.30562170346388</v>
      </c>
      <c r="DI54" s="12">
        <f>+China!AR61</f>
        <v>533.21865828683758</v>
      </c>
      <c r="DJ54" s="12">
        <f>+China!AS61</f>
        <v>553.32034711838583</v>
      </c>
      <c r="DK54" s="12">
        <f>+China!AT61</f>
        <v>573.77297128333373</v>
      </c>
      <c r="DL54" s="12">
        <f>+China!AU61</f>
        <v>594.67646227113937</v>
      </c>
      <c r="DM54" s="12">
        <f>+China!AV61</f>
        <v>616.09691216292515</v>
      </c>
      <c r="DN54" s="12">
        <f>+China!AW61</f>
        <v>638.08213415474768</v>
      </c>
      <c r="DO54" s="12">
        <f>+China!AX61</f>
        <v>660.67016988536102</v>
      </c>
      <c r="DP54" s="12">
        <f>+China!AY61</f>
        <v>683.89394810520037</v>
      </c>
      <c r="DQ54" s="12">
        <f>+China!AZ61</f>
        <v>707.78384176072018</v>
      </c>
      <c r="DR54" s="12">
        <f>+China!BA61</f>
        <v>732.36907748700264</v>
      </c>
      <c r="DS54" s="12">
        <f>+China!BB61</f>
        <v>757.67851873036932</v>
      </c>
      <c r="DT54" s="12">
        <f>+China!BC61</f>
        <v>783.74110727690754</v>
      </c>
      <c r="DU54" s="12">
        <f>+China!BD61</f>
        <v>810.58611872998392</v>
      </c>
      <c r="DV54" s="12">
        <f>+China!BE61</f>
        <v>838.24331685036259</v>
      </c>
      <c r="DW54" s="12">
        <f>+China!BF61</f>
        <v>866.78089374347246</v>
      </c>
      <c r="DX54" s="12">
        <f>+China!BG61</f>
        <v>896.19394345373053</v>
      </c>
      <c r="DY54" s="12">
        <f>+China!BH61</f>
        <v>926.50350536473002</v>
      </c>
      <c r="DZ54" s="12">
        <f>+China!BI61</f>
        <v>957.7411261657096</v>
      </c>
    </row>
    <row r="55" spans="1:130" s="341" customFormat="1" ht="14" x14ac:dyDescent="0.15">
      <c r="A55" s="341" t="s">
        <v>888</v>
      </c>
      <c r="X55" s="341">
        <v>0.7</v>
      </c>
      <c r="Y55" s="341">
        <v>0.8</v>
      </c>
      <c r="Z55" s="341">
        <v>0.85</v>
      </c>
      <c r="AA55" s="341">
        <v>0.85</v>
      </c>
      <c r="AB55" s="341">
        <v>0.85</v>
      </c>
      <c r="AC55" s="341">
        <v>0.85</v>
      </c>
      <c r="AD55" s="341">
        <v>0.85</v>
      </c>
      <c r="AE55" s="341">
        <v>0.85</v>
      </c>
      <c r="AF55" s="341">
        <f>+AE55+$B$54*(1-AE55)</f>
        <v>0.86499999999999999</v>
      </c>
      <c r="AG55" s="341">
        <f t="shared" ref="AG55:BI55" si="76">+AF55+$B$54*(1-AF55)</f>
        <v>0.87849999999999995</v>
      </c>
      <c r="AH55" s="341">
        <f t="shared" si="76"/>
        <v>0.89064999999999994</v>
      </c>
      <c r="AI55" s="341">
        <f t="shared" si="76"/>
        <v>0.90158499999999997</v>
      </c>
      <c r="AJ55" s="341">
        <f t="shared" si="76"/>
        <v>0.91142649999999992</v>
      </c>
      <c r="AK55" s="341">
        <f t="shared" si="76"/>
        <v>0.9202838499999999</v>
      </c>
      <c r="AL55" s="341">
        <f t="shared" si="76"/>
        <v>0.92825546499999989</v>
      </c>
      <c r="AM55" s="341">
        <f t="shared" si="76"/>
        <v>0.9354299184999999</v>
      </c>
      <c r="AN55" s="341">
        <f t="shared" si="76"/>
        <v>0.94188692664999996</v>
      </c>
      <c r="AO55" s="341">
        <f t="shared" si="76"/>
        <v>0.94769823398499997</v>
      </c>
      <c r="AP55" s="341">
        <f t="shared" si="76"/>
        <v>0.95292841058650002</v>
      </c>
      <c r="AQ55" s="341">
        <f t="shared" si="76"/>
        <v>0.95763556952785001</v>
      </c>
      <c r="AR55" s="341">
        <f t="shared" si="76"/>
        <v>0.96187201257506505</v>
      </c>
      <c r="AS55" s="341">
        <f t="shared" si="76"/>
        <v>0.96568481131755857</v>
      </c>
      <c r="AT55" s="341">
        <f t="shared" si="76"/>
        <v>0.96911633018580268</v>
      </c>
      <c r="AU55" s="341">
        <f t="shared" si="76"/>
        <v>0.97220469716722246</v>
      </c>
      <c r="AV55" s="341">
        <f t="shared" si="76"/>
        <v>0.97498422745050017</v>
      </c>
      <c r="AW55" s="341">
        <f t="shared" si="76"/>
        <v>0.97748580470545021</v>
      </c>
      <c r="AX55" s="341">
        <f t="shared" si="76"/>
        <v>0.97973722423490517</v>
      </c>
      <c r="AY55" s="341">
        <f t="shared" si="76"/>
        <v>0.9817635018114147</v>
      </c>
      <c r="AZ55" s="341">
        <f t="shared" si="76"/>
        <v>0.98358715163027322</v>
      </c>
      <c r="BA55" s="341">
        <f t="shared" si="76"/>
        <v>0.98522843646724589</v>
      </c>
      <c r="BB55" s="341">
        <f t="shared" si="76"/>
        <v>0.98670559282052128</v>
      </c>
      <c r="BC55" s="341">
        <f t="shared" si="76"/>
        <v>0.98803503353846911</v>
      </c>
      <c r="BD55" s="341">
        <f t="shared" si="76"/>
        <v>0.98923153018462218</v>
      </c>
      <c r="BE55" s="341">
        <f t="shared" si="76"/>
        <v>0.99030837716615994</v>
      </c>
      <c r="BF55" s="341">
        <f t="shared" si="76"/>
        <v>0.99127753944954389</v>
      </c>
      <c r="BG55" s="341">
        <f t="shared" si="76"/>
        <v>0.99214978550458954</v>
      </c>
      <c r="BH55" s="341">
        <f t="shared" si="76"/>
        <v>0.99293480695413061</v>
      </c>
      <c r="BI55" s="341">
        <f t="shared" si="76"/>
        <v>0.99364132625871759</v>
      </c>
      <c r="BO55" s="1"/>
      <c r="BP55" s="12"/>
      <c r="BR55" s="1" t="s">
        <v>55</v>
      </c>
      <c r="BS55" s="12">
        <f>+India!B61</f>
        <v>1.583371286822935</v>
      </c>
      <c r="BT55" s="12">
        <f>+India!C61</f>
        <v>1.6001048523142207</v>
      </c>
      <c r="BU55" s="12">
        <f>+India!D61</f>
        <v>1.6878289370597801</v>
      </c>
      <c r="BV55" s="12">
        <f>+India!E61</f>
        <v>1.7680139127982437</v>
      </c>
      <c r="BW55" s="12">
        <f>+India!F61</f>
        <v>1.8857446168035419</v>
      </c>
      <c r="BX55" s="12">
        <f>+India!G61</f>
        <v>2.0285801888866857</v>
      </c>
      <c r="BY55" s="12">
        <f>+India!H61</f>
        <v>2.1817283015895597</v>
      </c>
      <c r="BZ55" s="12">
        <f>+India!I61</f>
        <v>2.2700843892372879</v>
      </c>
      <c r="CA55" s="12">
        <f>+India!J61</f>
        <v>2.4104758473717016</v>
      </c>
      <c r="CB55" s="12">
        <f>+India!K61</f>
        <v>2.6237006486484646</v>
      </c>
      <c r="CC55" s="12">
        <f>+India!L61</f>
        <v>2.724476758538481</v>
      </c>
      <c r="CD55" s="12">
        <f>+India!M61</f>
        <v>2.8559045982833373</v>
      </c>
      <c r="CE55" s="12">
        <f>+India!N61</f>
        <v>2.964542504396817</v>
      </c>
      <c r="CF55" s="12">
        <f>+India!O61</f>
        <v>3.1975668542578224</v>
      </c>
      <c r="CG55" s="12">
        <f>+India!P61</f>
        <v>3.4509080492658613</v>
      </c>
      <c r="CH55" s="12">
        <f>+India!Q61</f>
        <v>3.7243383543465294</v>
      </c>
      <c r="CI55" s="12">
        <f>+India!R61</f>
        <v>4.0245473091727915</v>
      </c>
      <c r="CJ55" s="12">
        <f>+India!S61</f>
        <v>4.3328604357668663</v>
      </c>
      <c r="CK55" s="12">
        <f>+India!T61</f>
        <v>4.4666027547595624</v>
      </c>
      <c r="CL55" s="12">
        <f>+India!U61</f>
        <v>4.8177620979258604</v>
      </c>
      <c r="CM55" s="12">
        <f>+India!V61</f>
        <v>5.2271555129440372</v>
      </c>
      <c r="CN55" s="12">
        <f>+India!W61</f>
        <v>5.5011271989964632</v>
      </c>
      <c r="CO55" s="12">
        <f>+India!X61</f>
        <v>5.8012900847493585</v>
      </c>
      <c r="CP55" s="12">
        <f>+India!Y61</f>
        <v>6.1717666422017068</v>
      </c>
      <c r="CQ55" s="12">
        <f>+India!Z61</f>
        <v>6.6291085973657893</v>
      </c>
      <c r="CR55" s="12">
        <f>+India!AA61</f>
        <v>7.1591889448525938</v>
      </c>
      <c r="CS55" s="12">
        <f>+India!AB61</f>
        <v>7.7502734553927803</v>
      </c>
      <c r="CT55" s="12">
        <f>+India!AC61</f>
        <v>8.2769342530513654</v>
      </c>
      <c r="CU55" s="12">
        <f>+India!AD61</f>
        <v>8.8111152853142478</v>
      </c>
      <c r="CV55" s="12">
        <f>+India!AE61</f>
        <v>9.1522320572324709</v>
      </c>
      <c r="CW55" s="12">
        <f>+India!AF61</f>
        <v>8.6185605351107935</v>
      </c>
      <c r="CX55" s="12">
        <f>+India!AG61</f>
        <v>9.3985642152678128</v>
      </c>
      <c r="CY55" s="12">
        <f>+India!AH61</f>
        <v>10.078991437253588</v>
      </c>
      <c r="CZ55" s="12">
        <f>+India!AI61</f>
        <v>123.16213371487068</v>
      </c>
      <c r="DA55" s="12">
        <f>+India!AJ61</f>
        <v>241.77579828798901</v>
      </c>
      <c r="DB55" s="12">
        <f>+India!AK61</f>
        <v>317.74706361561203</v>
      </c>
      <c r="DC55" s="12">
        <f>+India!AL61</f>
        <v>366.48159641135476</v>
      </c>
      <c r="DD55" s="12">
        <f>+India!AM61</f>
        <v>400.98310120260862</v>
      </c>
      <c r="DE55" s="12">
        <f>+India!AN61</f>
        <v>428.05117449403929</v>
      </c>
      <c r="DF55" s="12">
        <f>+India!AO61</f>
        <v>451.26309969748394</v>
      </c>
      <c r="DG55" s="12">
        <f>+India!AP61</f>
        <v>472.55151287742086</v>
      </c>
      <c r="DH55" s="12">
        <f>+India!AQ61</f>
        <v>492.98220311100715</v>
      </c>
      <c r="DI55" s="12">
        <f>+India!AR61</f>
        <v>513.15322013031675</v>
      </c>
      <c r="DJ55" s="12">
        <f>+India!AS61</f>
        <v>533.40681420054182</v>
      </c>
      <c r="DK55" s="12">
        <f>+India!AT61</f>
        <v>553.94438667441113</v>
      </c>
      <c r="DL55" s="12">
        <f>+India!AU61</f>
        <v>574.88957962033521</v>
      </c>
      <c r="DM55" s="12">
        <f>+India!AV61</f>
        <v>596.32312412522094</v>
      </c>
      <c r="DN55" s="12">
        <f>+India!AW61</f>
        <v>618.30215545104443</v>
      </c>
      <c r="DO55" s="12">
        <f>+India!AX61</f>
        <v>640.87094035773384</v>
      </c>
      <c r="DP55" s="12">
        <f>+India!AY61</f>
        <v>664.06684451756189</v>
      </c>
      <c r="DQ55" s="12">
        <f>+India!AZ61</f>
        <v>687.92365897436798</v>
      </c>
      <c r="DR55" s="12">
        <f>+India!BA61</f>
        <v>712.473461057245</v>
      </c>
      <c r="DS55" s="12">
        <f>+India!BB61</f>
        <v>737.7476623334129</v>
      </c>
      <c r="DT55" s="12">
        <f>+India!BC61</f>
        <v>763.77760598860061</v>
      </c>
      <c r="DU55" s="12">
        <f>+India!BD61</f>
        <v>790.59491483815611</v>
      </c>
      <c r="DV55" s="12">
        <f>+India!BE61</f>
        <v>818.23170163279224</v>
      </c>
      <c r="DW55" s="12">
        <f>+India!BF61</f>
        <v>846.7650382832104</v>
      </c>
      <c r="DX55" s="12">
        <f>+India!BG61</f>
        <v>876.18626694735985</v>
      </c>
      <c r="DY55" s="12">
        <f>+India!BH61</f>
        <v>906.51738604122818</v>
      </c>
      <c r="DZ55" s="12">
        <f>+India!BI61</f>
        <v>937.79230391165436</v>
      </c>
    </row>
    <row r="56" spans="1:130" s="338" customFormat="1" ht="14" x14ac:dyDescent="0.15">
      <c r="A56" s="338" t="s">
        <v>889</v>
      </c>
      <c r="N56" s="339"/>
      <c r="O56" s="339"/>
      <c r="P56" s="339"/>
      <c r="Q56" s="339"/>
      <c r="R56" s="339"/>
      <c r="S56" s="342">
        <f>+S4*$Y$55</f>
        <v>1.2993660549609976</v>
      </c>
      <c r="T56" s="342">
        <f>+T4*$Y$55</f>
        <v>1.2993377387889529</v>
      </c>
      <c r="U56" s="342">
        <f>+U4*$Y$55</f>
        <v>1.2993094232339826</v>
      </c>
      <c r="V56" s="342"/>
      <c r="W56" s="342"/>
      <c r="X56" s="342">
        <f>+X4*X55</f>
        <v>1.1367223276728777</v>
      </c>
      <c r="Y56" s="342">
        <f>+Y4*Y55</f>
        <v>1.3653468138093583</v>
      </c>
      <c r="Z56" s="342">
        <f t="shared" ref="Z56:BI56" si="77">+Z4*Z55</f>
        <v>1.5246444021762338</v>
      </c>
      <c r="AA56" s="342">
        <f t="shared" si="77"/>
        <v>1.5757533261216188</v>
      </c>
      <c r="AB56" s="342">
        <f t="shared" si="77"/>
        <v>1.628575516519907</v>
      </c>
      <c r="AC56" s="342">
        <f t="shared" si="77"/>
        <v>1.6665649370425764</v>
      </c>
      <c r="AD56" s="342">
        <f t="shared" si="77"/>
        <v>1.7054405283672804</v>
      </c>
      <c r="AE56" s="342">
        <f t="shared" si="77"/>
        <v>1.7294914002168711</v>
      </c>
      <c r="AF56" s="342">
        <f t="shared" si="77"/>
        <v>1.7848322971142303</v>
      </c>
      <c r="AG56" s="342">
        <f t="shared" si="77"/>
        <v>1.828524708101807</v>
      </c>
      <c r="AH56" s="342">
        <f t="shared" si="77"/>
        <v>1.8700098680201747</v>
      </c>
      <c r="AI56" s="342">
        <f t="shared" si="77"/>
        <v>1.9092646664410291</v>
      </c>
      <c r="AJ56" s="342">
        <f t="shared" si="77"/>
        <v>1.9467211231560282</v>
      </c>
      <c r="AK56" s="342">
        <f t="shared" si="77"/>
        <v>1.9830980267845164</v>
      </c>
      <c r="AL56" s="342">
        <f t="shared" si="77"/>
        <v>2.0180419440335968</v>
      </c>
      <c r="AM56" s="342">
        <f t="shared" si="77"/>
        <v>2.0527430247165124</v>
      </c>
      <c r="AN56" s="342">
        <f t="shared" si="77"/>
        <v>2.0863287990412731</v>
      </c>
      <c r="AO56" s="342">
        <f t="shared" si="77"/>
        <v>2.1172100400679845</v>
      </c>
      <c r="AP56" s="342">
        <f t="shared" si="77"/>
        <v>2.1471581714012085</v>
      </c>
      <c r="AQ56" s="342">
        <f t="shared" si="77"/>
        <v>2.1732950317329927</v>
      </c>
      <c r="AR56" s="342">
        <f t="shared" si="77"/>
        <v>2.198620951965593</v>
      </c>
      <c r="AS56" s="342">
        <f t="shared" si="77"/>
        <v>2.2220261456611228</v>
      </c>
      <c r="AT56" s="342">
        <f t="shared" si="77"/>
        <v>2.2447623312801563</v>
      </c>
      <c r="AU56" s="342">
        <f t="shared" si="77"/>
        <v>2.276494956375279</v>
      </c>
      <c r="AV56" s="342">
        <f t="shared" si="77"/>
        <v>2.3079218070121228</v>
      </c>
      <c r="AW56" s="342">
        <f t="shared" si="77"/>
        <v>2.3330719320559608</v>
      </c>
      <c r="AX56" s="342">
        <f t="shared" si="77"/>
        <v>2.3578786381556749</v>
      </c>
      <c r="AY56" s="342">
        <f t="shared" si="77"/>
        <v>2.3794717627677939</v>
      </c>
      <c r="AZ56" s="342">
        <f t="shared" si="77"/>
        <v>2.4007578278307178</v>
      </c>
      <c r="BA56" s="342">
        <f t="shared" si="77"/>
        <v>2.4204361651673807</v>
      </c>
      <c r="BB56" s="342">
        <f t="shared" si="77"/>
        <v>2.4398631815228651</v>
      </c>
      <c r="BC56" s="342">
        <f t="shared" si="77"/>
        <v>2.458530034950996</v>
      </c>
      <c r="BD56" s="342">
        <f t="shared" si="77"/>
        <v>2.4770023317114189</v>
      </c>
      <c r="BE56" s="342">
        <f t="shared" si="77"/>
        <v>2.495162644151447</v>
      </c>
      <c r="BF56" s="342">
        <f t="shared" si="77"/>
        <v>2.5131801158567284</v>
      </c>
      <c r="BG56" s="342">
        <f t="shared" si="77"/>
        <v>2.5311216626829633</v>
      </c>
      <c r="BH56" s="342">
        <f t="shared" si="77"/>
        <v>2.5489654091109992</v>
      </c>
      <c r="BI56" s="342">
        <f t="shared" si="77"/>
        <v>2.5657483196322741</v>
      </c>
      <c r="BJ56" s="342"/>
      <c r="BK56" s="342"/>
      <c r="BL56" s="342"/>
      <c r="BO56" s="1"/>
      <c r="BP56" s="12"/>
      <c r="BR56" s="1" t="s">
        <v>56</v>
      </c>
      <c r="BS56" s="12">
        <f>+MidEast!B61</f>
        <v>1.6796987665062539</v>
      </c>
      <c r="BT56" s="12">
        <f>+MidEast!C61</f>
        <v>1.7819652745965224</v>
      </c>
      <c r="BU56" s="12">
        <f>+MidEast!D61</f>
        <v>1.9391234665905146</v>
      </c>
      <c r="BV56" s="12">
        <f>+MidEast!E61</f>
        <v>1.9759341745266359</v>
      </c>
      <c r="BW56" s="12">
        <f>+MidEast!F61</f>
        <v>2.0045185797855249</v>
      </c>
      <c r="BX56" s="12">
        <f>+MidEast!G61</f>
        <v>2.2028483603237046</v>
      </c>
      <c r="BY56" s="12">
        <f>+MidEast!H61</f>
        <v>2.3058162281955008</v>
      </c>
      <c r="BZ56" s="12">
        <f>+MidEast!I61</f>
        <v>2.3820882314925891</v>
      </c>
      <c r="CA56" s="12">
        <f>+MidEast!J61</f>
        <v>2.4797180262709833</v>
      </c>
      <c r="CB56" s="12">
        <f>+MidEast!K61</f>
        <v>2.5043408265093339</v>
      </c>
      <c r="CC56" s="12">
        <f>+MidEast!L61</f>
        <v>2.7365896770598974</v>
      </c>
      <c r="CD56" s="12">
        <f>+MidEast!M61</f>
        <v>2.7647417329002923</v>
      </c>
      <c r="CE56" s="12">
        <f>+MidEast!N61</f>
        <v>2.803030107988429</v>
      </c>
      <c r="CF56" s="12">
        <f>+MidEast!O61</f>
        <v>2.951387796207551</v>
      </c>
      <c r="CG56" s="12">
        <f>+MidEast!P61</f>
        <v>3.2150503974456681</v>
      </c>
      <c r="CH56" s="12">
        <f>+MidEast!Q61</f>
        <v>3.3651417632914233</v>
      </c>
      <c r="CI56" s="12">
        <f>+MidEast!R61</f>
        <v>3.5538386380132505</v>
      </c>
      <c r="CJ56" s="12">
        <f>+MidEast!S61</f>
        <v>3.7356314235005486</v>
      </c>
      <c r="CK56" s="12">
        <f>+MidEast!T61</f>
        <v>3.8974081693029916</v>
      </c>
      <c r="CL56" s="12">
        <f>+MidEast!U61</f>
        <v>3.8893407357860612</v>
      </c>
      <c r="CM56" s="12">
        <f>+MidEast!V61</f>
        <v>4.08565963001963</v>
      </c>
      <c r="CN56" s="12">
        <f>+MidEast!W61</f>
        <v>4.3612756386728169</v>
      </c>
      <c r="CO56" s="12">
        <f>+MidEast!X61</f>
        <v>4.483937199555764</v>
      </c>
      <c r="CP56" s="12">
        <f>+MidEast!Y61</f>
        <v>4.5981688307195805</v>
      </c>
      <c r="CQ56" s="12">
        <f>+MidEast!Z61</f>
        <v>4.7696161846857352</v>
      </c>
      <c r="CR56" s="12">
        <f>+MidEast!AA61</f>
        <v>4.9112452096924164</v>
      </c>
      <c r="CS56" s="12">
        <f>+MidEast!AB61</f>
        <v>5.1755313288962324</v>
      </c>
      <c r="CT56" s="12">
        <f>+MidEast!AC61</f>
        <v>5.2148461941729343</v>
      </c>
      <c r="CU56" s="12">
        <f>+MidEast!AD61</f>
        <v>5.2824138571822035</v>
      </c>
      <c r="CV56" s="12">
        <f>+MidEast!AE61</f>
        <v>5.2989643362942562</v>
      </c>
      <c r="CW56" s="12">
        <f>+MidEast!AF61</f>
        <v>5.1151781044507931</v>
      </c>
      <c r="CX56" s="12">
        <f>+MidEast!AG61</f>
        <v>5.3236617837094142</v>
      </c>
      <c r="CY56" s="12">
        <f>+MidEast!AH61</f>
        <v>5.594652941052094</v>
      </c>
      <c r="CZ56" s="12">
        <f>+MidEast!AI61</f>
        <v>74.979651890732782</v>
      </c>
      <c r="DA56" s="12">
        <f>+MidEast!AJ61</f>
        <v>150.26807182018564</v>
      </c>
      <c r="DB56" s="12">
        <f>+MidEast!AK61</f>
        <v>197.9555898371764</v>
      </c>
      <c r="DC56" s="12">
        <f>+MidEast!AL61</f>
        <v>228.04786657821097</v>
      </c>
      <c r="DD56" s="12">
        <f>+MidEast!AM61</f>
        <v>249.0008148719221</v>
      </c>
      <c r="DE56" s="12">
        <f>+MidEast!AN61</f>
        <v>265.20890916380637</v>
      </c>
      <c r="DF56" s="12">
        <f>+MidEast!AO61</f>
        <v>278.97035633772754</v>
      </c>
      <c r="DG56" s="12">
        <f>+MidEast!AP61</f>
        <v>291.52048662387892</v>
      </c>
      <c r="DH56" s="12">
        <f>+MidEast!AQ61</f>
        <v>303.53726490680373</v>
      </c>
      <c r="DI56" s="12">
        <f>+MidEast!AR61</f>
        <v>315.39913801246524</v>
      </c>
      <c r="DJ56" s="12">
        <f>+MidEast!AS61</f>
        <v>327.32131664117446</v>
      </c>
      <c r="DK56" s="12">
        <f>+MidEast!AT61</f>
        <v>339.42940312275294</v>
      </c>
      <c r="DL56" s="12">
        <f>+MidEast!AU61</f>
        <v>351.79966622410592</v>
      </c>
      <c r="DM56" s="12">
        <f>+MidEast!AV61</f>
        <v>364.48122201092565</v>
      </c>
      <c r="DN56" s="12">
        <f>+MidEast!AW61</f>
        <v>377.50829570185743</v>
      </c>
      <c r="DO56" s="12">
        <f>+MidEast!AX61</f>
        <v>390.90701571410921</v>
      </c>
      <c r="DP56" s="12">
        <f>+MidEast!AY61</f>
        <v>404.6991850697683</v>
      </c>
      <c r="DQ56" s="12">
        <f>+MidEast!AZ61</f>
        <v>418.90437964183945</v>
      </c>
      <c r="DR56" s="12">
        <f>+MidEast!BA61</f>
        <v>433.54111977708578</v>
      </c>
      <c r="DS56" s="12">
        <f>+MidEast!BB61</f>
        <v>448.62752874857136</v>
      </c>
      <c r="DT56" s="12">
        <f>+MidEast!BC61</f>
        <v>464.18170712575812</v>
      </c>
      <c r="DU56" s="12">
        <f>+MidEast!BD61</f>
        <v>480.2219500102965</v>
      </c>
      <c r="DV56" s="12">
        <f>+MidEast!BE61</f>
        <v>496.76687748020544</v>
      </c>
      <c r="DW56" s="12">
        <f>+MidEast!BF61</f>
        <v>513.86825963792467</v>
      </c>
      <c r="DX56" s="12">
        <f>+MidEast!BG61</f>
        <v>531.51447589158761</v>
      </c>
      <c r="DY56" s="12">
        <f>+MidEast!BH61</f>
        <v>549.71647018245937</v>
      </c>
      <c r="DZ56" s="12">
        <f>+MidEast!BI61</f>
        <v>568.49391893999837</v>
      </c>
    </row>
    <row r="57" spans="1:130" s="341" customFormat="1" ht="14" x14ac:dyDescent="0.15">
      <c r="A57" s="341" t="s">
        <v>890</v>
      </c>
      <c r="X57" s="341">
        <f>+X191</f>
        <v>8.2500000000000004E-2</v>
      </c>
      <c r="Y57" s="341">
        <f>+X192</f>
        <v>0.17</v>
      </c>
      <c r="Z57" s="341">
        <f>+X193</f>
        <v>0.29499999999999998</v>
      </c>
      <c r="AA57" s="341">
        <f>+X194</f>
        <v>0.42</v>
      </c>
      <c r="AB57" s="341">
        <f>+X195</f>
        <v>0.52249999999999996</v>
      </c>
      <c r="AC57" s="341">
        <f>+X196</f>
        <v>0.625</v>
      </c>
      <c r="AD57" s="341">
        <f>+X197</f>
        <v>0.72750000000000004</v>
      </c>
      <c r="AE57" s="341">
        <f>+X198</f>
        <v>0.83</v>
      </c>
      <c r="AF57" s="341">
        <f>+AE57+$B$52*($B$53-AE57)</f>
        <v>0.85399999999999998</v>
      </c>
      <c r="AG57" s="341">
        <f t="shared" ref="AG57:AO57" si="78">+AF57+$B$52*($B$53-AF57)</f>
        <v>0.87319999999999998</v>
      </c>
      <c r="AH57" s="341">
        <f t="shared" si="78"/>
        <v>0.88856000000000002</v>
      </c>
      <c r="AI57" s="341">
        <f t="shared" si="78"/>
        <v>0.90084799999999998</v>
      </c>
      <c r="AJ57" s="341">
        <f t="shared" si="78"/>
        <v>0.9106784</v>
      </c>
      <c r="AK57" s="341">
        <f t="shared" si="78"/>
        <v>0.91854272000000003</v>
      </c>
      <c r="AL57" s="341">
        <f t="shared" si="78"/>
        <v>0.92483417600000006</v>
      </c>
      <c r="AM57" s="341">
        <f t="shared" si="78"/>
        <v>0.9298673408</v>
      </c>
      <c r="AN57" s="341">
        <f t="shared" si="78"/>
        <v>0.93389387264000001</v>
      </c>
      <c r="AO57" s="341">
        <f t="shared" si="78"/>
        <v>0.937115098112</v>
      </c>
      <c r="AP57" s="341">
        <f t="shared" ref="AP57:BI57" si="79">+AO57+0.1*(1-AO57)</f>
        <v>0.94340358830079996</v>
      </c>
      <c r="AQ57" s="341">
        <f t="shared" si="79"/>
        <v>0.94906322947071997</v>
      </c>
      <c r="AR57" s="341">
        <f t="shared" si="79"/>
        <v>0.95415690652364793</v>
      </c>
      <c r="AS57" s="341">
        <f t="shared" si="79"/>
        <v>0.95874121587128314</v>
      </c>
      <c r="AT57" s="341">
        <f t="shared" si="79"/>
        <v>0.96286709428415485</v>
      </c>
      <c r="AU57" s="341">
        <f t="shared" si="79"/>
        <v>0.96658038485573938</v>
      </c>
      <c r="AV57" s="341">
        <f t="shared" si="79"/>
        <v>0.96992234637016539</v>
      </c>
      <c r="AW57" s="341">
        <f t="shared" si="79"/>
        <v>0.97293011173314881</v>
      </c>
      <c r="AX57" s="341">
        <f t="shared" si="79"/>
        <v>0.97563710055983388</v>
      </c>
      <c r="AY57" s="341">
        <f t="shared" si="79"/>
        <v>0.97807339050385045</v>
      </c>
      <c r="AZ57" s="341">
        <f t="shared" si="79"/>
        <v>0.98026605145346535</v>
      </c>
      <c r="BA57" s="341">
        <f t="shared" si="79"/>
        <v>0.98223944630811877</v>
      </c>
      <c r="BB57" s="341">
        <f t="shared" si="79"/>
        <v>0.98401550167730689</v>
      </c>
      <c r="BC57" s="341">
        <f t="shared" si="79"/>
        <v>0.9856139515095762</v>
      </c>
      <c r="BD57" s="341">
        <f t="shared" si="79"/>
        <v>0.98705255635861855</v>
      </c>
      <c r="BE57" s="341">
        <f t="shared" si="79"/>
        <v>0.98834730072275667</v>
      </c>
      <c r="BF57" s="341">
        <f t="shared" si="79"/>
        <v>0.98951257065048104</v>
      </c>
      <c r="BG57" s="341">
        <f t="shared" si="79"/>
        <v>0.99056131358543298</v>
      </c>
      <c r="BH57" s="341">
        <f t="shared" si="79"/>
        <v>0.99150518222688966</v>
      </c>
      <c r="BI57" s="341">
        <f t="shared" si="79"/>
        <v>0.99235466400420069</v>
      </c>
      <c r="BO57" s="1"/>
      <c r="BP57" s="12"/>
      <c r="BR57" s="1" t="s">
        <v>57</v>
      </c>
      <c r="BS57" s="12">
        <f>+Africa!B61</f>
        <v>2.1623387467587385</v>
      </c>
      <c r="BT57" s="12">
        <f>+Africa!C61</f>
        <v>2.1855522240239966</v>
      </c>
      <c r="BU57" s="12">
        <f>+Africa!D61</f>
        <v>2.2096860039214352</v>
      </c>
      <c r="BV57" s="12">
        <f>+Africa!E61</f>
        <v>2.2126655251118299</v>
      </c>
      <c r="BW57" s="12">
        <f>+Africa!F61</f>
        <v>2.2563714017857461</v>
      </c>
      <c r="BX57" s="12">
        <f>+Africa!G61</f>
        <v>2.3318339621210957</v>
      </c>
      <c r="BY57" s="12">
        <f>+Africa!H61</f>
        <v>2.4610289128823148</v>
      </c>
      <c r="BZ57" s="12">
        <f>+Africa!I61</f>
        <v>2.5627233946933816</v>
      </c>
      <c r="CA57" s="12">
        <f>+Africa!J61</f>
        <v>2.6568068378621548</v>
      </c>
      <c r="CB57" s="12">
        <f>+Africa!K61</f>
        <v>2.878761305070126</v>
      </c>
      <c r="CC57" s="12">
        <f>+Africa!L61</f>
        <v>3.0042454616925967</v>
      </c>
      <c r="CD57" s="12">
        <f>+Africa!M61</f>
        <v>3.1238774173191337</v>
      </c>
      <c r="CE57" s="12">
        <f>+Africa!N61</f>
        <v>3.2747503586037943</v>
      </c>
      <c r="CF57" s="12">
        <f>+Africa!O61</f>
        <v>3.4295620150346329</v>
      </c>
      <c r="CG57" s="12">
        <f>+Africa!P61</f>
        <v>3.6263090648475012</v>
      </c>
      <c r="CH57" s="12">
        <f>+Africa!Q61</f>
        <v>3.8384548714994007</v>
      </c>
      <c r="CI57" s="12">
        <f>+Africa!R61</f>
        <v>4.0672868003797999</v>
      </c>
      <c r="CJ57" s="12">
        <f>+Africa!S61</f>
        <v>4.3118816646257931</v>
      </c>
      <c r="CK57" s="12">
        <f>+Africa!T61</f>
        <v>4.5311703464602777</v>
      </c>
      <c r="CL57" s="12">
        <f>+Africa!U61</f>
        <v>4.6583712296545325</v>
      </c>
      <c r="CM57" s="12">
        <f>+Africa!V61</f>
        <v>4.9068914399777244</v>
      </c>
      <c r="CN57" s="12">
        <f>+Africa!W61</f>
        <v>4.9756954686887722</v>
      </c>
      <c r="CO57" s="12">
        <f>+Africa!X61</f>
        <v>5.2219371794000944</v>
      </c>
      <c r="CP57" s="12">
        <f>+Africa!Y61</f>
        <v>5.4171222120098044</v>
      </c>
      <c r="CQ57" s="12">
        <f>+Africa!Z61</f>
        <v>5.6055335180911046</v>
      </c>
      <c r="CR57" s="12">
        <f>+Africa!AA61</f>
        <v>5.786197598881369</v>
      </c>
      <c r="CS57" s="12">
        <f>+Africa!AB61</f>
        <v>5.9094248849679092</v>
      </c>
      <c r="CT57" s="12">
        <f>+Africa!AC61</f>
        <v>6.118533350675329</v>
      </c>
      <c r="CU57" s="12">
        <f>+Africa!AD61</f>
        <v>6.3187900244917037</v>
      </c>
      <c r="CV57" s="12">
        <f>+Africa!AE61</f>
        <v>6.491136245509332</v>
      </c>
      <c r="CW57" s="12">
        <f>+Africa!AF61</f>
        <v>6.3519368194188681</v>
      </c>
      <c r="CX57" s="12">
        <f>+Africa!AG61</f>
        <v>6.6434997203293067</v>
      </c>
      <c r="CY57" s="12">
        <f>+Africa!AH61</f>
        <v>6.9031702423998285</v>
      </c>
      <c r="CZ57" s="12">
        <f>+Africa!AI61</f>
        <v>102.24807118710727</v>
      </c>
      <c r="DA57" s="12">
        <f>+Africa!AJ61</f>
        <v>211.37684805646023</v>
      </c>
      <c r="DB57" s="12">
        <f>+Africa!AK61</f>
        <v>281.42946726597506</v>
      </c>
      <c r="DC57" s="12">
        <f>+Africa!AL61</f>
        <v>325.9792010714142</v>
      </c>
      <c r="DD57" s="12">
        <f>+Africa!AM61</f>
        <v>357.28912819575777</v>
      </c>
      <c r="DE57" s="12">
        <f>+Africa!AN61</f>
        <v>381.72234311392629</v>
      </c>
      <c r="DF57" s="12">
        <f>+Africa!AO61</f>
        <v>402.5988059629168</v>
      </c>
      <c r="DG57" s="12">
        <f>+Africa!AP61</f>
        <v>421.70130198869805</v>
      </c>
      <c r="DH57" s="12">
        <f>+Africa!AQ61</f>
        <v>440.00817468609796</v>
      </c>
      <c r="DI57" s="12">
        <f>+Africa!AR61</f>
        <v>458.06596762296186</v>
      </c>
      <c r="DJ57" s="12">
        <f>+Africa!AS61</f>
        <v>476.18608786033838</v>
      </c>
      <c r="DK57" s="12">
        <f>+Africa!AT61</f>
        <v>494.5509625357812</v>
      </c>
      <c r="DL57" s="12">
        <f>+Africa!AU61</f>
        <v>513.27206412190083</v>
      </c>
      <c r="DM57" s="12">
        <f>+Africa!AV61</f>
        <v>532.421840239723</v>
      </c>
      <c r="DN57" s="12">
        <f>+Africa!AW61</f>
        <v>552.05134617774524</v>
      </c>
      <c r="DO57" s="12">
        <f>+Africa!AX61</f>
        <v>572.20000167944625</v>
      </c>
      <c r="DP57" s="12">
        <f>+Africa!AY61</f>
        <v>592.90099809178923</v>
      </c>
      <c r="DQ57" s="12">
        <f>+Africa!AZ61</f>
        <v>614.18430079105235</v>
      </c>
      <c r="DR57" s="12">
        <f>+Africa!BA61</f>
        <v>636.07832195792844</v>
      </c>
      <c r="DS57" s="12">
        <f>+Africa!BB61</f>
        <v>658.6108584710563</v>
      </c>
      <c r="DT57" s="12">
        <f>+Africa!BC61</f>
        <v>681.80962402024886</v>
      </c>
      <c r="DU57" s="12">
        <f>+Africa!BD61</f>
        <v>705.70255749545413</v>
      </c>
      <c r="DV57" s="12">
        <f>+Africa!BE61</f>
        <v>730.31800831197404</v>
      </c>
      <c r="DW57" s="12">
        <f>+Africa!BF61</f>
        <v>755.71040869400576</v>
      </c>
      <c r="DX57" s="12">
        <f>+Africa!BG61</f>
        <v>781.88498247872587</v>
      </c>
      <c r="DY57" s="12">
        <f>+Africa!BH61</f>
        <v>808.86479179081391</v>
      </c>
      <c r="DZ57" s="12">
        <f>+Africa!BI61</f>
        <v>836.68004530047767</v>
      </c>
    </row>
    <row r="58" spans="1:130" s="338" customFormat="1" ht="14" x14ac:dyDescent="0.15">
      <c r="A58" s="338" t="s">
        <v>891</v>
      </c>
      <c r="N58" s="339"/>
      <c r="O58" s="339"/>
      <c r="P58" s="339"/>
      <c r="Q58" s="339"/>
      <c r="R58" s="339"/>
      <c r="S58" s="342">
        <f t="shared" ref="S58:X58" si="80">+S56*(1-S57)</f>
        <v>1.2993660549609976</v>
      </c>
      <c r="T58" s="342">
        <f t="shared" si="80"/>
        <v>1.2993377387889529</v>
      </c>
      <c r="U58" s="342">
        <f t="shared" si="80"/>
        <v>1.2993094232339826</v>
      </c>
      <c r="V58" s="342">
        <f t="shared" si="80"/>
        <v>0</v>
      </c>
      <c r="W58" s="342">
        <f t="shared" si="80"/>
        <v>0</v>
      </c>
      <c r="X58" s="342">
        <f t="shared" si="80"/>
        <v>1.0429427356398653</v>
      </c>
      <c r="Y58" s="342">
        <f t="shared" ref="Y58:BI58" si="81">+Y56*(1-Y57)</f>
        <v>1.1332378554617673</v>
      </c>
      <c r="Z58" s="342">
        <f t="shared" si="81"/>
        <v>1.074874303534245</v>
      </c>
      <c r="AA58" s="342">
        <f t="shared" si="81"/>
        <v>0.91393692915053903</v>
      </c>
      <c r="AB58" s="342">
        <f t="shared" si="81"/>
        <v>0.77764480913825562</v>
      </c>
      <c r="AC58" s="342">
        <f t="shared" si="81"/>
        <v>0.62496185139096616</v>
      </c>
      <c r="AD58" s="342">
        <f t="shared" si="81"/>
        <v>0.46473254398008385</v>
      </c>
      <c r="AE58" s="342">
        <f t="shared" si="81"/>
        <v>0.29401353803686814</v>
      </c>
      <c r="AF58" s="342">
        <f t="shared" si="81"/>
        <v>0.26058551537867763</v>
      </c>
      <c r="AG58" s="342">
        <f t="shared" si="81"/>
        <v>0.23185693298730917</v>
      </c>
      <c r="AH58" s="342">
        <f t="shared" si="81"/>
        <v>0.20839389969216823</v>
      </c>
      <c r="AI58" s="342">
        <f t="shared" si="81"/>
        <v>0.18930741020696096</v>
      </c>
      <c r="AJ58" s="342">
        <f t="shared" si="81"/>
        <v>0.17388424547409348</v>
      </c>
      <c r="AK58" s="342">
        <f t="shared" si="81"/>
        <v>0.16153777123523377</v>
      </c>
      <c r="AL58" s="342">
        <f t="shared" si="81"/>
        <v>0.15168778558984705</v>
      </c>
      <c r="AM58" s="342">
        <f t="shared" si="81"/>
        <v>0.14396432697762035</v>
      </c>
      <c r="AN58" s="342">
        <f t="shared" si="81"/>
        <v>0.13791911730425821</v>
      </c>
      <c r="AO58" s="342">
        <f t="shared" si="81"/>
        <v>0.13314054564596375</v>
      </c>
      <c r="AP58" s="342">
        <f t="shared" si="81"/>
        <v>0.12152144785192433</v>
      </c>
      <c r="AQ58" s="342">
        <f t="shared" si="81"/>
        <v>0.11070063032380781</v>
      </c>
      <c r="AR58" s="342">
        <f t="shared" si="81"/>
        <v>0.10079158582002486</v>
      </c>
      <c r="AS58" s="342">
        <f t="shared" si="81"/>
        <v>9.167809707219704E-2</v>
      </c>
      <c r="AT58" s="342">
        <f t="shared" si="81"/>
        <v>8.3354548001906809E-2</v>
      </c>
      <c r="AU58" s="342">
        <f t="shared" si="81"/>
        <v>7.6079585319912185E-2</v>
      </c>
      <c r="AV58" s="342">
        <f t="shared" si="81"/>
        <v>6.9416872716052624E-2</v>
      </c>
      <c r="AW58" s="342">
        <f t="shared" si="81"/>
        <v>6.3155996519281499E-2</v>
      </c>
      <c r="AX58" s="342">
        <f t="shared" si="81"/>
        <v>5.7444760153502541E-2</v>
      </c>
      <c r="AY58" s="342">
        <f t="shared" si="81"/>
        <v>5.2173748149324024E-2</v>
      </c>
      <c r="AZ58" s="342">
        <f t="shared" si="81"/>
        <v>4.7376431447101679E-2</v>
      </c>
      <c r="BA58" s="342">
        <f t="shared" si="81"/>
        <v>4.2988286469226374E-2</v>
      </c>
      <c r="BB58" s="342">
        <f t="shared" si="81"/>
        <v>3.8999988932652906E-2</v>
      </c>
      <c r="BC58" s="342">
        <f t="shared" si="81"/>
        <v>3.5368532297968339E-2</v>
      </c>
      <c r="BD58" s="342">
        <f t="shared" si="81"/>
        <v>3.2070848089404039E-2</v>
      </c>
      <c r="BE58" s="342">
        <f t="shared" si="81"/>
        <v>2.9075379940108118E-2</v>
      </c>
      <c r="BF58" s="342">
        <f t="shared" si="81"/>
        <v>2.6356798907663317E-2</v>
      </c>
      <c r="BG58" s="342">
        <f t="shared" si="81"/>
        <v>2.3890463651181977E-2</v>
      </c>
      <c r="BH58" s="342">
        <f t="shared" si="81"/>
        <v>2.1652996660359587E-2</v>
      </c>
      <c r="BI58" s="342">
        <f t="shared" si="81"/>
        <v>1.961600798424621E-2</v>
      </c>
      <c r="BJ58" s="342"/>
      <c r="BK58" s="342"/>
      <c r="BO58" s="1"/>
      <c r="BP58" s="12"/>
      <c r="BR58" s="1" t="s">
        <v>58</v>
      </c>
      <c r="BS58" s="12">
        <f>+LatAm!B61</f>
        <v>4.3825455711743508</v>
      </c>
      <c r="BT58" s="12">
        <f>+LatAm!C61</f>
        <v>4.5271872190907354</v>
      </c>
      <c r="BU58" s="12">
        <f>+LatAm!D61</f>
        <v>4.6571215177306522</v>
      </c>
      <c r="BV58" s="12">
        <f>+LatAm!E61</f>
        <v>4.8730923298752042</v>
      </c>
      <c r="BW58" s="12">
        <f>+LatAm!F61</f>
        <v>5.1290544433332457</v>
      </c>
      <c r="BX58" s="12">
        <f>+LatAm!G61</f>
        <v>5.1589554477207864</v>
      </c>
      <c r="BY58" s="12">
        <f>+LatAm!H61</f>
        <v>5.3660769113688094</v>
      </c>
      <c r="BZ58" s="12">
        <f>+LatAm!I61</f>
        <v>5.6602303610634843</v>
      </c>
      <c r="CA58" s="12">
        <f>+LatAm!J61</f>
        <v>5.833021511871606</v>
      </c>
      <c r="CB58" s="12">
        <f>+LatAm!K61</f>
        <v>5.8628301634593072</v>
      </c>
      <c r="CC58" s="12">
        <f>+LatAm!L61</f>
        <v>6.0755902137122586</v>
      </c>
      <c r="CD58" s="12">
        <f>+LatAm!M61</f>
        <v>6.0918092924524352</v>
      </c>
      <c r="CE58" s="12">
        <f>+LatAm!N61</f>
        <v>6.1213001790886779</v>
      </c>
      <c r="CF58" s="12">
        <f>+LatAm!O61</f>
        <v>6.2743277825400918</v>
      </c>
      <c r="CG58" s="12">
        <f>+LatAm!P61</f>
        <v>6.60468501027042</v>
      </c>
      <c r="CH58" s="12">
        <f>+LatAm!Q61</f>
        <v>6.8675202642473749</v>
      </c>
      <c r="CI58" s="12">
        <f>+LatAm!R61</f>
        <v>7.2286999110883015</v>
      </c>
      <c r="CJ58" s="12">
        <f>+LatAm!S61</f>
        <v>7.6076147692002509</v>
      </c>
      <c r="CK58" s="12">
        <f>+LatAm!T61</f>
        <v>7.888918501422129</v>
      </c>
      <c r="CL58" s="12">
        <f>+LatAm!U61</f>
        <v>7.6997030865387748</v>
      </c>
      <c r="CM58" s="12">
        <f>+LatAm!V61</f>
        <v>8.2017265789533234</v>
      </c>
      <c r="CN58" s="12">
        <f>+LatAm!W61</f>
        <v>8.5772111643013851</v>
      </c>
      <c r="CO58" s="12">
        <f>+LatAm!X61</f>
        <v>8.8117843546747796</v>
      </c>
      <c r="CP58" s="12">
        <f>+LatAm!Y61</f>
        <v>9.0608343505528453</v>
      </c>
      <c r="CQ58" s="12">
        <f>+LatAm!Z61</f>
        <v>9.2008274908229826</v>
      </c>
      <c r="CR58" s="12">
        <f>+LatAm!AA61</f>
        <v>9.2559695164738613</v>
      </c>
      <c r="CS58" s="12">
        <f>+LatAm!AB61</f>
        <v>9.2452517181244005</v>
      </c>
      <c r="CT58" s="12">
        <f>+LatAm!AC61</f>
        <v>9.4268768994494501</v>
      </c>
      <c r="CU58" s="12">
        <f>+LatAm!AD61</f>
        <v>9.5931022120108693</v>
      </c>
      <c r="CV58" s="12">
        <f>+LatAm!AE61</f>
        <v>9.6651660940484714</v>
      </c>
      <c r="CW58" s="12">
        <f>+LatAm!AF61</f>
        <v>9.0177395738441426</v>
      </c>
      <c r="CX58" s="12">
        <f>+LatAm!AG61</f>
        <v>9.6812731390420854</v>
      </c>
      <c r="CY58" s="12">
        <f>+LatAm!AH61</f>
        <v>10.067818877246319</v>
      </c>
      <c r="CZ58" s="12">
        <f>+LatAm!AI61</f>
        <v>96.616463169695223</v>
      </c>
      <c r="DA58" s="12">
        <f>+LatAm!AJ61</f>
        <v>176.06150802890127</v>
      </c>
      <c r="DB58" s="12">
        <f>+LatAm!AK61</f>
        <v>225.70390818901029</v>
      </c>
      <c r="DC58" s="12">
        <f>+LatAm!AL61</f>
        <v>257.593001760905</v>
      </c>
      <c r="DD58" s="12">
        <f>+LatAm!AM61</f>
        <v>280.24223639258582</v>
      </c>
      <c r="DE58" s="12">
        <f>+LatAm!AN61</f>
        <v>298.07653678603339</v>
      </c>
      <c r="DF58" s="12">
        <f>+LatAm!AO61</f>
        <v>313.42743791898459</v>
      </c>
      <c r="DG58" s="12">
        <f>+LatAm!AP61</f>
        <v>327.55582672735858</v>
      </c>
      <c r="DH58" s="12">
        <f>+LatAm!AQ61</f>
        <v>341.15719386197424</v>
      </c>
      <c r="DI58" s="12">
        <f>+LatAm!AR61</f>
        <v>354.62171454455279</v>
      </c>
      <c r="DJ58" s="12">
        <f>+LatAm!AS61</f>
        <v>368.17259201713176</v>
      </c>
      <c r="DK58" s="12">
        <f>+LatAm!AT61</f>
        <v>381.94113100507724</v>
      </c>
      <c r="DL58" s="12">
        <f>+LatAm!AU61</f>
        <v>396.00793738676299</v>
      </c>
      <c r="DM58" s="12">
        <f>+LatAm!AV61</f>
        <v>410.42566737584866</v>
      </c>
      <c r="DN58" s="12">
        <f>+LatAm!AW61</f>
        <v>425.23163168829245</v>
      </c>
      <c r="DO58" s="12">
        <f>+LatAm!AX61</f>
        <v>440.4547936704559</v>
      </c>
      <c r="DP58" s="12">
        <f>+LatAm!AY61</f>
        <v>456.11966187601035</v>
      </c>
      <c r="DQ58" s="12">
        <f>+LatAm!AZ61</f>
        <v>472.24846035887367</v>
      </c>
      <c r="DR58" s="12">
        <f>+LatAm!BA61</f>
        <v>488.86234349953611</v>
      </c>
      <c r="DS58" s="12">
        <f>+LatAm!BB61</f>
        <v>505.98208085586907</v>
      </c>
      <c r="DT58" s="12">
        <f>+LatAm!BC61</f>
        <v>523.62844821517683</v>
      </c>
      <c r="DU58" s="12">
        <f>+LatAm!BD61</f>
        <v>541.82245594329652</v>
      </c>
      <c r="DV58" s="12">
        <f>+LatAm!BE61</f>
        <v>560.58548738631691</v>
      </c>
      <c r="DW58" s="12">
        <f>+LatAm!BF61</f>
        <v>579.97169516579504</v>
      </c>
      <c r="DX58" s="12">
        <f>+LatAm!BG61</f>
        <v>599.97275493155871</v>
      </c>
      <c r="DY58" s="12">
        <f>+LatAm!BH61</f>
        <v>620.60268754066885</v>
      </c>
      <c r="DZ58" s="12">
        <f>+LatAm!BI61</f>
        <v>641.88418120707956</v>
      </c>
    </row>
    <row r="59" spans="1:130" s="338" customFormat="1" ht="14" x14ac:dyDescent="0.15">
      <c r="A59" s="338" t="s">
        <v>892</v>
      </c>
      <c r="N59" s="339"/>
      <c r="O59" s="339"/>
      <c r="P59" s="339"/>
      <c r="Q59" s="339"/>
      <c r="R59" s="339"/>
      <c r="S59" s="343">
        <f t="shared" ref="S59:X59" si="82">+S58*3.666</f>
        <v>4.7634759574870174</v>
      </c>
      <c r="T59" s="343">
        <f t="shared" si="82"/>
        <v>4.7633721504003015</v>
      </c>
      <c r="U59" s="343">
        <f t="shared" si="82"/>
        <v>4.7632683455757796</v>
      </c>
      <c r="V59" s="343">
        <f t="shared" si="82"/>
        <v>0</v>
      </c>
      <c r="W59" s="343">
        <f t="shared" si="82"/>
        <v>0</v>
      </c>
      <c r="X59" s="343">
        <f t="shared" si="82"/>
        <v>3.8234280688557463</v>
      </c>
      <c r="Y59" s="343">
        <f t="shared" ref="Y59:BI59" si="83">+Y58*3.666</f>
        <v>4.1544499781228383</v>
      </c>
      <c r="Z59" s="343">
        <f t="shared" si="83"/>
        <v>3.9404891967565421</v>
      </c>
      <c r="AA59" s="343">
        <f t="shared" si="83"/>
        <v>3.3504927822658761</v>
      </c>
      <c r="AB59" s="343">
        <f t="shared" si="83"/>
        <v>2.8508458703008452</v>
      </c>
      <c r="AC59" s="343">
        <f t="shared" si="83"/>
        <v>2.2911101471992819</v>
      </c>
      <c r="AD59" s="343">
        <f t="shared" si="83"/>
        <v>1.7037095062309873</v>
      </c>
      <c r="AE59" s="343">
        <f t="shared" si="83"/>
        <v>1.0778536304431585</v>
      </c>
      <c r="AF59" s="343">
        <f t="shared" si="83"/>
        <v>0.9553064993782322</v>
      </c>
      <c r="AG59" s="343">
        <f t="shared" si="83"/>
        <v>0.8499875163314754</v>
      </c>
      <c r="AH59" s="343">
        <f t="shared" si="83"/>
        <v>0.76397203627148869</v>
      </c>
      <c r="AI59" s="343">
        <f t="shared" si="83"/>
        <v>0.69400096581871884</v>
      </c>
      <c r="AJ59" s="343">
        <f t="shared" si="83"/>
        <v>0.63745964390802667</v>
      </c>
      <c r="AK59" s="343">
        <f t="shared" si="83"/>
        <v>0.59219746934836703</v>
      </c>
      <c r="AL59" s="343">
        <f t="shared" si="83"/>
        <v>0.55608742197237926</v>
      </c>
      <c r="AM59" s="343">
        <f t="shared" si="83"/>
        <v>0.52777322269995619</v>
      </c>
      <c r="AN59" s="343">
        <f t="shared" si="83"/>
        <v>0.50561148403741063</v>
      </c>
      <c r="AO59" s="343">
        <f t="shared" si="83"/>
        <v>0.48809324033810308</v>
      </c>
      <c r="AP59" s="343">
        <f t="shared" si="83"/>
        <v>0.44549762782515456</v>
      </c>
      <c r="AQ59" s="343">
        <f t="shared" si="83"/>
        <v>0.40582851076707943</v>
      </c>
      <c r="AR59" s="343">
        <f t="shared" si="83"/>
        <v>0.36950195361621113</v>
      </c>
      <c r="AS59" s="343">
        <f t="shared" si="83"/>
        <v>0.33609190386667437</v>
      </c>
      <c r="AT59" s="343">
        <f t="shared" si="83"/>
        <v>0.30557777297499034</v>
      </c>
      <c r="AU59" s="343">
        <f t="shared" si="83"/>
        <v>0.27890775978279808</v>
      </c>
      <c r="AV59" s="343">
        <f t="shared" si="83"/>
        <v>0.25448225537704894</v>
      </c>
      <c r="AW59" s="343">
        <f t="shared" si="83"/>
        <v>0.23152988323968596</v>
      </c>
      <c r="AX59" s="343">
        <f t="shared" si="83"/>
        <v>0.21059249072274031</v>
      </c>
      <c r="AY59" s="343">
        <f t="shared" si="83"/>
        <v>0.19126896071542188</v>
      </c>
      <c r="AZ59" s="343">
        <f t="shared" si="83"/>
        <v>0.17368199768507475</v>
      </c>
      <c r="BA59" s="343">
        <f t="shared" si="83"/>
        <v>0.15759505819618388</v>
      </c>
      <c r="BB59" s="343">
        <f t="shared" si="83"/>
        <v>0.14297395942710556</v>
      </c>
      <c r="BC59" s="343">
        <f t="shared" si="83"/>
        <v>0.12966103940435192</v>
      </c>
      <c r="BD59" s="343">
        <f t="shared" si="83"/>
        <v>0.11757172909575521</v>
      </c>
      <c r="BE59" s="343">
        <f t="shared" si="83"/>
        <v>0.10659034286043637</v>
      </c>
      <c r="BF59" s="343">
        <f t="shared" si="83"/>
        <v>9.6624024795493715E-2</v>
      </c>
      <c r="BG59" s="343">
        <f t="shared" si="83"/>
        <v>8.7582439745233123E-2</v>
      </c>
      <c r="BH59" s="343">
        <f t="shared" si="83"/>
        <v>7.9379885756878252E-2</v>
      </c>
      <c r="BI59" s="343">
        <f t="shared" si="83"/>
        <v>7.1912285270246609E-2</v>
      </c>
      <c r="BJ59" s="343"/>
      <c r="BK59" s="343"/>
      <c r="BO59" s="1"/>
      <c r="BP59" s="12"/>
      <c r="BR59" s="1" t="s">
        <v>114</v>
      </c>
      <c r="BS59" s="12">
        <f>+OHI!B61</f>
        <v>2.4144409221517042</v>
      </c>
      <c r="BT59" s="12">
        <f>+OHI!C61</f>
        <v>2.4674742636165257</v>
      </c>
      <c r="BU59" s="12">
        <f>+OHI!D61</f>
        <v>2.5375214421117422</v>
      </c>
      <c r="BV59" s="12">
        <f>+OHI!E61</f>
        <v>2.6611205609108528</v>
      </c>
      <c r="BW59" s="12">
        <f>+OHI!F61</f>
        <v>2.8235752729765053</v>
      </c>
      <c r="BX59" s="12">
        <f>+OHI!G61</f>
        <v>2.9666588094297217</v>
      </c>
      <c r="BY59" s="12">
        <f>+OHI!H61</f>
        <v>3.097362020515817</v>
      </c>
      <c r="BZ59" s="12">
        <f>+OHI!I61</f>
        <v>3.2501034749200057</v>
      </c>
      <c r="CA59" s="12">
        <f>+OHI!J61</f>
        <v>3.2567876012705419</v>
      </c>
      <c r="CB59" s="12">
        <f>+OHI!K61</f>
        <v>3.4736713327427866</v>
      </c>
      <c r="CC59" s="12">
        <f>+OHI!L61</f>
        <v>3.6935106449306647</v>
      </c>
      <c r="CD59" s="12">
        <f>+OHI!M61</f>
        <v>3.7883423915688064</v>
      </c>
      <c r="CE59" s="12">
        <f>+OHI!N61</f>
        <v>3.9651250274068768</v>
      </c>
      <c r="CF59" s="12">
        <f>+OHI!O61</f>
        <v>4.0789058092188624</v>
      </c>
      <c r="CG59" s="12">
        <f>+OHI!P61</f>
        <v>4.2793073656510749</v>
      </c>
      <c r="CH59" s="12">
        <f>+OHI!Q61</f>
        <v>4.4552959784399553</v>
      </c>
      <c r="CI59" s="12">
        <f>+OHI!R61</f>
        <v>4.6456379132419769</v>
      </c>
      <c r="CJ59" s="12">
        <f>+OHI!S61</f>
        <v>4.8532321749567098</v>
      </c>
      <c r="CK59" s="12">
        <f>+OHI!T61</f>
        <v>4.9606472708612541</v>
      </c>
      <c r="CL59" s="12">
        <f>+OHI!U61</f>
        <v>4.9391177999735847</v>
      </c>
      <c r="CM59" s="12">
        <f>+OHI!V61</f>
        <v>5.2033001298703692</v>
      </c>
      <c r="CN59" s="12">
        <f>+OHI!W61</f>
        <v>5.3972028146495488</v>
      </c>
      <c r="CO59" s="12">
        <f>+OHI!X61</f>
        <v>5.5430322050260621</v>
      </c>
      <c r="CP59" s="12">
        <f>+OHI!Y61</f>
        <v>5.7119055311477434</v>
      </c>
      <c r="CQ59" s="12">
        <f>+OHI!Z61</f>
        <v>5.8808088453996188</v>
      </c>
      <c r="CR59" s="12">
        <f>+OHI!AA61</f>
        <v>5.9813905656408846</v>
      </c>
      <c r="CS59" s="12">
        <f>+OHI!AB61</f>
        <v>6.1224131418579493</v>
      </c>
      <c r="CT59" s="12">
        <f>+OHI!AC61</f>
        <v>6.3192186525231895</v>
      </c>
      <c r="CU59" s="12">
        <f>+OHI!AD61</f>
        <v>6.5073333754412861</v>
      </c>
      <c r="CV59" s="12">
        <f>+OHI!AE61</f>
        <v>6.6200322143421371</v>
      </c>
      <c r="CW59" s="12">
        <f>+OHI!AF61</f>
        <v>6.4102027374537238</v>
      </c>
      <c r="CX59" s="12">
        <f>+OHI!AG61</f>
        <v>6.7186524360240876</v>
      </c>
      <c r="CY59" s="12">
        <f>+OHI!AH61</f>
        <v>6.9060817981566487</v>
      </c>
      <c r="CZ59" s="12">
        <f>+OHI!AI61</f>
        <v>35.215414873318331</v>
      </c>
      <c r="DA59" s="12">
        <f>+OHI!AJ61</f>
        <v>53.599904397757726</v>
      </c>
      <c r="DB59" s="12">
        <f>+OHI!AK61</f>
        <v>64.770695352756476</v>
      </c>
      <c r="DC59" s="12">
        <f>+OHI!AL61</f>
        <v>72.086897793810394</v>
      </c>
      <c r="DD59" s="12">
        <f>+OHI!AM61</f>
        <v>77.421957727251353</v>
      </c>
      <c r="DE59" s="12">
        <f>+OHI!AN61</f>
        <v>81.735645447773379</v>
      </c>
      <c r="DF59" s="12">
        <f>+OHI!AO61</f>
        <v>85.534072014319861</v>
      </c>
      <c r="DG59" s="12">
        <f>+OHI!AP61</f>
        <v>89.090942586993293</v>
      </c>
      <c r="DH59" s="12">
        <f>+OHI!AQ61</f>
        <v>92.557031085570799</v>
      </c>
      <c r="DI59" s="12">
        <f>+OHI!AR61</f>
        <v>96.016804508010196</v>
      </c>
      <c r="DJ59" s="12">
        <f>+OHI!AS61</f>
        <v>99.518585960725758</v>
      </c>
      <c r="DK59" s="12">
        <f>+OHI!AT61</f>
        <v>103.0908984515024</v>
      </c>
      <c r="DL59" s="12">
        <f>+OHI!AU61</f>
        <v>106.75140462826401</v>
      </c>
      <c r="DM59" s="12">
        <f>+OHI!AV61</f>
        <v>110.5118219394422</v>
      </c>
      <c r="DN59" s="12">
        <f>+OHI!AW61</f>
        <v>114.38063301799959</v>
      </c>
      <c r="DO59" s="12">
        <f>+OHI!AX61</f>
        <v>118.36458326631275</v>
      </c>
      <c r="DP59" s="12">
        <f>+OHI!AY61</f>
        <v>122.46950993111034</v>
      </c>
      <c r="DQ59" s="12">
        <f>+OHI!AZ61</f>
        <v>126.70080234039978</v>
      </c>
      <c r="DR59" s="12">
        <f>+OHI!BA61</f>
        <v>131.06365857899743</v>
      </c>
      <c r="DS59" s="12">
        <f>+OHI!BB61</f>
        <v>135.56322983109047</v>
      </c>
      <c r="DT59" s="12">
        <f>+OHI!BC61</f>
        <v>140.20470276237037</v>
      </c>
      <c r="DU59" s="12">
        <f>+OHI!BD61</f>
        <v>144.99334775779704</v>
      </c>
      <c r="DV59" s="12">
        <f>+OHI!BE61</f>
        <v>149.93454837483995</v>
      </c>
      <c r="DW59" s="12">
        <f>+OHI!BF61</f>
        <v>155.04189113925224</v>
      </c>
      <c r="DX59" s="12">
        <f>+OHI!BG61</f>
        <v>160.31336794510247</v>
      </c>
      <c r="DY59" s="12">
        <f>+OHI!BH61</f>
        <v>165.75255612847545</v>
      </c>
      <c r="DZ59" s="12">
        <f>+OHI!BI61</f>
        <v>171.36523073649673</v>
      </c>
    </row>
    <row r="60" spans="1:130" s="338" customFormat="1" ht="14" x14ac:dyDescent="0.15">
      <c r="A60" s="338" t="s">
        <v>893</v>
      </c>
      <c r="N60" s="339"/>
      <c r="O60" s="339"/>
      <c r="P60" s="339"/>
      <c r="Q60" s="339"/>
      <c r="R60" s="339"/>
      <c r="S60" s="343"/>
      <c r="T60" s="343"/>
      <c r="U60" s="343"/>
      <c r="V60" s="343"/>
      <c r="W60" s="343"/>
      <c r="X60" s="343"/>
      <c r="Y60" s="343"/>
      <c r="Z60" s="343"/>
      <c r="AA60" s="343"/>
      <c r="AB60" s="343"/>
      <c r="AC60" s="343"/>
      <c r="AD60" s="343"/>
      <c r="AE60" s="343"/>
      <c r="AF60" s="343"/>
      <c r="AG60" s="343"/>
      <c r="AH60" s="343"/>
      <c r="AI60" s="343"/>
      <c r="AJ60" s="343"/>
      <c r="AK60" s="343"/>
      <c r="AL60" s="343"/>
      <c r="AM60" s="343"/>
      <c r="AN60" s="343"/>
      <c r="AO60" s="343"/>
      <c r="AP60" s="343"/>
      <c r="AQ60" s="343"/>
      <c r="AR60" s="343"/>
      <c r="AS60" s="343"/>
      <c r="AT60" s="343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343"/>
      <c r="BG60" s="343"/>
      <c r="BH60" s="343"/>
      <c r="BI60" s="343"/>
      <c r="BJ60" s="343"/>
      <c r="BK60" s="343"/>
      <c r="BO60" s="1"/>
      <c r="BP60" s="1"/>
      <c r="BR60" s="1" t="s">
        <v>32</v>
      </c>
      <c r="BS60" s="12">
        <f>+OthAsia!B61</f>
        <v>2.5310645558390918</v>
      </c>
      <c r="BT60" s="12">
        <f>+OthAsia!C61</f>
        <v>2.6763245161820541</v>
      </c>
      <c r="BU60" s="12">
        <f>+OthAsia!D61</f>
        <v>2.8491501397623828</v>
      </c>
      <c r="BV60" s="12">
        <f>+OthAsia!E61</f>
        <v>3.0348963876778576</v>
      </c>
      <c r="BW60" s="12">
        <f>+OthAsia!F61</f>
        <v>3.2302797870630342</v>
      </c>
      <c r="BX60" s="12">
        <f>+OthAsia!G61</f>
        <v>3.4665154561108027</v>
      </c>
      <c r="BY60" s="12">
        <f>+OthAsia!H61</f>
        <v>3.7004238513038312</v>
      </c>
      <c r="BZ60" s="12">
        <f>+OthAsia!I61</f>
        <v>3.8264851091560619</v>
      </c>
      <c r="CA60" s="12">
        <f>+OthAsia!J61</f>
        <v>3.6293123668840765</v>
      </c>
      <c r="CB60" s="12">
        <f>+OthAsia!K61</f>
        <v>3.7527870552956908</v>
      </c>
      <c r="CC60" s="12">
        <f>+OthAsia!L61</f>
        <v>3.9547574966840977</v>
      </c>
      <c r="CD60" s="12">
        <f>+OthAsia!M61</f>
        <v>4.0941140837342962</v>
      </c>
      <c r="CE60" s="12">
        <f>+OthAsia!N61</f>
        <v>4.3104579364138846</v>
      </c>
      <c r="CF60" s="12">
        <f>+OthAsia!O61</f>
        <v>4.5561131185142543</v>
      </c>
      <c r="CG60" s="12">
        <f>+OthAsia!P61</f>
        <v>4.8391981572140033</v>
      </c>
      <c r="CH60" s="12">
        <f>+OthAsia!Q61</f>
        <v>5.1254540935967592</v>
      </c>
      <c r="CI60" s="12">
        <f>+OthAsia!R61</f>
        <v>5.4278614278595061</v>
      </c>
      <c r="CJ60" s="12">
        <f>+OthAsia!S61</f>
        <v>5.7657960667030812</v>
      </c>
      <c r="CK60" s="12">
        <f>+OthAsia!T61</f>
        <v>6.0309826733733845</v>
      </c>
      <c r="CL60" s="12">
        <f>+OthAsia!U61</f>
        <v>6.2169585915366552</v>
      </c>
      <c r="CM60" s="12">
        <f>+OthAsia!V61</f>
        <v>6.6003634869238814</v>
      </c>
      <c r="CN60" s="12">
        <f>+OthAsia!W61</f>
        <v>6.9130088921068875</v>
      </c>
      <c r="CO60" s="12">
        <f>+OthAsia!X61</f>
        <v>7.3286682265273235</v>
      </c>
      <c r="CP60" s="12">
        <f>+OthAsia!Y61</f>
        <v>7.700600370788675</v>
      </c>
      <c r="CQ60" s="12">
        <f>+OthAsia!Z61</f>
        <v>8.0777773997057949</v>
      </c>
      <c r="CR60" s="12">
        <f>+OthAsia!AA61</f>
        <v>8.4837690237828287</v>
      </c>
      <c r="CS60" s="12">
        <f>+OthAsia!AB61</f>
        <v>8.9406430846461209</v>
      </c>
      <c r="CT60" s="12">
        <f>+OthAsia!AC61</f>
        <v>9.4323147413416688</v>
      </c>
      <c r="CU60" s="12">
        <f>+OthAsia!AD61</f>
        <v>9.955699530646525</v>
      </c>
      <c r="CV60" s="12">
        <f>+OthAsia!AE61</f>
        <v>10.431558599864045</v>
      </c>
      <c r="CW60" s="12">
        <f>+OthAsia!AF61</f>
        <v>10.137916405356833</v>
      </c>
      <c r="CX60" s="12">
        <f>+OthAsia!AG61</f>
        <v>10.490305864619499</v>
      </c>
      <c r="CY60" s="12">
        <f>+OthAsia!AH61</f>
        <v>10.98461907662184</v>
      </c>
      <c r="CZ60" s="12">
        <f>+OthAsia!AI61</f>
        <v>144.67208862149386</v>
      </c>
      <c r="DA60" s="12">
        <f>+OthAsia!AJ61</f>
        <v>289.29902265446532</v>
      </c>
      <c r="DB60" s="12">
        <f>+OthAsia!AK61</f>
        <v>381.78088307399901</v>
      </c>
      <c r="DC60" s="12">
        <f>+OthAsia!AL61</f>
        <v>441.02577195775064</v>
      </c>
      <c r="DD60" s="12">
        <f>+OthAsia!AM61</f>
        <v>482.92603652912686</v>
      </c>
      <c r="DE60" s="12">
        <f>+OthAsia!AN61</f>
        <v>515.77786626866123</v>
      </c>
      <c r="DF60" s="12">
        <f>+OthAsia!AO61</f>
        <v>543.93719721139337</v>
      </c>
      <c r="DG60" s="12">
        <f>+OthAsia!AP61</f>
        <v>569.75397037040591</v>
      </c>
      <c r="DH60" s="12">
        <f>+OthAsia!AQ61</f>
        <v>594.52266018599346</v>
      </c>
      <c r="DI60" s="12">
        <f>+OthAsia!AR61</f>
        <v>618.96893579672223</v>
      </c>
      <c r="DJ60" s="12">
        <f>+OthAsia!AS61</f>
        <v>643.50770787412307</v>
      </c>
      <c r="DK60" s="12">
        <f>+OthAsia!AT61</f>
        <v>668.38292849206448</v>
      </c>
      <c r="DL60" s="12">
        <f>+OthAsia!AU61</f>
        <v>693.74424552951029</v>
      </c>
      <c r="DM60" s="12">
        <f>+OthAsia!AV61</f>
        <v>719.68930565297262</v>
      </c>
      <c r="DN60" s="12">
        <f>+OthAsia!AW61</f>
        <v>746.28718036900216</v>
      </c>
      <c r="DO60" s="12">
        <f>+OthAsia!AX61</f>
        <v>773.59136441449368</v>
      </c>
      <c r="DP60" s="12">
        <f>+OthAsia!AY61</f>
        <v>801.64699938843296</v>
      </c>
      <c r="DQ60" s="12">
        <f>+OthAsia!AZ61</f>
        <v>830.4948961423662</v>
      </c>
      <c r="DR60" s="12">
        <f>+OthAsia!BA61</f>
        <v>860.17378231740997</v>
      </c>
      <c r="DS60" s="12">
        <f>+OthAsia!BB61</f>
        <v>890.72156628509583</v>
      </c>
      <c r="DT60" s="12">
        <f>+OthAsia!BC61</f>
        <v>922.17605649948132</v>
      </c>
      <c r="DU60" s="12">
        <f>+OthAsia!BD61</f>
        <v>954.57537977724382</v>
      </c>
      <c r="DV60" s="12">
        <f>+OthAsia!BE61</f>
        <v>987.95823351869853</v>
      </c>
      <c r="DW60" s="12">
        <f>+OthAsia!BF61</f>
        <v>1022.4382025626908</v>
      </c>
      <c r="DX60" s="12">
        <f>+OthAsia!BG61</f>
        <v>1057.9851406096536</v>
      </c>
      <c r="DY60" s="12">
        <f>+OthAsia!BH61</f>
        <v>1094.6197322429928</v>
      </c>
      <c r="DZ60" s="12">
        <f>+OthAsia!BI61</f>
        <v>1132.3821992503065</v>
      </c>
    </row>
    <row r="61" spans="1:130" s="338" customFormat="1" ht="14" x14ac:dyDescent="0.15">
      <c r="A61" s="338" t="s">
        <v>894</v>
      </c>
      <c r="N61" s="339"/>
      <c r="O61" s="339"/>
      <c r="P61" s="339"/>
      <c r="Q61" s="339"/>
      <c r="R61" s="339"/>
      <c r="S61" s="344">
        <f>+S58+(1-$Y$55)*S4</f>
        <v>1.6242075687012467</v>
      </c>
      <c r="T61" s="344">
        <f>+T58+(1-$Y$55)*T4</f>
        <v>1.6241721734861909</v>
      </c>
      <c r="U61" s="344">
        <f>+U58+(1-$Y$55)*U4</f>
        <v>1.6241367790424781</v>
      </c>
      <c r="V61" s="344">
        <f>+V58+(1-W55)*V4</f>
        <v>1.6241013853700916</v>
      </c>
      <c r="W61" s="344">
        <f>+W58+(1-X55)*W4</f>
        <v>0.48721979774070445</v>
      </c>
      <c r="X61" s="344">
        <f>+X58+(1-Y55)*Y4</f>
        <v>1.3842794390922046</v>
      </c>
      <c r="Y61" s="344">
        <f>+Y58+(1-Z55)*Z4</f>
        <v>1.4022927499634557</v>
      </c>
      <c r="Z61" s="344">
        <f>+Z58+(1-AA55)*AA4</f>
        <v>1.3529484199086483</v>
      </c>
      <c r="AA61" s="344">
        <f>+AA58+(1-AA55)*AA4</f>
        <v>1.1920110455249424</v>
      </c>
      <c r="AB61" s="344">
        <f>+AB58+(1-AB55)*AB4</f>
        <v>1.0650404885241216</v>
      </c>
      <c r="AC61" s="344">
        <f>+AC58+(1-AC55)*AC4</f>
        <v>0.91906154616318558</v>
      </c>
      <c r="AD61" s="344">
        <f>+AD58+(1-AD55)*AD4</f>
        <v>0.7656926372213686</v>
      </c>
      <c r="AE61" s="344">
        <f>+AE58+(1-AE55)*AE4</f>
        <v>0.59921790278102194</v>
      </c>
      <c r="AF61" s="344">
        <f t="shared" ref="AF61:BI61" si="84">+AF58+(1-AF55)*AF4</f>
        <v>0.53914315712482919</v>
      </c>
      <c r="AG61" s="344">
        <f t="shared" si="84"/>
        <v>0.48474908100594283</v>
      </c>
      <c r="AH61" s="344">
        <f t="shared" si="84"/>
        <v>0.43798529818541049</v>
      </c>
      <c r="AI61" s="344">
        <f t="shared" si="84"/>
        <v>0.39771846645544995</v>
      </c>
      <c r="AJ61" s="344">
        <f t="shared" si="84"/>
        <v>0.36306889547259652</v>
      </c>
      <c r="AK61" s="344">
        <f t="shared" si="84"/>
        <v>0.33331622824918522</v>
      </c>
      <c r="AL61" s="344">
        <f t="shared" si="84"/>
        <v>0.30766153025849458</v>
      </c>
      <c r="AM61" s="344">
        <f t="shared" si="84"/>
        <v>0.28565937198649127</v>
      </c>
      <c r="AN61" s="344">
        <f t="shared" si="84"/>
        <v>0.26664261383066901</v>
      </c>
      <c r="AO61" s="344">
        <f t="shared" si="84"/>
        <v>0.24998557093910706</v>
      </c>
      <c r="AP61" s="344">
        <f t="shared" si="84"/>
        <v>0.22758413496168667</v>
      </c>
      <c r="AQ61" s="344">
        <f t="shared" si="84"/>
        <v>0.20684409992437364</v>
      </c>
      <c r="AR61" s="344">
        <f t="shared" si="84"/>
        <v>0.18794350511157465</v>
      </c>
      <c r="AS61" s="344">
        <f t="shared" si="84"/>
        <v>0.17063682724177148</v>
      </c>
      <c r="AT61" s="344">
        <f t="shared" si="84"/>
        <v>0.15489033425505211</v>
      </c>
      <c r="AU61" s="344">
        <f t="shared" si="84"/>
        <v>0.14116450714153334</v>
      </c>
      <c r="AV61" s="344">
        <f t="shared" si="84"/>
        <v>0.12863264806989244</v>
      </c>
      <c r="AW61" s="344">
        <f t="shared" si="84"/>
        <v>0.11689308084488839</v>
      </c>
      <c r="AX61" s="344">
        <f t="shared" si="84"/>
        <v>0.10621004633885259</v>
      </c>
      <c r="AY61" s="344">
        <f t="shared" si="84"/>
        <v>9.6373020592678799E-2</v>
      </c>
      <c r="AZ61" s="344">
        <f t="shared" si="84"/>
        <v>8.7437217250688259E-2</v>
      </c>
      <c r="BA61" s="344">
        <f t="shared" si="84"/>
        <v>7.9277968402228838E-2</v>
      </c>
      <c r="BB61" s="344">
        <f t="shared" si="84"/>
        <v>7.1873558144582433E-2</v>
      </c>
      <c r="BC61" s="344">
        <f t="shared" si="84"/>
        <v>6.5140988146528814E-2</v>
      </c>
      <c r="BD61" s="344">
        <f t="shared" si="84"/>
        <v>5.9034732708687018E-2</v>
      </c>
      <c r="BE61" s="344">
        <f t="shared" si="84"/>
        <v>5.3494213319466154E-2</v>
      </c>
      <c r="BF61" s="344">
        <f t="shared" si="84"/>
        <v>4.8470801842627247E-2</v>
      </c>
      <c r="BG61" s="344">
        <f t="shared" si="84"/>
        <v>4.3917528370987127E-2</v>
      </c>
      <c r="BH61" s="344">
        <f t="shared" si="84"/>
        <v>3.9790071276422062E-2</v>
      </c>
      <c r="BI61" s="344">
        <f t="shared" si="84"/>
        <v>3.6035168536086293E-2</v>
      </c>
      <c r="BJ61" s="344">
        <f>+BJ58+(1-$Y$55)*BJ4</f>
        <v>0.51946417706238224</v>
      </c>
      <c r="BK61" s="344">
        <f>+BK58+(1-$Y$55)*BK4</f>
        <v>0.52227234621872598</v>
      </c>
      <c r="BO61" s="1"/>
      <c r="BP61" s="12"/>
      <c r="BR61" s="338" t="s">
        <v>255</v>
      </c>
      <c r="BS61" s="670">
        <f>SUM(BS49:BS60)</f>
        <v>49.739806155947356</v>
      </c>
      <c r="BT61" s="670">
        <f t="shared" ref="BT61:DZ61" si="85">SUM(BT49:BT60)</f>
        <v>50.543060012464089</v>
      </c>
      <c r="BU61" s="670">
        <f t="shared" si="85"/>
        <v>51.460061973287083</v>
      </c>
      <c r="BV61" s="670">
        <f t="shared" si="85"/>
        <v>52.324937791177277</v>
      </c>
      <c r="BW61" s="670">
        <f t="shared" si="85"/>
        <v>53.796732699010782</v>
      </c>
      <c r="BX61" s="670">
        <f t="shared" si="85"/>
        <v>55.892575004688744</v>
      </c>
      <c r="BY61" s="670">
        <f t="shared" si="85"/>
        <v>57.989199505566567</v>
      </c>
      <c r="BZ61" s="670">
        <f t="shared" si="85"/>
        <v>60.26039398194051</v>
      </c>
      <c r="CA61" s="670">
        <f t="shared" si="85"/>
        <v>61.76486645331579</v>
      </c>
      <c r="CB61" s="670">
        <f t="shared" si="85"/>
        <v>64.05872231494358</v>
      </c>
      <c r="CC61" s="670">
        <f t="shared" si="85"/>
        <v>67.162608474336764</v>
      </c>
      <c r="CD61" s="670">
        <f t="shared" si="85"/>
        <v>68.742730888853217</v>
      </c>
      <c r="CE61" s="670">
        <f t="shared" si="85"/>
        <v>70.601143725739433</v>
      </c>
      <c r="CF61" s="670">
        <f t="shared" si="85"/>
        <v>73.203662008914733</v>
      </c>
      <c r="CG61" s="670">
        <f t="shared" si="85"/>
        <v>76.893700565525791</v>
      </c>
      <c r="CH61" s="670">
        <f t="shared" si="85"/>
        <v>80.375081798509356</v>
      </c>
      <c r="CI61" s="670">
        <f t="shared" si="85"/>
        <v>84.478807224137682</v>
      </c>
      <c r="CJ61" s="670">
        <f t="shared" si="85"/>
        <v>88.788718551895727</v>
      </c>
      <c r="CK61" s="670">
        <f t="shared" si="85"/>
        <v>91.212269062226753</v>
      </c>
      <c r="CL61" s="670">
        <f t="shared" si="85"/>
        <v>90.538919305179064</v>
      </c>
      <c r="CM61" s="670">
        <f t="shared" si="85"/>
        <v>95.087988220119172</v>
      </c>
      <c r="CN61" s="670">
        <f t="shared" si="85"/>
        <v>98.756569083110108</v>
      </c>
      <c r="CO61" s="670">
        <f t="shared" si="85"/>
        <v>101.90195032782465</v>
      </c>
      <c r="CP61" s="670">
        <f t="shared" si="85"/>
        <v>105.20301979080115</v>
      </c>
      <c r="CQ61" s="670">
        <f t="shared" si="85"/>
        <v>108.7622360187918</v>
      </c>
      <c r="CR61" s="670">
        <f t="shared" si="85"/>
        <v>112.41314344475663</v>
      </c>
      <c r="CS61" s="670">
        <f t="shared" si="85"/>
        <v>116.07163353268808</v>
      </c>
      <c r="CT61" s="670">
        <f t="shared" si="85"/>
        <v>120.46145839128911</v>
      </c>
      <c r="CU61" s="670">
        <f t="shared" si="85"/>
        <v>124.83963539965529</v>
      </c>
      <c r="CV61" s="670">
        <f t="shared" si="85"/>
        <v>128.36047346854434</v>
      </c>
      <c r="CW61" s="670">
        <f t="shared" si="85"/>
        <v>124.48298186445096</v>
      </c>
      <c r="CX61" s="670">
        <f t="shared" si="85"/>
        <v>132.36939616991643</v>
      </c>
      <c r="CY61" s="670">
        <f t="shared" si="85"/>
        <v>136.682171172685</v>
      </c>
      <c r="CZ61" s="670">
        <f t="shared" si="85"/>
        <v>936.3978725830525</v>
      </c>
      <c r="DA61" s="670">
        <f t="shared" si="85"/>
        <v>1687.3122005907987</v>
      </c>
      <c r="DB61" s="670">
        <f t="shared" si="85"/>
        <v>2158.8232931428229</v>
      </c>
      <c r="DC61" s="670">
        <f t="shared" si="85"/>
        <v>2461.899105173341</v>
      </c>
      <c r="DD61" s="670">
        <f t="shared" si="85"/>
        <v>2677.743051386255</v>
      </c>
      <c r="DE61" s="670">
        <f t="shared" si="85"/>
        <v>2848.3209341352067</v>
      </c>
      <c r="DF61" s="670">
        <f t="shared" si="85"/>
        <v>2995.6316468841096</v>
      </c>
      <c r="DG61" s="670">
        <f t="shared" si="85"/>
        <v>3131.5273122557837</v>
      </c>
      <c r="DH61" s="670">
        <f t="shared" si="85"/>
        <v>3262.525656823314</v>
      </c>
      <c r="DI61" s="670">
        <f t="shared" si="85"/>
        <v>3392.2740844113951</v>
      </c>
      <c r="DJ61" s="670">
        <f t="shared" si="85"/>
        <v>3522.8552738398503</v>
      </c>
      <c r="DK61" s="670">
        <f t="shared" si="85"/>
        <v>3655.4933376956701</v>
      </c>
      <c r="DL61" s="670">
        <f t="shared" si="85"/>
        <v>3790.9401614343569</v>
      </c>
      <c r="DM61" s="670">
        <f t="shared" si="85"/>
        <v>3929.6880791186359</v>
      </c>
      <c r="DN61" s="670">
        <f t="shared" si="85"/>
        <v>4072.0873432477747</v>
      </c>
      <c r="DO61" s="670">
        <f t="shared" si="85"/>
        <v>4218.411140576467</v>
      </c>
      <c r="DP61" s="670">
        <f t="shared" si="85"/>
        <v>4368.8916378816957</v>
      </c>
      <c r="DQ61" s="670">
        <f t="shared" si="85"/>
        <v>4523.7400112571304</v>
      </c>
      <c r="DR61" s="670">
        <f t="shared" si="85"/>
        <v>4683.1576184897976</v>
      </c>
      <c r="DS61" s="670">
        <f t="shared" si="85"/>
        <v>4847.3422751125127</v>
      </c>
      <c r="DT61" s="670">
        <f t="shared" si="85"/>
        <v>5016.4918256313686</v>
      </c>
      <c r="DU61" s="670">
        <f t="shared" si="85"/>
        <v>5190.8062224150062</v>
      </c>
      <c r="DV61" s="670">
        <f t="shared" si="85"/>
        <v>5370.4887828623023</v>
      </c>
      <c r="DW61" s="670">
        <f t="shared" si="85"/>
        <v>5556.0427770104579</v>
      </c>
      <c r="DX61" s="670">
        <f t="shared" si="85"/>
        <v>5747.3994929018645</v>
      </c>
      <c r="DY61" s="670">
        <f t="shared" si="85"/>
        <v>5944.694276837763</v>
      </c>
      <c r="DZ61" s="670">
        <f t="shared" si="85"/>
        <v>6148.1422648870539</v>
      </c>
    </row>
    <row r="62" spans="1:130" s="338" customFormat="1" ht="14" x14ac:dyDescent="0.15">
      <c r="A62" s="338" t="s">
        <v>895</v>
      </c>
      <c r="N62" s="339"/>
      <c r="O62" s="339"/>
      <c r="P62" s="339"/>
      <c r="Q62" s="339"/>
      <c r="R62" s="339"/>
      <c r="S62" s="343">
        <f t="shared" ref="S62:X62" si="86">+S61*3.666</f>
        <v>5.9543449468587699</v>
      </c>
      <c r="T62" s="343">
        <f t="shared" si="86"/>
        <v>5.9542151880003757</v>
      </c>
      <c r="U62" s="343">
        <f t="shared" si="86"/>
        <v>5.954085431969725</v>
      </c>
      <c r="V62" s="343">
        <f t="shared" si="86"/>
        <v>5.9539556787667562</v>
      </c>
      <c r="W62" s="343">
        <f t="shared" si="86"/>
        <v>1.7861477785174225</v>
      </c>
      <c r="X62" s="343">
        <f t="shared" si="86"/>
        <v>5.0747684237120225</v>
      </c>
      <c r="Y62" s="343">
        <f t="shared" ref="Y62:BK62" si="87">+Y61*3.666</f>
        <v>5.140805221366028</v>
      </c>
      <c r="Z62" s="343">
        <f t="shared" si="87"/>
        <v>4.9599089073851044</v>
      </c>
      <c r="AA62" s="343">
        <f t="shared" si="87"/>
        <v>4.3699124928944384</v>
      </c>
      <c r="AB62" s="343">
        <f t="shared" si="87"/>
        <v>3.9044384309294298</v>
      </c>
      <c r="AC62" s="343">
        <f t="shared" si="87"/>
        <v>3.3692796282342381</v>
      </c>
      <c r="AD62" s="343">
        <f t="shared" si="87"/>
        <v>2.8070292080535371</v>
      </c>
      <c r="AE62" s="343">
        <f t="shared" si="87"/>
        <v>2.1967328315952264</v>
      </c>
      <c r="AF62" s="343">
        <f t="shared" si="87"/>
        <v>1.9764988140196238</v>
      </c>
      <c r="AG62" s="343">
        <f t="shared" si="87"/>
        <v>1.7770901309677865</v>
      </c>
      <c r="AH62" s="343">
        <f t="shared" si="87"/>
        <v>1.6056541031477147</v>
      </c>
      <c r="AI62" s="343">
        <f t="shared" si="87"/>
        <v>1.4580358980256796</v>
      </c>
      <c r="AJ62" s="343">
        <f t="shared" si="87"/>
        <v>1.3310105708025388</v>
      </c>
      <c r="AK62" s="343">
        <f t="shared" si="87"/>
        <v>1.2219372927615131</v>
      </c>
      <c r="AL62" s="343">
        <f t="shared" si="87"/>
        <v>1.1278871699276412</v>
      </c>
      <c r="AM62" s="343">
        <f t="shared" si="87"/>
        <v>1.047227257702477</v>
      </c>
      <c r="AN62" s="343">
        <f t="shared" si="87"/>
        <v>0.97751182230323252</v>
      </c>
      <c r="AO62" s="343">
        <f t="shared" si="87"/>
        <v>0.91644710306276644</v>
      </c>
      <c r="AP62" s="343">
        <f t="shared" si="87"/>
        <v>0.83432343876954329</v>
      </c>
      <c r="AQ62" s="343">
        <f t="shared" si="87"/>
        <v>0.75829047032275376</v>
      </c>
      <c r="AR62" s="343">
        <f t="shared" si="87"/>
        <v>0.68900088973903262</v>
      </c>
      <c r="AS62" s="343">
        <f t="shared" si="87"/>
        <v>0.62555460866833423</v>
      </c>
      <c r="AT62" s="343">
        <f t="shared" si="87"/>
        <v>0.56782796537902103</v>
      </c>
      <c r="AU62" s="343">
        <f t="shared" si="87"/>
        <v>0.5175090831808612</v>
      </c>
      <c r="AV62" s="343">
        <f t="shared" si="87"/>
        <v>0.47156728782422569</v>
      </c>
      <c r="AW62" s="343">
        <f t="shared" si="87"/>
        <v>0.42853003437736081</v>
      </c>
      <c r="AX62" s="343">
        <f t="shared" si="87"/>
        <v>0.3893660298782336</v>
      </c>
      <c r="AY62" s="343">
        <f t="shared" si="87"/>
        <v>0.35330349349276047</v>
      </c>
      <c r="AZ62" s="343">
        <f t="shared" si="87"/>
        <v>0.32054483844102316</v>
      </c>
      <c r="BA62" s="343">
        <f t="shared" si="87"/>
        <v>0.29063303216257091</v>
      </c>
      <c r="BB62" s="343">
        <f t="shared" si="87"/>
        <v>0.26348846415803917</v>
      </c>
      <c r="BC62" s="343">
        <f t="shared" si="87"/>
        <v>0.23880686254517464</v>
      </c>
      <c r="BD62" s="343">
        <f t="shared" si="87"/>
        <v>0.21642133011004661</v>
      </c>
      <c r="BE62" s="343">
        <f t="shared" si="87"/>
        <v>0.1961097860291629</v>
      </c>
      <c r="BF62" s="343">
        <f t="shared" si="87"/>
        <v>0.17769395955507147</v>
      </c>
      <c r="BG62" s="343">
        <f t="shared" si="87"/>
        <v>0.16100165900803881</v>
      </c>
      <c r="BH62" s="343">
        <f t="shared" si="87"/>
        <v>0.14587040129936327</v>
      </c>
      <c r="BI62" s="343">
        <f t="shared" si="87"/>
        <v>0.13210492785329234</v>
      </c>
      <c r="BJ62" s="343">
        <f t="shared" si="87"/>
        <v>1.9043556731106932</v>
      </c>
      <c r="BK62" s="343">
        <f t="shared" si="87"/>
        <v>1.9146504212378495</v>
      </c>
      <c r="BO62" s="1"/>
      <c r="BP62" s="12"/>
    </row>
    <row r="63" spans="1:130" s="1" customFormat="1" x14ac:dyDescent="0.15">
      <c r="A63"/>
      <c r="N63" s="324"/>
      <c r="O63" s="324"/>
      <c r="P63" s="324"/>
      <c r="Q63" s="324"/>
      <c r="R63" s="324"/>
      <c r="S63" s="177"/>
      <c r="T63" s="177"/>
      <c r="U63" s="177"/>
      <c r="V63" s="177"/>
      <c r="W63" s="177"/>
      <c r="X63" s="177"/>
      <c r="Y63" s="177">
        <f>+Y61/R4</f>
        <v>0.84367037175168769</v>
      </c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77"/>
      <c r="AM63" s="177"/>
      <c r="AN63" s="177"/>
      <c r="AO63" s="177"/>
      <c r="AP63" s="177"/>
      <c r="AQ63" s="177"/>
      <c r="AR63" s="177"/>
      <c r="AS63" s="177"/>
      <c r="AT63" s="177"/>
      <c r="AU63" s="177"/>
      <c r="AV63" s="177"/>
      <c r="AW63" s="177"/>
      <c r="AX63" s="177"/>
      <c r="AY63" s="177"/>
      <c r="AZ63" s="177"/>
      <c r="BA63" s="177"/>
      <c r="BB63" s="177"/>
      <c r="BC63" s="177"/>
      <c r="BD63" s="177"/>
      <c r="BE63" s="177"/>
      <c r="BF63" s="177"/>
      <c r="BG63" s="177"/>
      <c r="BH63" s="177"/>
      <c r="BI63" s="177"/>
      <c r="BJ63" s="177"/>
      <c r="BK63" s="177"/>
      <c r="BP63" s="12"/>
    </row>
    <row r="64" spans="1:130" s="1" customFormat="1" ht="19" x14ac:dyDescent="0.25">
      <c r="A64" s="320" t="s">
        <v>896</v>
      </c>
      <c r="N64" s="324"/>
      <c r="O64" s="324"/>
      <c r="P64" s="324"/>
      <c r="Q64" s="324"/>
      <c r="R64" s="324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77"/>
      <c r="AJ64" s="177"/>
      <c r="AK64" s="177"/>
      <c r="AL64" s="177"/>
      <c r="AM64" s="177"/>
      <c r="AN64" s="177"/>
      <c r="AO64" s="177"/>
      <c r="AP64" s="177"/>
      <c r="AQ64" s="177"/>
      <c r="AR64" s="177"/>
      <c r="AS64" s="177"/>
      <c r="AT64" s="177"/>
      <c r="AU64" s="177"/>
      <c r="AV64" s="177"/>
      <c r="AW64" s="177"/>
      <c r="AX64" s="177"/>
      <c r="AY64" s="177"/>
      <c r="AZ64" s="177"/>
      <c r="BA64" s="177"/>
      <c r="BB64" s="177"/>
      <c r="BC64" s="177"/>
      <c r="BD64" s="177"/>
      <c r="BE64" s="177"/>
      <c r="BF64" s="177"/>
      <c r="BG64" s="177"/>
      <c r="BH64" s="177"/>
      <c r="BI64" s="177"/>
      <c r="BJ64" s="177"/>
      <c r="BK64" s="177"/>
      <c r="BP64" s="12"/>
    </row>
    <row r="65" spans="1:68" s="1" customFormat="1" x14ac:dyDescent="0.15">
      <c r="A65" s="1" t="s">
        <v>897</v>
      </c>
      <c r="N65" s="324"/>
      <c r="O65" s="324"/>
      <c r="P65" s="324"/>
      <c r="Q65" s="324"/>
      <c r="R65" s="324"/>
      <c r="S65" s="177"/>
      <c r="T65" s="177"/>
      <c r="U65" s="177"/>
      <c r="V65" s="177"/>
      <c r="W65" s="177">
        <v>7.0000000000000007E-2</v>
      </c>
      <c r="X65" s="177">
        <v>0.12</v>
      </c>
      <c r="Y65" s="177">
        <v>0.2</v>
      </c>
      <c r="Z65" s="177">
        <f>+Y65</f>
        <v>0.2</v>
      </c>
      <c r="AA65" s="177">
        <f>+Z65</f>
        <v>0.2</v>
      </c>
      <c r="AB65" s="177"/>
      <c r="AC65" s="177"/>
      <c r="AD65" s="177"/>
      <c r="AE65" s="177"/>
      <c r="AF65" s="177"/>
      <c r="AG65" s="177"/>
      <c r="AH65" s="177"/>
      <c r="AI65" s="177"/>
      <c r="AJ65" s="177"/>
      <c r="AK65" s="177"/>
      <c r="AL65" s="177"/>
      <c r="AM65" s="177"/>
      <c r="AN65" s="177"/>
      <c r="AO65" s="177"/>
      <c r="AP65" s="177"/>
      <c r="AQ65" s="177"/>
      <c r="AR65" s="177"/>
      <c r="AS65" s="177"/>
      <c r="AT65" s="177"/>
      <c r="AU65" s="177"/>
      <c r="AV65" s="177"/>
      <c r="AW65" s="177"/>
      <c r="AX65" s="177"/>
      <c r="AY65" s="177"/>
      <c r="AZ65" s="177"/>
      <c r="BA65" s="177"/>
      <c r="BB65" s="177"/>
      <c r="BC65" s="177"/>
      <c r="BD65" s="177"/>
      <c r="BE65" s="177"/>
      <c r="BF65" s="177"/>
      <c r="BG65" s="177"/>
      <c r="BH65" s="177"/>
      <c r="BI65" s="177"/>
      <c r="BJ65" s="177"/>
      <c r="BK65" s="177"/>
      <c r="BP65" s="12"/>
    </row>
    <row r="66" spans="1:68" s="1" customFormat="1" x14ac:dyDescent="0.15">
      <c r="A66" t="s">
        <v>898</v>
      </c>
      <c r="N66" s="324"/>
      <c r="O66" s="324"/>
      <c r="P66" s="324"/>
      <c r="Q66" s="324"/>
      <c r="R66" s="324"/>
      <c r="S66" s="177"/>
      <c r="T66" s="177"/>
      <c r="U66" s="177"/>
      <c r="V66" s="177"/>
      <c r="W66" s="177">
        <f>+$C$5*(1-W65)</f>
        <v>1.0537535277990626</v>
      </c>
      <c r="X66" s="177">
        <f>+$C$5*(1-X65)</f>
        <v>0.99710011232599494</v>
      </c>
      <c r="Y66" s="177">
        <f>+$C$5*(1-Y65)</f>
        <v>0.90645464756908634</v>
      </c>
      <c r="Z66" s="177">
        <f>+$C$5*(1-Z65)</f>
        <v>0.90645464756908634</v>
      </c>
      <c r="AA66" s="177">
        <f>+$C$5*(1-AA65)</f>
        <v>0.90645464756908634</v>
      </c>
      <c r="AB66" s="177">
        <f>+AA66*(AB61/AA61)</f>
        <v>0.80990096886794261</v>
      </c>
      <c r="AC66" s="177">
        <f>+AB66*(AC61/AB61)</f>
        <v>0.69889252540841307</v>
      </c>
      <c r="AD66" s="177">
        <f t="shared" ref="AD66:BK66" si="88">+AC66*(AD61/AC61)</f>
        <v>0.58226444480058026</v>
      </c>
      <c r="AE66" s="177">
        <f t="shared" si="88"/>
        <v>0.45567015081077333</v>
      </c>
      <c r="AF66" s="177">
        <f t="shared" si="88"/>
        <v>0.40998682211510207</v>
      </c>
      <c r="AG66" s="177">
        <f t="shared" si="88"/>
        <v>0.36862331018851774</v>
      </c>
      <c r="AH66" s="177">
        <f t="shared" si="88"/>
        <v>0.33306218981574859</v>
      </c>
      <c r="AI66" s="177">
        <f t="shared" si="88"/>
        <v>0.30244162056722201</v>
      </c>
      <c r="AJ66" s="177">
        <f t="shared" si="88"/>
        <v>0.27609264941330897</v>
      </c>
      <c r="AK66" s="177">
        <f t="shared" si="88"/>
        <v>0.25346748701780392</v>
      </c>
      <c r="AL66" s="177">
        <f t="shared" si="88"/>
        <v>0.23395859042414713</v>
      </c>
      <c r="AM66" s="177">
        <f t="shared" si="88"/>
        <v>0.21722723655198145</v>
      </c>
      <c r="AN66" s="177">
        <f t="shared" si="88"/>
        <v>0.20276610477240878</v>
      </c>
      <c r="AO66" s="177">
        <f t="shared" si="88"/>
        <v>0.19009939836855611</v>
      </c>
      <c r="AP66" s="177">
        <f t="shared" si="88"/>
        <v>0.17306441716583437</v>
      </c>
      <c r="AQ66" s="177">
        <f t="shared" si="88"/>
        <v>0.15729283415836406</v>
      </c>
      <c r="AR66" s="177">
        <f t="shared" si="88"/>
        <v>0.14292003780366511</v>
      </c>
      <c r="AS66" s="177">
        <f t="shared" si="88"/>
        <v>0.12975932201335502</v>
      </c>
      <c r="AT66" s="177">
        <f t="shared" si="88"/>
        <v>0.11778503552975958</v>
      </c>
      <c r="AU66" s="177">
        <f t="shared" si="88"/>
        <v>0.10734734720003468</v>
      </c>
      <c r="AV66" s="177">
        <f t="shared" si="88"/>
        <v>9.7817601699088305E-2</v>
      </c>
      <c r="AW66" s="177">
        <f t="shared" si="88"/>
        <v>8.8890347785205021E-2</v>
      </c>
      <c r="AX66" s="177">
        <f t="shared" si="88"/>
        <v>8.0766525179289048E-2</v>
      </c>
      <c r="AY66" s="177">
        <f t="shared" si="88"/>
        <v>7.3286042729607412E-2</v>
      </c>
      <c r="AZ66" s="177">
        <f t="shared" si="88"/>
        <v>6.6490887181746172E-2</v>
      </c>
      <c r="BA66" s="177">
        <f t="shared" si="88"/>
        <v>6.0286255884809084E-2</v>
      </c>
      <c r="BB66" s="177">
        <f t="shared" si="88"/>
        <v>5.4655635165522E-2</v>
      </c>
      <c r="BC66" s="177">
        <f t="shared" si="88"/>
        <v>4.9535909649780378E-2</v>
      </c>
      <c r="BD66" s="177">
        <f t="shared" si="88"/>
        <v>4.4892459707218682E-2</v>
      </c>
      <c r="BE66" s="177">
        <f t="shared" si="88"/>
        <v>4.0679218924626621E-2</v>
      </c>
      <c r="BF66" s="177">
        <f t="shared" si="88"/>
        <v>3.6859208449952517E-2</v>
      </c>
      <c r="BG66" s="177">
        <f t="shared" si="88"/>
        <v>3.3396710417307525E-2</v>
      </c>
      <c r="BH66" s="177">
        <f t="shared" si="88"/>
        <v>3.0258020822058959E-2</v>
      </c>
      <c r="BI66" s="177">
        <f t="shared" si="88"/>
        <v>2.740263701255043E-2</v>
      </c>
      <c r="BJ66" s="177">
        <f t="shared" si="88"/>
        <v>0.39502210932658194</v>
      </c>
      <c r="BK66" s="177">
        <f t="shared" si="88"/>
        <v>0.39715755764518962</v>
      </c>
      <c r="BP66" s="12"/>
    </row>
    <row r="67" spans="1:68" s="1" customFormat="1" x14ac:dyDescent="0.15">
      <c r="A67" t="s">
        <v>899</v>
      </c>
      <c r="N67" s="324"/>
      <c r="O67" s="324"/>
      <c r="P67" s="324"/>
      <c r="Q67" s="324"/>
      <c r="R67" s="324"/>
      <c r="S67" s="177"/>
      <c r="T67" s="177"/>
      <c r="U67" s="177"/>
      <c r="V67" s="177"/>
      <c r="W67" s="177">
        <f t="shared" ref="W67:BK67" si="89">1-W66/W5</f>
        <v>6.4891571523352232E-2</v>
      </c>
      <c r="X67" s="177">
        <f t="shared" si="89"/>
        <v>-2.9433808759595781E-3</v>
      </c>
      <c r="Y67" s="177">
        <f t="shared" si="89"/>
        <v>0.13578440086809351</v>
      </c>
      <c r="Z67" s="177">
        <f t="shared" si="89"/>
        <v>0.18085559202387402</v>
      </c>
      <c r="AA67" s="177">
        <f t="shared" si="89"/>
        <v>0.20996654927394531</v>
      </c>
      <c r="AB67" s="177">
        <f t="shared" si="89"/>
        <v>0.31920504642537473</v>
      </c>
      <c r="AC67" s="177">
        <f t="shared" si="89"/>
        <v>0.42752968797197599</v>
      </c>
      <c r="AD67" s="177">
        <f t="shared" si="89"/>
        <v>0.53524827637616346</v>
      </c>
      <c r="AE67" s="177">
        <f t="shared" si="89"/>
        <v>0.64202004959490799</v>
      </c>
      <c r="AF67" s="177">
        <f t="shared" si="89"/>
        <v>0.68298091664397242</v>
      </c>
      <c r="AG67" s="177">
        <f t="shared" si="89"/>
        <v>0.71773194099937465</v>
      </c>
      <c r="AH67" s="177">
        <f t="shared" si="89"/>
        <v>0.74743817371992716</v>
      </c>
      <c r="AI67" s="177">
        <f t="shared" si="89"/>
        <v>0.77239677643190996</v>
      </c>
      <c r="AJ67" s="177">
        <f t="shared" si="89"/>
        <v>0.79380118142459533</v>
      </c>
      <c r="AK67" s="177">
        <f t="shared" si="89"/>
        <v>0.81183992797545557</v>
      </c>
      <c r="AL67" s="177">
        <f t="shared" si="89"/>
        <v>0.82736927641380498</v>
      </c>
      <c r="AM67" s="177">
        <f t="shared" si="89"/>
        <v>0.84048723111460477</v>
      </c>
      <c r="AN67" s="177">
        <f t="shared" si="89"/>
        <v>0.85182374432124819</v>
      </c>
      <c r="AO67" s="177">
        <f t="shared" si="89"/>
        <v>0.86261231158325635</v>
      </c>
      <c r="AP67" s="177">
        <f t="shared" si="89"/>
        <v>0.87630314030377432</v>
      </c>
      <c r="AQ67" s="177">
        <f t="shared" si="89"/>
        <v>0.88947818923058564</v>
      </c>
      <c r="AR67" s="177">
        <f t="shared" si="89"/>
        <v>0.90127654630855403</v>
      </c>
      <c r="AS67" s="177">
        <f t="shared" si="89"/>
        <v>0.91175707773405812</v>
      </c>
      <c r="AT67" s="177">
        <f t="shared" si="89"/>
        <v>0.92114204184168813</v>
      </c>
      <c r="AU67" s="177">
        <f t="shared" si="89"/>
        <v>0.92936539560316922</v>
      </c>
      <c r="AV67" s="177">
        <f t="shared" si="89"/>
        <v>0.93674221201762686</v>
      </c>
      <c r="AW67" s="177">
        <f t="shared" si="89"/>
        <v>0.94334226951502886</v>
      </c>
      <c r="AX67" s="177">
        <f t="shared" si="89"/>
        <v>0.94926080818038405</v>
      </c>
      <c r="AY67" s="177">
        <f t="shared" si="89"/>
        <v>0.95454225444737029</v>
      </c>
      <c r="AZ67" s="177">
        <f t="shared" si="89"/>
        <v>0.95927855085678415</v>
      </c>
      <c r="BA67" s="177">
        <f t="shared" si="89"/>
        <v>0.96350194567964442</v>
      </c>
      <c r="BB67" s="177">
        <f t="shared" si="89"/>
        <v>0.96729029329539662</v>
      </c>
      <c r="BC67" s="177">
        <f t="shared" si="89"/>
        <v>0.97066884913580853</v>
      </c>
      <c r="BD67" s="177">
        <f t="shared" si="89"/>
        <v>0.97370037115412622</v>
      </c>
      <c r="BE67" s="177">
        <f t="shared" si="89"/>
        <v>0.97640542727706325</v>
      </c>
      <c r="BF67" s="177">
        <f t="shared" si="89"/>
        <v>0.97883351176100208</v>
      </c>
      <c r="BG67" s="177">
        <f t="shared" si="89"/>
        <v>0.98100166774360831</v>
      </c>
      <c r="BH67" s="177">
        <f t="shared" si="89"/>
        <v>0.98294855109562695</v>
      </c>
      <c r="BI67" s="177">
        <f t="shared" si="89"/>
        <v>0.98470001356162995</v>
      </c>
      <c r="BJ67" s="177">
        <f t="shared" si="89"/>
        <v>0.78147656980979519</v>
      </c>
      <c r="BK67" s="177">
        <f t="shared" si="89"/>
        <v>0.7823127406644661</v>
      </c>
      <c r="BL67" s="177"/>
      <c r="BP67" s="12"/>
    </row>
    <row r="68" spans="1:68" s="1" customFormat="1" x14ac:dyDescent="0.15">
      <c r="A68"/>
      <c r="N68" s="324"/>
      <c r="O68" s="324"/>
      <c r="P68" s="324"/>
      <c r="Q68" s="324"/>
      <c r="R68" s="324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77"/>
      <c r="AJ68" s="177"/>
      <c r="AK68" s="177"/>
      <c r="AL68" s="177"/>
      <c r="AM68" s="177"/>
      <c r="AN68" s="177"/>
      <c r="AO68" s="177"/>
      <c r="AP68" s="177"/>
      <c r="AQ68" s="177"/>
      <c r="AR68" s="177"/>
      <c r="AS68" s="177"/>
      <c r="AT68" s="177"/>
      <c r="AU68" s="177"/>
      <c r="AV68" s="177"/>
      <c r="AW68" s="177"/>
      <c r="AX68" s="177"/>
      <c r="AY68" s="177"/>
      <c r="AZ68" s="177"/>
      <c r="BA68" s="177"/>
      <c r="BB68" s="177"/>
      <c r="BC68" s="177"/>
      <c r="BD68" s="177"/>
      <c r="BE68" s="177"/>
      <c r="BF68" s="177"/>
      <c r="BG68" s="177"/>
      <c r="BH68" s="177"/>
      <c r="BI68" s="177"/>
      <c r="BJ68" s="177"/>
      <c r="BK68" s="177"/>
      <c r="BP68" s="12"/>
    </row>
    <row r="69" spans="1:68" s="1" customFormat="1" ht="19" x14ac:dyDescent="0.25">
      <c r="A69" s="320" t="s">
        <v>900</v>
      </c>
      <c r="C69" s="324"/>
      <c r="D69" s="324"/>
      <c r="E69" s="324"/>
      <c r="F69" s="324"/>
      <c r="G69" s="324"/>
      <c r="H69" s="324"/>
      <c r="I69" s="324"/>
      <c r="J69" s="324"/>
      <c r="K69" s="324"/>
      <c r="L69" s="324"/>
      <c r="M69" s="324"/>
      <c r="N69" s="324"/>
      <c r="O69" s="324"/>
      <c r="P69" s="324"/>
      <c r="Q69" s="324"/>
      <c r="R69" s="324"/>
      <c r="S69"/>
      <c r="T69"/>
      <c r="BP69" s="12"/>
    </row>
    <row r="70" spans="1:68" s="1" customFormat="1" x14ac:dyDescent="0.15">
      <c r="A70" s="1" t="s">
        <v>104</v>
      </c>
      <c r="C70" s="324"/>
      <c r="D70" s="324"/>
      <c r="E70" s="324"/>
      <c r="F70" s="324"/>
      <c r="G70" s="324"/>
      <c r="H70" s="324"/>
      <c r="I70" s="324"/>
      <c r="J70" s="324"/>
      <c r="K70" s="324"/>
      <c r="L70" s="324"/>
      <c r="M70" s="324"/>
      <c r="N70" s="324"/>
      <c r="O70" s="324"/>
      <c r="P70" s="324"/>
      <c r="Q70" s="324"/>
      <c r="R70" s="324"/>
      <c r="S70" s="324">
        <f t="shared" ref="S70:U81" si="90">+IF(S$3&lt;$W160,0,1)</f>
        <v>0</v>
      </c>
      <c r="T70" s="324">
        <f t="shared" si="90"/>
        <v>0</v>
      </c>
      <c r="U70" s="324">
        <f t="shared" si="90"/>
        <v>0</v>
      </c>
      <c r="W70" s="324">
        <f t="shared" ref="W70:BL76" si="91">+IF(W$3&lt;$W160,0,1)</f>
        <v>0</v>
      </c>
      <c r="X70" s="324">
        <f t="shared" si="91"/>
        <v>1</v>
      </c>
      <c r="Y70" s="324">
        <f t="shared" si="91"/>
        <v>1</v>
      </c>
      <c r="Z70" s="324">
        <f t="shared" si="91"/>
        <v>1</v>
      </c>
      <c r="AA70" s="324">
        <f t="shared" si="91"/>
        <v>1</v>
      </c>
      <c r="AB70" s="324">
        <f t="shared" si="91"/>
        <v>1</v>
      </c>
      <c r="AC70" s="324">
        <f t="shared" si="91"/>
        <v>1</v>
      </c>
      <c r="AD70" s="324">
        <f t="shared" si="91"/>
        <v>1</v>
      </c>
      <c r="AE70" s="324">
        <f t="shared" si="91"/>
        <v>1</v>
      </c>
      <c r="AF70" s="324">
        <f t="shared" si="91"/>
        <v>1</v>
      </c>
      <c r="AG70" s="324">
        <f t="shared" si="91"/>
        <v>1</v>
      </c>
      <c r="AH70" s="324">
        <f t="shared" si="91"/>
        <v>1</v>
      </c>
      <c r="AI70" s="324">
        <f t="shared" si="91"/>
        <v>1</v>
      </c>
      <c r="AJ70" s="324">
        <f t="shared" si="91"/>
        <v>1</v>
      </c>
      <c r="AK70" s="324">
        <f t="shared" si="91"/>
        <v>1</v>
      </c>
      <c r="AL70" s="324">
        <f t="shared" si="91"/>
        <v>1</v>
      </c>
      <c r="AM70" s="324">
        <f t="shared" si="91"/>
        <v>1</v>
      </c>
      <c r="AN70" s="324">
        <f t="shared" si="91"/>
        <v>1</v>
      </c>
      <c r="AO70" s="324">
        <f t="shared" si="91"/>
        <v>1</v>
      </c>
      <c r="AP70" s="324">
        <f t="shared" si="91"/>
        <v>1</v>
      </c>
      <c r="AQ70" s="324">
        <f t="shared" si="91"/>
        <v>1</v>
      </c>
      <c r="AR70" s="324">
        <f t="shared" si="91"/>
        <v>1</v>
      </c>
      <c r="AS70" s="324">
        <f t="shared" si="91"/>
        <v>1</v>
      </c>
      <c r="AT70" s="324">
        <f t="shared" si="91"/>
        <v>1</v>
      </c>
      <c r="AU70" s="324">
        <f t="shared" si="91"/>
        <v>1</v>
      </c>
      <c r="AV70" s="324">
        <f t="shared" si="91"/>
        <v>1</v>
      </c>
      <c r="AW70" s="324">
        <f t="shared" si="91"/>
        <v>1</v>
      </c>
      <c r="AX70" s="324">
        <f t="shared" si="91"/>
        <v>1</v>
      </c>
      <c r="AY70" s="324">
        <f t="shared" si="91"/>
        <v>1</v>
      </c>
      <c r="AZ70" s="324">
        <f t="shared" si="91"/>
        <v>1</v>
      </c>
      <c r="BA70" s="324">
        <f t="shared" si="91"/>
        <v>1</v>
      </c>
      <c r="BB70" s="324">
        <f t="shared" si="91"/>
        <v>1</v>
      </c>
      <c r="BC70" s="324">
        <f t="shared" si="91"/>
        <v>1</v>
      </c>
      <c r="BD70" s="324">
        <f t="shared" si="91"/>
        <v>1</v>
      </c>
      <c r="BE70" s="324">
        <f t="shared" si="91"/>
        <v>1</v>
      </c>
      <c r="BF70" s="324">
        <f t="shared" si="91"/>
        <v>1</v>
      </c>
      <c r="BG70" s="324">
        <f t="shared" si="91"/>
        <v>1</v>
      </c>
      <c r="BH70" s="324">
        <f t="shared" si="91"/>
        <v>1</v>
      </c>
      <c r="BI70" s="324">
        <f t="shared" si="91"/>
        <v>1</v>
      </c>
      <c r="BJ70" s="324">
        <f t="shared" si="91"/>
        <v>1</v>
      </c>
      <c r="BK70" s="324">
        <f t="shared" si="91"/>
        <v>1</v>
      </c>
      <c r="BL70" s="324">
        <f t="shared" si="91"/>
        <v>1</v>
      </c>
      <c r="BP70" s="12"/>
    </row>
    <row r="71" spans="1:68" s="1" customFormat="1" x14ac:dyDescent="0.15">
      <c r="A71" s="1" t="s">
        <v>105</v>
      </c>
      <c r="C71" s="324"/>
      <c r="D71" s="324"/>
      <c r="E71" s="324"/>
      <c r="F71" s="324"/>
      <c r="G71" s="324"/>
      <c r="H71" s="324"/>
      <c r="I71" s="324"/>
      <c r="J71" s="324"/>
      <c r="K71" s="324"/>
      <c r="L71" s="324"/>
      <c r="M71" s="324"/>
      <c r="N71" s="324"/>
      <c r="O71" s="324"/>
      <c r="P71" s="324"/>
      <c r="Q71" s="324"/>
      <c r="R71" s="324"/>
      <c r="S71" s="324">
        <f t="shared" si="90"/>
        <v>1</v>
      </c>
      <c r="T71" s="324">
        <f t="shared" si="90"/>
        <v>1</v>
      </c>
      <c r="U71" s="324">
        <f t="shared" si="90"/>
        <v>1</v>
      </c>
      <c r="W71" s="324">
        <f t="shared" si="91"/>
        <v>1</v>
      </c>
      <c r="X71" s="324">
        <f t="shared" si="91"/>
        <v>1</v>
      </c>
      <c r="Y71" s="324">
        <f t="shared" si="91"/>
        <v>1</v>
      </c>
      <c r="Z71" s="324">
        <f t="shared" si="91"/>
        <v>1</v>
      </c>
      <c r="AA71" s="324">
        <f t="shared" si="91"/>
        <v>1</v>
      </c>
      <c r="AB71" s="324">
        <f t="shared" si="91"/>
        <v>1</v>
      </c>
      <c r="AC71" s="324">
        <f t="shared" si="91"/>
        <v>1</v>
      </c>
      <c r="AD71" s="324">
        <f t="shared" si="91"/>
        <v>1</v>
      </c>
      <c r="AE71" s="324">
        <f t="shared" si="91"/>
        <v>1</v>
      </c>
      <c r="AF71" s="324">
        <f t="shared" si="91"/>
        <v>1</v>
      </c>
      <c r="AG71" s="324">
        <f t="shared" si="91"/>
        <v>1</v>
      </c>
      <c r="AH71" s="324">
        <f t="shared" si="91"/>
        <v>1</v>
      </c>
      <c r="AI71" s="324">
        <f t="shared" si="91"/>
        <v>1</v>
      </c>
      <c r="AJ71" s="324">
        <f t="shared" si="91"/>
        <v>1</v>
      </c>
      <c r="AK71" s="324">
        <f t="shared" si="91"/>
        <v>1</v>
      </c>
      <c r="AL71" s="324">
        <f t="shared" si="91"/>
        <v>1</v>
      </c>
      <c r="AM71" s="324">
        <f t="shared" si="91"/>
        <v>1</v>
      </c>
      <c r="AN71" s="324">
        <f t="shared" si="91"/>
        <v>1</v>
      </c>
      <c r="AO71" s="324">
        <f t="shared" si="91"/>
        <v>1</v>
      </c>
      <c r="AP71" s="324">
        <f t="shared" si="91"/>
        <v>1</v>
      </c>
      <c r="AQ71" s="324">
        <f t="shared" si="91"/>
        <v>1</v>
      </c>
      <c r="AR71" s="324">
        <f t="shared" si="91"/>
        <v>1</v>
      </c>
      <c r="AS71" s="324">
        <f t="shared" si="91"/>
        <v>1</v>
      </c>
      <c r="AT71" s="324">
        <f t="shared" si="91"/>
        <v>1</v>
      </c>
      <c r="AU71" s="324">
        <f t="shared" si="91"/>
        <v>1</v>
      </c>
      <c r="AV71" s="324">
        <f t="shared" si="91"/>
        <v>1</v>
      </c>
      <c r="AW71" s="324">
        <f t="shared" si="91"/>
        <v>1</v>
      </c>
      <c r="AX71" s="324">
        <f t="shared" si="91"/>
        <v>1</v>
      </c>
      <c r="AY71" s="324">
        <f t="shared" si="91"/>
        <v>1</v>
      </c>
      <c r="AZ71" s="324">
        <f t="shared" si="91"/>
        <v>1</v>
      </c>
      <c r="BA71" s="324">
        <f t="shared" si="91"/>
        <v>1</v>
      </c>
      <c r="BB71" s="324">
        <f t="shared" si="91"/>
        <v>1</v>
      </c>
      <c r="BC71" s="324">
        <f t="shared" si="91"/>
        <v>1</v>
      </c>
      <c r="BD71" s="324">
        <f t="shared" si="91"/>
        <v>1</v>
      </c>
      <c r="BE71" s="324">
        <f t="shared" si="91"/>
        <v>1</v>
      </c>
      <c r="BF71" s="324">
        <f t="shared" si="91"/>
        <v>1</v>
      </c>
      <c r="BG71" s="324">
        <f t="shared" si="91"/>
        <v>1</v>
      </c>
      <c r="BH71" s="324">
        <f t="shared" si="91"/>
        <v>1</v>
      </c>
      <c r="BI71" s="324">
        <f t="shared" si="91"/>
        <v>1</v>
      </c>
      <c r="BJ71" s="324">
        <f t="shared" si="91"/>
        <v>1</v>
      </c>
      <c r="BK71" s="324">
        <f t="shared" si="91"/>
        <v>1</v>
      </c>
      <c r="BL71" s="324">
        <f t="shared" si="91"/>
        <v>1</v>
      </c>
      <c r="BP71" s="12"/>
    </row>
    <row r="72" spans="1:68" s="1" customFormat="1" x14ac:dyDescent="0.15">
      <c r="A72" s="1" t="s">
        <v>51</v>
      </c>
      <c r="C72" s="324"/>
      <c r="D72" s="324"/>
      <c r="E72" s="324"/>
      <c r="F72" s="324"/>
      <c r="G72" s="324"/>
      <c r="H72" s="324"/>
      <c r="I72" s="324"/>
      <c r="J72" s="324"/>
      <c r="K72" s="324"/>
      <c r="L72" s="324"/>
      <c r="M72" s="324"/>
      <c r="N72" s="324"/>
      <c r="O72" s="324"/>
      <c r="P72" s="324"/>
      <c r="Q72" s="324"/>
      <c r="R72" s="324"/>
      <c r="S72" s="324">
        <f t="shared" si="90"/>
        <v>1</v>
      </c>
      <c r="T72" s="324">
        <f t="shared" si="90"/>
        <v>1</v>
      </c>
      <c r="U72" s="324">
        <f t="shared" si="90"/>
        <v>1</v>
      </c>
      <c r="W72" s="324">
        <f t="shared" si="91"/>
        <v>1</v>
      </c>
      <c r="X72" s="324">
        <f t="shared" si="91"/>
        <v>1</v>
      </c>
      <c r="Y72" s="324">
        <f t="shared" si="91"/>
        <v>1</v>
      </c>
      <c r="Z72" s="324">
        <f t="shared" si="91"/>
        <v>1</v>
      </c>
      <c r="AA72" s="324">
        <f t="shared" si="91"/>
        <v>1</v>
      </c>
      <c r="AB72" s="324">
        <f t="shared" si="91"/>
        <v>1</v>
      </c>
      <c r="AC72" s="324">
        <f t="shared" si="91"/>
        <v>1</v>
      </c>
      <c r="AD72" s="324">
        <f t="shared" si="91"/>
        <v>1</v>
      </c>
      <c r="AE72" s="324">
        <f t="shared" si="91"/>
        <v>1</v>
      </c>
      <c r="AF72" s="324">
        <f t="shared" si="91"/>
        <v>1</v>
      </c>
      <c r="AG72" s="324">
        <f t="shared" si="91"/>
        <v>1</v>
      </c>
      <c r="AH72" s="324">
        <f t="shared" si="91"/>
        <v>1</v>
      </c>
      <c r="AI72" s="324">
        <f t="shared" si="91"/>
        <v>1</v>
      </c>
      <c r="AJ72" s="324">
        <f t="shared" si="91"/>
        <v>1</v>
      </c>
      <c r="AK72" s="324">
        <f t="shared" si="91"/>
        <v>1</v>
      </c>
      <c r="AL72" s="324">
        <f t="shared" si="91"/>
        <v>1</v>
      </c>
      <c r="AM72" s="324">
        <f t="shared" si="91"/>
        <v>1</v>
      </c>
      <c r="AN72" s="324">
        <f t="shared" si="91"/>
        <v>1</v>
      </c>
      <c r="AO72" s="324">
        <f t="shared" si="91"/>
        <v>1</v>
      </c>
      <c r="AP72" s="324">
        <f t="shared" si="91"/>
        <v>1</v>
      </c>
      <c r="AQ72" s="324">
        <f t="shared" si="91"/>
        <v>1</v>
      </c>
      <c r="AR72" s="324">
        <f t="shared" si="91"/>
        <v>1</v>
      </c>
      <c r="AS72" s="324">
        <f t="shared" si="91"/>
        <v>1</v>
      </c>
      <c r="AT72" s="324">
        <f t="shared" si="91"/>
        <v>1</v>
      </c>
      <c r="AU72" s="324">
        <f t="shared" si="91"/>
        <v>1</v>
      </c>
      <c r="AV72" s="324">
        <f t="shared" si="91"/>
        <v>1</v>
      </c>
      <c r="AW72" s="324">
        <f t="shared" si="91"/>
        <v>1</v>
      </c>
      <c r="AX72" s="324">
        <f t="shared" si="91"/>
        <v>1</v>
      </c>
      <c r="AY72" s="324">
        <f t="shared" si="91"/>
        <v>1</v>
      </c>
      <c r="AZ72" s="324">
        <f t="shared" si="91"/>
        <v>1</v>
      </c>
      <c r="BA72" s="324">
        <f t="shared" si="91"/>
        <v>1</v>
      </c>
      <c r="BB72" s="324">
        <f t="shared" si="91"/>
        <v>1</v>
      </c>
      <c r="BC72" s="324">
        <f t="shared" si="91"/>
        <v>1</v>
      </c>
      <c r="BD72" s="324">
        <f t="shared" si="91"/>
        <v>1</v>
      </c>
      <c r="BE72" s="324">
        <f t="shared" si="91"/>
        <v>1</v>
      </c>
      <c r="BF72" s="324">
        <f t="shared" si="91"/>
        <v>1</v>
      </c>
      <c r="BG72" s="324">
        <f t="shared" si="91"/>
        <v>1</v>
      </c>
      <c r="BH72" s="324">
        <f t="shared" si="91"/>
        <v>1</v>
      </c>
      <c r="BI72" s="324">
        <f t="shared" si="91"/>
        <v>1</v>
      </c>
      <c r="BJ72" s="324">
        <f t="shared" si="91"/>
        <v>1</v>
      </c>
      <c r="BK72" s="324">
        <f t="shared" si="91"/>
        <v>1</v>
      </c>
      <c r="BL72" s="324">
        <f t="shared" si="91"/>
        <v>1</v>
      </c>
      <c r="BP72" s="12"/>
    </row>
    <row r="73" spans="1:68" s="1" customFormat="1" x14ac:dyDescent="0.15">
      <c r="A73" s="1" t="s">
        <v>52</v>
      </c>
      <c r="C73" s="324"/>
      <c r="D73" s="324"/>
      <c r="E73" s="324"/>
      <c r="F73" s="324"/>
      <c r="G73" s="324"/>
      <c r="H73" s="324"/>
      <c r="I73" s="324"/>
      <c r="J73" s="324"/>
      <c r="K73" s="324"/>
      <c r="L73" s="324"/>
      <c r="M73" s="324"/>
      <c r="N73" s="324"/>
      <c r="O73" s="324"/>
      <c r="P73" s="324"/>
      <c r="Q73" s="324"/>
      <c r="R73" s="324"/>
      <c r="S73" s="324">
        <f t="shared" si="90"/>
        <v>1</v>
      </c>
      <c r="T73" s="324">
        <f t="shared" si="90"/>
        <v>1</v>
      </c>
      <c r="U73" s="324">
        <f t="shared" si="90"/>
        <v>1</v>
      </c>
      <c r="W73" s="324">
        <f t="shared" si="91"/>
        <v>1</v>
      </c>
      <c r="X73" s="324">
        <f t="shared" si="91"/>
        <v>1</v>
      </c>
      <c r="Y73" s="324">
        <f t="shared" si="91"/>
        <v>1</v>
      </c>
      <c r="Z73" s="324">
        <f t="shared" si="91"/>
        <v>1</v>
      </c>
      <c r="AA73" s="324">
        <f t="shared" si="91"/>
        <v>1</v>
      </c>
      <c r="AB73" s="324">
        <f t="shared" si="91"/>
        <v>1</v>
      </c>
      <c r="AC73" s="324">
        <f t="shared" si="91"/>
        <v>1</v>
      </c>
      <c r="AD73" s="324">
        <f t="shared" si="91"/>
        <v>1</v>
      </c>
      <c r="AE73" s="324">
        <f t="shared" si="91"/>
        <v>1</v>
      </c>
      <c r="AF73" s="324">
        <f t="shared" si="91"/>
        <v>1</v>
      </c>
      <c r="AG73" s="324">
        <f t="shared" si="91"/>
        <v>1</v>
      </c>
      <c r="AH73" s="324">
        <f t="shared" si="91"/>
        <v>1</v>
      </c>
      <c r="AI73" s="324">
        <f t="shared" si="91"/>
        <v>1</v>
      </c>
      <c r="AJ73" s="324">
        <f t="shared" si="91"/>
        <v>1</v>
      </c>
      <c r="AK73" s="324">
        <f t="shared" si="91"/>
        <v>1</v>
      </c>
      <c r="AL73" s="324">
        <f t="shared" si="91"/>
        <v>1</v>
      </c>
      <c r="AM73" s="324">
        <f t="shared" si="91"/>
        <v>1</v>
      </c>
      <c r="AN73" s="324">
        <f t="shared" si="91"/>
        <v>1</v>
      </c>
      <c r="AO73" s="324">
        <f t="shared" si="91"/>
        <v>1</v>
      </c>
      <c r="AP73" s="324">
        <f t="shared" si="91"/>
        <v>1</v>
      </c>
      <c r="AQ73" s="324">
        <f t="shared" si="91"/>
        <v>1</v>
      </c>
      <c r="AR73" s="324">
        <f t="shared" si="91"/>
        <v>1</v>
      </c>
      <c r="AS73" s="324">
        <f t="shared" si="91"/>
        <v>1</v>
      </c>
      <c r="AT73" s="324">
        <f t="shared" si="91"/>
        <v>1</v>
      </c>
      <c r="AU73" s="324">
        <f t="shared" si="91"/>
        <v>1</v>
      </c>
      <c r="AV73" s="324">
        <f t="shared" si="91"/>
        <v>1</v>
      </c>
      <c r="AW73" s="324">
        <f t="shared" si="91"/>
        <v>1</v>
      </c>
      <c r="AX73" s="324">
        <f t="shared" si="91"/>
        <v>1</v>
      </c>
      <c r="AY73" s="324">
        <f t="shared" si="91"/>
        <v>1</v>
      </c>
      <c r="AZ73" s="324">
        <f t="shared" si="91"/>
        <v>1</v>
      </c>
      <c r="BA73" s="324">
        <f t="shared" si="91"/>
        <v>1</v>
      </c>
      <c r="BB73" s="324">
        <f t="shared" si="91"/>
        <v>1</v>
      </c>
      <c r="BC73" s="324">
        <f t="shared" si="91"/>
        <v>1</v>
      </c>
      <c r="BD73" s="324">
        <f t="shared" si="91"/>
        <v>1</v>
      </c>
      <c r="BE73" s="324">
        <f t="shared" si="91"/>
        <v>1</v>
      </c>
      <c r="BF73" s="324">
        <f t="shared" si="91"/>
        <v>1</v>
      </c>
      <c r="BG73" s="324">
        <f t="shared" si="91"/>
        <v>1</v>
      </c>
      <c r="BH73" s="324">
        <f t="shared" si="91"/>
        <v>1</v>
      </c>
      <c r="BI73" s="324">
        <f t="shared" si="91"/>
        <v>1</v>
      </c>
      <c r="BJ73" s="324">
        <f t="shared" si="91"/>
        <v>1</v>
      </c>
      <c r="BK73" s="324">
        <f t="shared" si="91"/>
        <v>1</v>
      </c>
      <c r="BL73" s="324">
        <f t="shared" si="91"/>
        <v>1</v>
      </c>
    </row>
    <row r="74" spans="1:68" s="1" customFormat="1" x14ac:dyDescent="0.15">
      <c r="A74" s="1" t="s">
        <v>53</v>
      </c>
      <c r="C74" s="324"/>
      <c r="D74" s="324"/>
      <c r="E74" s="324"/>
      <c r="F74" s="324"/>
      <c r="G74" s="324"/>
      <c r="H74" s="324"/>
      <c r="I74" s="324"/>
      <c r="J74" s="324"/>
      <c r="K74" s="324"/>
      <c r="L74" s="324"/>
      <c r="M74" s="324"/>
      <c r="N74" s="324"/>
      <c r="O74" s="324"/>
      <c r="P74" s="324"/>
      <c r="Q74" s="324"/>
      <c r="R74" s="324"/>
      <c r="S74" s="324">
        <f t="shared" si="90"/>
        <v>0</v>
      </c>
      <c r="T74" s="324">
        <f t="shared" si="90"/>
        <v>0</v>
      </c>
      <c r="U74" s="324">
        <f t="shared" si="90"/>
        <v>0</v>
      </c>
      <c r="W74" s="324">
        <f t="shared" si="91"/>
        <v>0</v>
      </c>
      <c r="X74" s="324">
        <f t="shared" si="91"/>
        <v>0</v>
      </c>
      <c r="Y74" s="324">
        <f t="shared" si="91"/>
        <v>1</v>
      </c>
      <c r="Z74" s="324">
        <f t="shared" si="91"/>
        <v>1</v>
      </c>
      <c r="AA74" s="324">
        <f t="shared" si="91"/>
        <v>1</v>
      </c>
      <c r="AB74" s="324">
        <f t="shared" si="91"/>
        <v>1</v>
      </c>
      <c r="AC74" s="324">
        <f t="shared" si="91"/>
        <v>1</v>
      </c>
      <c r="AD74" s="324">
        <f t="shared" si="91"/>
        <v>1</v>
      </c>
      <c r="AE74" s="324">
        <f t="shared" si="91"/>
        <v>1</v>
      </c>
      <c r="AF74" s="324">
        <f t="shared" si="91"/>
        <v>1</v>
      </c>
      <c r="AG74" s="324">
        <f t="shared" si="91"/>
        <v>1</v>
      </c>
      <c r="AH74" s="324">
        <f t="shared" si="91"/>
        <v>1</v>
      </c>
      <c r="AI74" s="324">
        <f t="shared" si="91"/>
        <v>1</v>
      </c>
      <c r="AJ74" s="324">
        <f t="shared" si="91"/>
        <v>1</v>
      </c>
      <c r="AK74" s="324">
        <f t="shared" si="91"/>
        <v>1</v>
      </c>
      <c r="AL74" s="324">
        <f t="shared" si="91"/>
        <v>1</v>
      </c>
      <c r="AM74" s="324">
        <f t="shared" si="91"/>
        <v>1</v>
      </c>
      <c r="AN74" s="324">
        <f t="shared" si="91"/>
        <v>1</v>
      </c>
      <c r="AO74" s="324">
        <f t="shared" si="91"/>
        <v>1</v>
      </c>
      <c r="AP74" s="324">
        <f t="shared" si="91"/>
        <v>1</v>
      </c>
      <c r="AQ74" s="324">
        <f t="shared" si="91"/>
        <v>1</v>
      </c>
      <c r="AR74" s="324">
        <f t="shared" si="91"/>
        <v>1</v>
      </c>
      <c r="AS74" s="324">
        <f t="shared" si="91"/>
        <v>1</v>
      </c>
      <c r="AT74" s="324">
        <f t="shared" si="91"/>
        <v>1</v>
      </c>
      <c r="AU74" s="324">
        <f t="shared" si="91"/>
        <v>1</v>
      </c>
      <c r="AV74" s="324">
        <f t="shared" si="91"/>
        <v>1</v>
      </c>
      <c r="AW74" s="324">
        <f t="shared" si="91"/>
        <v>1</v>
      </c>
      <c r="AX74" s="324">
        <f t="shared" si="91"/>
        <v>1</v>
      </c>
      <c r="AY74" s="324">
        <f t="shared" si="91"/>
        <v>1</v>
      </c>
      <c r="AZ74" s="324">
        <f t="shared" si="91"/>
        <v>1</v>
      </c>
      <c r="BA74" s="324">
        <f t="shared" si="91"/>
        <v>1</v>
      </c>
      <c r="BB74" s="324">
        <f t="shared" si="91"/>
        <v>1</v>
      </c>
      <c r="BC74" s="324">
        <f t="shared" si="91"/>
        <v>1</v>
      </c>
      <c r="BD74" s="324">
        <f t="shared" si="91"/>
        <v>1</v>
      </c>
      <c r="BE74" s="324">
        <f t="shared" si="91"/>
        <v>1</v>
      </c>
      <c r="BF74" s="324">
        <f t="shared" si="91"/>
        <v>1</v>
      </c>
      <c r="BG74" s="324">
        <f t="shared" si="91"/>
        <v>1</v>
      </c>
      <c r="BH74" s="324">
        <f t="shared" si="91"/>
        <v>1</v>
      </c>
      <c r="BI74" s="324">
        <f t="shared" si="91"/>
        <v>1</v>
      </c>
      <c r="BJ74" s="324">
        <f t="shared" si="91"/>
        <v>1</v>
      </c>
      <c r="BK74" s="324">
        <f t="shared" si="91"/>
        <v>1</v>
      </c>
      <c r="BL74" s="324">
        <f t="shared" si="91"/>
        <v>1</v>
      </c>
    </row>
    <row r="75" spans="1:68" s="1" customFormat="1" x14ac:dyDescent="0.15">
      <c r="A75" s="1" t="s">
        <v>54</v>
      </c>
      <c r="C75" s="324"/>
      <c r="D75" s="324"/>
      <c r="E75" s="324"/>
      <c r="F75" s="324"/>
      <c r="G75" s="324"/>
      <c r="H75" s="324"/>
      <c r="I75" s="324"/>
      <c r="J75" s="324"/>
      <c r="K75" s="324"/>
      <c r="L75" s="324"/>
      <c r="M75" s="324"/>
      <c r="N75" s="324"/>
      <c r="O75" s="324"/>
      <c r="P75" s="324"/>
      <c r="Q75" s="324"/>
      <c r="R75" s="324"/>
      <c r="S75" s="324">
        <f t="shared" si="90"/>
        <v>0</v>
      </c>
      <c r="T75" s="324">
        <f t="shared" si="90"/>
        <v>0</v>
      </c>
      <c r="U75" s="324">
        <f t="shared" si="90"/>
        <v>0</v>
      </c>
      <c r="W75" s="324">
        <f t="shared" si="91"/>
        <v>0</v>
      </c>
      <c r="X75" s="324">
        <f t="shared" si="91"/>
        <v>0</v>
      </c>
      <c r="Y75" s="324">
        <f t="shared" si="91"/>
        <v>0</v>
      </c>
      <c r="Z75" s="324">
        <f t="shared" si="91"/>
        <v>0</v>
      </c>
      <c r="AA75" s="324">
        <f t="shared" si="91"/>
        <v>1</v>
      </c>
      <c r="AB75" s="324">
        <f t="shared" si="91"/>
        <v>1</v>
      </c>
      <c r="AC75" s="324">
        <f t="shared" si="91"/>
        <v>1</v>
      </c>
      <c r="AD75" s="324">
        <f t="shared" si="91"/>
        <v>1</v>
      </c>
      <c r="AE75" s="324">
        <f t="shared" si="91"/>
        <v>1</v>
      </c>
      <c r="AF75" s="324">
        <f t="shared" si="91"/>
        <v>1</v>
      </c>
      <c r="AG75" s="324">
        <f t="shared" si="91"/>
        <v>1</v>
      </c>
      <c r="AH75" s="324">
        <f t="shared" si="91"/>
        <v>1</v>
      </c>
      <c r="AI75" s="324">
        <f t="shared" si="91"/>
        <v>1</v>
      </c>
      <c r="AJ75" s="324">
        <f t="shared" si="91"/>
        <v>1</v>
      </c>
      <c r="AK75" s="324">
        <f t="shared" si="91"/>
        <v>1</v>
      </c>
      <c r="AL75" s="324">
        <f t="shared" si="91"/>
        <v>1</v>
      </c>
      <c r="AM75" s="324">
        <f t="shared" si="91"/>
        <v>1</v>
      </c>
      <c r="AN75" s="324">
        <f t="shared" si="91"/>
        <v>1</v>
      </c>
      <c r="AO75" s="324">
        <f t="shared" si="91"/>
        <v>1</v>
      </c>
      <c r="AP75" s="324">
        <f t="shared" si="91"/>
        <v>1</v>
      </c>
      <c r="AQ75" s="324">
        <f t="shared" si="91"/>
        <v>1</v>
      </c>
      <c r="AR75" s="324">
        <f t="shared" si="91"/>
        <v>1</v>
      </c>
      <c r="AS75" s="324">
        <f t="shared" si="91"/>
        <v>1</v>
      </c>
      <c r="AT75" s="324">
        <f t="shared" si="91"/>
        <v>1</v>
      </c>
      <c r="AU75" s="324">
        <f t="shared" si="91"/>
        <v>1</v>
      </c>
      <c r="AV75" s="324">
        <f t="shared" si="91"/>
        <v>1</v>
      </c>
      <c r="AW75" s="324">
        <f t="shared" si="91"/>
        <v>1</v>
      </c>
      <c r="AX75" s="324">
        <f t="shared" si="91"/>
        <v>1</v>
      </c>
      <c r="AY75" s="324">
        <f t="shared" si="91"/>
        <v>1</v>
      </c>
      <c r="AZ75" s="324">
        <f t="shared" si="91"/>
        <v>1</v>
      </c>
      <c r="BA75" s="324">
        <f t="shared" si="91"/>
        <v>1</v>
      </c>
      <c r="BB75" s="324">
        <f t="shared" si="91"/>
        <v>1</v>
      </c>
      <c r="BC75" s="324">
        <f t="shared" si="91"/>
        <v>1</v>
      </c>
      <c r="BD75" s="324">
        <f t="shared" si="91"/>
        <v>1</v>
      </c>
      <c r="BE75" s="324">
        <f t="shared" si="91"/>
        <v>1</v>
      </c>
      <c r="BF75" s="324">
        <f t="shared" si="91"/>
        <v>1</v>
      </c>
      <c r="BG75" s="324">
        <f t="shared" si="91"/>
        <v>1</v>
      </c>
      <c r="BH75" s="324">
        <f t="shared" si="91"/>
        <v>1</v>
      </c>
      <c r="BI75" s="324">
        <f t="shared" si="91"/>
        <v>1</v>
      </c>
      <c r="BJ75" s="324">
        <f t="shared" si="91"/>
        <v>1</v>
      </c>
      <c r="BK75" s="324">
        <f t="shared" si="91"/>
        <v>1</v>
      </c>
      <c r="BL75" s="324">
        <f t="shared" si="91"/>
        <v>1</v>
      </c>
    </row>
    <row r="76" spans="1:68" s="1" customFormat="1" x14ac:dyDescent="0.15">
      <c r="A76" s="1" t="s">
        <v>55</v>
      </c>
      <c r="C76" s="324"/>
      <c r="D76" s="324"/>
      <c r="E76" s="324"/>
      <c r="F76" s="324"/>
      <c r="G76" s="324"/>
      <c r="H76" s="324"/>
      <c r="I76" s="324"/>
      <c r="J76" s="324"/>
      <c r="K76" s="324"/>
      <c r="L76" s="324"/>
      <c r="M76" s="324"/>
      <c r="N76" s="324"/>
      <c r="O76" s="324"/>
      <c r="P76" s="324"/>
      <c r="Q76" s="324"/>
      <c r="R76" s="324"/>
      <c r="S76" s="324">
        <f t="shared" si="90"/>
        <v>0</v>
      </c>
      <c r="T76" s="324">
        <f t="shared" si="90"/>
        <v>0</v>
      </c>
      <c r="U76" s="324">
        <f t="shared" si="90"/>
        <v>0</v>
      </c>
      <c r="W76" s="324">
        <f t="shared" si="91"/>
        <v>0</v>
      </c>
      <c r="X76" s="324">
        <f t="shared" si="91"/>
        <v>0</v>
      </c>
      <c r="Y76" s="324">
        <f t="shared" si="91"/>
        <v>0</v>
      </c>
      <c r="Z76" s="324">
        <f t="shared" ref="Z76:BL76" si="92">+IF(Z$3&lt;$W166,0,1)</f>
        <v>0</v>
      </c>
      <c r="AA76" s="324">
        <f t="shared" si="92"/>
        <v>0</v>
      </c>
      <c r="AB76" s="324">
        <f t="shared" si="92"/>
        <v>0</v>
      </c>
      <c r="AC76" s="324">
        <f t="shared" si="92"/>
        <v>1</v>
      </c>
      <c r="AD76" s="324">
        <f t="shared" si="92"/>
        <v>1</v>
      </c>
      <c r="AE76" s="324">
        <f t="shared" si="92"/>
        <v>1</v>
      </c>
      <c r="AF76" s="324">
        <f t="shared" si="92"/>
        <v>1</v>
      </c>
      <c r="AG76" s="324">
        <f t="shared" si="92"/>
        <v>1</v>
      </c>
      <c r="AH76" s="324">
        <f t="shared" si="92"/>
        <v>1</v>
      </c>
      <c r="AI76" s="324">
        <f t="shared" si="92"/>
        <v>1</v>
      </c>
      <c r="AJ76" s="324">
        <f t="shared" si="92"/>
        <v>1</v>
      </c>
      <c r="AK76" s="324">
        <f t="shared" si="92"/>
        <v>1</v>
      </c>
      <c r="AL76" s="324">
        <f t="shared" si="92"/>
        <v>1</v>
      </c>
      <c r="AM76" s="324">
        <f t="shared" si="92"/>
        <v>1</v>
      </c>
      <c r="AN76" s="324">
        <f t="shared" si="92"/>
        <v>1</v>
      </c>
      <c r="AO76" s="324">
        <f t="shared" si="92"/>
        <v>1</v>
      </c>
      <c r="AP76" s="324">
        <f t="shared" si="92"/>
        <v>1</v>
      </c>
      <c r="AQ76" s="324">
        <f t="shared" si="92"/>
        <v>1</v>
      </c>
      <c r="AR76" s="324">
        <f t="shared" si="92"/>
        <v>1</v>
      </c>
      <c r="AS76" s="324">
        <f t="shared" si="92"/>
        <v>1</v>
      </c>
      <c r="AT76" s="324">
        <f t="shared" si="92"/>
        <v>1</v>
      </c>
      <c r="AU76" s="324">
        <f t="shared" si="92"/>
        <v>1</v>
      </c>
      <c r="AV76" s="324">
        <f t="shared" si="92"/>
        <v>1</v>
      </c>
      <c r="AW76" s="324">
        <f t="shared" si="92"/>
        <v>1</v>
      </c>
      <c r="AX76" s="324">
        <f t="shared" si="92"/>
        <v>1</v>
      </c>
      <c r="AY76" s="324">
        <f t="shared" si="92"/>
        <v>1</v>
      </c>
      <c r="AZ76" s="324">
        <f t="shared" si="92"/>
        <v>1</v>
      </c>
      <c r="BA76" s="324">
        <f t="shared" si="92"/>
        <v>1</v>
      </c>
      <c r="BB76" s="324">
        <f t="shared" si="92"/>
        <v>1</v>
      </c>
      <c r="BC76" s="324">
        <f t="shared" si="92"/>
        <v>1</v>
      </c>
      <c r="BD76" s="324">
        <f t="shared" si="92"/>
        <v>1</v>
      </c>
      <c r="BE76" s="324">
        <f t="shared" si="92"/>
        <v>1</v>
      </c>
      <c r="BF76" s="324">
        <f t="shared" si="92"/>
        <v>1</v>
      </c>
      <c r="BG76" s="324">
        <f t="shared" si="92"/>
        <v>1</v>
      </c>
      <c r="BH76" s="324">
        <f t="shared" si="92"/>
        <v>1</v>
      </c>
      <c r="BI76" s="324">
        <f t="shared" si="92"/>
        <v>1</v>
      </c>
      <c r="BJ76" s="324">
        <f t="shared" si="92"/>
        <v>1</v>
      </c>
      <c r="BK76" s="324">
        <f t="shared" si="92"/>
        <v>1</v>
      </c>
      <c r="BL76" s="324">
        <f t="shared" si="92"/>
        <v>1</v>
      </c>
    </row>
    <row r="77" spans="1:68" s="1" customFormat="1" x14ac:dyDescent="0.15">
      <c r="A77" s="1" t="s">
        <v>56</v>
      </c>
      <c r="C77" s="324"/>
      <c r="D77" s="324"/>
      <c r="E77" s="324"/>
      <c r="F77" s="324"/>
      <c r="G77" s="324"/>
      <c r="H77" s="324"/>
      <c r="I77" s="324"/>
      <c r="J77" s="324"/>
      <c r="K77" s="324"/>
      <c r="L77" s="324"/>
      <c r="M77" s="324"/>
      <c r="N77" s="324"/>
      <c r="O77" s="324"/>
      <c r="P77" s="324"/>
      <c r="Q77" s="324"/>
      <c r="R77" s="324"/>
      <c r="S77" s="324">
        <f t="shared" si="90"/>
        <v>0</v>
      </c>
      <c r="T77" s="324">
        <f t="shared" si="90"/>
        <v>0</v>
      </c>
      <c r="U77" s="324">
        <f t="shared" si="90"/>
        <v>0</v>
      </c>
      <c r="V77" s="324"/>
      <c r="W77" s="324">
        <f t="shared" ref="W77:BL81" si="93">+IF(W$3&lt;$W167,0,1)</f>
        <v>0</v>
      </c>
      <c r="X77" s="324">
        <f t="shared" si="93"/>
        <v>0</v>
      </c>
      <c r="Y77" s="324">
        <f t="shared" si="93"/>
        <v>0</v>
      </c>
      <c r="Z77" s="324">
        <f t="shared" si="93"/>
        <v>0</v>
      </c>
      <c r="AA77" s="324">
        <f t="shared" si="93"/>
        <v>0</v>
      </c>
      <c r="AB77" s="324">
        <f t="shared" si="93"/>
        <v>0</v>
      </c>
      <c r="AC77" s="324">
        <f t="shared" si="93"/>
        <v>0</v>
      </c>
      <c r="AD77" s="324">
        <f t="shared" si="93"/>
        <v>0</v>
      </c>
      <c r="AE77" s="324">
        <f t="shared" si="93"/>
        <v>1</v>
      </c>
      <c r="AF77" s="324">
        <f t="shared" si="93"/>
        <v>1</v>
      </c>
      <c r="AG77" s="324">
        <f t="shared" si="93"/>
        <v>1</v>
      </c>
      <c r="AH77" s="324">
        <f t="shared" si="93"/>
        <v>1</v>
      </c>
      <c r="AI77" s="324">
        <f t="shared" si="93"/>
        <v>1</v>
      </c>
      <c r="AJ77" s="324">
        <f t="shared" si="93"/>
        <v>1</v>
      </c>
      <c r="AK77" s="324">
        <f t="shared" si="93"/>
        <v>1</v>
      </c>
      <c r="AL77" s="324">
        <f t="shared" si="93"/>
        <v>1</v>
      </c>
      <c r="AM77" s="324">
        <f t="shared" si="93"/>
        <v>1</v>
      </c>
      <c r="AN77" s="324">
        <f t="shared" si="93"/>
        <v>1</v>
      </c>
      <c r="AO77" s="324">
        <f t="shared" si="93"/>
        <v>1</v>
      </c>
      <c r="AP77" s="324">
        <f t="shared" si="93"/>
        <v>1</v>
      </c>
      <c r="AQ77" s="324">
        <f t="shared" si="93"/>
        <v>1</v>
      </c>
      <c r="AR77" s="324">
        <f t="shared" si="93"/>
        <v>1</v>
      </c>
      <c r="AS77" s="324">
        <f t="shared" si="93"/>
        <v>1</v>
      </c>
      <c r="AT77" s="324">
        <f t="shared" si="93"/>
        <v>1</v>
      </c>
      <c r="AU77" s="324">
        <f t="shared" si="93"/>
        <v>1</v>
      </c>
      <c r="AV77" s="324">
        <f t="shared" si="93"/>
        <v>1</v>
      </c>
      <c r="AW77" s="324">
        <f t="shared" si="93"/>
        <v>1</v>
      </c>
      <c r="AX77" s="324">
        <f t="shared" si="93"/>
        <v>1</v>
      </c>
      <c r="AY77" s="324">
        <f t="shared" si="93"/>
        <v>1</v>
      </c>
      <c r="AZ77" s="324">
        <f t="shared" si="93"/>
        <v>1</v>
      </c>
      <c r="BA77" s="324">
        <f t="shared" si="93"/>
        <v>1</v>
      </c>
      <c r="BB77" s="324">
        <f t="shared" si="93"/>
        <v>1</v>
      </c>
      <c r="BC77" s="324">
        <f t="shared" si="93"/>
        <v>1</v>
      </c>
      <c r="BD77" s="324">
        <f t="shared" si="93"/>
        <v>1</v>
      </c>
      <c r="BE77" s="324">
        <f t="shared" si="93"/>
        <v>1</v>
      </c>
      <c r="BF77" s="324">
        <f t="shared" si="93"/>
        <v>1</v>
      </c>
      <c r="BG77" s="324">
        <f t="shared" si="93"/>
        <v>1</v>
      </c>
      <c r="BH77" s="324">
        <f t="shared" si="93"/>
        <v>1</v>
      </c>
      <c r="BI77" s="324">
        <f t="shared" si="93"/>
        <v>1</v>
      </c>
      <c r="BJ77" s="324">
        <f t="shared" si="93"/>
        <v>1</v>
      </c>
      <c r="BK77" s="324">
        <f t="shared" si="93"/>
        <v>1</v>
      </c>
      <c r="BL77" s="324">
        <f t="shared" si="93"/>
        <v>1</v>
      </c>
    </row>
    <row r="78" spans="1:68" s="1" customFormat="1" x14ac:dyDescent="0.15">
      <c r="A78" s="1" t="s">
        <v>57</v>
      </c>
      <c r="C78" s="324"/>
      <c r="D78" s="324"/>
      <c r="E78" s="324"/>
      <c r="F78" s="324"/>
      <c r="G78" s="324"/>
      <c r="H78" s="324"/>
      <c r="I78" s="324"/>
      <c r="J78" s="324"/>
      <c r="K78" s="324"/>
      <c r="L78" s="324"/>
      <c r="M78" s="324"/>
      <c r="N78" s="324"/>
      <c r="O78" s="324"/>
      <c r="P78" s="324"/>
      <c r="Q78" s="324"/>
      <c r="R78" s="324"/>
      <c r="S78" s="324">
        <f t="shared" si="90"/>
        <v>0</v>
      </c>
      <c r="T78" s="324">
        <f t="shared" si="90"/>
        <v>0</v>
      </c>
      <c r="U78" s="324">
        <f t="shared" si="90"/>
        <v>0</v>
      </c>
      <c r="V78" s="324"/>
      <c r="W78" s="324">
        <f t="shared" si="93"/>
        <v>0</v>
      </c>
      <c r="X78" s="324">
        <f t="shared" si="93"/>
        <v>0</v>
      </c>
      <c r="Y78" s="324">
        <f t="shared" si="93"/>
        <v>0</v>
      </c>
      <c r="Z78" s="324">
        <f t="shared" si="93"/>
        <v>0</v>
      </c>
      <c r="AA78" s="324">
        <f t="shared" si="93"/>
        <v>0</v>
      </c>
      <c r="AB78" s="324">
        <f t="shared" si="93"/>
        <v>0</v>
      </c>
      <c r="AC78" s="324">
        <f t="shared" si="93"/>
        <v>0</v>
      </c>
      <c r="AD78" s="324">
        <f t="shared" si="93"/>
        <v>0</v>
      </c>
      <c r="AE78" s="324">
        <f t="shared" si="93"/>
        <v>0</v>
      </c>
      <c r="AF78" s="324">
        <f t="shared" si="93"/>
        <v>0</v>
      </c>
      <c r="AG78" s="324">
        <f t="shared" si="93"/>
        <v>0</v>
      </c>
      <c r="AH78" s="324">
        <f t="shared" si="93"/>
        <v>0</v>
      </c>
      <c r="AI78" s="324">
        <f t="shared" si="93"/>
        <v>1</v>
      </c>
      <c r="AJ78" s="324">
        <f t="shared" si="93"/>
        <v>1</v>
      </c>
      <c r="AK78" s="324">
        <f t="shared" si="93"/>
        <v>1</v>
      </c>
      <c r="AL78" s="324">
        <f t="shared" si="93"/>
        <v>1</v>
      </c>
      <c r="AM78" s="324">
        <f t="shared" si="93"/>
        <v>1</v>
      </c>
      <c r="AN78" s="324">
        <f t="shared" si="93"/>
        <v>1</v>
      </c>
      <c r="AO78" s="324">
        <f t="shared" si="93"/>
        <v>1</v>
      </c>
      <c r="AP78" s="324">
        <f t="shared" si="93"/>
        <v>1</v>
      </c>
      <c r="AQ78" s="324">
        <f t="shared" si="93"/>
        <v>1</v>
      </c>
      <c r="AR78" s="324">
        <f t="shared" si="93"/>
        <v>1</v>
      </c>
      <c r="AS78" s="324">
        <f t="shared" si="93"/>
        <v>1</v>
      </c>
      <c r="AT78" s="324">
        <f t="shared" si="93"/>
        <v>1</v>
      </c>
      <c r="AU78" s="324">
        <f t="shared" si="93"/>
        <v>1</v>
      </c>
      <c r="AV78" s="324">
        <f t="shared" si="93"/>
        <v>1</v>
      </c>
      <c r="AW78" s="324">
        <f t="shared" si="93"/>
        <v>1</v>
      </c>
      <c r="AX78" s="324">
        <f t="shared" si="93"/>
        <v>1</v>
      </c>
      <c r="AY78" s="324">
        <f t="shared" si="93"/>
        <v>1</v>
      </c>
      <c r="AZ78" s="324">
        <f t="shared" si="93"/>
        <v>1</v>
      </c>
      <c r="BA78" s="324">
        <f t="shared" si="93"/>
        <v>1</v>
      </c>
      <c r="BB78" s="324">
        <f t="shared" si="93"/>
        <v>1</v>
      </c>
      <c r="BC78" s="324">
        <f t="shared" si="93"/>
        <v>1</v>
      </c>
      <c r="BD78" s="324">
        <f t="shared" si="93"/>
        <v>1</v>
      </c>
      <c r="BE78" s="324">
        <f t="shared" si="93"/>
        <v>1</v>
      </c>
      <c r="BF78" s="324">
        <f t="shared" si="93"/>
        <v>1</v>
      </c>
      <c r="BG78" s="324">
        <f t="shared" si="93"/>
        <v>1</v>
      </c>
      <c r="BH78" s="324">
        <f t="shared" si="93"/>
        <v>1</v>
      </c>
      <c r="BI78" s="324">
        <f t="shared" si="93"/>
        <v>1</v>
      </c>
      <c r="BJ78" s="324">
        <f t="shared" si="93"/>
        <v>1</v>
      </c>
      <c r="BK78" s="324">
        <f t="shared" si="93"/>
        <v>1</v>
      </c>
      <c r="BL78" s="324">
        <f t="shared" si="93"/>
        <v>1</v>
      </c>
    </row>
    <row r="79" spans="1:68" s="1" customFormat="1" x14ac:dyDescent="0.15">
      <c r="A79" s="1" t="s">
        <v>58</v>
      </c>
      <c r="C79" s="324"/>
      <c r="D79" s="324"/>
      <c r="E79" s="324"/>
      <c r="F79" s="324"/>
      <c r="G79" s="324"/>
      <c r="H79" s="324"/>
      <c r="I79" s="324"/>
      <c r="J79" s="324"/>
      <c r="K79" s="324"/>
      <c r="L79" s="324"/>
      <c r="M79" s="324"/>
      <c r="N79" s="324"/>
      <c r="O79" s="324"/>
      <c r="P79" s="324"/>
      <c r="Q79" s="324"/>
      <c r="R79" s="324"/>
      <c r="S79" s="324">
        <f t="shared" si="90"/>
        <v>0</v>
      </c>
      <c r="T79" s="324">
        <f t="shared" si="90"/>
        <v>0</v>
      </c>
      <c r="U79" s="324">
        <f t="shared" si="90"/>
        <v>0</v>
      </c>
      <c r="V79" s="324"/>
      <c r="W79" s="324">
        <f t="shared" si="93"/>
        <v>0</v>
      </c>
      <c r="X79" s="324">
        <f t="shared" si="93"/>
        <v>0</v>
      </c>
      <c r="Y79" s="324">
        <f t="shared" si="93"/>
        <v>0</v>
      </c>
      <c r="Z79" s="324">
        <f t="shared" si="93"/>
        <v>0</v>
      </c>
      <c r="AA79" s="324">
        <f t="shared" si="93"/>
        <v>1</v>
      </c>
      <c r="AB79" s="324">
        <f t="shared" si="93"/>
        <v>1</v>
      </c>
      <c r="AC79" s="324">
        <f t="shared" si="93"/>
        <v>1</v>
      </c>
      <c r="AD79" s="324">
        <f t="shared" si="93"/>
        <v>1</v>
      </c>
      <c r="AE79" s="324">
        <f t="shared" si="93"/>
        <v>1</v>
      </c>
      <c r="AF79" s="324">
        <f t="shared" si="93"/>
        <v>1</v>
      </c>
      <c r="AG79" s="324">
        <f t="shared" si="93"/>
        <v>1</v>
      </c>
      <c r="AH79" s="324">
        <f t="shared" si="93"/>
        <v>1</v>
      </c>
      <c r="AI79" s="324">
        <f t="shared" si="93"/>
        <v>1</v>
      </c>
      <c r="AJ79" s="324">
        <f t="shared" si="93"/>
        <v>1</v>
      </c>
      <c r="AK79" s="324">
        <f t="shared" si="93"/>
        <v>1</v>
      </c>
      <c r="AL79" s="324">
        <f t="shared" si="93"/>
        <v>1</v>
      </c>
      <c r="AM79" s="324">
        <f t="shared" si="93"/>
        <v>1</v>
      </c>
      <c r="AN79" s="324">
        <f t="shared" si="93"/>
        <v>1</v>
      </c>
      <c r="AO79" s="324">
        <f t="shared" si="93"/>
        <v>1</v>
      </c>
      <c r="AP79" s="324">
        <f t="shared" si="93"/>
        <v>1</v>
      </c>
      <c r="AQ79" s="324">
        <f t="shared" si="93"/>
        <v>1</v>
      </c>
      <c r="AR79" s="324">
        <f t="shared" si="93"/>
        <v>1</v>
      </c>
      <c r="AS79" s="324">
        <f t="shared" si="93"/>
        <v>1</v>
      </c>
      <c r="AT79" s="324">
        <f t="shared" si="93"/>
        <v>1</v>
      </c>
      <c r="AU79" s="324">
        <f t="shared" si="93"/>
        <v>1</v>
      </c>
      <c r="AV79" s="324">
        <f t="shared" si="93"/>
        <v>1</v>
      </c>
      <c r="AW79" s="324">
        <f t="shared" si="93"/>
        <v>1</v>
      </c>
      <c r="AX79" s="324">
        <f t="shared" si="93"/>
        <v>1</v>
      </c>
      <c r="AY79" s="324">
        <f t="shared" si="93"/>
        <v>1</v>
      </c>
      <c r="AZ79" s="324">
        <f t="shared" si="93"/>
        <v>1</v>
      </c>
      <c r="BA79" s="324">
        <f t="shared" si="93"/>
        <v>1</v>
      </c>
      <c r="BB79" s="324">
        <f t="shared" si="93"/>
        <v>1</v>
      </c>
      <c r="BC79" s="324">
        <f t="shared" si="93"/>
        <v>1</v>
      </c>
      <c r="BD79" s="324">
        <f t="shared" si="93"/>
        <v>1</v>
      </c>
      <c r="BE79" s="324">
        <f t="shared" si="93"/>
        <v>1</v>
      </c>
      <c r="BF79" s="324">
        <f t="shared" si="93"/>
        <v>1</v>
      </c>
      <c r="BG79" s="324">
        <f t="shared" si="93"/>
        <v>1</v>
      </c>
      <c r="BH79" s="324">
        <f t="shared" si="93"/>
        <v>1</v>
      </c>
      <c r="BI79" s="324">
        <f t="shared" si="93"/>
        <v>1</v>
      </c>
      <c r="BJ79" s="324">
        <f t="shared" si="93"/>
        <v>1</v>
      </c>
      <c r="BK79" s="324">
        <f t="shared" si="93"/>
        <v>1</v>
      </c>
      <c r="BL79" s="324">
        <f t="shared" si="93"/>
        <v>1</v>
      </c>
    </row>
    <row r="80" spans="1:68" s="1" customFormat="1" x14ac:dyDescent="0.15">
      <c r="A80" s="1" t="s">
        <v>114</v>
      </c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  <c r="Q80" s="324"/>
      <c r="R80" s="324"/>
      <c r="S80" s="324">
        <f t="shared" si="90"/>
        <v>0</v>
      </c>
      <c r="T80" s="324">
        <f t="shared" si="90"/>
        <v>0</v>
      </c>
      <c r="U80" s="324">
        <f t="shared" si="90"/>
        <v>0</v>
      </c>
      <c r="V80" s="324"/>
      <c r="W80" s="324">
        <f t="shared" si="93"/>
        <v>0</v>
      </c>
      <c r="X80" s="324">
        <f t="shared" si="93"/>
        <v>1</v>
      </c>
      <c r="Y80" s="324">
        <f t="shared" si="93"/>
        <v>1</v>
      </c>
      <c r="Z80" s="324">
        <f t="shared" si="93"/>
        <v>1</v>
      </c>
      <c r="AA80" s="324">
        <f t="shared" si="93"/>
        <v>1</v>
      </c>
      <c r="AB80" s="324">
        <f t="shared" si="93"/>
        <v>1</v>
      </c>
      <c r="AC80" s="324">
        <f t="shared" si="93"/>
        <v>1</v>
      </c>
      <c r="AD80" s="324">
        <f t="shared" si="93"/>
        <v>1</v>
      </c>
      <c r="AE80" s="324">
        <f t="shared" si="93"/>
        <v>1</v>
      </c>
      <c r="AF80" s="324">
        <f t="shared" si="93"/>
        <v>1</v>
      </c>
      <c r="AG80" s="324">
        <f t="shared" si="93"/>
        <v>1</v>
      </c>
      <c r="AH80" s="324">
        <f t="shared" si="93"/>
        <v>1</v>
      </c>
      <c r="AI80" s="324">
        <f t="shared" si="93"/>
        <v>1</v>
      </c>
      <c r="AJ80" s="324">
        <f t="shared" si="93"/>
        <v>1</v>
      </c>
      <c r="AK80" s="324">
        <f t="shared" si="93"/>
        <v>1</v>
      </c>
      <c r="AL80" s="324">
        <f t="shared" si="93"/>
        <v>1</v>
      </c>
      <c r="AM80" s="324">
        <f t="shared" si="93"/>
        <v>1</v>
      </c>
      <c r="AN80" s="324">
        <f t="shared" si="93"/>
        <v>1</v>
      </c>
      <c r="AO80" s="324">
        <f t="shared" si="93"/>
        <v>1</v>
      </c>
      <c r="AP80" s="324">
        <f t="shared" si="93"/>
        <v>1</v>
      </c>
      <c r="AQ80" s="324">
        <f t="shared" si="93"/>
        <v>1</v>
      </c>
      <c r="AR80" s="324">
        <f t="shared" si="93"/>
        <v>1</v>
      </c>
      <c r="AS80" s="324">
        <f t="shared" si="93"/>
        <v>1</v>
      </c>
      <c r="AT80" s="324">
        <f t="shared" si="93"/>
        <v>1</v>
      </c>
      <c r="AU80" s="324">
        <f t="shared" si="93"/>
        <v>1</v>
      </c>
      <c r="AV80" s="324">
        <f t="shared" si="93"/>
        <v>1</v>
      </c>
      <c r="AW80" s="324">
        <f t="shared" si="93"/>
        <v>1</v>
      </c>
      <c r="AX80" s="324">
        <f t="shared" si="93"/>
        <v>1</v>
      </c>
      <c r="AY80" s="324">
        <f t="shared" si="93"/>
        <v>1</v>
      </c>
      <c r="AZ80" s="324">
        <f t="shared" si="93"/>
        <v>1</v>
      </c>
      <c r="BA80" s="324">
        <f t="shared" si="93"/>
        <v>1</v>
      </c>
      <c r="BB80" s="324">
        <f t="shared" si="93"/>
        <v>1</v>
      </c>
      <c r="BC80" s="324">
        <f t="shared" si="93"/>
        <v>1</v>
      </c>
      <c r="BD80" s="324">
        <f t="shared" si="93"/>
        <v>1</v>
      </c>
      <c r="BE80" s="324">
        <f t="shared" si="93"/>
        <v>1</v>
      </c>
      <c r="BF80" s="324">
        <f t="shared" si="93"/>
        <v>1</v>
      </c>
      <c r="BG80" s="324">
        <f t="shared" si="93"/>
        <v>1</v>
      </c>
      <c r="BH80" s="324">
        <f t="shared" si="93"/>
        <v>1</v>
      </c>
      <c r="BI80" s="324">
        <f t="shared" si="93"/>
        <v>1</v>
      </c>
      <c r="BJ80" s="324">
        <f t="shared" si="93"/>
        <v>1</v>
      </c>
      <c r="BK80" s="324">
        <f t="shared" si="93"/>
        <v>1</v>
      </c>
      <c r="BL80" s="324">
        <f t="shared" si="93"/>
        <v>1</v>
      </c>
    </row>
    <row r="81" spans="1:90" s="1" customFormat="1" x14ac:dyDescent="0.15">
      <c r="A81" s="1" t="s">
        <v>32</v>
      </c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  <c r="Q81" s="324"/>
      <c r="R81" s="324"/>
      <c r="S81" s="324">
        <f t="shared" si="90"/>
        <v>0</v>
      </c>
      <c r="T81" s="324">
        <f t="shared" si="90"/>
        <v>0</v>
      </c>
      <c r="U81" s="324">
        <f t="shared" si="90"/>
        <v>0</v>
      </c>
      <c r="V81" s="324"/>
      <c r="W81" s="324">
        <f t="shared" si="93"/>
        <v>0</v>
      </c>
      <c r="X81" s="324">
        <f t="shared" si="93"/>
        <v>0</v>
      </c>
      <c r="Y81" s="324">
        <f t="shared" si="93"/>
        <v>0</v>
      </c>
      <c r="Z81" s="324">
        <f t="shared" si="93"/>
        <v>0</v>
      </c>
      <c r="AA81" s="324">
        <f t="shared" si="93"/>
        <v>0</v>
      </c>
      <c r="AB81" s="324">
        <f t="shared" si="93"/>
        <v>0</v>
      </c>
      <c r="AC81" s="324">
        <f t="shared" si="93"/>
        <v>1</v>
      </c>
      <c r="AD81" s="324">
        <f t="shared" si="93"/>
        <v>1</v>
      </c>
      <c r="AE81" s="324">
        <f t="shared" si="93"/>
        <v>1</v>
      </c>
      <c r="AF81" s="324">
        <f t="shared" si="93"/>
        <v>1</v>
      </c>
      <c r="AG81" s="324">
        <f t="shared" si="93"/>
        <v>1</v>
      </c>
      <c r="AH81" s="324">
        <f t="shared" si="93"/>
        <v>1</v>
      </c>
      <c r="AI81" s="324">
        <f t="shared" si="93"/>
        <v>1</v>
      </c>
      <c r="AJ81" s="324">
        <f t="shared" si="93"/>
        <v>1</v>
      </c>
      <c r="AK81" s="324">
        <f t="shared" si="93"/>
        <v>1</v>
      </c>
      <c r="AL81" s="324">
        <f t="shared" si="93"/>
        <v>1</v>
      </c>
      <c r="AM81" s="324">
        <f t="shared" si="93"/>
        <v>1</v>
      </c>
      <c r="AN81" s="324">
        <f t="shared" si="93"/>
        <v>1</v>
      </c>
      <c r="AO81" s="324">
        <f t="shared" si="93"/>
        <v>1</v>
      </c>
      <c r="AP81" s="324">
        <f t="shared" si="93"/>
        <v>1</v>
      </c>
      <c r="AQ81" s="324">
        <f t="shared" si="93"/>
        <v>1</v>
      </c>
      <c r="AR81" s="324">
        <f t="shared" si="93"/>
        <v>1</v>
      </c>
      <c r="AS81" s="324">
        <f t="shared" si="93"/>
        <v>1</v>
      </c>
      <c r="AT81" s="324">
        <f t="shared" si="93"/>
        <v>1</v>
      </c>
      <c r="AU81" s="324">
        <f t="shared" si="93"/>
        <v>1</v>
      </c>
      <c r="AV81" s="324">
        <f t="shared" si="93"/>
        <v>1</v>
      </c>
      <c r="AW81" s="324">
        <f t="shared" si="93"/>
        <v>1</v>
      </c>
      <c r="AX81" s="324">
        <f t="shared" si="93"/>
        <v>1</v>
      </c>
      <c r="AY81" s="324">
        <f t="shared" si="93"/>
        <v>1</v>
      </c>
      <c r="AZ81" s="324">
        <f t="shared" si="93"/>
        <v>1</v>
      </c>
      <c r="BA81" s="324">
        <f t="shared" si="93"/>
        <v>1</v>
      </c>
      <c r="BB81" s="324">
        <f t="shared" si="93"/>
        <v>1</v>
      </c>
      <c r="BC81" s="324">
        <f t="shared" si="93"/>
        <v>1</v>
      </c>
      <c r="BD81" s="324">
        <f t="shared" si="93"/>
        <v>1</v>
      </c>
      <c r="BE81" s="324">
        <f t="shared" si="93"/>
        <v>1</v>
      </c>
      <c r="BF81" s="324">
        <f t="shared" si="93"/>
        <v>1</v>
      </c>
      <c r="BG81" s="324">
        <f t="shared" si="93"/>
        <v>1</v>
      </c>
      <c r="BH81" s="324">
        <f t="shared" si="93"/>
        <v>1</v>
      </c>
      <c r="BI81" s="324">
        <f t="shared" si="93"/>
        <v>1</v>
      </c>
      <c r="BJ81" s="324">
        <f t="shared" si="93"/>
        <v>1</v>
      </c>
      <c r="BK81" s="324">
        <f t="shared" si="93"/>
        <v>1</v>
      </c>
      <c r="BL81" s="324">
        <f t="shared" si="93"/>
        <v>1</v>
      </c>
    </row>
    <row r="82" spans="1:90" s="1" customFormat="1" x14ac:dyDescent="0.15">
      <c r="A82" s="1" t="s">
        <v>255</v>
      </c>
      <c r="C82" s="324"/>
      <c r="D82" s="324"/>
      <c r="E82" s="324"/>
      <c r="F82" s="324"/>
      <c r="G82" s="324"/>
      <c r="H82" s="324"/>
      <c r="I82" s="324"/>
      <c r="J82" s="324"/>
      <c r="K82" s="324"/>
      <c r="L82" s="324"/>
      <c r="M82" s="324"/>
      <c r="N82" s="324"/>
      <c r="O82" s="324"/>
      <c r="P82" s="324"/>
      <c r="Q82" s="324"/>
      <c r="R82" s="324"/>
      <c r="S82"/>
      <c r="T82"/>
    </row>
    <row r="83" spans="1:90" s="1" customFormat="1" x14ac:dyDescent="0.15">
      <c r="A83" s="1" t="s">
        <v>901</v>
      </c>
      <c r="C83" s="324"/>
      <c r="D83" s="324"/>
      <c r="E83" s="324"/>
      <c r="F83" s="324"/>
      <c r="G83" s="324"/>
      <c r="H83" s="324"/>
      <c r="I83" s="324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7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  <c r="AL83" s="324"/>
      <c r="AM83" s="324"/>
      <c r="AN83" s="324"/>
      <c r="AO83" s="324"/>
      <c r="AP83" s="324"/>
      <c r="AQ83" s="324"/>
      <c r="AR83" s="324"/>
      <c r="AS83" s="324"/>
      <c r="AT83" s="324"/>
      <c r="AU83" s="324"/>
      <c r="AV83" s="324"/>
      <c r="AW83" s="324"/>
      <c r="AX83" s="324"/>
      <c r="AY83" s="324"/>
      <c r="AZ83" s="324"/>
      <c r="BA83" s="324"/>
      <c r="BB83" s="324"/>
      <c r="BC83" s="324"/>
      <c r="BD83" s="324"/>
      <c r="BE83" s="324"/>
      <c r="BF83" s="324"/>
      <c r="BG83" s="324"/>
      <c r="BH83" s="324"/>
      <c r="BI83" s="324"/>
      <c r="BJ83" s="324"/>
      <c r="BK83" s="324"/>
      <c r="BL83" s="324"/>
    </row>
    <row r="84" spans="1:90" s="1" customFormat="1" x14ac:dyDescent="0.15">
      <c r="A84" s="1" t="s">
        <v>902</v>
      </c>
      <c r="D84" s="324"/>
      <c r="E84" s="324"/>
      <c r="F84" s="324"/>
      <c r="G84" s="324"/>
      <c r="H84" s="324"/>
      <c r="I84" s="324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7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</row>
    <row r="85" spans="1:90" s="1" customFormat="1" x14ac:dyDescent="0.15">
      <c r="A85" s="1" t="s">
        <v>903</v>
      </c>
      <c r="B85" s="1">
        <v>0.05</v>
      </c>
      <c r="C85" s="324"/>
      <c r="D85" s="324"/>
      <c r="E85" s="324"/>
      <c r="F85" s="324"/>
      <c r="G85" s="324"/>
      <c r="H85" s="324"/>
      <c r="I85" s="324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7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  <c r="AL85" s="324"/>
      <c r="AM85" s="324"/>
      <c r="AN85" s="324"/>
      <c r="AO85" s="324"/>
      <c r="AP85" s="324"/>
      <c r="AQ85" s="324"/>
      <c r="AR85" s="324"/>
      <c r="AS85" s="324"/>
      <c r="AT85" s="324"/>
      <c r="AU85" s="324"/>
      <c r="AV85" s="324"/>
      <c r="AW85" s="324"/>
      <c r="AX85" s="324"/>
      <c r="AY85" s="324"/>
      <c r="AZ85" s="324"/>
      <c r="BA85" s="324"/>
      <c r="BB85" s="324"/>
      <c r="BC85" s="324"/>
      <c r="BD85" s="324"/>
      <c r="BE85" s="324"/>
      <c r="BF85" s="324"/>
      <c r="BG85" s="324"/>
      <c r="BH85" s="324"/>
      <c r="BI85" s="324"/>
      <c r="BJ85" s="324"/>
      <c r="BK85" s="324"/>
      <c r="BL85" s="324"/>
    </row>
    <row r="86" spans="1:90" s="1" customFormat="1" x14ac:dyDescent="0.15">
      <c r="A86" s="1" t="s">
        <v>904</v>
      </c>
      <c r="B86" s="1">
        <v>0.95</v>
      </c>
      <c r="C86" s="324"/>
      <c r="D86" s="324"/>
      <c r="E86" s="324"/>
      <c r="F86" s="324"/>
      <c r="G86" s="324"/>
      <c r="H86" s="324"/>
      <c r="I86" s="324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7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  <c r="AL86" s="324"/>
      <c r="AM86" s="324"/>
      <c r="AN86" s="324"/>
      <c r="AO86" s="324"/>
      <c r="AP86" s="324"/>
      <c r="AQ86" s="324"/>
      <c r="AR86" s="324"/>
      <c r="AS86" s="324"/>
      <c r="AT86" s="324"/>
      <c r="AU86" s="324"/>
      <c r="AV86" s="324"/>
      <c r="AW86" s="324"/>
      <c r="AX86" s="324"/>
      <c r="AY86" s="324"/>
      <c r="AZ86" s="324"/>
      <c r="BA86" s="324"/>
      <c r="BB86" s="324"/>
      <c r="BC86" s="324"/>
      <c r="BD86" s="324"/>
      <c r="BE86" s="324"/>
      <c r="BF86" s="324"/>
      <c r="BG86" s="324"/>
      <c r="BH86" s="324"/>
      <c r="BI86" s="324"/>
      <c r="BJ86" s="324"/>
      <c r="BK86" s="324"/>
      <c r="BL86" s="324"/>
    </row>
    <row r="87" spans="1:90" s="1" customFormat="1" ht="18.75" customHeight="1" x14ac:dyDescent="0.2">
      <c r="A87" s="321" t="s">
        <v>905</v>
      </c>
      <c r="C87" s="324"/>
      <c r="D87" s="324"/>
      <c r="E87" s="324"/>
      <c r="F87" s="324"/>
      <c r="G87" s="324"/>
      <c r="H87" s="324"/>
      <c r="I87" s="324"/>
      <c r="J87" s="324"/>
      <c r="K87" s="324"/>
      <c r="L87" s="324"/>
      <c r="M87" s="324" t="s">
        <v>906</v>
      </c>
      <c r="N87" s="324"/>
      <c r="O87" s="324"/>
      <c r="P87" s="324"/>
      <c r="Q87" s="324"/>
      <c r="R87" s="324"/>
      <c r="S87" s="324"/>
      <c r="T87" s="324"/>
      <c r="U87" s="324"/>
      <c r="V87" s="324"/>
      <c r="W87" s="327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  <c r="AL87" s="324"/>
      <c r="AM87" s="324"/>
      <c r="AN87" s="324"/>
      <c r="AO87" s="324"/>
      <c r="AP87" s="324"/>
      <c r="AQ87" s="324"/>
      <c r="AR87" s="324"/>
      <c r="AS87" s="324"/>
      <c r="AT87" s="324"/>
      <c r="AU87" s="324"/>
      <c r="AV87" s="324"/>
      <c r="AW87" s="324"/>
      <c r="AX87" s="324"/>
      <c r="AY87" s="324"/>
      <c r="AZ87" s="324"/>
      <c r="BA87" s="324"/>
      <c r="BB87" s="324"/>
      <c r="BC87" s="324"/>
      <c r="BD87" s="324"/>
      <c r="BE87" s="324"/>
      <c r="BF87" s="324"/>
      <c r="BG87" s="324"/>
      <c r="BH87" s="324"/>
      <c r="BI87" s="324"/>
      <c r="BJ87" s="324"/>
      <c r="BK87" s="324"/>
      <c r="BL87" s="324"/>
    </row>
    <row r="88" spans="1:90" s="345" customFormat="1" x14ac:dyDescent="0.15">
      <c r="A88" s="345" t="s">
        <v>104</v>
      </c>
      <c r="C88" s="346" t="s">
        <v>907</v>
      </c>
      <c r="D88" s="346"/>
      <c r="E88" s="346"/>
      <c r="F88" s="346"/>
      <c r="G88" s="346"/>
      <c r="H88" s="346"/>
      <c r="I88" s="346"/>
      <c r="J88" s="346"/>
      <c r="K88" s="346"/>
      <c r="L88" s="346"/>
      <c r="M88" s="346"/>
      <c r="N88" s="346"/>
      <c r="O88" s="346"/>
      <c r="P88" s="346"/>
      <c r="Q88" s="346"/>
      <c r="R88" s="346"/>
      <c r="S88" s="346">
        <f>1-S61/S4</f>
        <v>0</v>
      </c>
      <c r="T88" s="346">
        <f>1-T61/T4</f>
        <v>0</v>
      </c>
      <c r="U88" s="346">
        <f>1-U61/U4</f>
        <v>0</v>
      </c>
      <c r="V88" s="346"/>
      <c r="W88" s="346">
        <f t="shared" ref="W88:AO99" si="94">+IF(W102&lt;90,1-W102/W4,0)</f>
        <v>0</v>
      </c>
      <c r="X88" s="346">
        <f t="shared" si="94"/>
        <v>0.14755293902927757</v>
      </c>
      <c r="Y88" s="346">
        <f t="shared" si="94"/>
        <v>0.17835220427195797</v>
      </c>
      <c r="Z88" s="346">
        <f t="shared" si="94"/>
        <v>0.24572172023793537</v>
      </c>
      <c r="AA88" s="346">
        <f t="shared" si="94"/>
        <v>0.35699999999999987</v>
      </c>
      <c r="AB88" s="346">
        <f t="shared" si="94"/>
        <v>0.44412499999999988</v>
      </c>
      <c r="AC88" s="346">
        <f t="shared" si="94"/>
        <v>0.53125</v>
      </c>
      <c r="AD88" s="346">
        <f t="shared" si="94"/>
        <v>0.61837500000000012</v>
      </c>
      <c r="AE88" s="346">
        <f t="shared" si="94"/>
        <v>0.70550000000000002</v>
      </c>
      <c r="AF88" s="346">
        <f t="shared" si="94"/>
        <v>0.73870999999999998</v>
      </c>
      <c r="AG88" s="346">
        <f t="shared" si="94"/>
        <v>0.76710619999999996</v>
      </c>
      <c r="AH88" s="346">
        <f t="shared" si="94"/>
        <v>0.79139596400000001</v>
      </c>
      <c r="AI88" s="346">
        <f t="shared" si="94"/>
        <v>0.81219104407999998</v>
      </c>
      <c r="AJ88" s="346">
        <f t="shared" si="94"/>
        <v>0.8300164267375999</v>
      </c>
      <c r="AK88" s="346">
        <f t="shared" si="94"/>
        <v>0.84532003075107198</v>
      </c>
      <c r="AL88" s="346">
        <f t="shared" si="94"/>
        <v>0.85848237809077177</v>
      </c>
      <c r="AM88" s="346">
        <f t="shared" si="94"/>
        <v>0.86982573082035564</v>
      </c>
      <c r="AN88" s="346">
        <f t="shared" si="94"/>
        <v>0.87962242951815606</v>
      </c>
      <c r="AO88" s="346">
        <f t="shared" si="94"/>
        <v>0.88810232352142238</v>
      </c>
      <c r="AP88" s="346">
        <f>+AO88+($B$86-AO88)*$B$85</f>
        <v>0.89119720734535124</v>
      </c>
      <c r="AQ88" s="346">
        <f t="shared" ref="AQ88:CL95" si="95">+AP88+($B$86-AP88)*$B$85</f>
        <v>0.89413734697808367</v>
      </c>
      <c r="AR88" s="346">
        <f t="shared" si="95"/>
        <v>0.89693047962917949</v>
      </c>
      <c r="AS88" s="346">
        <f t="shared" si="95"/>
        <v>0.89958395564772053</v>
      </c>
      <c r="AT88" s="346">
        <f t="shared" si="95"/>
        <v>0.90210475786533451</v>
      </c>
      <c r="AU88" s="346">
        <f t="shared" si="95"/>
        <v>0.90449951997206779</v>
      </c>
      <c r="AV88" s="346">
        <f t="shared" si="95"/>
        <v>0.90677454397346435</v>
      </c>
      <c r="AW88" s="346">
        <f t="shared" si="95"/>
        <v>0.90893581677479118</v>
      </c>
      <c r="AX88" s="346">
        <f t="shared" si="95"/>
        <v>0.91098902593605158</v>
      </c>
      <c r="AY88" s="346">
        <f t="shared" si="95"/>
        <v>0.91293957463924902</v>
      </c>
      <c r="AZ88" s="346">
        <f t="shared" si="95"/>
        <v>0.91479259590728657</v>
      </c>
      <c r="BA88" s="346">
        <f t="shared" si="95"/>
        <v>0.91655296611192227</v>
      </c>
      <c r="BB88" s="346">
        <f t="shared" si="95"/>
        <v>0.91822531780632621</v>
      </c>
      <c r="BC88" s="346">
        <f t="shared" si="95"/>
        <v>0.91981405191600984</v>
      </c>
      <c r="BD88" s="346">
        <f t="shared" si="95"/>
        <v>0.92132334932020932</v>
      </c>
      <c r="BE88" s="346">
        <f t="shared" si="95"/>
        <v>0.92275718185419886</v>
      </c>
      <c r="BF88" s="346">
        <f t="shared" si="95"/>
        <v>0.92411932276148889</v>
      </c>
      <c r="BG88" s="346">
        <f t="shared" si="95"/>
        <v>0.9254133566234144</v>
      </c>
      <c r="BH88" s="346">
        <f t="shared" si="95"/>
        <v>0.92664268879224365</v>
      </c>
      <c r="BI88" s="346">
        <f t="shared" si="95"/>
        <v>0.92781055435263149</v>
      </c>
      <c r="BJ88" s="346">
        <f t="shared" si="95"/>
        <v>0.92892002663499995</v>
      </c>
      <c r="BK88" s="346">
        <f t="shared" si="95"/>
        <v>0.92997402530324991</v>
      </c>
      <c r="BL88" s="346">
        <f t="shared" si="95"/>
        <v>0.93097532403808736</v>
      </c>
      <c r="BM88" s="346">
        <f t="shared" si="95"/>
        <v>0.93192655783618294</v>
      </c>
      <c r="BN88" s="346">
        <f t="shared" si="95"/>
        <v>0.93283022994437381</v>
      </c>
      <c r="BO88" s="346">
        <f t="shared" si="95"/>
        <v>0.93368871844715517</v>
      </c>
      <c r="BP88" s="346">
        <f t="shared" si="95"/>
        <v>0.93450428252479745</v>
      </c>
      <c r="BQ88" s="346">
        <f t="shared" si="95"/>
        <v>0.93527906839855757</v>
      </c>
      <c r="BR88" s="346">
        <f t="shared" si="95"/>
        <v>0.93601511497862966</v>
      </c>
      <c r="BS88" s="346">
        <f t="shared" si="95"/>
        <v>0.93671435922969815</v>
      </c>
      <c r="BT88" s="346">
        <f t="shared" si="95"/>
        <v>0.93737864126821324</v>
      </c>
      <c r="BU88" s="346">
        <f t="shared" si="95"/>
        <v>0.93800970920480253</v>
      </c>
      <c r="BV88" s="346">
        <f t="shared" si="95"/>
        <v>0.93860922374456246</v>
      </c>
      <c r="BW88" s="346">
        <f t="shared" si="95"/>
        <v>0.93917876255733435</v>
      </c>
      <c r="BX88" s="346">
        <f t="shared" si="95"/>
        <v>0.93971982442946767</v>
      </c>
      <c r="BY88" s="346">
        <f t="shared" si="95"/>
        <v>0.94023383320799425</v>
      </c>
      <c r="BZ88" s="346">
        <f t="shared" si="95"/>
        <v>0.94072214154759459</v>
      </c>
      <c r="CA88" s="346">
        <f t="shared" si="95"/>
        <v>0.94118603447021487</v>
      </c>
      <c r="CB88" s="346">
        <f t="shared" si="95"/>
        <v>0.94162673274670416</v>
      </c>
      <c r="CC88" s="346">
        <f t="shared" si="95"/>
        <v>0.94204539610936899</v>
      </c>
      <c r="CD88" s="346">
        <f t="shared" si="95"/>
        <v>0.94244312630390059</v>
      </c>
      <c r="CE88" s="346">
        <f t="shared" si="95"/>
        <v>0.94282096998870557</v>
      </c>
      <c r="CF88" s="346">
        <f t="shared" si="95"/>
        <v>0.94317992148927032</v>
      </c>
      <c r="CG88" s="346">
        <f t="shared" si="95"/>
        <v>0.94352092541480681</v>
      </c>
      <c r="CH88" s="346">
        <f t="shared" si="95"/>
        <v>0.94384487914406645</v>
      </c>
      <c r="CI88" s="346">
        <f t="shared" si="95"/>
        <v>0.9441526351868631</v>
      </c>
      <c r="CJ88" s="346">
        <f t="shared" si="95"/>
        <v>0.94444500342751991</v>
      </c>
      <c r="CK88" s="346">
        <f t="shared" si="95"/>
        <v>0.94472275325614397</v>
      </c>
      <c r="CL88" s="346">
        <f t="shared" si="95"/>
        <v>0.94498661559333674</v>
      </c>
    </row>
    <row r="89" spans="1:90" s="345" customFormat="1" x14ac:dyDescent="0.15">
      <c r="A89" s="345" t="s">
        <v>105</v>
      </c>
      <c r="C89" s="346"/>
      <c r="D89" s="346"/>
      <c r="E89" s="346"/>
      <c r="F89" s="346"/>
      <c r="G89" s="346"/>
      <c r="H89" s="346"/>
      <c r="I89" s="346"/>
      <c r="J89" s="346"/>
      <c r="K89" s="346"/>
      <c r="L89" s="346"/>
      <c r="M89" s="346"/>
      <c r="N89" s="346"/>
      <c r="O89" s="346"/>
      <c r="P89" s="346"/>
      <c r="Q89" s="346"/>
      <c r="R89" s="346"/>
      <c r="S89" s="346"/>
      <c r="T89" s="346">
        <f>+S89</f>
        <v>0</v>
      </c>
      <c r="U89" s="346">
        <f>+T89</f>
        <v>0</v>
      </c>
      <c r="V89" s="346"/>
      <c r="W89" s="346">
        <f t="shared" si="94"/>
        <v>6.4891571523352232E-2</v>
      </c>
      <c r="X89" s="346">
        <f t="shared" si="94"/>
        <v>-5.9928800243911784E-2</v>
      </c>
      <c r="Y89" s="346">
        <f t="shared" si="94"/>
        <v>0.13578440086809351</v>
      </c>
      <c r="Z89" s="346">
        <f t="shared" si="94"/>
        <v>0.18085559202387402</v>
      </c>
      <c r="AA89" s="346">
        <f t="shared" si="94"/>
        <v>0.20996654927394531</v>
      </c>
      <c r="AB89" s="346">
        <f t="shared" si="94"/>
        <v>0.31920504642537473</v>
      </c>
      <c r="AC89" s="346">
        <f t="shared" si="94"/>
        <v>0.42752968797197599</v>
      </c>
      <c r="AD89" s="346">
        <f t="shared" si="94"/>
        <v>0.53524827637616346</v>
      </c>
      <c r="AE89" s="346">
        <f t="shared" si="94"/>
        <v>0.64202004959490799</v>
      </c>
      <c r="AF89" s="346">
        <f t="shared" si="94"/>
        <v>0.68298091664397242</v>
      </c>
      <c r="AG89" s="346">
        <f t="shared" si="94"/>
        <v>0.71773194099937465</v>
      </c>
      <c r="AH89" s="346">
        <f t="shared" si="94"/>
        <v>0.74743817371992716</v>
      </c>
      <c r="AI89" s="346">
        <f t="shared" si="94"/>
        <v>0.77239677643190996</v>
      </c>
      <c r="AJ89" s="346">
        <f t="shared" si="94"/>
        <v>0.79380118142459533</v>
      </c>
      <c r="AK89" s="346">
        <f t="shared" si="94"/>
        <v>0.81183992797545557</v>
      </c>
      <c r="AL89" s="346">
        <f t="shared" si="94"/>
        <v>0.82736927641380498</v>
      </c>
      <c r="AM89" s="346">
        <f t="shared" si="94"/>
        <v>0.84048723111460477</v>
      </c>
      <c r="AN89" s="346">
        <f t="shared" si="94"/>
        <v>0.85182374432124819</v>
      </c>
      <c r="AO89" s="346">
        <f t="shared" si="94"/>
        <v>0.86261231158325635</v>
      </c>
      <c r="AP89" s="346">
        <f t="shared" ref="AP89:BE99" si="96">+AO89+($B$86-AO89)*$B$85</f>
        <v>0.86698169600409358</v>
      </c>
      <c r="AQ89" s="346">
        <f t="shared" si="96"/>
        <v>0.87113261120388885</v>
      </c>
      <c r="AR89" s="346">
        <f t="shared" si="96"/>
        <v>0.87507598064369441</v>
      </c>
      <c r="AS89" s="346">
        <f t="shared" si="96"/>
        <v>0.87882218161150971</v>
      </c>
      <c r="AT89" s="346">
        <f t="shared" si="96"/>
        <v>0.88238107253093423</v>
      </c>
      <c r="AU89" s="346">
        <f t="shared" si="96"/>
        <v>0.88576201890438755</v>
      </c>
      <c r="AV89" s="346">
        <f t="shared" si="96"/>
        <v>0.88897391795916814</v>
      </c>
      <c r="AW89" s="346">
        <f t="shared" si="96"/>
        <v>0.89202522206120971</v>
      </c>
      <c r="AX89" s="346">
        <f t="shared" si="96"/>
        <v>0.89492396095814919</v>
      </c>
      <c r="AY89" s="346">
        <f t="shared" si="96"/>
        <v>0.89767776291024171</v>
      </c>
      <c r="AZ89" s="346">
        <f t="shared" si="96"/>
        <v>0.90029387476472966</v>
      </c>
      <c r="BA89" s="346">
        <f t="shared" si="96"/>
        <v>0.90277918102649313</v>
      </c>
      <c r="BB89" s="346">
        <f t="shared" si="96"/>
        <v>0.90514022197516852</v>
      </c>
      <c r="BC89" s="346">
        <f t="shared" si="96"/>
        <v>0.90738321087641005</v>
      </c>
      <c r="BD89" s="346">
        <f t="shared" si="96"/>
        <v>0.90951405033258959</v>
      </c>
      <c r="BE89" s="346">
        <f t="shared" si="96"/>
        <v>0.9115383478159601</v>
      </c>
      <c r="BF89" s="346">
        <f t="shared" si="95"/>
        <v>0.91346143042516215</v>
      </c>
      <c r="BG89" s="346">
        <f t="shared" si="95"/>
        <v>0.91528835890390403</v>
      </c>
      <c r="BH89" s="346">
        <f t="shared" si="95"/>
        <v>0.91702394095870887</v>
      </c>
      <c r="BI89" s="346">
        <f t="shared" si="95"/>
        <v>0.91867274391077347</v>
      </c>
      <c r="BJ89" s="346">
        <f t="shared" si="95"/>
        <v>0.92023910671523479</v>
      </c>
      <c r="BK89" s="346">
        <f t="shared" si="95"/>
        <v>0.92172715137947303</v>
      </c>
      <c r="BL89" s="346">
        <f t="shared" si="95"/>
        <v>0.9231407938104994</v>
      </c>
      <c r="BM89" s="346">
        <f t="shared" si="95"/>
        <v>0.92448375411997441</v>
      </c>
      <c r="BN89" s="346">
        <f t="shared" si="95"/>
        <v>0.92575956641397572</v>
      </c>
      <c r="BO89" s="346">
        <f t="shared" si="95"/>
        <v>0.92697158809327695</v>
      </c>
      <c r="BP89" s="346">
        <f t="shared" si="95"/>
        <v>0.92812300868861308</v>
      </c>
      <c r="BQ89" s="346">
        <f t="shared" si="95"/>
        <v>0.92921685825418243</v>
      </c>
      <c r="BR89" s="346">
        <f t="shared" si="95"/>
        <v>0.93025601534147329</v>
      </c>
      <c r="BS89" s="346">
        <f t="shared" si="95"/>
        <v>0.93124321457439962</v>
      </c>
      <c r="BT89" s="346">
        <f t="shared" si="95"/>
        <v>0.93218105384567962</v>
      </c>
      <c r="BU89" s="346">
        <f t="shared" si="95"/>
        <v>0.93307200115339561</v>
      </c>
      <c r="BV89" s="346">
        <f t="shared" si="95"/>
        <v>0.93391840109572588</v>
      </c>
      <c r="BW89" s="346">
        <f t="shared" si="95"/>
        <v>0.93472248104093958</v>
      </c>
      <c r="BX89" s="346">
        <f t="shared" si="95"/>
        <v>0.9354863569888926</v>
      </c>
      <c r="BY89" s="346">
        <f t="shared" si="95"/>
        <v>0.93621203913944795</v>
      </c>
      <c r="BZ89" s="346">
        <f t="shared" si="95"/>
        <v>0.93690143718247554</v>
      </c>
      <c r="CA89" s="346">
        <f t="shared" si="95"/>
        <v>0.93755636532335174</v>
      </c>
      <c r="CB89" s="346">
        <f t="shared" si="95"/>
        <v>0.93817854705718418</v>
      </c>
      <c r="CC89" s="346">
        <f t="shared" si="95"/>
        <v>0.93876961970432493</v>
      </c>
      <c r="CD89" s="346">
        <f t="shared" si="95"/>
        <v>0.93933113871910867</v>
      </c>
      <c r="CE89" s="346">
        <f t="shared" si="95"/>
        <v>0.93986458178315324</v>
      </c>
      <c r="CF89" s="346">
        <f t="shared" si="95"/>
        <v>0.94037135269399563</v>
      </c>
      <c r="CG89" s="346">
        <f t="shared" si="95"/>
        <v>0.94085278505929582</v>
      </c>
      <c r="CH89" s="346">
        <f t="shared" si="95"/>
        <v>0.94131014580633099</v>
      </c>
      <c r="CI89" s="346">
        <f t="shared" si="95"/>
        <v>0.94174463851601442</v>
      </c>
      <c r="CJ89" s="346">
        <f t="shared" si="95"/>
        <v>0.94215740659021374</v>
      </c>
      <c r="CK89" s="346">
        <f t="shared" si="95"/>
        <v>0.94254953626070304</v>
      </c>
      <c r="CL89" s="346">
        <f t="shared" si="95"/>
        <v>0.94292205944766794</v>
      </c>
    </row>
    <row r="90" spans="1:90" s="345" customFormat="1" x14ac:dyDescent="0.15">
      <c r="A90" s="345" t="s">
        <v>51</v>
      </c>
      <c r="C90" s="346" t="s">
        <v>907</v>
      </c>
      <c r="D90" s="346"/>
      <c r="E90" s="346"/>
      <c r="F90" s="346"/>
      <c r="G90" s="346"/>
      <c r="H90" s="346"/>
      <c r="I90" s="346"/>
      <c r="J90" s="346"/>
      <c r="K90" s="346"/>
      <c r="L90" s="346"/>
      <c r="M90" s="346"/>
      <c r="N90" s="346"/>
      <c r="O90" s="346"/>
      <c r="P90" s="346"/>
      <c r="Q90" s="346"/>
      <c r="R90" s="346"/>
      <c r="S90" s="346">
        <f>+S88</f>
        <v>0</v>
      </c>
      <c r="T90" s="346">
        <f>+T88</f>
        <v>0</v>
      </c>
      <c r="U90" s="346">
        <f>+U88</f>
        <v>0</v>
      </c>
      <c r="V90" s="346"/>
      <c r="W90" s="346">
        <f t="shared" si="94"/>
        <v>0.25706962925986121</v>
      </c>
      <c r="X90" s="346">
        <f t="shared" si="94"/>
        <v>0.293036750218303</v>
      </c>
      <c r="Y90" s="346">
        <f t="shared" si="94"/>
        <v>0.2857109229214424</v>
      </c>
      <c r="Z90" s="346">
        <f t="shared" si="94"/>
        <v>0.31264861796147314</v>
      </c>
      <c r="AA90" s="346">
        <f t="shared" si="94"/>
        <v>0.38482974272082104</v>
      </c>
      <c r="AB90" s="346">
        <f t="shared" si="94"/>
        <v>0.44166012151674405</v>
      </c>
      <c r="AC90" s="346">
        <f t="shared" si="94"/>
        <v>0.50080658804772038</v>
      </c>
      <c r="AD90" s="346">
        <f t="shared" si="94"/>
        <v>0.56910600582930859</v>
      </c>
      <c r="AE90" s="346">
        <f t="shared" si="94"/>
        <v>0.65608565895835791</v>
      </c>
      <c r="AF90" s="346">
        <f t="shared" si="94"/>
        <v>0.68441297518979261</v>
      </c>
      <c r="AG90" s="346">
        <f t="shared" si="94"/>
        <v>0.71324832482794043</v>
      </c>
      <c r="AH90" s="346">
        <f t="shared" si="94"/>
        <v>0.73816817688207281</v>
      </c>
      <c r="AI90" s="346">
        <f t="shared" si="94"/>
        <v>0.75951072421527943</v>
      </c>
      <c r="AJ90" s="346">
        <f t="shared" si="94"/>
        <v>0.77794218415009586</v>
      </c>
      <c r="AK90" s="346">
        <f t="shared" si="94"/>
        <v>0.79371466031029447</v>
      </c>
      <c r="AL90" s="346">
        <f t="shared" si="94"/>
        <v>0.80732738683879923</v>
      </c>
      <c r="AM90" s="346">
        <f t="shared" si="94"/>
        <v>0.8189589492468321</v>
      </c>
      <c r="AN90" s="346">
        <f t="shared" si="94"/>
        <v>0.828982743479171</v>
      </c>
      <c r="AO90" s="346">
        <f t="shared" si="94"/>
        <v>0.83958793348858496</v>
      </c>
      <c r="AP90" s="346">
        <f t="shared" si="96"/>
        <v>0.84510853681415576</v>
      </c>
      <c r="AQ90" s="346">
        <f t="shared" si="96"/>
        <v>0.85035310997344793</v>
      </c>
      <c r="AR90" s="346">
        <f t="shared" si="96"/>
        <v>0.85533545447477555</v>
      </c>
      <c r="AS90" s="346">
        <f t="shared" si="96"/>
        <v>0.86006868175103679</v>
      </c>
      <c r="AT90" s="346">
        <f t="shared" si="96"/>
        <v>0.86456524766348497</v>
      </c>
      <c r="AU90" s="346">
        <f t="shared" si="96"/>
        <v>0.86883698528031073</v>
      </c>
      <c r="AV90" s="346">
        <f t="shared" si="96"/>
        <v>0.8728951360162952</v>
      </c>
      <c r="AW90" s="346">
        <f t="shared" si="96"/>
        <v>0.87675037921548049</v>
      </c>
      <c r="AX90" s="346">
        <f t="shared" si="96"/>
        <v>0.88041286025470644</v>
      </c>
      <c r="AY90" s="346">
        <f t="shared" si="96"/>
        <v>0.88389221724197109</v>
      </c>
      <c r="AZ90" s="346">
        <f t="shared" si="96"/>
        <v>0.88719760637987255</v>
      </c>
      <c r="BA90" s="346">
        <f t="shared" si="96"/>
        <v>0.89033772606087891</v>
      </c>
      <c r="BB90" s="346">
        <f t="shared" si="96"/>
        <v>0.89332083975783494</v>
      </c>
      <c r="BC90" s="346">
        <f t="shared" si="96"/>
        <v>0.89615479776994322</v>
      </c>
      <c r="BD90" s="346">
        <f t="shared" si="96"/>
        <v>0.89884705788144603</v>
      </c>
      <c r="BE90" s="346">
        <f t="shared" si="96"/>
        <v>0.90140470498737368</v>
      </c>
      <c r="BF90" s="346">
        <f t="shared" si="95"/>
        <v>0.90383446973800496</v>
      </c>
      <c r="BG90" s="346">
        <f t="shared" si="95"/>
        <v>0.90614274625110469</v>
      </c>
      <c r="BH90" s="346">
        <f t="shared" si="95"/>
        <v>0.90833560893854948</v>
      </c>
      <c r="BI90" s="346">
        <f t="shared" si="95"/>
        <v>0.91041882849162203</v>
      </c>
      <c r="BJ90" s="346">
        <f t="shared" si="95"/>
        <v>0.91239788706704095</v>
      </c>
      <c r="BK90" s="346">
        <f t="shared" si="95"/>
        <v>0.91427799271368893</v>
      </c>
      <c r="BL90" s="346">
        <f t="shared" si="95"/>
        <v>0.91606409307800452</v>
      </c>
      <c r="BM90" s="346">
        <f t="shared" si="95"/>
        <v>0.9177608884241043</v>
      </c>
      <c r="BN90" s="346">
        <f t="shared" si="95"/>
        <v>0.91937284400289909</v>
      </c>
      <c r="BO90" s="346">
        <f t="shared" si="95"/>
        <v>0.92090420180275412</v>
      </c>
      <c r="BP90" s="346">
        <f t="shared" si="95"/>
        <v>0.92235899171261637</v>
      </c>
      <c r="BQ90" s="346">
        <f t="shared" si="95"/>
        <v>0.9237410421269856</v>
      </c>
      <c r="BR90" s="346">
        <f t="shared" si="95"/>
        <v>0.92505399002063626</v>
      </c>
      <c r="BS90" s="346">
        <f t="shared" si="95"/>
        <v>0.92630129051960441</v>
      </c>
      <c r="BT90" s="346">
        <f t="shared" si="95"/>
        <v>0.92748622599362418</v>
      </c>
      <c r="BU90" s="346">
        <f t="shared" si="95"/>
        <v>0.928611914693943</v>
      </c>
      <c r="BV90" s="346">
        <f t="shared" si="95"/>
        <v>0.92968131895924588</v>
      </c>
      <c r="BW90" s="346">
        <f t="shared" si="95"/>
        <v>0.93069725301128359</v>
      </c>
      <c r="BX90" s="346">
        <f t="shared" si="95"/>
        <v>0.93166239036071941</v>
      </c>
      <c r="BY90" s="346">
        <f t="shared" si="95"/>
        <v>0.93257927084268344</v>
      </c>
      <c r="BZ90" s="346">
        <f t="shared" si="95"/>
        <v>0.93345030730054923</v>
      </c>
      <c r="CA90" s="346">
        <f t="shared" si="95"/>
        <v>0.93427779193552174</v>
      </c>
      <c r="CB90" s="346">
        <f t="shared" si="95"/>
        <v>0.9350639023387457</v>
      </c>
      <c r="CC90" s="346">
        <f t="shared" si="95"/>
        <v>0.93581070722180837</v>
      </c>
      <c r="CD90" s="346">
        <f t="shared" si="95"/>
        <v>0.9365201718607179</v>
      </c>
      <c r="CE90" s="346">
        <f t="shared" si="95"/>
        <v>0.93719416326768201</v>
      </c>
      <c r="CF90" s="346">
        <f t="shared" si="95"/>
        <v>0.93783445510429786</v>
      </c>
      <c r="CG90" s="346">
        <f t="shared" si="95"/>
        <v>0.93844273234908293</v>
      </c>
      <c r="CH90" s="346">
        <f t="shared" si="95"/>
        <v>0.93902059573162877</v>
      </c>
      <c r="CI90" s="346">
        <f t="shared" si="95"/>
        <v>0.93956956594504737</v>
      </c>
      <c r="CJ90" s="346">
        <f t="shared" si="95"/>
        <v>0.94009108764779503</v>
      </c>
      <c r="CK90" s="346">
        <f t="shared" si="95"/>
        <v>0.94058653326540531</v>
      </c>
      <c r="CL90" s="346">
        <f t="shared" si="95"/>
        <v>0.94105720660213499</v>
      </c>
    </row>
    <row r="91" spans="1:90" s="345" customFormat="1" x14ac:dyDescent="0.15">
      <c r="A91" s="345" t="s">
        <v>52</v>
      </c>
      <c r="C91" s="346" t="s">
        <v>907</v>
      </c>
      <c r="D91" s="346"/>
      <c r="E91" s="346"/>
      <c r="F91" s="346"/>
      <c r="G91" s="346"/>
      <c r="H91" s="346"/>
      <c r="I91" s="346"/>
      <c r="J91" s="346"/>
      <c r="K91" s="346"/>
      <c r="L91" s="346"/>
      <c r="M91" s="346"/>
      <c r="N91" s="346"/>
      <c r="O91" s="346"/>
      <c r="P91" s="346"/>
      <c r="Q91" s="346"/>
      <c r="R91" s="346"/>
      <c r="S91" s="346">
        <f>+(IF(R73&gt;0,$B$85,0)*($B$86-R91))+R91</f>
        <v>0</v>
      </c>
      <c r="T91" s="346">
        <f>+(IF(S73&gt;0,$B$85,0)*($B$86-S91))+S91</f>
        <v>4.7500000000000001E-2</v>
      </c>
      <c r="U91" s="346">
        <f>+(IF(T73&gt;0,$B$85,0)*($B$86-T91))+T91</f>
        <v>9.2624999999999999E-2</v>
      </c>
      <c r="V91" s="346"/>
      <c r="W91" s="346">
        <f t="shared" si="94"/>
        <v>-0.43585279349066419</v>
      </c>
      <c r="X91" s="346">
        <f t="shared" si="94"/>
        <v>-0.5355409208848132</v>
      </c>
      <c r="Y91" s="346">
        <f t="shared" si="94"/>
        <v>-0.50015496049208719</v>
      </c>
      <c r="Z91" s="346">
        <f t="shared" si="94"/>
        <v>-0.41401299713884598</v>
      </c>
      <c r="AA91" s="346">
        <f t="shared" si="94"/>
        <v>-0.2376532142322354</v>
      </c>
      <c r="AB91" s="346">
        <f t="shared" si="94"/>
        <v>-9.8579132312591078E-2</v>
      </c>
      <c r="AC91" s="346">
        <f t="shared" si="94"/>
        <v>5.4062894396163075E-2</v>
      </c>
      <c r="AD91" s="346">
        <f t="shared" si="94"/>
        <v>0.21363427440743121</v>
      </c>
      <c r="AE91" s="346">
        <f t="shared" si="94"/>
        <v>0.38493262331559708</v>
      </c>
      <c r="AF91" s="346">
        <f t="shared" si="94"/>
        <v>0.44689215681427807</v>
      </c>
      <c r="AG91" s="346">
        <f t="shared" si="94"/>
        <v>0.50220143868835443</v>
      </c>
      <c r="AH91" s="346">
        <f t="shared" si="94"/>
        <v>0.54977759993469344</v>
      </c>
      <c r="AI91" s="346">
        <f t="shared" si="94"/>
        <v>0.58982726161922272</v>
      </c>
      <c r="AJ91" s="346">
        <f t="shared" si="94"/>
        <v>0.62433256463701137</v>
      </c>
      <c r="AK91" s="346">
        <f t="shared" si="94"/>
        <v>0.65341495184494502</v>
      </c>
      <c r="AL91" s="346">
        <f t="shared" si="94"/>
        <v>0.67851151764879525</v>
      </c>
      <c r="AM91" s="346">
        <f t="shared" si="94"/>
        <v>0.69966830733146979</v>
      </c>
      <c r="AN91" s="346">
        <f t="shared" si="94"/>
        <v>0.71793921601622568</v>
      </c>
      <c r="AO91" s="346">
        <f t="shared" si="94"/>
        <v>0.7375087476788037</v>
      </c>
      <c r="AP91" s="346">
        <f t="shared" si="96"/>
        <v>0.74813331029486352</v>
      </c>
      <c r="AQ91" s="346">
        <f t="shared" si="96"/>
        <v>0.75822664478012036</v>
      </c>
      <c r="AR91" s="346">
        <f t="shared" si="96"/>
        <v>0.76781531254111435</v>
      </c>
      <c r="AS91" s="346">
        <f t="shared" si="96"/>
        <v>0.77692454691405866</v>
      </c>
      <c r="AT91" s="346">
        <f t="shared" si="96"/>
        <v>0.78557831956835567</v>
      </c>
      <c r="AU91" s="346">
        <f t="shared" si="96"/>
        <v>0.79379940358993784</v>
      </c>
      <c r="AV91" s="346">
        <f t="shared" si="96"/>
        <v>0.80160943341044089</v>
      </c>
      <c r="AW91" s="346">
        <f t="shared" si="96"/>
        <v>0.80902896173991889</v>
      </c>
      <c r="AX91" s="346">
        <f t="shared" si="96"/>
        <v>0.81607751365292291</v>
      </c>
      <c r="AY91" s="346">
        <f t="shared" si="96"/>
        <v>0.82277363797027681</v>
      </c>
      <c r="AZ91" s="346">
        <f t="shared" si="96"/>
        <v>0.82913495607176291</v>
      </c>
      <c r="BA91" s="346">
        <f t="shared" si="96"/>
        <v>0.83517820826817479</v>
      </c>
      <c r="BB91" s="346">
        <f t="shared" si="96"/>
        <v>0.84091929785476605</v>
      </c>
      <c r="BC91" s="346">
        <f t="shared" si="96"/>
        <v>0.84637333296202777</v>
      </c>
      <c r="BD91" s="346">
        <f t="shared" si="96"/>
        <v>0.8515546663139264</v>
      </c>
      <c r="BE91" s="346">
        <f t="shared" si="96"/>
        <v>0.85647693299823002</v>
      </c>
      <c r="BF91" s="346">
        <f t="shared" si="95"/>
        <v>0.86115308634831855</v>
      </c>
      <c r="BG91" s="346">
        <f t="shared" si="95"/>
        <v>0.86559543203090261</v>
      </c>
      <c r="BH91" s="346">
        <f t="shared" si="95"/>
        <v>0.86981566042935743</v>
      </c>
      <c r="BI91" s="346">
        <f t="shared" si="95"/>
        <v>0.87382487740788961</v>
      </c>
      <c r="BJ91" s="346">
        <f t="shared" si="95"/>
        <v>0.87763363353749513</v>
      </c>
      <c r="BK91" s="346">
        <f t="shared" si="95"/>
        <v>0.88125195186062033</v>
      </c>
      <c r="BL91" s="346">
        <f t="shared" si="95"/>
        <v>0.88468935426758932</v>
      </c>
      <c r="BM91" s="346">
        <f t="shared" si="95"/>
        <v>0.88795488655420984</v>
      </c>
      <c r="BN91" s="346">
        <f t="shared" si="95"/>
        <v>0.89105714222649934</v>
      </c>
      <c r="BO91" s="346">
        <f t="shared" si="95"/>
        <v>0.89400428511517438</v>
      </c>
      <c r="BP91" s="346">
        <f t="shared" si="95"/>
        <v>0.8968040708594156</v>
      </c>
      <c r="BQ91" s="346">
        <f t="shared" si="95"/>
        <v>0.89946386731644479</v>
      </c>
      <c r="BR91" s="346">
        <f t="shared" si="95"/>
        <v>0.90199067395062249</v>
      </c>
      <c r="BS91" s="346">
        <f t="shared" si="95"/>
        <v>0.90439114025309131</v>
      </c>
      <c r="BT91" s="346">
        <f t="shared" si="95"/>
        <v>0.90667158324043673</v>
      </c>
      <c r="BU91" s="346">
        <f t="shared" si="95"/>
        <v>0.90883800407841486</v>
      </c>
      <c r="BV91" s="346">
        <f t="shared" si="95"/>
        <v>0.91089610387449416</v>
      </c>
      <c r="BW91" s="346">
        <f t="shared" si="95"/>
        <v>0.91285129868076942</v>
      </c>
      <c r="BX91" s="346">
        <f t="shared" si="95"/>
        <v>0.9147087337467309</v>
      </c>
      <c r="BY91" s="346">
        <f t="shared" si="95"/>
        <v>0.9164732970593944</v>
      </c>
      <c r="BZ91" s="346">
        <f t="shared" si="95"/>
        <v>0.91814963220642465</v>
      </c>
      <c r="CA91" s="346">
        <f t="shared" si="95"/>
        <v>0.91974215059610342</v>
      </c>
      <c r="CB91" s="346">
        <f t="shared" si="95"/>
        <v>0.92125504306629824</v>
      </c>
      <c r="CC91" s="346">
        <f t="shared" si="95"/>
        <v>0.92269229091298333</v>
      </c>
      <c r="CD91" s="346">
        <f t="shared" si="95"/>
        <v>0.92405767636733416</v>
      </c>
      <c r="CE91" s="346">
        <f t="shared" si="95"/>
        <v>0.92535479254896746</v>
      </c>
      <c r="CF91" s="346">
        <f t="shared" si="95"/>
        <v>0.92658705292151911</v>
      </c>
      <c r="CG91" s="346">
        <f t="shared" si="95"/>
        <v>0.92775770027544313</v>
      </c>
      <c r="CH91" s="346">
        <f t="shared" si="95"/>
        <v>0.92886981526167101</v>
      </c>
      <c r="CI91" s="346">
        <f t="shared" si="95"/>
        <v>0.92992632449858748</v>
      </c>
      <c r="CJ91" s="346">
        <f t="shared" si="95"/>
        <v>0.93093000827365813</v>
      </c>
      <c r="CK91" s="346">
        <f t="shared" si="95"/>
        <v>0.9318835078599752</v>
      </c>
      <c r="CL91" s="346">
        <f t="shared" si="95"/>
        <v>0.93278933246697648</v>
      </c>
    </row>
    <row r="92" spans="1:90" s="345" customFormat="1" x14ac:dyDescent="0.15">
      <c r="A92" s="345" t="s">
        <v>53</v>
      </c>
      <c r="C92" s="346"/>
      <c r="D92" s="346"/>
      <c r="E92" s="346"/>
      <c r="F92" s="346"/>
      <c r="G92" s="346"/>
      <c r="H92" s="346"/>
      <c r="I92" s="346"/>
      <c r="J92" s="346"/>
      <c r="K92" s="346"/>
      <c r="L92" s="346"/>
      <c r="M92" s="346"/>
      <c r="N92" s="346"/>
      <c r="O92" s="346"/>
      <c r="P92" s="346"/>
      <c r="Q92" s="346"/>
      <c r="R92" s="346"/>
      <c r="S92" s="346">
        <f t="shared" ref="S92:U97" si="97">+MIN(IF(R74&gt;0,$B$85+R92,0),$B$86)</f>
        <v>0</v>
      </c>
      <c r="T92" s="346">
        <f t="shared" si="97"/>
        <v>0</v>
      </c>
      <c r="U92" s="346">
        <f t="shared" si="97"/>
        <v>0</v>
      </c>
      <c r="V92" s="346"/>
      <c r="W92" s="346">
        <f t="shared" si="94"/>
        <v>-0.75211228274736741</v>
      </c>
      <c r="X92" s="346">
        <f t="shared" si="94"/>
        <v>-1.1106022150667911</v>
      </c>
      <c r="Y92" s="346">
        <f t="shared" si="94"/>
        <v>-0.98612997005982317</v>
      </c>
      <c r="Z92" s="346">
        <f t="shared" si="94"/>
        <v>-0.80323152425774902</v>
      </c>
      <c r="AA92" s="346">
        <f t="shared" si="94"/>
        <v>-0.52680282237931775</v>
      </c>
      <c r="AB92" s="346">
        <f t="shared" si="94"/>
        <v>-0.31099554410064045</v>
      </c>
      <c r="AC92" s="346">
        <f t="shared" si="94"/>
        <v>-9.9530081487713806E-2</v>
      </c>
      <c r="AD92" s="346">
        <f t="shared" si="94"/>
        <v>0.10968351722349501</v>
      </c>
      <c r="AE92" s="346">
        <f t="shared" si="94"/>
        <v>0.31665002142418164</v>
      </c>
      <c r="AF92" s="346">
        <f t="shared" si="94"/>
        <v>0.39698104395791611</v>
      </c>
      <c r="AG92" s="346">
        <f t="shared" si="94"/>
        <v>0.46576913711593226</v>
      </c>
      <c r="AH92" s="346">
        <f t="shared" si="94"/>
        <v>0.52438381530626621</v>
      </c>
      <c r="AI92" s="346">
        <f t="shared" si="94"/>
        <v>0.57314505981619424</v>
      </c>
      <c r="AJ92" s="346">
        <f t="shared" si="94"/>
        <v>0.61487557415203009</v>
      </c>
      <c r="AK92" s="346">
        <f t="shared" si="94"/>
        <v>0.64973949785975083</v>
      </c>
      <c r="AL92" s="346">
        <f t="shared" si="94"/>
        <v>0.67971943180230587</v>
      </c>
      <c r="AM92" s="346">
        <f t="shared" si="94"/>
        <v>0.70486293321270721</v>
      </c>
      <c r="AN92" s="346">
        <f t="shared" si="94"/>
        <v>0.72658475711526926</v>
      </c>
      <c r="AO92" s="346">
        <f t="shared" si="94"/>
        <v>0.74732560589807251</v>
      </c>
      <c r="AP92" s="346">
        <f t="shared" si="96"/>
        <v>0.75745932560316886</v>
      </c>
      <c r="AQ92" s="346">
        <f t="shared" si="96"/>
        <v>0.76708635932301039</v>
      </c>
      <c r="AR92" s="346">
        <f t="shared" si="96"/>
        <v>0.77623204135685986</v>
      </c>
      <c r="AS92" s="346">
        <f t="shared" si="96"/>
        <v>0.78492043928901689</v>
      </c>
      <c r="AT92" s="346">
        <f t="shared" si="96"/>
        <v>0.79317441732456606</v>
      </c>
      <c r="AU92" s="346">
        <f t="shared" si="96"/>
        <v>0.8010156964583377</v>
      </c>
      <c r="AV92" s="346">
        <f t="shared" si="96"/>
        <v>0.80846491163542078</v>
      </c>
      <c r="AW92" s="346">
        <f t="shared" si="96"/>
        <v>0.81554166605364975</v>
      </c>
      <c r="AX92" s="346">
        <f t="shared" si="96"/>
        <v>0.82226458275096725</v>
      </c>
      <c r="AY92" s="346">
        <f t="shared" si="96"/>
        <v>0.82865135361341891</v>
      </c>
      <c r="AZ92" s="346">
        <f t="shared" si="96"/>
        <v>0.83471878593274795</v>
      </c>
      <c r="BA92" s="346">
        <f t="shared" si="96"/>
        <v>0.8404828466361105</v>
      </c>
      <c r="BB92" s="346">
        <f t="shared" si="96"/>
        <v>0.84595870430430498</v>
      </c>
      <c r="BC92" s="346">
        <f t="shared" si="96"/>
        <v>0.85116076908908977</v>
      </c>
      <c r="BD92" s="346">
        <f t="shared" si="96"/>
        <v>0.85610273063463527</v>
      </c>
      <c r="BE92" s="346">
        <f t="shared" si="96"/>
        <v>0.86079759410290346</v>
      </c>
      <c r="BF92" s="346">
        <f t="shared" si="95"/>
        <v>0.86525771439775834</v>
      </c>
      <c r="BG92" s="346">
        <f t="shared" si="95"/>
        <v>0.86949482867787042</v>
      </c>
      <c r="BH92" s="346">
        <f t="shared" si="95"/>
        <v>0.87352008724397689</v>
      </c>
      <c r="BI92" s="346">
        <f t="shared" si="95"/>
        <v>0.87734408288177801</v>
      </c>
      <c r="BJ92" s="346">
        <f t="shared" si="95"/>
        <v>0.88097687873768915</v>
      </c>
      <c r="BK92" s="346">
        <f t="shared" si="95"/>
        <v>0.88442803480080467</v>
      </c>
      <c r="BL92" s="346">
        <f t="shared" si="95"/>
        <v>0.88770663306076447</v>
      </c>
      <c r="BM92" s="346">
        <f t="shared" si="95"/>
        <v>0.8908213014077262</v>
      </c>
      <c r="BN92" s="346">
        <f t="shared" si="95"/>
        <v>0.89378023633733994</v>
      </c>
      <c r="BO92" s="346">
        <f t="shared" si="95"/>
        <v>0.89659122452047291</v>
      </c>
      <c r="BP92" s="346">
        <f t="shared" si="95"/>
        <v>0.89926166329444923</v>
      </c>
      <c r="BQ92" s="346">
        <f t="shared" si="95"/>
        <v>0.9017985801297268</v>
      </c>
      <c r="BR92" s="346">
        <f t="shared" si="95"/>
        <v>0.90420865112324045</v>
      </c>
      <c r="BS92" s="346">
        <f t="shared" si="95"/>
        <v>0.90649821856707846</v>
      </c>
      <c r="BT92" s="346">
        <f t="shared" si="95"/>
        <v>0.90867330763872456</v>
      </c>
      <c r="BU92" s="346">
        <f t="shared" si="95"/>
        <v>0.91073964225678838</v>
      </c>
      <c r="BV92" s="346">
        <f t="shared" si="95"/>
        <v>0.91270266014394896</v>
      </c>
      <c r="BW92" s="346">
        <f t="shared" si="95"/>
        <v>0.91456752713675149</v>
      </c>
      <c r="BX92" s="346">
        <f t="shared" si="95"/>
        <v>0.9163391507799139</v>
      </c>
      <c r="BY92" s="346">
        <f t="shared" si="95"/>
        <v>0.91802219324091816</v>
      </c>
      <c r="BZ92" s="346">
        <f t="shared" si="95"/>
        <v>0.91962108357887229</v>
      </c>
      <c r="CA92" s="346">
        <f t="shared" si="95"/>
        <v>0.92114002939992867</v>
      </c>
      <c r="CB92" s="346">
        <f t="shared" si="95"/>
        <v>0.92258302792993219</v>
      </c>
      <c r="CC92" s="346">
        <f t="shared" si="95"/>
        <v>0.92395387653343553</v>
      </c>
      <c r="CD92" s="346">
        <f t="shared" si="95"/>
        <v>0.9252561827067638</v>
      </c>
      <c r="CE92" s="346">
        <f t="shared" si="95"/>
        <v>0.92649337357142558</v>
      </c>
      <c r="CF92" s="346">
        <f t="shared" si="95"/>
        <v>0.92766870489285425</v>
      </c>
      <c r="CG92" s="346">
        <f t="shared" si="95"/>
        <v>0.92878526964821151</v>
      </c>
      <c r="CH92" s="346">
        <f t="shared" si="95"/>
        <v>0.92984600616580093</v>
      </c>
      <c r="CI92" s="346">
        <f t="shared" si="95"/>
        <v>0.93085370585751093</v>
      </c>
      <c r="CJ92" s="346">
        <f t="shared" si="95"/>
        <v>0.93181102056463538</v>
      </c>
      <c r="CK92" s="346">
        <f t="shared" si="95"/>
        <v>0.93272046953640364</v>
      </c>
      <c r="CL92" s="346">
        <f t="shared" si="95"/>
        <v>0.93358444605958346</v>
      </c>
    </row>
    <row r="93" spans="1:90" s="345" customFormat="1" x14ac:dyDescent="0.15">
      <c r="A93" s="345" t="s">
        <v>54</v>
      </c>
      <c r="C93" s="346"/>
      <c r="D93" s="346"/>
      <c r="E93" s="346"/>
      <c r="F93" s="346"/>
      <c r="G93" s="346"/>
      <c r="H93" s="346"/>
      <c r="I93" s="346"/>
      <c r="J93" s="346"/>
      <c r="K93" s="346"/>
      <c r="L93" s="346"/>
      <c r="M93" s="346"/>
      <c r="N93" s="346"/>
      <c r="O93" s="346"/>
      <c r="P93" s="346"/>
      <c r="Q93" s="346"/>
      <c r="R93" s="346"/>
      <c r="S93" s="346">
        <f t="shared" si="97"/>
        <v>0</v>
      </c>
      <c r="T93" s="346">
        <f t="shared" si="97"/>
        <v>0</v>
      </c>
      <c r="U93" s="346">
        <f t="shared" si="97"/>
        <v>0</v>
      </c>
      <c r="V93" s="346"/>
      <c r="W93" s="346">
        <f t="shared" si="94"/>
        <v>0</v>
      </c>
      <c r="X93" s="346">
        <f t="shared" si="94"/>
        <v>0</v>
      </c>
      <c r="Y93" s="346">
        <f t="shared" si="94"/>
        <v>0</v>
      </c>
      <c r="Z93" s="346">
        <f t="shared" si="94"/>
        <v>0</v>
      </c>
      <c r="AA93" s="346">
        <f t="shared" si="94"/>
        <v>0.14763497490494526</v>
      </c>
      <c r="AB93" s="346">
        <f t="shared" si="94"/>
        <v>0.26321963971024309</v>
      </c>
      <c r="AC93" s="346">
        <f t="shared" si="94"/>
        <v>0.37487998946972845</v>
      </c>
      <c r="AD93" s="346">
        <f t="shared" si="94"/>
        <v>0.48794081582522331</v>
      </c>
      <c r="AE93" s="346">
        <f t="shared" si="94"/>
        <v>0.60160998852276748</v>
      </c>
      <c r="AF93" s="346">
        <f t="shared" si="94"/>
        <v>0.64364264212116107</v>
      </c>
      <c r="AG93" s="346">
        <f t="shared" si="94"/>
        <v>0.68079460287289906</v>
      </c>
      <c r="AH93" s="346">
        <f t="shared" si="94"/>
        <v>0.71266775723672282</v>
      </c>
      <c r="AI93" s="346">
        <f t="shared" si="94"/>
        <v>0.73950608546701657</v>
      </c>
      <c r="AJ93" s="346">
        <f t="shared" si="94"/>
        <v>0.76258515772200441</v>
      </c>
      <c r="AK93" s="346">
        <f t="shared" si="94"/>
        <v>0.78205336812768556</v>
      </c>
      <c r="AL93" s="346">
        <f t="shared" si="94"/>
        <v>0.79883992907700407</v>
      </c>
      <c r="AM93" s="346">
        <f t="shared" si="94"/>
        <v>0.81297589981004359</v>
      </c>
      <c r="AN93" s="346">
        <f t="shared" si="94"/>
        <v>0.82519285999290015</v>
      </c>
      <c r="AO93" s="346">
        <f t="shared" si="94"/>
        <v>0.83714819407746421</v>
      </c>
      <c r="AP93" s="346">
        <f t="shared" si="96"/>
        <v>0.84279078437359101</v>
      </c>
      <c r="AQ93" s="346">
        <f t="shared" si="96"/>
        <v>0.84815124515491147</v>
      </c>
      <c r="AR93" s="346">
        <f t="shared" si="96"/>
        <v>0.8532436828971659</v>
      </c>
      <c r="AS93" s="346">
        <f t="shared" si="96"/>
        <v>0.85808149875230755</v>
      </c>
      <c r="AT93" s="346">
        <f t="shared" si="96"/>
        <v>0.86267742381469215</v>
      </c>
      <c r="AU93" s="346">
        <f t="shared" si="96"/>
        <v>0.86704355262395749</v>
      </c>
      <c r="AV93" s="346">
        <f t="shared" si="96"/>
        <v>0.87119137499275956</v>
      </c>
      <c r="AW93" s="346">
        <f t="shared" si="96"/>
        <v>0.87513180624312159</v>
      </c>
      <c r="AX93" s="346">
        <f t="shared" si="96"/>
        <v>0.87887521593096551</v>
      </c>
      <c r="AY93" s="346">
        <f t="shared" si="96"/>
        <v>0.88243145513441723</v>
      </c>
      <c r="AZ93" s="346">
        <f t="shared" si="96"/>
        <v>0.88580988237769631</v>
      </c>
      <c r="BA93" s="346">
        <f t="shared" si="96"/>
        <v>0.88901938825881155</v>
      </c>
      <c r="BB93" s="346">
        <f t="shared" si="96"/>
        <v>0.89206841884587096</v>
      </c>
      <c r="BC93" s="346">
        <f t="shared" si="96"/>
        <v>0.89496499790357742</v>
      </c>
      <c r="BD93" s="346">
        <f t="shared" si="96"/>
        <v>0.89771674800839851</v>
      </c>
      <c r="BE93" s="346">
        <f t="shared" si="96"/>
        <v>0.90033091060797854</v>
      </c>
      <c r="BF93" s="346">
        <f t="shared" si="95"/>
        <v>0.90281436507757962</v>
      </c>
      <c r="BG93" s="346">
        <f t="shared" si="95"/>
        <v>0.90517364682370061</v>
      </c>
      <c r="BH93" s="346">
        <f t="shared" si="95"/>
        <v>0.90741496448251557</v>
      </c>
      <c r="BI93" s="346">
        <f t="shared" si="95"/>
        <v>0.90954421625838977</v>
      </c>
      <c r="BJ93" s="346">
        <f t="shared" si="95"/>
        <v>0.91156700544547031</v>
      </c>
      <c r="BK93" s="346">
        <f t="shared" si="95"/>
        <v>0.91348865517319677</v>
      </c>
      <c r="BL93" s="346">
        <f t="shared" si="95"/>
        <v>0.91531422241453697</v>
      </c>
      <c r="BM93" s="346">
        <f t="shared" si="95"/>
        <v>0.91704851129381015</v>
      </c>
      <c r="BN93" s="346">
        <f t="shared" si="95"/>
        <v>0.91869608572911965</v>
      </c>
      <c r="BO93" s="346">
        <f t="shared" si="95"/>
        <v>0.92026128144266361</v>
      </c>
      <c r="BP93" s="346">
        <f t="shared" si="95"/>
        <v>0.92174821737053048</v>
      </c>
      <c r="BQ93" s="346">
        <f t="shared" si="95"/>
        <v>0.92316080650200394</v>
      </c>
      <c r="BR93" s="346">
        <f t="shared" si="95"/>
        <v>0.92450276617690375</v>
      </c>
      <c r="BS93" s="346">
        <f t="shared" si="95"/>
        <v>0.92577762786805851</v>
      </c>
      <c r="BT93" s="346">
        <f t="shared" si="95"/>
        <v>0.92698874647465557</v>
      </c>
      <c r="BU93" s="346">
        <f t="shared" si="95"/>
        <v>0.9281393091509228</v>
      </c>
      <c r="BV93" s="346">
        <f t="shared" si="95"/>
        <v>0.92923234369337671</v>
      </c>
      <c r="BW93" s="346">
        <f t="shared" si="95"/>
        <v>0.9302707265087079</v>
      </c>
      <c r="BX93" s="346">
        <f t="shared" si="95"/>
        <v>0.93125719018327247</v>
      </c>
      <c r="BY93" s="346">
        <f t="shared" si="95"/>
        <v>0.93219433067410884</v>
      </c>
      <c r="BZ93" s="346">
        <f t="shared" si="95"/>
        <v>0.93308461414040345</v>
      </c>
      <c r="CA93" s="346">
        <f t="shared" si="95"/>
        <v>0.9339303834333833</v>
      </c>
      <c r="CB93" s="346">
        <f t="shared" si="95"/>
        <v>0.93473386426171412</v>
      </c>
      <c r="CC93" s="346">
        <f t="shared" si="95"/>
        <v>0.9354971710486284</v>
      </c>
      <c r="CD93" s="346">
        <f t="shared" si="95"/>
        <v>0.93622231249619703</v>
      </c>
      <c r="CE93" s="346">
        <f t="shared" si="95"/>
        <v>0.93691119687138713</v>
      </c>
      <c r="CF93" s="346">
        <f t="shared" si="95"/>
        <v>0.93756563702781781</v>
      </c>
      <c r="CG93" s="346">
        <f t="shared" si="95"/>
        <v>0.93818735517642693</v>
      </c>
      <c r="CH93" s="346">
        <f t="shared" si="95"/>
        <v>0.93877798741760554</v>
      </c>
      <c r="CI93" s="346">
        <f t="shared" si="95"/>
        <v>0.93933908804672528</v>
      </c>
      <c r="CJ93" s="346">
        <f t="shared" si="95"/>
        <v>0.93987213364438904</v>
      </c>
      <c r="CK93" s="346">
        <f t="shared" si="95"/>
        <v>0.94037852696216961</v>
      </c>
      <c r="CL93" s="346">
        <f t="shared" si="95"/>
        <v>0.94085960061406115</v>
      </c>
    </row>
    <row r="94" spans="1:90" s="345" customFormat="1" x14ac:dyDescent="0.15">
      <c r="A94" s="345" t="s">
        <v>55</v>
      </c>
      <c r="C94" s="346" t="s">
        <v>907</v>
      </c>
      <c r="D94" s="346"/>
      <c r="E94" s="346"/>
      <c r="F94" s="346"/>
      <c r="G94" s="346"/>
      <c r="H94" s="346"/>
      <c r="I94" s="346"/>
      <c r="J94" s="346"/>
      <c r="K94" s="346"/>
      <c r="L94" s="346"/>
      <c r="M94" s="346"/>
      <c r="N94" s="346"/>
      <c r="O94" s="346"/>
      <c r="P94" s="346"/>
      <c r="Q94" s="346"/>
      <c r="R94" s="346"/>
      <c r="S94" s="346">
        <f t="shared" si="97"/>
        <v>0</v>
      </c>
      <c r="T94" s="346">
        <f t="shared" si="97"/>
        <v>0</v>
      </c>
      <c r="U94" s="346">
        <f t="shared" si="97"/>
        <v>0</v>
      </c>
      <c r="V94" s="346"/>
      <c r="W94" s="346">
        <f t="shared" si="94"/>
        <v>0</v>
      </c>
      <c r="X94" s="346">
        <f t="shared" si="94"/>
        <v>0</v>
      </c>
      <c r="Y94" s="346">
        <f t="shared" si="94"/>
        <v>0</v>
      </c>
      <c r="Z94" s="346">
        <f t="shared" si="94"/>
        <v>0</v>
      </c>
      <c r="AA94" s="346">
        <f t="shared" si="94"/>
        <v>0</v>
      </c>
      <c r="AB94" s="346">
        <f t="shared" si="94"/>
        <v>0</v>
      </c>
      <c r="AC94" s="346">
        <f t="shared" si="94"/>
        <v>0.2063487082193074</v>
      </c>
      <c r="AD94" s="346">
        <f t="shared" si="94"/>
        <v>0.39187780666145966</v>
      </c>
      <c r="AE94" s="346">
        <f t="shared" si="94"/>
        <v>0.55198438132458139</v>
      </c>
      <c r="AF94" s="346">
        <f t="shared" si="94"/>
        <v>0.62052386910563206</v>
      </c>
      <c r="AG94" s="346">
        <f t="shared" si="94"/>
        <v>0.67430160159530572</v>
      </c>
      <c r="AH94" s="346">
        <f t="shared" si="94"/>
        <v>0.719084033847185</v>
      </c>
      <c r="AI94" s="346">
        <f t="shared" si="94"/>
        <v>0.75524597378437808</v>
      </c>
      <c r="AJ94" s="346">
        <f t="shared" si="94"/>
        <v>0.78562194300345622</v>
      </c>
      <c r="AK94" s="346">
        <f t="shared" si="94"/>
        <v>0.81036911511660303</v>
      </c>
      <c r="AL94" s="346">
        <f t="shared" si="94"/>
        <v>0.83134969337967335</v>
      </c>
      <c r="AM94" s="346">
        <f t="shared" si="94"/>
        <v>0.8485911744546506</v>
      </c>
      <c r="AN94" s="346">
        <f t="shared" si="94"/>
        <v>0.86334640984496391</v>
      </c>
      <c r="AO94" s="346">
        <f t="shared" si="94"/>
        <v>0.87571083242756209</v>
      </c>
      <c r="AP94" s="346">
        <f t="shared" si="96"/>
        <v>0.87942529080618403</v>
      </c>
      <c r="AQ94" s="346">
        <f t="shared" si="96"/>
        <v>0.88295402626587483</v>
      </c>
      <c r="AR94" s="346">
        <f t="shared" si="96"/>
        <v>0.8863063249525811</v>
      </c>
      <c r="AS94" s="346">
        <f t="shared" si="96"/>
        <v>0.88949100870495201</v>
      </c>
      <c r="AT94" s="346">
        <f t="shared" si="96"/>
        <v>0.89251645826970438</v>
      </c>
      <c r="AU94" s="346">
        <f t="shared" si="96"/>
        <v>0.89539063535621921</v>
      </c>
      <c r="AV94" s="346">
        <f t="shared" si="96"/>
        <v>0.89812110358840824</v>
      </c>
      <c r="AW94" s="346">
        <f t="shared" si="96"/>
        <v>0.90071504840898786</v>
      </c>
      <c r="AX94" s="346">
        <f t="shared" si="96"/>
        <v>0.90317929598853852</v>
      </c>
      <c r="AY94" s="346">
        <f t="shared" si="96"/>
        <v>0.90552033118911157</v>
      </c>
      <c r="AZ94" s="346">
        <f t="shared" si="96"/>
        <v>0.90774431462965599</v>
      </c>
      <c r="BA94" s="346">
        <f t="shared" si="96"/>
        <v>0.90985709889817323</v>
      </c>
      <c r="BB94" s="346">
        <f t="shared" si="96"/>
        <v>0.9118642439532646</v>
      </c>
      <c r="BC94" s="346">
        <f t="shared" si="96"/>
        <v>0.91377103175560137</v>
      </c>
      <c r="BD94" s="346">
        <f t="shared" si="96"/>
        <v>0.91558248016782129</v>
      </c>
      <c r="BE94" s="346">
        <f t="shared" si="96"/>
        <v>0.91730335615943026</v>
      </c>
      <c r="BF94" s="346">
        <f t="shared" si="95"/>
        <v>0.9189381883514588</v>
      </c>
      <c r="BG94" s="346">
        <f t="shared" si="95"/>
        <v>0.92049127893388583</v>
      </c>
      <c r="BH94" s="346">
        <f t="shared" si="95"/>
        <v>0.92196671498719152</v>
      </c>
      <c r="BI94" s="346">
        <f t="shared" si="95"/>
        <v>0.92336837923783199</v>
      </c>
      <c r="BJ94" s="346">
        <f t="shared" si="95"/>
        <v>0.92469996027594037</v>
      </c>
      <c r="BK94" s="346">
        <f t="shared" si="95"/>
        <v>0.92596496226214331</v>
      </c>
      <c r="BL94" s="346">
        <f t="shared" si="95"/>
        <v>0.92716671414903618</v>
      </c>
      <c r="BM94" s="346">
        <f t="shared" si="95"/>
        <v>0.92830837844158431</v>
      </c>
      <c r="BN94" s="346">
        <f t="shared" si="95"/>
        <v>0.92939295951950507</v>
      </c>
      <c r="BO94" s="346">
        <f t="shared" si="95"/>
        <v>0.93042331154352986</v>
      </c>
      <c r="BP94" s="346">
        <f t="shared" si="95"/>
        <v>0.9314021459663534</v>
      </c>
      <c r="BQ94" s="346">
        <f t="shared" si="95"/>
        <v>0.93233203866803571</v>
      </c>
      <c r="BR94" s="346">
        <f t="shared" si="95"/>
        <v>0.93321543673463392</v>
      </c>
      <c r="BS94" s="346">
        <f t="shared" si="95"/>
        <v>0.93405466489790223</v>
      </c>
      <c r="BT94" s="346">
        <f t="shared" si="95"/>
        <v>0.93485193165300706</v>
      </c>
      <c r="BU94" s="346">
        <f t="shared" si="95"/>
        <v>0.93560933507035671</v>
      </c>
      <c r="BV94" s="346">
        <f t="shared" si="95"/>
        <v>0.93632886831683892</v>
      </c>
      <c r="BW94" s="346">
        <f t="shared" si="95"/>
        <v>0.93701242490099701</v>
      </c>
      <c r="BX94" s="346">
        <f t="shared" si="95"/>
        <v>0.9376618036559472</v>
      </c>
      <c r="BY94" s="346">
        <f t="shared" si="95"/>
        <v>0.93827871347314984</v>
      </c>
      <c r="BZ94" s="346">
        <f t="shared" si="95"/>
        <v>0.93886477779949229</v>
      </c>
      <c r="CA94" s="346">
        <f t="shared" si="95"/>
        <v>0.93942153890951763</v>
      </c>
      <c r="CB94" s="346">
        <f t="shared" si="95"/>
        <v>0.93995046196404175</v>
      </c>
      <c r="CC94" s="346">
        <f t="shared" si="95"/>
        <v>0.94045293886583969</v>
      </c>
      <c r="CD94" s="346">
        <f t="shared" si="95"/>
        <v>0.94093029192254773</v>
      </c>
      <c r="CE94" s="346">
        <f t="shared" si="95"/>
        <v>0.94138377732642031</v>
      </c>
      <c r="CF94" s="346">
        <f t="shared" si="95"/>
        <v>0.94181458846009924</v>
      </c>
      <c r="CG94" s="346">
        <f t="shared" si="95"/>
        <v>0.94222385903709427</v>
      </c>
      <c r="CH94" s="346">
        <f t="shared" si="95"/>
        <v>0.94261266608523953</v>
      </c>
      <c r="CI94" s="346">
        <f t="shared" si="95"/>
        <v>0.94298203278097759</v>
      </c>
      <c r="CJ94" s="346">
        <f t="shared" si="95"/>
        <v>0.94333293114192873</v>
      </c>
      <c r="CK94" s="346">
        <f t="shared" si="95"/>
        <v>0.94366628458483226</v>
      </c>
      <c r="CL94" s="346">
        <f t="shared" si="95"/>
        <v>0.94398297035559064</v>
      </c>
    </row>
    <row r="95" spans="1:90" s="345" customFormat="1" x14ac:dyDescent="0.15">
      <c r="A95" s="345" t="s">
        <v>56</v>
      </c>
      <c r="C95" s="346" t="s">
        <v>907</v>
      </c>
      <c r="D95" s="346"/>
      <c r="E95" s="346"/>
      <c r="F95" s="346"/>
      <c r="G95" s="346"/>
      <c r="H95" s="346"/>
      <c r="I95" s="346"/>
      <c r="J95" s="346"/>
      <c r="K95" s="346"/>
      <c r="L95" s="346"/>
      <c r="M95" s="346"/>
      <c r="N95" s="346"/>
      <c r="O95" s="346"/>
      <c r="P95" s="346"/>
      <c r="Q95" s="346"/>
      <c r="R95" s="346"/>
      <c r="S95" s="346">
        <f t="shared" si="97"/>
        <v>0</v>
      </c>
      <c r="T95" s="346">
        <f t="shared" si="97"/>
        <v>0</v>
      </c>
      <c r="U95" s="346">
        <f t="shared" si="97"/>
        <v>0</v>
      </c>
      <c r="V95" s="346"/>
      <c r="W95" s="346">
        <f t="shared" si="94"/>
        <v>0</v>
      </c>
      <c r="X95" s="346">
        <f t="shared" si="94"/>
        <v>0</v>
      </c>
      <c r="Y95" s="346">
        <f t="shared" si="94"/>
        <v>0</v>
      </c>
      <c r="Z95" s="346">
        <f t="shared" si="94"/>
        <v>0</v>
      </c>
      <c r="AA95" s="346">
        <f t="shared" si="94"/>
        <v>0</v>
      </c>
      <c r="AB95" s="346">
        <f t="shared" si="94"/>
        <v>0</v>
      </c>
      <c r="AC95" s="346">
        <f t="shared" si="94"/>
        <v>0</v>
      </c>
      <c r="AD95" s="346">
        <f t="shared" si="94"/>
        <v>0</v>
      </c>
      <c r="AE95" s="346">
        <f t="shared" si="94"/>
        <v>0.260615554786089</v>
      </c>
      <c r="AF95" s="346">
        <f t="shared" si="94"/>
        <v>0.37146476658960759</v>
      </c>
      <c r="AG95" s="346">
        <f t="shared" si="94"/>
        <v>0.45995230961547573</v>
      </c>
      <c r="AH95" s="346">
        <f t="shared" si="94"/>
        <v>0.53370126215202029</v>
      </c>
      <c r="AI95" s="346">
        <f t="shared" si="94"/>
        <v>0.59422447981977244</v>
      </c>
      <c r="AJ95" s="346">
        <f t="shared" si="94"/>
        <v>0.64501948848185275</v>
      </c>
      <c r="AK95" s="346">
        <f t="shared" si="94"/>
        <v>0.68703104876525467</v>
      </c>
      <c r="AL95" s="346">
        <f t="shared" si="94"/>
        <v>0.72257389757065504</v>
      </c>
      <c r="AM95" s="346">
        <f t="shared" si="94"/>
        <v>0.75221392575165513</v>
      </c>
      <c r="AN95" s="346">
        <f t="shared" si="94"/>
        <v>0.77750909156373593</v>
      </c>
      <c r="AO95" s="346">
        <f t="shared" si="94"/>
        <v>0.79681852893406824</v>
      </c>
      <c r="AP95" s="346">
        <f t="shared" si="96"/>
        <v>0.80447760248736477</v>
      </c>
      <c r="AQ95" s="346">
        <f t="shared" si="96"/>
        <v>0.81175372236299648</v>
      </c>
      <c r="AR95" s="346">
        <f t="shared" si="96"/>
        <v>0.81866603624484668</v>
      </c>
      <c r="AS95" s="346">
        <f t="shared" si="96"/>
        <v>0.82523273443260436</v>
      </c>
      <c r="AT95" s="346">
        <f t="shared" si="96"/>
        <v>0.83147109771097416</v>
      </c>
      <c r="AU95" s="346">
        <f t="shared" si="96"/>
        <v>0.83739754282542544</v>
      </c>
      <c r="AV95" s="346">
        <f t="shared" si="96"/>
        <v>0.84302766568415421</v>
      </c>
      <c r="AW95" s="346">
        <f t="shared" si="96"/>
        <v>0.84837628239994656</v>
      </c>
      <c r="AX95" s="346">
        <f t="shared" si="96"/>
        <v>0.85345746827994917</v>
      </c>
      <c r="AY95" s="346">
        <f t="shared" si="96"/>
        <v>0.85828459486595166</v>
      </c>
      <c r="AZ95" s="346">
        <f t="shared" si="96"/>
        <v>0.86287036512265403</v>
      </c>
      <c r="BA95" s="346">
        <f t="shared" si="96"/>
        <v>0.86722684686652129</v>
      </c>
      <c r="BB95" s="346">
        <f t="shared" si="96"/>
        <v>0.87136550452319528</v>
      </c>
      <c r="BC95" s="346">
        <f t="shared" si="96"/>
        <v>0.87529722929703546</v>
      </c>
      <c r="BD95" s="346">
        <f t="shared" si="96"/>
        <v>0.87903236783218364</v>
      </c>
      <c r="BE95" s="346">
        <f t="shared" si="96"/>
        <v>0.88258074944057441</v>
      </c>
      <c r="BF95" s="346">
        <f t="shared" si="95"/>
        <v>0.88595171196854572</v>
      </c>
      <c r="BG95" s="346">
        <f t="shared" si="95"/>
        <v>0.88915412637011848</v>
      </c>
      <c r="BH95" s="346">
        <f t="shared" si="95"/>
        <v>0.89219642005161259</v>
      </c>
      <c r="BI95" s="346">
        <f t="shared" si="95"/>
        <v>0.89508659904903198</v>
      </c>
      <c r="BJ95" s="346">
        <f t="shared" si="95"/>
        <v>0.89783226909658043</v>
      </c>
      <c r="BK95" s="346">
        <f t="shared" si="95"/>
        <v>0.90044065564175135</v>
      </c>
      <c r="BL95" s="346">
        <f t="shared" si="95"/>
        <v>0.90291862285966373</v>
      </c>
      <c r="BM95" s="346">
        <f t="shared" si="95"/>
        <v>0.90527269171668057</v>
      </c>
      <c r="BN95" s="346">
        <f t="shared" si="95"/>
        <v>0.90750905713084651</v>
      </c>
      <c r="BO95" s="346">
        <f t="shared" ref="BO95:CD99" si="98">+BN95+($B$86-BN95)*$B$85</f>
        <v>0.90963360427430417</v>
      </c>
      <c r="BP95" s="346">
        <f t="shared" si="98"/>
        <v>0.91165192406058893</v>
      </c>
      <c r="BQ95" s="346">
        <f t="shared" si="98"/>
        <v>0.91356932785755951</v>
      </c>
      <c r="BR95" s="346">
        <f t="shared" si="98"/>
        <v>0.91539086146468152</v>
      </c>
      <c r="BS95" s="346">
        <f t="shared" si="98"/>
        <v>0.91712131839144739</v>
      </c>
      <c r="BT95" s="346">
        <f t="shared" si="98"/>
        <v>0.91876525247187502</v>
      </c>
      <c r="BU95" s="346">
        <f t="shared" si="98"/>
        <v>0.92032698984828132</v>
      </c>
      <c r="BV95" s="346">
        <f t="shared" si="98"/>
        <v>0.92181064035586724</v>
      </c>
      <c r="BW95" s="346">
        <f t="shared" si="98"/>
        <v>0.92322010833807389</v>
      </c>
      <c r="BX95" s="346">
        <f t="shared" si="98"/>
        <v>0.92455910292117016</v>
      </c>
      <c r="BY95" s="346">
        <f t="shared" si="98"/>
        <v>0.92583114777511166</v>
      </c>
      <c r="BZ95" s="346">
        <f t="shared" si="98"/>
        <v>0.92703959038635608</v>
      </c>
      <c r="CA95" s="346">
        <f t="shared" si="98"/>
        <v>0.92818761086703827</v>
      </c>
      <c r="CB95" s="346">
        <f t="shared" si="98"/>
        <v>0.92927823032368639</v>
      </c>
      <c r="CC95" s="346">
        <f t="shared" si="98"/>
        <v>0.93031431880750204</v>
      </c>
      <c r="CD95" s="346">
        <f t="shared" si="98"/>
        <v>0.93129860286712696</v>
      </c>
      <c r="CE95" s="346">
        <f t="shared" ref="CE95:CL99" si="99">+CD95+($B$86-CD95)*$B$85</f>
        <v>0.93223367272377056</v>
      </c>
      <c r="CF95" s="346">
        <f t="shared" si="99"/>
        <v>0.93312198908758204</v>
      </c>
      <c r="CG95" s="346">
        <f t="shared" si="99"/>
        <v>0.93396588963320293</v>
      </c>
      <c r="CH95" s="346">
        <f t="shared" si="99"/>
        <v>0.93476759515154273</v>
      </c>
      <c r="CI95" s="346">
        <f t="shared" si="99"/>
        <v>0.93552921539396561</v>
      </c>
      <c r="CJ95" s="346">
        <f t="shared" si="99"/>
        <v>0.93625275462426738</v>
      </c>
      <c r="CK95" s="346">
        <f t="shared" si="99"/>
        <v>0.93694011689305401</v>
      </c>
      <c r="CL95" s="346">
        <f t="shared" si="99"/>
        <v>0.93759311104840126</v>
      </c>
    </row>
    <row r="96" spans="1:90" s="345" customFormat="1" x14ac:dyDescent="0.15">
      <c r="A96" s="345" t="s">
        <v>57</v>
      </c>
      <c r="C96" s="346"/>
      <c r="D96" s="346"/>
      <c r="E96" s="346"/>
      <c r="F96" s="346"/>
      <c r="G96" s="346"/>
      <c r="H96" s="346"/>
      <c r="I96" s="346"/>
      <c r="J96" s="346"/>
      <c r="K96" s="346"/>
      <c r="L96" s="346"/>
      <c r="M96" s="346"/>
      <c r="N96" s="346"/>
      <c r="O96" s="346"/>
      <c r="P96" s="346"/>
      <c r="Q96" s="346"/>
      <c r="R96" s="346"/>
      <c r="S96" s="346">
        <f t="shared" si="97"/>
        <v>0</v>
      </c>
      <c r="T96" s="346">
        <f t="shared" si="97"/>
        <v>0</v>
      </c>
      <c r="U96" s="346">
        <f t="shared" si="97"/>
        <v>0</v>
      </c>
      <c r="V96" s="346"/>
      <c r="W96" s="346">
        <f t="shared" si="94"/>
        <v>0</v>
      </c>
      <c r="X96" s="346">
        <f t="shared" si="94"/>
        <v>0</v>
      </c>
      <c r="Y96" s="346">
        <f t="shared" si="94"/>
        <v>0</v>
      </c>
      <c r="Z96" s="346">
        <f t="shared" si="94"/>
        <v>0</v>
      </c>
      <c r="AA96" s="346">
        <f t="shared" si="94"/>
        <v>0</v>
      </c>
      <c r="AB96" s="346">
        <f t="shared" si="94"/>
        <v>0</v>
      </c>
      <c r="AC96" s="346">
        <f t="shared" si="94"/>
        <v>0</v>
      </c>
      <c r="AD96" s="346">
        <f t="shared" si="94"/>
        <v>0</v>
      </c>
      <c r="AE96" s="346">
        <f t="shared" si="94"/>
        <v>0</v>
      </c>
      <c r="AF96" s="346">
        <f t="shared" si="94"/>
        <v>0</v>
      </c>
      <c r="AG96" s="346">
        <f t="shared" si="94"/>
        <v>0</v>
      </c>
      <c r="AH96" s="346">
        <f t="shared" si="94"/>
        <v>0</v>
      </c>
      <c r="AI96" s="346">
        <f t="shared" si="94"/>
        <v>0.15099509267224853</v>
      </c>
      <c r="AJ96" s="346">
        <f t="shared" si="94"/>
        <v>0.2753680720849625</v>
      </c>
      <c r="AK96" s="346">
        <f t="shared" si="94"/>
        <v>0.37509918653445551</v>
      </c>
      <c r="AL96" s="346">
        <f t="shared" si="94"/>
        <v>0.45818124155495654</v>
      </c>
      <c r="AM96" s="346">
        <f t="shared" si="94"/>
        <v>0.52553624397643683</v>
      </c>
      <c r="AN96" s="346">
        <f t="shared" si="94"/>
        <v>0.58230637402260865</v>
      </c>
      <c r="AO96" s="346">
        <f t="shared" si="94"/>
        <v>0.62415692659693489</v>
      </c>
      <c r="AP96" s="346">
        <f t="shared" si="96"/>
        <v>0.64044908026708813</v>
      </c>
      <c r="AQ96" s="346">
        <f t="shared" si="96"/>
        <v>0.65592662625373377</v>
      </c>
      <c r="AR96" s="346">
        <f t="shared" si="96"/>
        <v>0.67063029494104709</v>
      </c>
      <c r="AS96" s="346">
        <f t="shared" si="96"/>
        <v>0.68459878019399478</v>
      </c>
      <c r="AT96" s="346">
        <f t="shared" si="96"/>
        <v>0.69786884118429504</v>
      </c>
      <c r="AU96" s="346">
        <f t="shared" si="96"/>
        <v>0.71047539912508029</v>
      </c>
      <c r="AV96" s="346">
        <f t="shared" si="96"/>
        <v>0.72245162916882633</v>
      </c>
      <c r="AW96" s="346">
        <f t="shared" si="96"/>
        <v>0.73382904771038504</v>
      </c>
      <c r="AX96" s="346">
        <f t="shared" si="96"/>
        <v>0.74463759532486584</v>
      </c>
      <c r="AY96" s="346">
        <f t="shared" si="96"/>
        <v>0.75490571555862251</v>
      </c>
      <c r="AZ96" s="346">
        <f t="shared" si="96"/>
        <v>0.76466042978069138</v>
      </c>
      <c r="BA96" s="346">
        <f t="shared" si="96"/>
        <v>0.77392740829165685</v>
      </c>
      <c r="BB96" s="346">
        <f t="shared" si="96"/>
        <v>0.78273103787707399</v>
      </c>
      <c r="BC96" s="346">
        <f t="shared" si="96"/>
        <v>0.7910944859832203</v>
      </c>
      <c r="BD96" s="346">
        <f t="shared" si="96"/>
        <v>0.79903976168405932</v>
      </c>
      <c r="BE96" s="346">
        <f t="shared" si="96"/>
        <v>0.80658777359985634</v>
      </c>
      <c r="BF96" s="346">
        <f t="shared" ref="BF96:BU99" si="100">+BE96+($B$86-BE96)*$B$85</f>
        <v>0.81375838491986352</v>
      </c>
      <c r="BG96" s="346">
        <f t="shared" si="100"/>
        <v>0.82057046567387038</v>
      </c>
      <c r="BH96" s="346">
        <f t="shared" si="100"/>
        <v>0.82704194239017681</v>
      </c>
      <c r="BI96" s="346">
        <f t="shared" si="100"/>
        <v>0.83318984527066797</v>
      </c>
      <c r="BJ96" s="346">
        <f t="shared" si="100"/>
        <v>0.83903035300713458</v>
      </c>
      <c r="BK96" s="346">
        <f t="shared" si="100"/>
        <v>0.8445788353567778</v>
      </c>
      <c r="BL96" s="346">
        <f t="shared" si="100"/>
        <v>0.84984989358893892</v>
      </c>
      <c r="BM96" s="346">
        <f t="shared" si="100"/>
        <v>0.85485739890949197</v>
      </c>
      <c r="BN96" s="346">
        <f t="shared" si="100"/>
        <v>0.85961452896401735</v>
      </c>
      <c r="BO96" s="346">
        <f t="shared" si="100"/>
        <v>0.86413380251581651</v>
      </c>
      <c r="BP96" s="346">
        <f t="shared" si="100"/>
        <v>0.86842711239002568</v>
      </c>
      <c r="BQ96" s="346">
        <f t="shared" si="100"/>
        <v>0.87250575677052444</v>
      </c>
      <c r="BR96" s="346">
        <f t="shared" si="100"/>
        <v>0.87638046893199817</v>
      </c>
      <c r="BS96" s="346">
        <f t="shared" si="100"/>
        <v>0.88006144548539822</v>
      </c>
      <c r="BT96" s="346">
        <f t="shared" si="100"/>
        <v>0.88355837321112829</v>
      </c>
      <c r="BU96" s="346">
        <f t="shared" si="100"/>
        <v>0.88688045455057185</v>
      </c>
      <c r="BV96" s="346">
        <f t="shared" si="98"/>
        <v>0.89003643182304326</v>
      </c>
      <c r="BW96" s="346">
        <f t="shared" si="98"/>
        <v>0.89303461023189112</v>
      </c>
      <c r="BX96" s="346">
        <f t="shared" si="98"/>
        <v>0.89588287972029657</v>
      </c>
      <c r="BY96" s="346">
        <f t="shared" si="98"/>
        <v>0.89858873573428177</v>
      </c>
      <c r="BZ96" s="346">
        <f t="shared" si="98"/>
        <v>0.90115929894756763</v>
      </c>
      <c r="CA96" s="346">
        <f t="shared" si="98"/>
        <v>0.90360133400018927</v>
      </c>
      <c r="CB96" s="346">
        <f t="shared" si="98"/>
        <v>0.90592126730017986</v>
      </c>
      <c r="CC96" s="346">
        <f t="shared" si="98"/>
        <v>0.90812520393517082</v>
      </c>
      <c r="CD96" s="346">
        <f t="shared" si="98"/>
        <v>0.91021894373841228</v>
      </c>
      <c r="CE96" s="346">
        <f t="shared" si="99"/>
        <v>0.91220799655149165</v>
      </c>
      <c r="CF96" s="346">
        <f t="shared" si="99"/>
        <v>0.91409759672391711</v>
      </c>
      <c r="CG96" s="346">
        <f t="shared" si="99"/>
        <v>0.91589271688772123</v>
      </c>
      <c r="CH96" s="346">
        <f t="shared" si="99"/>
        <v>0.91759808104333518</v>
      </c>
      <c r="CI96" s="346">
        <f t="shared" si="99"/>
        <v>0.91921817699116837</v>
      </c>
      <c r="CJ96" s="346">
        <f t="shared" si="99"/>
        <v>0.92075726814160996</v>
      </c>
      <c r="CK96" s="346">
        <f t="shared" si="99"/>
        <v>0.92221940473452946</v>
      </c>
      <c r="CL96" s="346">
        <f t="shared" si="99"/>
        <v>0.92360843449780294</v>
      </c>
    </row>
    <row r="97" spans="1:130" s="345" customFormat="1" x14ac:dyDescent="0.15">
      <c r="A97" s="345" t="s">
        <v>58</v>
      </c>
      <c r="C97" s="346" t="s">
        <v>907</v>
      </c>
      <c r="D97" s="346"/>
      <c r="E97" s="346"/>
      <c r="F97" s="346"/>
      <c r="G97" s="346"/>
      <c r="H97" s="346"/>
      <c r="I97" s="346"/>
      <c r="J97" s="346"/>
      <c r="K97" s="346"/>
      <c r="L97" s="346"/>
      <c r="M97" s="346"/>
      <c r="N97" s="346"/>
      <c r="O97" s="346"/>
      <c r="P97" s="346"/>
      <c r="Q97" s="346"/>
      <c r="R97" s="346"/>
      <c r="S97" s="346">
        <f t="shared" si="97"/>
        <v>0</v>
      </c>
      <c r="T97" s="346">
        <f t="shared" si="97"/>
        <v>0</v>
      </c>
      <c r="U97" s="346">
        <f t="shared" si="97"/>
        <v>0</v>
      </c>
      <c r="V97" s="346"/>
      <c r="W97" s="346">
        <f t="shared" si="94"/>
        <v>0</v>
      </c>
      <c r="X97" s="346">
        <f t="shared" si="94"/>
        <v>0</v>
      </c>
      <c r="Y97" s="346">
        <f t="shared" si="94"/>
        <v>0</v>
      </c>
      <c r="Z97" s="346">
        <f t="shared" si="94"/>
        <v>0</v>
      </c>
      <c r="AA97" s="346">
        <f t="shared" si="94"/>
        <v>0.19621310006116277</v>
      </c>
      <c r="AB97" s="346">
        <f t="shared" si="94"/>
        <v>0.34480790920268811</v>
      </c>
      <c r="AC97" s="346">
        <f t="shared" si="94"/>
        <v>0.47285498168621742</v>
      </c>
      <c r="AD97" s="346">
        <f t="shared" si="94"/>
        <v>0.59052917317550835</v>
      </c>
      <c r="AE97" s="346">
        <f t="shared" si="94"/>
        <v>0.69551787165775647</v>
      </c>
      <c r="AF97" s="346">
        <f t="shared" si="94"/>
        <v>0.73969071703855405</v>
      </c>
      <c r="AG97" s="346">
        <f t="shared" si="94"/>
        <v>0.77551804318784023</v>
      </c>
      <c r="AH97" s="346">
        <f t="shared" si="94"/>
        <v>0.80546270872900505</v>
      </c>
      <c r="AI97" s="346">
        <f t="shared" si="94"/>
        <v>0.82979102953259898</v>
      </c>
      <c r="AJ97" s="346">
        <f t="shared" si="94"/>
        <v>0.85028714593137056</v>
      </c>
      <c r="AK97" s="346">
        <f t="shared" si="94"/>
        <v>0.86707457148745359</v>
      </c>
      <c r="AL97" s="346">
        <f t="shared" si="94"/>
        <v>0.88133944626631666</v>
      </c>
      <c r="AM97" s="346">
        <f t="shared" si="94"/>
        <v>0.89311796590612236</v>
      </c>
      <c r="AN97" s="346">
        <f t="shared" si="94"/>
        <v>0.90321482276576948</v>
      </c>
      <c r="AO97" s="346">
        <f t="shared" si="94"/>
        <v>0.91179608786504274</v>
      </c>
      <c r="AP97" s="346">
        <f t="shared" si="96"/>
        <v>0.91370628347179061</v>
      </c>
      <c r="AQ97" s="346">
        <f t="shared" si="96"/>
        <v>0.91552096929820104</v>
      </c>
      <c r="AR97" s="346">
        <f t="shared" si="96"/>
        <v>0.91724492083329101</v>
      </c>
      <c r="AS97" s="346">
        <f t="shared" si="96"/>
        <v>0.91888267479162644</v>
      </c>
      <c r="AT97" s="346">
        <f t="shared" si="96"/>
        <v>0.92043854105204514</v>
      </c>
      <c r="AU97" s="346">
        <f t="shared" si="96"/>
        <v>0.92191661399944291</v>
      </c>
      <c r="AV97" s="346">
        <f t="shared" si="96"/>
        <v>0.92332078329947076</v>
      </c>
      <c r="AW97" s="346">
        <f t="shared" si="96"/>
        <v>0.92465474413449722</v>
      </c>
      <c r="AX97" s="346">
        <f t="shared" si="96"/>
        <v>0.92592200692777238</v>
      </c>
      <c r="AY97" s="346">
        <f t="shared" si="96"/>
        <v>0.92712590658138372</v>
      </c>
      <c r="AZ97" s="346">
        <f t="shared" si="96"/>
        <v>0.92826961125231455</v>
      </c>
      <c r="BA97" s="346">
        <f t="shared" si="96"/>
        <v>0.9293561306896988</v>
      </c>
      <c r="BB97" s="346">
        <f t="shared" si="96"/>
        <v>0.93038832415521389</v>
      </c>
      <c r="BC97" s="346">
        <f t="shared" si="96"/>
        <v>0.9313689079474532</v>
      </c>
      <c r="BD97" s="346">
        <f t="shared" si="96"/>
        <v>0.93230046255008059</v>
      </c>
      <c r="BE97" s="346">
        <f t="shared" si="96"/>
        <v>0.93318543942257659</v>
      </c>
      <c r="BF97" s="346">
        <f t="shared" si="100"/>
        <v>0.93402616745144773</v>
      </c>
      <c r="BG97" s="346">
        <f t="shared" si="100"/>
        <v>0.93482485907887536</v>
      </c>
      <c r="BH97" s="346">
        <f t="shared" si="100"/>
        <v>0.93558361612493157</v>
      </c>
      <c r="BI97" s="346">
        <f t="shared" si="100"/>
        <v>0.93630443531868501</v>
      </c>
      <c r="BJ97" s="346">
        <f t="shared" si="100"/>
        <v>0.93698921355275078</v>
      </c>
      <c r="BK97" s="346">
        <f t="shared" si="100"/>
        <v>0.93763975287511325</v>
      </c>
      <c r="BL97" s="346">
        <f t="shared" si="100"/>
        <v>0.93825776523135762</v>
      </c>
      <c r="BM97" s="346">
        <f t="shared" si="100"/>
        <v>0.93884487696978969</v>
      </c>
      <c r="BN97" s="346">
        <f t="shared" si="100"/>
        <v>0.93940263312130023</v>
      </c>
      <c r="BO97" s="346">
        <f t="shared" si="100"/>
        <v>0.93993250146523522</v>
      </c>
      <c r="BP97" s="346">
        <f t="shared" si="100"/>
        <v>0.94043587639197346</v>
      </c>
      <c r="BQ97" s="346">
        <f t="shared" si="100"/>
        <v>0.94091408257237474</v>
      </c>
      <c r="BR97" s="346">
        <f t="shared" si="100"/>
        <v>0.94136837844375598</v>
      </c>
      <c r="BS97" s="346">
        <f t="shared" si="100"/>
        <v>0.94179995952156814</v>
      </c>
      <c r="BT97" s="346">
        <f t="shared" si="100"/>
        <v>0.94220996154548975</v>
      </c>
      <c r="BU97" s="346">
        <f t="shared" si="100"/>
        <v>0.94259946346821522</v>
      </c>
      <c r="BV97" s="346">
        <f t="shared" si="98"/>
        <v>0.94296949029480448</v>
      </c>
      <c r="BW97" s="346">
        <f t="shared" si="98"/>
        <v>0.94332101578006422</v>
      </c>
      <c r="BX97" s="346">
        <f t="shared" si="98"/>
        <v>0.94365496499106105</v>
      </c>
      <c r="BY97" s="346">
        <f t="shared" si="98"/>
        <v>0.943972216741508</v>
      </c>
      <c r="BZ97" s="346">
        <f t="shared" si="98"/>
        <v>0.94427360590443254</v>
      </c>
      <c r="CA97" s="346">
        <f t="shared" si="98"/>
        <v>0.94455992560921087</v>
      </c>
      <c r="CB97" s="346">
        <f t="shared" si="98"/>
        <v>0.94483192932875038</v>
      </c>
      <c r="CC97" s="346">
        <f t="shared" si="98"/>
        <v>0.94509033286231281</v>
      </c>
      <c r="CD97" s="346">
        <f t="shared" si="98"/>
        <v>0.94533581621919716</v>
      </c>
      <c r="CE97" s="346">
        <f t="shared" si="99"/>
        <v>0.94556902540823728</v>
      </c>
      <c r="CF97" s="346">
        <f t="shared" si="99"/>
        <v>0.94579057413782541</v>
      </c>
      <c r="CG97" s="346">
        <f t="shared" si="99"/>
        <v>0.94600104543093411</v>
      </c>
      <c r="CH97" s="346">
        <f t="shared" si="99"/>
        <v>0.94620099315938744</v>
      </c>
      <c r="CI97" s="346">
        <f t="shared" si="99"/>
        <v>0.94639094350141806</v>
      </c>
      <c r="CJ97" s="346">
        <f t="shared" si="99"/>
        <v>0.94657139632634713</v>
      </c>
      <c r="CK97" s="346">
        <f t="shared" si="99"/>
        <v>0.94674282651002972</v>
      </c>
      <c r="CL97" s="346">
        <f t="shared" si="99"/>
        <v>0.94690568518452822</v>
      </c>
    </row>
    <row r="98" spans="1:130" s="345" customFormat="1" x14ac:dyDescent="0.15">
      <c r="A98" s="345" t="s">
        <v>114</v>
      </c>
      <c r="C98" s="346" t="s">
        <v>907</v>
      </c>
      <c r="D98" s="346"/>
      <c r="E98" s="346"/>
      <c r="F98" s="346"/>
      <c r="G98" s="346"/>
      <c r="H98" s="346"/>
      <c r="I98" s="346"/>
      <c r="J98" s="346"/>
      <c r="K98" s="346"/>
      <c r="L98" s="346"/>
      <c r="M98" s="346"/>
      <c r="N98" s="346"/>
      <c r="O98" s="346"/>
      <c r="P98" s="346"/>
      <c r="Q98" s="346"/>
      <c r="R98" s="346"/>
      <c r="S98" s="346"/>
      <c r="T98" s="346"/>
      <c r="U98" s="346"/>
      <c r="V98" s="346"/>
      <c r="W98" s="346">
        <f t="shared" si="94"/>
        <v>0</v>
      </c>
      <c r="X98" s="346">
        <f t="shared" si="94"/>
        <v>0</v>
      </c>
      <c r="Y98" s="346">
        <f t="shared" si="94"/>
        <v>2.9110034627829018E-2</v>
      </c>
      <c r="Z98" s="346">
        <f t="shared" si="94"/>
        <v>0.102224693962498</v>
      </c>
      <c r="AA98" s="346">
        <f t="shared" si="94"/>
        <v>0.22754974524365745</v>
      </c>
      <c r="AB98" s="346">
        <f t="shared" si="94"/>
        <v>0.32599955328165053</v>
      </c>
      <c r="AC98" s="346">
        <f t="shared" si="94"/>
        <v>0.42383539053094288</v>
      </c>
      <c r="AD98" s="346">
        <f t="shared" si="94"/>
        <v>0.52448483605101459</v>
      </c>
      <c r="AE98" s="346">
        <f t="shared" si="94"/>
        <v>0.62709220837853485</v>
      </c>
      <c r="AF98" s="346">
        <f t="shared" si="94"/>
        <v>0.66377689663130379</v>
      </c>
      <c r="AG98" s="346">
        <f t="shared" si="94"/>
        <v>0.69518859914243603</v>
      </c>
      <c r="AH98" s="346">
        <f t="shared" si="94"/>
        <v>0.72230727463438282</v>
      </c>
      <c r="AI98" s="346">
        <f t="shared" si="94"/>
        <v>0.74562870160324035</v>
      </c>
      <c r="AJ98" s="346">
        <f t="shared" si="94"/>
        <v>0.76575583836456251</v>
      </c>
      <c r="AK98" s="346">
        <f t="shared" si="94"/>
        <v>0.78305953451794152</v>
      </c>
      <c r="AL98" s="346">
        <f t="shared" si="94"/>
        <v>0.79799520316287487</v>
      </c>
      <c r="AM98" s="346">
        <f t="shared" si="94"/>
        <v>0.8108155861553481</v>
      </c>
      <c r="AN98" s="346">
        <f t="shared" si="94"/>
        <v>0.82187912302675992</v>
      </c>
      <c r="AO98" s="346">
        <f t="shared" si="94"/>
        <v>0.83292457963747679</v>
      </c>
      <c r="AP98" s="346">
        <f t="shared" si="96"/>
        <v>0.83877835065560291</v>
      </c>
      <c r="AQ98" s="346">
        <f t="shared" si="96"/>
        <v>0.84433943312282278</v>
      </c>
      <c r="AR98" s="346">
        <f t="shared" si="96"/>
        <v>0.84962246146668163</v>
      </c>
      <c r="AS98" s="346">
        <f t="shared" si="96"/>
        <v>0.85464133839334755</v>
      </c>
      <c r="AT98" s="346">
        <f t="shared" si="96"/>
        <v>0.85940927147368018</v>
      </c>
      <c r="AU98" s="346">
        <f t="shared" si="96"/>
        <v>0.86393880789999622</v>
      </c>
      <c r="AV98" s="346">
        <f t="shared" si="96"/>
        <v>0.86824186750499643</v>
      </c>
      <c r="AW98" s="346">
        <f t="shared" si="96"/>
        <v>0.87232977412974666</v>
      </c>
      <c r="AX98" s="346">
        <f t="shared" si="96"/>
        <v>0.87621328542325938</v>
      </c>
      <c r="AY98" s="346">
        <f t="shared" si="96"/>
        <v>0.87990262115209639</v>
      </c>
      <c r="AZ98" s="346">
        <f t="shared" si="96"/>
        <v>0.8834074900944916</v>
      </c>
      <c r="BA98" s="346">
        <f t="shared" si="96"/>
        <v>0.88673711558976698</v>
      </c>
      <c r="BB98" s="346">
        <f t="shared" si="96"/>
        <v>0.88990025981027865</v>
      </c>
      <c r="BC98" s="346">
        <f t="shared" si="96"/>
        <v>0.89290524681976469</v>
      </c>
      <c r="BD98" s="346">
        <f t="shared" si="96"/>
        <v>0.89575998447877647</v>
      </c>
      <c r="BE98" s="346">
        <f t="shared" si="96"/>
        <v>0.89847198525483762</v>
      </c>
      <c r="BF98" s="346">
        <f t="shared" si="100"/>
        <v>0.90104838599209569</v>
      </c>
      <c r="BG98" s="346">
        <f t="shared" si="100"/>
        <v>0.90349596669249088</v>
      </c>
      <c r="BH98" s="346">
        <f t="shared" si="100"/>
        <v>0.9058211683578663</v>
      </c>
      <c r="BI98" s="346">
        <f t="shared" si="100"/>
        <v>0.90803010993997302</v>
      </c>
      <c r="BJ98" s="346">
        <f t="shared" si="100"/>
        <v>0.91012860444297439</v>
      </c>
      <c r="BK98" s="346">
        <f t="shared" si="100"/>
        <v>0.91212217422082564</v>
      </c>
      <c r="BL98" s="346">
        <f t="shared" si="100"/>
        <v>0.91401606550978431</v>
      </c>
      <c r="BM98" s="346">
        <f t="shared" si="100"/>
        <v>0.9158152622342951</v>
      </c>
      <c r="BN98" s="346">
        <f t="shared" si="100"/>
        <v>0.91752449912258038</v>
      </c>
      <c r="BO98" s="346">
        <f t="shared" si="100"/>
        <v>0.9191482741664514</v>
      </c>
      <c r="BP98" s="346">
        <f t="shared" si="100"/>
        <v>0.92069086045812887</v>
      </c>
      <c r="BQ98" s="346">
        <f t="shared" si="100"/>
        <v>0.92215631743522242</v>
      </c>
      <c r="BR98" s="346">
        <f t="shared" si="100"/>
        <v>0.92354850156346124</v>
      </c>
      <c r="BS98" s="346">
        <f t="shared" si="100"/>
        <v>0.92487107648528821</v>
      </c>
      <c r="BT98" s="346">
        <f t="shared" si="100"/>
        <v>0.92612752266102383</v>
      </c>
      <c r="BU98" s="346">
        <f t="shared" si="100"/>
        <v>0.9273211465279726</v>
      </c>
      <c r="BV98" s="346">
        <f t="shared" si="98"/>
        <v>0.92845508920157394</v>
      </c>
      <c r="BW98" s="346">
        <f t="shared" si="98"/>
        <v>0.92953233474149521</v>
      </c>
      <c r="BX98" s="346">
        <f t="shared" si="98"/>
        <v>0.9305557180044205</v>
      </c>
      <c r="BY98" s="346">
        <f t="shared" si="98"/>
        <v>0.93152793210419949</v>
      </c>
      <c r="BZ98" s="346">
        <f t="shared" si="98"/>
        <v>0.93245153549898951</v>
      </c>
      <c r="CA98" s="346">
        <f t="shared" si="98"/>
        <v>0.93332895872404009</v>
      </c>
      <c r="CB98" s="346">
        <f t="shared" si="98"/>
        <v>0.93416251078783807</v>
      </c>
      <c r="CC98" s="346">
        <f t="shared" si="98"/>
        <v>0.93495438524844621</v>
      </c>
      <c r="CD98" s="346">
        <f t="shared" si="98"/>
        <v>0.93570666598602392</v>
      </c>
      <c r="CE98" s="346">
        <f t="shared" si="99"/>
        <v>0.93642133268672267</v>
      </c>
      <c r="CF98" s="346">
        <f t="shared" si="99"/>
        <v>0.9371002660523865</v>
      </c>
      <c r="CG98" s="346">
        <f t="shared" si="99"/>
        <v>0.93774525274976717</v>
      </c>
      <c r="CH98" s="346">
        <f t="shared" si="99"/>
        <v>0.93835799011227883</v>
      </c>
      <c r="CI98" s="346">
        <f t="shared" si="99"/>
        <v>0.93894009060666483</v>
      </c>
      <c r="CJ98" s="346">
        <f t="shared" si="99"/>
        <v>0.93949308607633164</v>
      </c>
      <c r="CK98" s="346">
        <f t="shared" si="99"/>
        <v>0.9400184317725151</v>
      </c>
      <c r="CL98" s="346">
        <f t="shared" si="99"/>
        <v>0.94051751018388929</v>
      </c>
    </row>
    <row r="99" spans="1:130" s="345" customFormat="1" x14ac:dyDescent="0.15">
      <c r="A99" s="345" t="s">
        <v>32</v>
      </c>
      <c r="C99" s="346" t="s">
        <v>907</v>
      </c>
      <c r="D99" s="346"/>
      <c r="E99" s="346"/>
      <c r="F99" s="346"/>
      <c r="G99" s="346"/>
      <c r="H99" s="346"/>
      <c r="I99" s="346"/>
      <c r="J99" s="346"/>
      <c r="K99" s="346"/>
      <c r="L99" s="346"/>
      <c r="M99" s="346"/>
      <c r="N99" s="346"/>
      <c r="O99" s="346"/>
      <c r="P99" s="346"/>
      <c r="Q99" s="346"/>
      <c r="R99" s="346"/>
      <c r="S99" s="346">
        <f>+MIN(IF(R81&gt;0,$B$85+R99,0),$B$86)</f>
        <v>0</v>
      </c>
      <c r="T99" s="346">
        <f>+MIN(IF(S81&gt;0,$B$85+S99,0),$B$86)</f>
        <v>0</v>
      </c>
      <c r="U99" s="346">
        <f>+MIN(IF(T81&gt;0,$B$85+T99,0),$B$86)</f>
        <v>0</v>
      </c>
      <c r="V99" s="346"/>
      <c r="W99" s="346">
        <f t="shared" si="94"/>
        <v>0</v>
      </c>
      <c r="X99" s="346">
        <f t="shared" si="94"/>
        <v>0</v>
      </c>
      <c r="Y99" s="346">
        <f t="shared" si="94"/>
        <v>0</v>
      </c>
      <c r="Z99" s="346">
        <f t="shared" si="94"/>
        <v>0</v>
      </c>
      <c r="AA99" s="346">
        <f t="shared" si="94"/>
        <v>0</v>
      </c>
      <c r="AB99" s="346">
        <f t="shared" si="94"/>
        <v>0</v>
      </c>
      <c r="AC99" s="346">
        <f t="shared" si="94"/>
        <v>0.22793427173981873</v>
      </c>
      <c r="AD99" s="346">
        <f t="shared" si="94"/>
        <v>0.42450712957184011</v>
      </c>
      <c r="AE99" s="346">
        <f t="shared" si="94"/>
        <v>0.58628080828650275</v>
      </c>
      <c r="AF99" s="346">
        <f t="shared" si="94"/>
        <v>0.65805174225169161</v>
      </c>
      <c r="AG99" s="346">
        <f t="shared" si="94"/>
        <v>0.71288654927217676</v>
      </c>
      <c r="AH99" s="346">
        <f t="shared" si="94"/>
        <v>0.75774300610875711</v>
      </c>
      <c r="AI99" s="346">
        <f t="shared" si="94"/>
        <v>0.79323337823686491</v>
      </c>
      <c r="AJ99" s="346">
        <f t="shared" si="94"/>
        <v>0.82258856656642843</v>
      </c>
      <c r="AK99" s="346">
        <f t="shared" si="94"/>
        <v>0.84608069908683436</v>
      </c>
      <c r="AL99" s="346">
        <f t="shared" si="94"/>
        <v>0.86573776211548137</v>
      </c>
      <c r="AM99" s="346">
        <f t="shared" si="94"/>
        <v>0.88164373966416643</v>
      </c>
      <c r="AN99" s="346">
        <f t="shared" si="94"/>
        <v>0.89510992721468907</v>
      </c>
      <c r="AO99" s="346">
        <f t="shared" si="94"/>
        <v>0.90583415082326502</v>
      </c>
      <c r="AP99" s="346">
        <f t="shared" si="96"/>
        <v>0.90804244328210171</v>
      </c>
      <c r="AQ99" s="346">
        <f t="shared" si="96"/>
        <v>0.91014032111799659</v>
      </c>
      <c r="AR99" s="346">
        <f t="shared" si="96"/>
        <v>0.91213330506209678</v>
      </c>
      <c r="AS99" s="346">
        <f t="shared" si="96"/>
        <v>0.9140266398089919</v>
      </c>
      <c r="AT99" s="346">
        <f t="shared" si="96"/>
        <v>0.91582530781854232</v>
      </c>
      <c r="AU99" s="346">
        <f t="shared" si="96"/>
        <v>0.91753404242761516</v>
      </c>
      <c r="AV99" s="346">
        <f t="shared" si="96"/>
        <v>0.91915734030623442</v>
      </c>
      <c r="AW99" s="346">
        <f t="shared" si="96"/>
        <v>0.92069947329092272</v>
      </c>
      <c r="AX99" s="346">
        <f t="shared" si="96"/>
        <v>0.92216449962637659</v>
      </c>
      <c r="AY99" s="346">
        <f t="shared" si="96"/>
        <v>0.92355627464505774</v>
      </c>
      <c r="AZ99" s="346">
        <f t="shared" si="96"/>
        <v>0.9248784609128049</v>
      </c>
      <c r="BA99" s="346">
        <f t="shared" si="96"/>
        <v>0.9261345378671646</v>
      </c>
      <c r="BB99" s="346">
        <f t="shared" si="96"/>
        <v>0.92732781097380634</v>
      </c>
      <c r="BC99" s="346">
        <f t="shared" si="96"/>
        <v>0.92846142042511604</v>
      </c>
      <c r="BD99" s="346">
        <f t="shared" si="96"/>
        <v>0.92953834940386026</v>
      </c>
      <c r="BE99" s="346">
        <f t="shared" si="96"/>
        <v>0.93056143193366725</v>
      </c>
      <c r="BF99" s="346">
        <f t="shared" si="100"/>
        <v>0.93153336033698386</v>
      </c>
      <c r="BG99" s="346">
        <f t="shared" si="100"/>
        <v>0.93245669232013462</v>
      </c>
      <c r="BH99" s="346">
        <f t="shared" si="100"/>
        <v>0.93333385770412791</v>
      </c>
      <c r="BI99" s="346">
        <f t="shared" si="100"/>
        <v>0.93416716481892148</v>
      </c>
      <c r="BJ99" s="346">
        <f t="shared" si="100"/>
        <v>0.93495880657797537</v>
      </c>
      <c r="BK99" s="346">
        <f t="shared" si="100"/>
        <v>0.93571086624907662</v>
      </c>
      <c r="BL99" s="346">
        <f t="shared" si="100"/>
        <v>0.93642532293662284</v>
      </c>
      <c r="BM99" s="346">
        <f t="shared" si="100"/>
        <v>0.9371040567897917</v>
      </c>
      <c r="BN99" s="346">
        <f t="shared" si="100"/>
        <v>0.93774885395030205</v>
      </c>
      <c r="BO99" s="346">
        <f t="shared" si="100"/>
        <v>0.93836141125278694</v>
      </c>
      <c r="BP99" s="346">
        <f t="shared" si="100"/>
        <v>0.93894334069014762</v>
      </c>
      <c r="BQ99" s="346">
        <f t="shared" si="100"/>
        <v>0.9394961736556402</v>
      </c>
      <c r="BR99" s="346">
        <f t="shared" si="100"/>
        <v>0.94002136497285815</v>
      </c>
      <c r="BS99" s="346">
        <f t="shared" si="100"/>
        <v>0.94052029672421522</v>
      </c>
      <c r="BT99" s="346">
        <f t="shared" si="100"/>
        <v>0.94099428188800449</v>
      </c>
      <c r="BU99" s="346">
        <f t="shared" si="100"/>
        <v>0.9414445677936043</v>
      </c>
      <c r="BV99" s="346">
        <f t="shared" si="98"/>
        <v>0.94187233940392412</v>
      </c>
      <c r="BW99" s="346">
        <f t="shared" si="98"/>
        <v>0.9422787224337279</v>
      </c>
      <c r="BX99" s="346">
        <f t="shared" si="98"/>
        <v>0.94266478631204154</v>
      </c>
      <c r="BY99" s="346">
        <f t="shared" si="98"/>
        <v>0.94303154699643943</v>
      </c>
      <c r="BZ99" s="346">
        <f t="shared" si="98"/>
        <v>0.94337996964661741</v>
      </c>
      <c r="CA99" s="346">
        <f t="shared" si="98"/>
        <v>0.94371097116428659</v>
      </c>
      <c r="CB99" s="346">
        <f t="shared" si="98"/>
        <v>0.94402542260607225</v>
      </c>
      <c r="CC99" s="346">
        <f t="shared" si="98"/>
        <v>0.94432415147576865</v>
      </c>
      <c r="CD99" s="346">
        <f t="shared" si="98"/>
        <v>0.94460794390198022</v>
      </c>
      <c r="CE99" s="346">
        <f t="shared" si="99"/>
        <v>0.94487754670688118</v>
      </c>
      <c r="CF99" s="346">
        <f t="shared" si="99"/>
        <v>0.94513366937153709</v>
      </c>
      <c r="CG99" s="346">
        <f t="shared" si="99"/>
        <v>0.94537698590296027</v>
      </c>
      <c r="CH99" s="346">
        <f t="shared" si="99"/>
        <v>0.94560813660781229</v>
      </c>
      <c r="CI99" s="346">
        <f t="shared" si="99"/>
        <v>0.94582772977742169</v>
      </c>
      <c r="CJ99" s="346">
        <f t="shared" si="99"/>
        <v>0.94603634328855057</v>
      </c>
      <c r="CK99" s="346">
        <f t="shared" si="99"/>
        <v>0.94623452612412307</v>
      </c>
      <c r="CL99" s="346">
        <f t="shared" si="99"/>
        <v>0.94642279981791688</v>
      </c>
    </row>
    <row r="100" spans="1:130" s="1" customFormat="1" x14ac:dyDescent="0.15"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  <c r="AL100" s="324"/>
      <c r="AM100" s="324"/>
      <c r="AN100" s="324"/>
      <c r="AO100" s="324"/>
      <c r="AP100" s="324"/>
      <c r="AQ100" s="324"/>
      <c r="AR100" s="324"/>
      <c r="AS100" s="324"/>
      <c r="AT100" s="324"/>
      <c r="AU100" s="324"/>
      <c r="AV100" s="324"/>
      <c r="AW100" s="324"/>
      <c r="AX100" s="324"/>
      <c r="AY100" s="324"/>
      <c r="AZ100" s="324"/>
      <c r="BA100" s="324"/>
      <c r="BB100" s="324"/>
      <c r="BC100" s="324"/>
      <c r="BD100" s="324"/>
      <c r="BE100" s="324"/>
      <c r="BF100" s="324"/>
      <c r="BG100" s="324"/>
      <c r="BH100" s="324"/>
      <c r="BI100" s="324"/>
      <c r="BJ100" s="324"/>
      <c r="BK100" s="324"/>
      <c r="BL100" s="324"/>
    </row>
    <row r="101" spans="1:130" s="1" customFormat="1" ht="16" x14ac:dyDescent="0.2">
      <c r="A101" s="321" t="s">
        <v>940</v>
      </c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  <c r="AL101" s="324"/>
      <c r="AM101" s="324"/>
      <c r="AN101" s="324"/>
      <c r="AO101" s="324"/>
      <c r="AP101" s="324"/>
      <c r="AQ101" s="324"/>
      <c r="AR101" s="324"/>
      <c r="AS101" s="324"/>
      <c r="AT101" s="324"/>
      <c r="AU101" s="324"/>
      <c r="AV101" s="324"/>
      <c r="AW101" s="324"/>
      <c r="AX101" s="324"/>
      <c r="AY101" s="324"/>
      <c r="AZ101" s="324"/>
      <c r="BA101" s="324"/>
      <c r="BB101" s="324"/>
      <c r="BC101" s="324"/>
      <c r="BD101" s="324"/>
      <c r="BE101" s="324"/>
      <c r="BF101" s="324"/>
      <c r="BG101" s="324"/>
      <c r="BH101" s="324"/>
      <c r="BI101" s="324"/>
      <c r="BJ101" s="324"/>
      <c r="BK101" s="324"/>
      <c r="BL101" s="324"/>
    </row>
    <row r="102" spans="1:130" s="1" customFormat="1" x14ac:dyDescent="0.15">
      <c r="A102" s="347" t="s">
        <v>104</v>
      </c>
      <c r="B102" s="347"/>
      <c r="C102" s="348"/>
      <c r="D102" s="348"/>
      <c r="E102" s="348"/>
      <c r="F102" s="348"/>
      <c r="G102" s="348"/>
      <c r="H102" s="348"/>
      <c r="I102" s="324"/>
      <c r="J102" s="324"/>
      <c r="K102" s="324"/>
      <c r="L102" s="324"/>
      <c r="M102" s="324"/>
      <c r="N102" s="324"/>
      <c r="O102" s="324"/>
      <c r="P102" s="324"/>
      <c r="Q102" s="324"/>
      <c r="R102" s="8">
        <f t="shared" ref="R102:R113" si="101">+IF(R70=0,BS3,R61)</f>
        <v>1.6621334550980102</v>
      </c>
      <c r="S102" s="324"/>
      <c r="T102" s="324"/>
      <c r="U102" s="324"/>
      <c r="V102" s="324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3">
        <f t="shared" ref="AP102:BK102" si="103">+AO102*(1-$A$157/200)</f>
        <v>0.23748629239215169</v>
      </c>
      <c r="AQ102" s="153">
        <f t="shared" si="103"/>
        <v>0.2256119777725441</v>
      </c>
      <c r="AR102" s="153">
        <f t="shared" si="103"/>
        <v>0.2143313788839169</v>
      </c>
      <c r="AS102" s="153">
        <f t="shared" si="103"/>
        <v>0.20361480993972106</v>
      </c>
      <c r="AT102" s="153">
        <f t="shared" si="103"/>
        <v>0.193434069442735</v>
      </c>
      <c r="AU102" s="153">
        <f t="shared" si="103"/>
        <v>0.18376236597059825</v>
      </c>
      <c r="AV102" s="153">
        <f t="shared" si="103"/>
        <v>0.17457424767206833</v>
      </c>
      <c r="AW102" s="153">
        <f t="shared" si="103"/>
        <v>0.16584553528846491</v>
      </c>
      <c r="AX102" s="153">
        <f t="shared" si="103"/>
        <v>0.15755325852404164</v>
      </c>
      <c r="AY102" s="153">
        <f t="shared" si="103"/>
        <v>0.14967559559783955</v>
      </c>
      <c r="AZ102" s="153">
        <f t="shared" si="103"/>
        <v>0.14219181581794757</v>
      </c>
      <c r="BA102" s="153">
        <f t="shared" si="103"/>
        <v>0.1350822250270502</v>
      </c>
      <c r="BB102" s="153">
        <f t="shared" si="103"/>
        <v>0.12832811377569767</v>
      </c>
      <c r="BC102" s="153">
        <f t="shared" si="103"/>
        <v>0.12191170808691278</v>
      </c>
      <c r="BD102" s="153">
        <f t="shared" si="103"/>
        <v>0.11581612268256714</v>
      </c>
      <c r="BE102" s="153">
        <f t="shared" si="103"/>
        <v>0.11002531654843878</v>
      </c>
      <c r="BF102" s="153">
        <f t="shared" si="103"/>
        <v>0.10452405072101684</v>
      </c>
      <c r="BG102" s="153">
        <f t="shared" si="103"/>
        <v>9.9297848184965995E-2</v>
      </c>
      <c r="BH102" s="153">
        <f t="shared" si="103"/>
        <v>9.4332955775717695E-2</v>
      </c>
      <c r="BI102" s="153">
        <f t="shared" si="103"/>
        <v>8.9616307986931806E-2</v>
      </c>
      <c r="BJ102" s="153">
        <f t="shared" si="103"/>
        <v>8.513549258758521E-2</v>
      </c>
      <c r="BK102" s="153">
        <f t="shared" si="103"/>
        <v>8.0878717958205948E-2</v>
      </c>
      <c r="BL102" s="153">
        <f t="shared" ref="BL102:BL114" si="104">+BK102*(1-$A$157/200)</f>
        <v>7.6834782060295648E-2</v>
      </c>
      <c r="BM102" s="153">
        <f t="shared" ref="BM102:BM114" si="105">+BL102*(1-$A$157/200)</f>
        <v>7.299304295728086E-2</v>
      </c>
      <c r="BN102" s="153">
        <f t="shared" ref="BN102:BN114" si="106">+BM102*(1-$A$157/200)</f>
        <v>6.9343390809416816E-2</v>
      </c>
      <c r="BO102" s="153">
        <f t="shared" ref="BO102:BO114" si="107">+BN102*(1-$A$157/200)</f>
        <v>6.5876221268945975E-2</v>
      </c>
      <c r="BP102" s="153">
        <f t="shared" ref="BP102:BQ114" si="108">+BO102*(1-$A$157/200)</f>
        <v>6.2582410205498679E-2</v>
      </c>
      <c r="BQ102" s="153">
        <f t="shared" si="108"/>
        <v>5.9453289695223739E-2</v>
      </c>
      <c r="BR102" s="153">
        <f t="shared" ref="BR102:BR113" si="109">+BQ102*(1-$A$157/200)</f>
        <v>5.648062521046255E-2</v>
      </c>
      <c r="BS102" s="153">
        <f t="shared" ref="BS102:BS113" si="110">+BR102*(1-$A$157/200)</f>
        <v>5.3656593949939421E-2</v>
      </c>
      <c r="BT102" s="153">
        <f t="shared" ref="BT102:BU113" si="111">+BS102*(1-$A$157/200)</f>
        <v>5.0973764252442447E-2</v>
      </c>
      <c r="BU102" s="153">
        <f t="shared" si="111"/>
        <v>4.8425076039820325E-2</v>
      </c>
      <c r="BV102" s="153">
        <f t="shared" ref="BV102:BV113" si="112">+BU102*(1-$A$157/200)</f>
        <v>4.6003822237829305E-2</v>
      </c>
      <c r="BW102" s="153">
        <f t="shared" ref="BW102:BW113" si="113">+BV102*(1-$A$157/200)</f>
        <v>4.3703631125937836E-2</v>
      </c>
      <c r="BX102" s="153">
        <f t="shared" ref="BX102:BX113" si="114">+BW102*(1-$A$157/200)</f>
        <v>4.1518449569640944E-2</v>
      </c>
      <c r="BY102" s="153">
        <f t="shared" ref="BY102:BY113" si="115">+BX102*(1-$A$157/200)</f>
        <v>3.9442527091158898E-2</v>
      </c>
      <c r="BZ102" s="153">
        <f t="shared" ref="BZ102:BZ113" si="116">+BY102*(1-$A$157/200)</f>
        <v>3.7470400736600948E-2</v>
      </c>
      <c r="CA102" s="153">
        <f t="shared" ref="CA102:CA113" si="117">+BZ102*(1-$A$157/200)</f>
        <v>3.5596880699770898E-2</v>
      </c>
      <c r="CB102" s="153">
        <f t="shared" ref="CB102:CB113" si="118">+CA102*(1-$A$157/200)</f>
        <v>3.3817036664782349E-2</v>
      </c>
      <c r="CC102" s="153">
        <f t="shared" ref="CC102:CC113" si="119">+CB102*(1-$A$157/200)</f>
        <v>3.2126184831543232E-2</v>
      </c>
      <c r="CD102" s="153">
        <f t="shared" ref="CD102:CD113" si="120">+CC102*(1-$A$157/200)</f>
        <v>3.0519875589966067E-2</v>
      </c>
      <c r="CE102" s="153">
        <f t="shared" ref="CE102:CE113" si="121">+CD102*(1-$A$157/200)</f>
        <v>2.8993881810467761E-2</v>
      </c>
      <c r="CF102" s="153">
        <f t="shared" ref="CF102:CF113" si="122">+CE102*(1-$A$157/200)</f>
        <v>2.7544187719944373E-2</v>
      </c>
      <c r="CG102" s="153">
        <f t="shared" ref="CG102:CG113" si="123">+CF102*(1-$A$157/200)</f>
        <v>2.6166978333947152E-2</v>
      </c>
      <c r="CH102" s="153">
        <f t="shared" ref="CH102:CH113" si="124">+CG102*(1-$A$157/200)</f>
        <v>2.4858629417249794E-2</v>
      </c>
      <c r="CI102" s="153">
        <f t="shared" ref="CI102:CI113" si="125">+CH102*(1-$A$157/200)</f>
        <v>2.3615697946387303E-2</v>
      </c>
      <c r="CJ102" s="153">
        <f t="shared" ref="CJ102:CJ113" si="126">+CI102*(1-$A$157/200)</f>
        <v>2.2434913049067938E-2</v>
      </c>
      <c r="CK102" s="153">
        <f t="shared" ref="CK102:CK113" si="127">+CJ102*(1-$A$157/200)</f>
        <v>2.1313167396614541E-2</v>
      </c>
      <c r="CL102" s="153">
        <f t="shared" ref="CL102:CL113" si="128">+CK102*(1-$A$157/200)</f>
        <v>2.0247509026783812E-2</v>
      </c>
      <c r="CM102" s="153">
        <f t="shared" ref="CM102:CM113" si="129">+CL102*(1-$A$157/200)</f>
        <v>1.9235133575444621E-2</v>
      </c>
      <c r="CN102" s="153">
        <f t="shared" ref="CN102:CN113" si="130">+CM102*(1-$A$157/200)</f>
        <v>1.827337689667239E-2</v>
      </c>
      <c r="CO102" s="153">
        <f t="shared" ref="CO102:CO113" si="131">+CN102*(1-$A$157/200)</f>
        <v>1.7359708051838771E-2</v>
      </c>
      <c r="CP102" s="153">
        <f t="shared" ref="CP102:CP113" si="132">+CO102*(1-$A$157/200)</f>
        <v>1.649172264924683E-2</v>
      </c>
      <c r="CQ102" s="153">
        <f t="shared" ref="CQ102:CQ113" si="133">+CP102*(1-$A$157/200)</f>
        <v>1.5667136516784488E-2</v>
      </c>
      <c r="CR102" s="153">
        <f t="shared" ref="CR102:CR113" si="134">+CQ102*(1-$A$157/200)</f>
        <v>1.4883779690945263E-2</v>
      </c>
      <c r="CS102" s="153">
        <f t="shared" ref="CS102:CS113" si="135">+CR102*(1-$A$157/200)</f>
        <v>1.4139590706398E-2</v>
      </c>
      <c r="CT102" s="153">
        <f t="shared" ref="CT102:CT113" si="136">+CS102*(1-$A$157/200)</f>
        <v>1.3432611171078098E-2</v>
      </c>
      <c r="CU102" s="153">
        <f t="shared" ref="CU102:CU113" si="137">+CT102*(1-$A$157/200)</f>
        <v>1.2760980612524193E-2</v>
      </c>
      <c r="CV102" s="153">
        <f t="shared" ref="CV102:CV113" si="138">+CU102*(1-$A$157/200)</f>
        <v>1.2122931581897983E-2</v>
      </c>
      <c r="CW102" s="153">
        <f t="shared" ref="CW102:CW113" si="139">+CV102*(1-$A$157/200)</f>
        <v>1.1516785002803084E-2</v>
      </c>
      <c r="CX102" s="153">
        <f t="shared" ref="CX102:CX113" si="140">+CW102*(1-$A$157/200)</f>
        <v>1.0940945752662929E-2</v>
      </c>
      <c r="CY102" s="153">
        <f t="shared" ref="CY102:CY113" si="141">+CX102*(1-$A$157/200)</f>
        <v>1.0393898465029782E-2</v>
      </c>
      <c r="CZ102" s="153">
        <f t="shared" ref="CZ102:CZ113" si="142">+CY102*(1-$A$157/200)</f>
        <v>9.8742035417782922E-3</v>
      </c>
      <c r="DA102" s="153">
        <f t="shared" ref="DA102:DA113" si="143">+CZ102*(1-$A$157/200)</f>
        <v>9.3804933646893778E-3</v>
      </c>
      <c r="DB102" s="153">
        <f t="shared" ref="DB102:DB113" si="144">+DA102*(1-$A$157/200)</f>
        <v>8.9114686964549081E-3</v>
      </c>
      <c r="DC102" s="153">
        <f t="shared" ref="DC102:DC113" si="145">+DB102*(1-$A$157/200)</f>
        <v>8.4658952616321632E-3</v>
      </c>
      <c r="DD102" s="153">
        <f t="shared" ref="DD102:DD113" si="146">+DC102*(1-$A$157/200)</f>
        <v>8.0426004985505554E-3</v>
      </c>
      <c r="DE102" s="153">
        <f t="shared" ref="DE102:DE113" si="147">+DD102*(1-$A$157/200)</f>
        <v>7.640470473623027E-3</v>
      </c>
      <c r="DF102" s="153">
        <f t="shared" ref="DF102:DF113" si="148">+DE102*(1-$A$157/200)</f>
        <v>7.2584469499418752E-3</v>
      </c>
      <c r="DG102" s="153">
        <f t="shared" ref="DG102:DG113" si="149">+DF102*(1-$A$157/200)</f>
        <v>6.8955246024447808E-3</v>
      </c>
      <c r="DH102" s="153">
        <f t="shared" ref="DH102:DH113" si="150">+DG102*(1-$A$157/200)</f>
        <v>6.5507483723225412E-3</v>
      </c>
      <c r="DI102" s="153">
        <f t="shared" ref="DI102:DI113" si="151">+DH102*(1-$A$157/200)</f>
        <v>6.223210953706414E-3</v>
      </c>
      <c r="DJ102" s="153">
        <f t="shared" ref="DJ102:DJ113" si="152">+DI102*(1-$A$157/200)</f>
        <v>5.9120504060210929E-3</v>
      </c>
      <c r="DK102" s="153">
        <f t="shared" ref="DK102:DK113" si="153">+DJ102*(1-$A$157/200)</f>
        <v>5.6164478857200382E-3</v>
      </c>
      <c r="DL102" s="153">
        <f t="shared" ref="DL102:DL113" si="154">+DK102*(1-$A$157/200)</f>
        <v>5.3356254914340359E-3</v>
      </c>
      <c r="DM102" s="153">
        <f t="shared" ref="DM102:DM113" si="155">+DL102*(1-$A$157/200)</f>
        <v>5.0688442168623339E-3</v>
      </c>
      <c r="DN102" s="153">
        <f t="shared" ref="DN102:DN113" si="156">+DM102*(1-$A$157/200)</f>
        <v>4.8154020060192171E-3</v>
      </c>
      <c r="DO102" s="153">
        <f t="shared" ref="DO102:DO113" si="157">+DN102*(1-$A$157/200)</f>
        <v>4.5746319057182565E-3</v>
      </c>
      <c r="DP102" s="153">
        <f t="shared" ref="DP102:DP113" si="158">+DO102*(1-$A$157/200)</f>
        <v>4.3459003104323437E-3</v>
      </c>
      <c r="DQ102" s="153">
        <f t="shared" ref="DQ102:DQ113" si="159">+DP102*(1-$A$157/200)</f>
        <v>4.1286052949107265E-3</v>
      </c>
      <c r="DR102" s="153">
        <f t="shared" ref="DR102:DR113" si="160">+DQ102*(1-$A$157/200)</f>
        <v>3.9221750301651898E-3</v>
      </c>
      <c r="DS102" s="153">
        <f t="shared" ref="DS102:DS113" si="161">+DR102*(1-$A$157/200)</f>
        <v>3.7260662786569301E-3</v>
      </c>
      <c r="DT102" s="153">
        <f t="shared" ref="DT102:DT113" si="162">+DS102*(1-$A$157/200)</f>
        <v>3.5397629647240833E-3</v>
      </c>
      <c r="DU102" s="153">
        <f t="shared" ref="DU102:DU113" si="163">+DT102*(1-$A$157/200)</f>
        <v>3.3627748164878788E-3</v>
      </c>
      <c r="DV102" s="153">
        <f t="shared" ref="DV102:DV113" si="164">+DU102*(1-$A$157/200)</f>
        <v>3.1946360756634849E-3</v>
      </c>
      <c r="DW102" s="153">
        <f t="shared" ref="DW102:DW113" si="165">+DV102*(1-$A$157/200)</f>
        <v>3.0349042718803105E-3</v>
      </c>
      <c r="DX102" s="153">
        <f t="shared" ref="DX102:DX113" si="166">+DW102*(1-$A$157/200)</f>
        <v>2.8831590582862948E-3</v>
      </c>
      <c r="DY102" s="153">
        <f t="shared" ref="DY102:DY113" si="167">+DX102*(1-$A$157/200)</f>
        <v>2.7390011053719798E-3</v>
      </c>
      <c r="DZ102" s="153">
        <f t="shared" ref="DZ102:DZ113" si="168">+DY102*(1-$A$157/200)</f>
        <v>2.6020510501033808E-3</v>
      </c>
    </row>
    <row r="103" spans="1:130" s="1" customFormat="1" x14ac:dyDescent="0.15">
      <c r="A103" s="347" t="s">
        <v>105</v>
      </c>
      <c r="B103" s="347"/>
      <c r="C103" s="348"/>
      <c r="D103" s="348"/>
      <c r="E103" s="348"/>
      <c r="F103" s="348"/>
      <c r="G103" s="348"/>
      <c r="H103" s="348"/>
      <c r="I103" s="324"/>
      <c r="J103" s="324"/>
      <c r="K103" s="324"/>
      <c r="L103" s="324"/>
      <c r="M103" s="324"/>
      <c r="N103" s="324"/>
      <c r="O103" s="324"/>
      <c r="P103" s="324"/>
      <c r="Q103" s="324"/>
      <c r="R103" s="8">
        <f t="shared" si="101"/>
        <v>1.1460506191660516</v>
      </c>
      <c r="S103" s="324"/>
      <c r="T103" s="324"/>
      <c r="U103" s="324"/>
      <c r="V103" s="324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3">
        <f t="shared" ref="AP103:BE113" si="170">+AO103*(1-$A$157/200)</f>
        <v>0.1805944284501283</v>
      </c>
      <c r="AQ103" s="153">
        <f t="shared" si="170"/>
        <v>0.17156470702762189</v>
      </c>
      <c r="AR103" s="153">
        <f t="shared" si="170"/>
        <v>0.16298647167624078</v>
      </c>
      <c r="AS103" s="153">
        <f t="shared" si="170"/>
        <v>0.15483714809242874</v>
      </c>
      <c r="AT103" s="153">
        <f t="shared" si="170"/>
        <v>0.1470952906878073</v>
      </c>
      <c r="AU103" s="153">
        <f t="shared" si="170"/>
        <v>0.13974052615341692</v>
      </c>
      <c r="AV103" s="153">
        <f t="shared" si="170"/>
        <v>0.13275349984574608</v>
      </c>
      <c r="AW103" s="153">
        <f t="shared" si="170"/>
        <v>0.12611582485345876</v>
      </c>
      <c r="AX103" s="153">
        <f t="shared" si="170"/>
        <v>0.11981003361078582</v>
      </c>
      <c r="AY103" s="153">
        <f t="shared" si="170"/>
        <v>0.11381953193024652</v>
      </c>
      <c r="AZ103" s="153">
        <f t="shared" si="170"/>
        <v>0.10812855533373419</v>
      </c>
      <c r="BA103" s="153">
        <f t="shared" si="170"/>
        <v>0.10272212756704747</v>
      </c>
      <c r="BB103" s="153">
        <f t="shared" si="170"/>
        <v>9.7586021188695096E-2</v>
      </c>
      <c r="BC103" s="153">
        <f t="shared" si="170"/>
        <v>9.2706720129260331E-2</v>
      </c>
      <c r="BD103" s="153">
        <f t="shared" si="170"/>
        <v>8.8071384122797317E-2</v>
      </c>
      <c r="BE103" s="153">
        <f t="shared" si="170"/>
        <v>8.3667814916657451E-2</v>
      </c>
      <c r="BF103" s="153">
        <f t="shared" ref="BF103:BK114" si="171">+BE103*(1-$A$157/200)</f>
        <v>7.9484424170824575E-2</v>
      </c>
      <c r="BG103" s="153">
        <f t="shared" si="171"/>
        <v>7.5510202962283349E-2</v>
      </c>
      <c r="BH103" s="153">
        <f t="shared" si="171"/>
        <v>7.1734692814169179E-2</v>
      </c>
      <c r="BI103" s="153">
        <f t="shared" si="171"/>
        <v>6.8147958173460713E-2</v>
      </c>
      <c r="BJ103" s="153">
        <f t="shared" si="171"/>
        <v>6.474056026478768E-2</v>
      </c>
      <c r="BK103" s="153">
        <f t="shared" si="171"/>
        <v>6.1503532251548296E-2</v>
      </c>
      <c r="BL103" s="153">
        <f t="shared" si="104"/>
        <v>5.8428355638970877E-2</v>
      </c>
      <c r="BM103" s="153">
        <f t="shared" si="105"/>
        <v>5.5506937857022334E-2</v>
      </c>
      <c r="BN103" s="153">
        <f t="shared" si="106"/>
        <v>5.2731590964171217E-2</v>
      </c>
      <c r="BO103" s="153">
        <f t="shared" si="107"/>
        <v>5.0095011415962655E-2</v>
      </c>
      <c r="BP103" s="153">
        <f t="shared" si="108"/>
        <v>4.7590260845164517E-2</v>
      </c>
      <c r="BQ103" s="153">
        <f t="shared" si="108"/>
        <v>4.5210747802906286E-2</v>
      </c>
      <c r="BR103" s="153">
        <f t="shared" si="109"/>
        <v>4.2950210412760967E-2</v>
      </c>
      <c r="BS103" s="153">
        <f t="shared" si="110"/>
        <v>4.0802699892122915E-2</v>
      </c>
      <c r="BT103" s="153">
        <f t="shared" si="111"/>
        <v>3.8762564897516769E-2</v>
      </c>
      <c r="BU103" s="153">
        <f t="shared" si="111"/>
        <v>3.6824436652640929E-2</v>
      </c>
      <c r="BV103" s="153">
        <f t="shared" si="112"/>
        <v>3.4983214820008879E-2</v>
      </c>
      <c r="BW103" s="153">
        <f t="shared" si="113"/>
        <v>3.3234054079008431E-2</v>
      </c>
      <c r="BX103" s="153">
        <f t="shared" si="114"/>
        <v>3.1572351375058011E-2</v>
      </c>
      <c r="BY103" s="153">
        <f t="shared" si="115"/>
        <v>2.9993733806305108E-2</v>
      </c>
      <c r="BZ103" s="153">
        <f t="shared" si="116"/>
        <v>2.8494047115989851E-2</v>
      </c>
      <c r="CA103" s="153">
        <f t="shared" si="117"/>
        <v>2.7069344760190357E-2</v>
      </c>
      <c r="CB103" s="153">
        <f t="shared" si="118"/>
        <v>2.5715877522180838E-2</v>
      </c>
      <c r="CC103" s="153">
        <f t="shared" si="119"/>
        <v>2.4430083646071795E-2</v>
      </c>
      <c r="CD103" s="153">
        <f t="shared" si="120"/>
        <v>2.3208579463768204E-2</v>
      </c>
      <c r="CE103" s="153">
        <f t="shared" si="121"/>
        <v>2.2048150490579795E-2</v>
      </c>
      <c r="CF103" s="153">
        <f t="shared" si="122"/>
        <v>2.0945742966050805E-2</v>
      </c>
      <c r="CG103" s="153">
        <f t="shared" si="123"/>
        <v>1.9898455817748264E-2</v>
      </c>
      <c r="CH103" s="153">
        <f t="shared" si="124"/>
        <v>1.890353302686085E-2</v>
      </c>
      <c r="CI103" s="153">
        <f t="shared" si="125"/>
        <v>1.7958356375517806E-2</v>
      </c>
      <c r="CJ103" s="153">
        <f t="shared" si="126"/>
        <v>1.7060438556741914E-2</v>
      </c>
      <c r="CK103" s="153">
        <f t="shared" si="127"/>
        <v>1.6207416628904816E-2</v>
      </c>
      <c r="CL103" s="153">
        <f t="shared" si="128"/>
        <v>1.5397045797459574E-2</v>
      </c>
      <c r="CM103" s="153">
        <f t="shared" si="129"/>
        <v>1.4627193507586594E-2</v>
      </c>
      <c r="CN103" s="153">
        <f t="shared" si="130"/>
        <v>1.3895833832207265E-2</v>
      </c>
      <c r="CO103" s="153">
        <f t="shared" si="131"/>
        <v>1.32010421405969E-2</v>
      </c>
      <c r="CP103" s="153">
        <f t="shared" si="132"/>
        <v>1.2540990033567054E-2</v>
      </c>
      <c r="CQ103" s="153">
        <f t="shared" si="133"/>
        <v>1.1913940531888701E-2</v>
      </c>
      <c r="CR103" s="153">
        <f t="shared" si="134"/>
        <v>1.1318243505294265E-2</v>
      </c>
      <c r="CS103" s="153">
        <f t="shared" si="135"/>
        <v>1.0752331330029551E-2</v>
      </c>
      <c r="CT103" s="153">
        <f t="shared" si="136"/>
        <v>1.0214714763528072E-2</v>
      </c>
      <c r="CU103" s="153">
        <f t="shared" si="137"/>
        <v>9.7039790253516684E-3</v>
      </c>
      <c r="CV103" s="153">
        <f t="shared" si="138"/>
        <v>9.2187800740840854E-3</v>
      </c>
      <c r="CW103" s="153">
        <f t="shared" si="139"/>
        <v>8.7578410703798813E-3</v>
      </c>
      <c r="CX103" s="153">
        <f t="shared" si="140"/>
        <v>8.319949016860886E-3</v>
      </c>
      <c r="CY103" s="153">
        <f t="shared" si="141"/>
        <v>7.9039515660178413E-3</v>
      </c>
      <c r="CZ103" s="153">
        <f t="shared" si="142"/>
        <v>7.508753987716949E-3</v>
      </c>
      <c r="DA103" s="153">
        <f t="shared" si="143"/>
        <v>7.133316288331101E-3</v>
      </c>
      <c r="DB103" s="153">
        <f t="shared" si="144"/>
        <v>6.776650473914546E-3</v>
      </c>
      <c r="DC103" s="153">
        <f t="shared" si="145"/>
        <v>6.4378179502188188E-3</v>
      </c>
      <c r="DD103" s="153">
        <f t="shared" si="146"/>
        <v>6.1159270527078773E-3</v>
      </c>
      <c r="DE103" s="153">
        <f t="shared" si="147"/>
        <v>5.8101307000724828E-3</v>
      </c>
      <c r="DF103" s="153">
        <f t="shared" si="148"/>
        <v>5.5196241650688586E-3</v>
      </c>
      <c r="DG103" s="153">
        <f t="shared" si="149"/>
        <v>5.2436429568154157E-3</v>
      </c>
      <c r="DH103" s="153">
        <f t="shared" si="150"/>
        <v>4.9814608089746443E-3</v>
      </c>
      <c r="DI103" s="153">
        <f t="shared" si="151"/>
        <v>4.7323877685259115E-3</v>
      </c>
      <c r="DJ103" s="153">
        <f t="shared" si="152"/>
        <v>4.4957683800996157E-3</v>
      </c>
      <c r="DK103" s="153">
        <f t="shared" si="153"/>
        <v>4.2709799610946347E-3</v>
      </c>
      <c r="DL103" s="153">
        <f t="shared" si="154"/>
        <v>4.0574309630399029E-3</v>
      </c>
      <c r="DM103" s="153">
        <f t="shared" si="155"/>
        <v>3.8545594148879075E-3</v>
      </c>
      <c r="DN103" s="153">
        <f t="shared" si="156"/>
        <v>3.6618314441435118E-3</v>
      </c>
      <c r="DO103" s="153">
        <f t="shared" si="157"/>
        <v>3.4787398719363363E-3</v>
      </c>
      <c r="DP103" s="153">
        <f t="shared" si="158"/>
        <v>3.3048028783395195E-3</v>
      </c>
      <c r="DQ103" s="153">
        <f t="shared" si="159"/>
        <v>3.1395627344225434E-3</v>
      </c>
      <c r="DR103" s="153">
        <f t="shared" si="160"/>
        <v>2.9825845977014161E-3</v>
      </c>
      <c r="DS103" s="153">
        <f t="shared" si="161"/>
        <v>2.833455367816345E-3</v>
      </c>
      <c r="DT103" s="153">
        <f t="shared" si="162"/>
        <v>2.6917825994255276E-3</v>
      </c>
      <c r="DU103" s="153">
        <f t="shared" si="163"/>
        <v>2.5571934694542512E-3</v>
      </c>
      <c r="DV103" s="153">
        <f t="shared" si="164"/>
        <v>2.4293337959815386E-3</v>
      </c>
      <c r="DW103" s="153">
        <f t="shared" si="165"/>
        <v>2.3078671061824616E-3</v>
      </c>
      <c r="DX103" s="153">
        <f t="shared" si="166"/>
        <v>2.1924737508733382E-3</v>
      </c>
      <c r="DY103" s="153">
        <f t="shared" si="167"/>
        <v>2.0828500633296712E-3</v>
      </c>
      <c r="DZ103" s="153">
        <f t="shared" si="168"/>
        <v>1.9787075601631877E-3</v>
      </c>
    </row>
    <row r="104" spans="1:130" s="1" customFormat="1" x14ac:dyDescent="0.15">
      <c r="A104" s="347" t="s">
        <v>51</v>
      </c>
      <c r="B104" s="347"/>
      <c r="C104" s="348"/>
      <c r="D104" s="348"/>
      <c r="E104" s="348"/>
      <c r="F104" s="348"/>
      <c r="G104" s="348"/>
      <c r="H104" s="348"/>
      <c r="I104" s="324"/>
      <c r="J104" s="324"/>
      <c r="K104" s="324"/>
      <c r="L104" s="324"/>
      <c r="M104" s="324"/>
      <c r="N104" s="324"/>
      <c r="O104" s="324"/>
      <c r="P104" s="324"/>
      <c r="Q104" s="324"/>
      <c r="R104" s="8">
        <f t="shared" si="101"/>
        <v>0.36996592574248305</v>
      </c>
      <c r="S104" s="324"/>
      <c r="T104" s="324"/>
      <c r="U104" s="324"/>
      <c r="V104" s="324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3">
        <f t="shared" si="170"/>
        <v>4.6346743634058704E-2</v>
      </c>
      <c r="AQ104" s="153">
        <f t="shared" si="170"/>
        <v>4.4029406452355764E-2</v>
      </c>
      <c r="AR104" s="153">
        <f t="shared" si="170"/>
        <v>4.1827936129737973E-2</v>
      </c>
      <c r="AS104" s="153">
        <f t="shared" si="170"/>
        <v>3.9736539323251073E-2</v>
      </c>
      <c r="AT104" s="153">
        <f t="shared" si="170"/>
        <v>3.7749712357088516E-2</v>
      </c>
      <c r="AU104" s="153">
        <f t="shared" si="170"/>
        <v>3.5862226739234088E-2</v>
      </c>
      <c r="AV104" s="153">
        <f t="shared" si="170"/>
        <v>3.4069115402272379E-2</v>
      </c>
      <c r="AW104" s="153">
        <f t="shared" si="170"/>
        <v>3.2365659632158761E-2</v>
      </c>
      <c r="AX104" s="153">
        <f t="shared" si="170"/>
        <v>3.0747376650550821E-2</v>
      </c>
      <c r="AY104" s="153">
        <f t="shared" si="170"/>
        <v>2.9210007818023281E-2</v>
      </c>
      <c r="AZ104" s="153">
        <f t="shared" si="170"/>
        <v>2.7749507427122115E-2</v>
      </c>
      <c r="BA104" s="153">
        <f t="shared" si="170"/>
        <v>2.6362032055766007E-2</v>
      </c>
      <c r="BB104" s="153">
        <f t="shared" si="170"/>
        <v>2.5043930452977706E-2</v>
      </c>
      <c r="BC104" s="153">
        <f t="shared" si="170"/>
        <v>2.379173393032882E-2</v>
      </c>
      <c r="BD104" s="153">
        <f t="shared" si="170"/>
        <v>2.2602147233812379E-2</v>
      </c>
      <c r="BE104" s="153">
        <f t="shared" si="170"/>
        <v>2.1472039872121759E-2</v>
      </c>
      <c r="BF104" s="153">
        <f t="shared" si="171"/>
        <v>2.0398437878515668E-2</v>
      </c>
      <c r="BG104" s="153">
        <f t="shared" si="171"/>
        <v>1.9378515984589884E-2</v>
      </c>
      <c r="BH104" s="153">
        <f t="shared" si="171"/>
        <v>1.840959018536039E-2</v>
      </c>
      <c r="BI104" s="153">
        <f t="shared" si="171"/>
        <v>1.7489110676092368E-2</v>
      </c>
      <c r="BJ104" s="153">
        <f t="shared" si="171"/>
        <v>1.661465514228775E-2</v>
      </c>
      <c r="BK104" s="153">
        <f t="shared" si="171"/>
        <v>1.5783922385173361E-2</v>
      </c>
      <c r="BL104" s="153">
        <f t="shared" si="104"/>
        <v>1.4994726265914691E-2</v>
      </c>
      <c r="BM104" s="153">
        <f t="shared" si="105"/>
        <v>1.4244989952618956E-2</v>
      </c>
      <c r="BN104" s="153">
        <f t="shared" si="106"/>
        <v>1.3532740454988007E-2</v>
      </c>
      <c r="BO104" s="153">
        <f t="shared" si="107"/>
        <v>1.2856103432238607E-2</v>
      </c>
      <c r="BP104" s="153">
        <f t="shared" si="108"/>
        <v>1.2213298260626676E-2</v>
      </c>
      <c r="BQ104" s="153">
        <f t="shared" si="108"/>
        <v>1.1602633347595341E-2</v>
      </c>
      <c r="BR104" s="153">
        <f t="shared" si="109"/>
        <v>1.1022501680215574E-2</v>
      </c>
      <c r="BS104" s="153">
        <f t="shared" si="110"/>
        <v>1.0471376596204795E-2</v>
      </c>
      <c r="BT104" s="153">
        <f t="shared" si="111"/>
        <v>9.9478077663945549E-3</v>
      </c>
      <c r="BU104" s="153">
        <f t="shared" si="111"/>
        <v>9.4504173780748275E-3</v>
      </c>
      <c r="BV104" s="153">
        <f t="shared" si="112"/>
        <v>8.9778965091710863E-3</v>
      </c>
      <c r="BW104" s="153">
        <f t="shared" si="113"/>
        <v>8.5290016837125324E-3</v>
      </c>
      <c r="BX104" s="153">
        <f t="shared" si="114"/>
        <v>8.1025515995269051E-3</v>
      </c>
      <c r="BY104" s="153">
        <f t="shared" si="115"/>
        <v>7.6974240195505595E-3</v>
      </c>
      <c r="BZ104" s="153">
        <f t="shared" si="116"/>
        <v>7.3125528185730313E-3</v>
      </c>
      <c r="CA104" s="153">
        <f t="shared" si="117"/>
        <v>6.9469251776443797E-3</v>
      </c>
      <c r="CB104" s="153">
        <f t="shared" si="118"/>
        <v>6.5995789187621601E-3</v>
      </c>
      <c r="CC104" s="153">
        <f t="shared" si="119"/>
        <v>6.269599972824052E-3</v>
      </c>
      <c r="CD104" s="153">
        <f t="shared" si="120"/>
        <v>5.9561199741828491E-3</v>
      </c>
      <c r="CE104" s="153">
        <f t="shared" si="121"/>
        <v>5.658313975473706E-3</v>
      </c>
      <c r="CF104" s="153">
        <f t="shared" si="122"/>
        <v>5.3753982767000205E-3</v>
      </c>
      <c r="CG104" s="153">
        <f t="shared" si="123"/>
        <v>5.1066283628650195E-3</v>
      </c>
      <c r="CH104" s="153">
        <f t="shared" si="124"/>
        <v>4.8512969447217684E-3</v>
      </c>
      <c r="CI104" s="153">
        <f t="shared" si="125"/>
        <v>4.6087320974856801E-3</v>
      </c>
      <c r="CJ104" s="153">
        <f t="shared" si="126"/>
        <v>4.378295492611396E-3</v>
      </c>
      <c r="CK104" s="153">
        <f t="shared" si="127"/>
        <v>4.1593807179808257E-3</v>
      </c>
      <c r="CL104" s="153">
        <f t="shared" si="128"/>
        <v>3.9514116820817844E-3</v>
      </c>
      <c r="CM104" s="153">
        <f t="shared" si="129"/>
        <v>3.7538410979776949E-3</v>
      </c>
      <c r="CN104" s="153">
        <f t="shared" si="130"/>
        <v>3.5661490430788098E-3</v>
      </c>
      <c r="CO104" s="153">
        <f t="shared" si="131"/>
        <v>3.3878415909248693E-3</v>
      </c>
      <c r="CP104" s="153">
        <f t="shared" si="132"/>
        <v>3.2184495113786256E-3</v>
      </c>
      <c r="CQ104" s="153">
        <f t="shared" si="133"/>
        <v>3.0575270358096942E-3</v>
      </c>
      <c r="CR104" s="153">
        <f t="shared" si="134"/>
        <v>2.9046506840192093E-3</v>
      </c>
      <c r="CS104" s="153">
        <f t="shared" si="135"/>
        <v>2.7594181498182485E-3</v>
      </c>
      <c r="CT104" s="153">
        <f t="shared" si="136"/>
        <v>2.621447242327336E-3</v>
      </c>
      <c r="CU104" s="153">
        <f t="shared" si="137"/>
        <v>2.4903748802109693E-3</v>
      </c>
      <c r="CV104" s="153">
        <f t="shared" si="138"/>
        <v>2.3658561362004207E-3</v>
      </c>
      <c r="CW104" s="153">
        <f t="shared" si="139"/>
        <v>2.2475633293903997E-3</v>
      </c>
      <c r="CX104" s="153">
        <f t="shared" si="140"/>
        <v>2.1351851629208794E-3</v>
      </c>
      <c r="CY104" s="153">
        <f t="shared" si="141"/>
        <v>2.0284259047748353E-3</v>
      </c>
      <c r="CZ104" s="153">
        <f t="shared" si="142"/>
        <v>1.9270046095360934E-3</v>
      </c>
      <c r="DA104" s="153">
        <f t="shared" si="143"/>
        <v>1.8306543790592887E-3</v>
      </c>
      <c r="DB104" s="153">
        <f t="shared" si="144"/>
        <v>1.7391216601063241E-3</v>
      </c>
      <c r="DC104" s="153">
        <f t="shared" si="145"/>
        <v>1.6521655771010078E-3</v>
      </c>
      <c r="DD104" s="153">
        <f t="shared" si="146"/>
        <v>1.5695572982459573E-3</v>
      </c>
      <c r="DE104" s="153">
        <f t="shared" si="147"/>
        <v>1.4910794333336593E-3</v>
      </c>
      <c r="DF104" s="153">
        <f t="shared" si="148"/>
        <v>1.4165254616669762E-3</v>
      </c>
      <c r="DG104" s="153">
        <f t="shared" si="149"/>
        <v>1.3456991885836273E-3</v>
      </c>
      <c r="DH104" s="153">
        <f t="shared" si="150"/>
        <v>1.2784142291544459E-3</v>
      </c>
      <c r="DI104" s="153">
        <f t="shared" si="151"/>
        <v>1.2144935176967235E-3</v>
      </c>
      <c r="DJ104" s="153">
        <f t="shared" si="152"/>
        <v>1.1537688418118872E-3</v>
      </c>
      <c r="DK104" s="153">
        <f t="shared" si="153"/>
        <v>1.0960803997212929E-3</v>
      </c>
      <c r="DL104" s="153">
        <f t="shared" si="154"/>
        <v>1.0412763797352281E-3</v>
      </c>
      <c r="DM104" s="153">
        <f t="shared" si="155"/>
        <v>9.892125607484667E-4</v>
      </c>
      <c r="DN104" s="153">
        <f t="shared" si="156"/>
        <v>9.3975193271104334E-4</v>
      </c>
      <c r="DO104" s="153">
        <f t="shared" si="157"/>
        <v>8.9276433607549111E-4</v>
      </c>
      <c r="DP104" s="153">
        <f t="shared" si="158"/>
        <v>8.4812611927171646E-4</v>
      </c>
      <c r="DQ104" s="153">
        <f t="shared" si="159"/>
        <v>8.0571981330813057E-4</v>
      </c>
      <c r="DR104" s="153">
        <f t="shared" si="160"/>
        <v>7.6543382264272406E-4</v>
      </c>
      <c r="DS104" s="153">
        <f t="shared" si="161"/>
        <v>7.2716213151058785E-4</v>
      </c>
      <c r="DT104" s="153">
        <f t="shared" si="162"/>
        <v>6.9080402493505841E-4</v>
      </c>
      <c r="DU104" s="153">
        <f t="shared" si="163"/>
        <v>6.5626382368830542E-4</v>
      </c>
      <c r="DV104" s="153">
        <f t="shared" si="164"/>
        <v>6.2345063250389009E-4</v>
      </c>
      <c r="DW104" s="153">
        <f t="shared" si="165"/>
        <v>5.922781008786956E-4</v>
      </c>
      <c r="DX104" s="153">
        <f t="shared" si="166"/>
        <v>5.6266419583476078E-4</v>
      </c>
      <c r="DY104" s="153">
        <f t="shared" si="167"/>
        <v>5.345309860430227E-4</v>
      </c>
      <c r="DZ104" s="153">
        <f t="shared" si="168"/>
        <v>5.0780443674087149E-4</v>
      </c>
    </row>
    <row r="105" spans="1:130" s="1" customFormat="1" x14ac:dyDescent="0.15">
      <c r="A105" s="1" t="s">
        <v>52</v>
      </c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8">
        <f t="shared" si="101"/>
        <v>0.43123618180564005</v>
      </c>
      <c r="S105" s="324"/>
      <c r="T105" s="324"/>
      <c r="U105" s="324"/>
      <c r="V105" s="324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3">
        <f t="shared" si="170"/>
        <v>0.11008121525189475</v>
      </c>
      <c r="AQ105" s="153">
        <f t="shared" si="170"/>
        <v>0.10457715448930001</v>
      </c>
      <c r="AR105" s="153">
        <f t="shared" si="170"/>
        <v>9.9348296764835003E-2</v>
      </c>
      <c r="AS105" s="153">
        <f t="shared" si="170"/>
        <v>9.4380881926593246E-2</v>
      </c>
      <c r="AT105" s="153">
        <f t="shared" si="170"/>
        <v>8.9661837830263574E-2</v>
      </c>
      <c r="AU105" s="153">
        <f t="shared" si="170"/>
        <v>8.5178745938750397E-2</v>
      </c>
      <c r="AV105" s="153">
        <f t="shared" si="170"/>
        <v>8.0919808641812876E-2</v>
      </c>
      <c r="AW105" s="153">
        <f t="shared" si="170"/>
        <v>7.6873818209722222E-2</v>
      </c>
      <c r="AX105" s="153">
        <f t="shared" si="170"/>
        <v>7.3030127299236108E-2</v>
      </c>
      <c r="AY105" s="153">
        <f t="shared" si="170"/>
        <v>6.9378620934274299E-2</v>
      </c>
      <c r="AZ105" s="153">
        <f t="shared" si="170"/>
        <v>6.5909689887560574E-2</v>
      </c>
      <c r="BA105" s="153">
        <f t="shared" si="170"/>
        <v>6.2614205393182548E-2</v>
      </c>
      <c r="BB105" s="153">
        <f t="shared" si="170"/>
        <v>5.9483495123523418E-2</v>
      </c>
      <c r="BC105" s="153">
        <f t="shared" si="170"/>
        <v>5.6509320367347245E-2</v>
      </c>
      <c r="BD105" s="153">
        <f t="shared" si="170"/>
        <v>5.3683854348979883E-2</v>
      </c>
      <c r="BE105" s="153">
        <f t="shared" si="170"/>
        <v>5.0999661631530885E-2</v>
      </c>
      <c r="BF105" s="153">
        <f t="shared" si="171"/>
        <v>4.8449678549954335E-2</v>
      </c>
      <c r="BG105" s="153">
        <f t="shared" si="171"/>
        <v>4.6027194622456614E-2</v>
      </c>
      <c r="BH105" s="153">
        <f t="shared" si="171"/>
        <v>4.3725834891333783E-2</v>
      </c>
      <c r="BI105" s="153">
        <f t="shared" si="171"/>
        <v>4.153954314676709E-2</v>
      </c>
      <c r="BJ105" s="153">
        <f t="shared" si="171"/>
        <v>3.9462565989428731E-2</v>
      </c>
      <c r="BK105" s="153">
        <f t="shared" si="171"/>
        <v>3.7489437689957293E-2</v>
      </c>
      <c r="BL105" s="153">
        <f t="shared" si="104"/>
        <v>3.5614965805459427E-2</v>
      </c>
      <c r="BM105" s="153">
        <f t="shared" si="105"/>
        <v>3.3834217515186456E-2</v>
      </c>
      <c r="BN105" s="153">
        <f t="shared" si="106"/>
        <v>3.2142506639427131E-2</v>
      </c>
      <c r="BO105" s="153">
        <f t="shared" si="107"/>
        <v>3.0535381307455773E-2</v>
      </c>
      <c r="BP105" s="153">
        <f t="shared" si="108"/>
        <v>2.9008612242082982E-2</v>
      </c>
      <c r="BQ105" s="153">
        <f t="shared" si="108"/>
        <v>2.7558181629978831E-2</v>
      </c>
      <c r="BR105" s="153">
        <f t="shared" si="109"/>
        <v>2.6180272548479887E-2</v>
      </c>
      <c r="BS105" s="153">
        <f t="shared" si="110"/>
        <v>2.4871258921055892E-2</v>
      </c>
      <c r="BT105" s="153">
        <f t="shared" si="111"/>
        <v>2.3627695975003096E-2</v>
      </c>
      <c r="BU105" s="153">
        <f t="shared" si="111"/>
        <v>2.2446311176252939E-2</v>
      </c>
      <c r="BV105" s="153">
        <f t="shared" si="112"/>
        <v>2.1323995617440292E-2</v>
      </c>
      <c r="BW105" s="153">
        <f t="shared" si="113"/>
        <v>2.0257795836568275E-2</v>
      </c>
      <c r="BX105" s="153">
        <f t="shared" si="114"/>
        <v>1.924490604473986E-2</v>
      </c>
      <c r="BY105" s="153">
        <f t="shared" si="115"/>
        <v>1.8282660742502867E-2</v>
      </c>
      <c r="BZ105" s="153">
        <f t="shared" si="116"/>
        <v>1.7368527705377723E-2</v>
      </c>
      <c r="CA105" s="153">
        <f t="shared" si="117"/>
        <v>1.6500101320108835E-2</v>
      </c>
      <c r="CB105" s="153">
        <f t="shared" si="118"/>
        <v>1.5675096254103394E-2</v>
      </c>
      <c r="CC105" s="153">
        <f t="shared" si="119"/>
        <v>1.4891341441398224E-2</v>
      </c>
      <c r="CD105" s="153">
        <f t="shared" si="120"/>
        <v>1.4146774369328312E-2</v>
      </c>
      <c r="CE105" s="153">
        <f t="shared" si="121"/>
        <v>1.3439435650861895E-2</v>
      </c>
      <c r="CF105" s="153">
        <f t="shared" si="122"/>
        <v>1.27674638683188E-2</v>
      </c>
      <c r="CG105" s="153">
        <f t="shared" si="123"/>
        <v>1.212909067490286E-2</v>
      </c>
      <c r="CH105" s="153">
        <f t="shared" si="124"/>
        <v>1.1522636141157717E-2</v>
      </c>
      <c r="CI105" s="153">
        <f t="shared" si="125"/>
        <v>1.094650433409983E-2</v>
      </c>
      <c r="CJ105" s="153">
        <f t="shared" si="126"/>
        <v>1.0399179117394838E-2</v>
      </c>
      <c r="CK105" s="153">
        <f t="shared" si="127"/>
        <v>9.8792201615250964E-3</v>
      </c>
      <c r="CL105" s="153">
        <f t="shared" si="128"/>
        <v>9.3852591534488404E-3</v>
      </c>
      <c r="CM105" s="153">
        <f t="shared" si="129"/>
        <v>8.9159961957763975E-3</v>
      </c>
      <c r="CN105" s="153">
        <f t="shared" si="130"/>
        <v>8.470196385987578E-3</v>
      </c>
      <c r="CO105" s="153">
        <f t="shared" si="131"/>
        <v>8.0466865666881989E-3</v>
      </c>
      <c r="CP105" s="153">
        <f t="shared" si="132"/>
        <v>7.6443522383537882E-3</v>
      </c>
      <c r="CQ105" s="153">
        <f t="shared" si="133"/>
        <v>7.2621346264360983E-3</v>
      </c>
      <c r="CR105" s="153">
        <f t="shared" si="134"/>
        <v>6.8990278951142929E-3</v>
      </c>
      <c r="CS105" s="153">
        <f t="shared" si="135"/>
        <v>6.5540765003585782E-3</v>
      </c>
      <c r="CT105" s="153">
        <f t="shared" si="136"/>
        <v>6.2263726753406488E-3</v>
      </c>
      <c r="CU105" s="153">
        <f t="shared" si="137"/>
        <v>5.9150540415736164E-3</v>
      </c>
      <c r="CV105" s="153">
        <f t="shared" si="138"/>
        <v>5.6193013394949349E-3</v>
      </c>
      <c r="CW105" s="153">
        <f t="shared" si="139"/>
        <v>5.3383362725201878E-3</v>
      </c>
      <c r="CX105" s="153">
        <f t="shared" si="140"/>
        <v>5.0714194588941785E-3</v>
      </c>
      <c r="CY105" s="153">
        <f t="shared" si="141"/>
        <v>4.8178484859494695E-3</v>
      </c>
      <c r="CZ105" s="153">
        <f t="shared" si="142"/>
        <v>4.5769560616519961E-3</v>
      </c>
      <c r="DA105" s="153">
        <f t="shared" si="143"/>
        <v>4.3481082585693958E-3</v>
      </c>
      <c r="DB105" s="153">
        <f t="shared" si="144"/>
        <v>4.1307028456409262E-3</v>
      </c>
      <c r="DC105" s="153">
        <f t="shared" si="145"/>
        <v>3.9241677033588799E-3</v>
      </c>
      <c r="DD105" s="153">
        <f t="shared" si="146"/>
        <v>3.7279593181909357E-3</v>
      </c>
      <c r="DE105" s="153">
        <f t="shared" si="147"/>
        <v>3.5415613522813889E-3</v>
      </c>
      <c r="DF105" s="153">
        <f t="shared" si="148"/>
        <v>3.3644832846673194E-3</v>
      </c>
      <c r="DG105" s="153">
        <f t="shared" si="149"/>
        <v>3.1962591204339531E-3</v>
      </c>
      <c r="DH105" s="153">
        <f t="shared" si="150"/>
        <v>3.0364461644122554E-3</v>
      </c>
      <c r="DI105" s="153">
        <f t="shared" si="151"/>
        <v>2.8846238561916425E-3</v>
      </c>
      <c r="DJ105" s="153">
        <f t="shared" si="152"/>
        <v>2.7403926633820601E-3</v>
      </c>
      <c r="DK105" s="153">
        <f t="shared" si="153"/>
        <v>2.6033730302129571E-3</v>
      </c>
      <c r="DL105" s="153">
        <f t="shared" si="154"/>
        <v>2.4732043787023092E-3</v>
      </c>
      <c r="DM105" s="153">
        <f t="shared" si="155"/>
        <v>2.3495441597671937E-3</v>
      </c>
      <c r="DN105" s="153">
        <f t="shared" si="156"/>
        <v>2.2320669517788337E-3</v>
      </c>
      <c r="DO105" s="153">
        <f t="shared" si="157"/>
        <v>2.1204636041898921E-3</v>
      </c>
      <c r="DP105" s="153">
        <f t="shared" si="158"/>
        <v>2.0144404239803974E-3</v>
      </c>
      <c r="DQ105" s="153">
        <f t="shared" si="159"/>
        <v>1.9137184027813775E-3</v>
      </c>
      <c r="DR105" s="153">
        <f t="shared" si="160"/>
        <v>1.8180324826423085E-3</v>
      </c>
      <c r="DS105" s="153">
        <f t="shared" si="161"/>
        <v>1.727130858510193E-3</v>
      </c>
      <c r="DT105" s="153">
        <f t="shared" si="162"/>
        <v>1.6407743155846832E-3</v>
      </c>
      <c r="DU105" s="153">
        <f t="shared" si="163"/>
        <v>1.5587355998054489E-3</v>
      </c>
      <c r="DV105" s="153">
        <f t="shared" si="164"/>
        <v>1.4807988198151764E-3</v>
      </c>
      <c r="DW105" s="153">
        <f t="shared" si="165"/>
        <v>1.4067588788244175E-3</v>
      </c>
      <c r="DX105" s="153">
        <f t="shared" si="166"/>
        <v>1.3364209348831965E-3</v>
      </c>
      <c r="DY105" s="153">
        <f t="shared" si="167"/>
        <v>1.2695998881390367E-3</v>
      </c>
      <c r="DZ105" s="153">
        <f t="shared" si="168"/>
        <v>1.2061198937320847E-3</v>
      </c>
    </row>
    <row r="106" spans="1:130" s="1" customFormat="1" x14ac:dyDescent="0.15">
      <c r="A106" s="1" t="s">
        <v>53</v>
      </c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8">
        <f t="shared" si="101"/>
        <v>0.25666629327477047</v>
      </c>
      <c r="S106" s="324"/>
      <c r="T106" s="324"/>
      <c r="U106" s="324"/>
      <c r="V106" s="324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3">
        <f t="shared" si="170"/>
        <v>8.3455650664141345E-2</v>
      </c>
      <c r="AQ106" s="153">
        <f t="shared" si="170"/>
        <v>7.928286813093427E-2</v>
      </c>
      <c r="AR106" s="153">
        <f t="shared" si="170"/>
        <v>7.5318724724387554E-2</v>
      </c>
      <c r="AS106" s="153">
        <f t="shared" si="170"/>
        <v>7.1552788488168179E-2</v>
      </c>
      <c r="AT106" s="153">
        <f t="shared" si="170"/>
        <v>6.797514906375976E-2</v>
      </c>
      <c r="AU106" s="153">
        <f t="shared" si="170"/>
        <v>6.4576391610571771E-2</v>
      </c>
      <c r="AV106" s="153">
        <f t="shared" si="170"/>
        <v>6.1347572030043179E-2</v>
      </c>
      <c r="AW106" s="153">
        <f t="shared" si="170"/>
        <v>5.8280193428541016E-2</v>
      </c>
      <c r="AX106" s="153">
        <f t="shared" si="170"/>
        <v>5.5366183757113961E-2</v>
      </c>
      <c r="AY106" s="153">
        <f t="shared" si="170"/>
        <v>5.2597874569258261E-2</v>
      </c>
      <c r="AZ106" s="153">
        <f t="shared" si="170"/>
        <v>4.9967980840795345E-2</v>
      </c>
      <c r="BA106" s="153">
        <f t="shared" si="170"/>
        <v>4.7469581798755572E-2</v>
      </c>
      <c r="BB106" s="153">
        <f t="shared" si="170"/>
        <v>4.5096102708817788E-2</v>
      </c>
      <c r="BC106" s="153">
        <f t="shared" si="170"/>
        <v>4.2841297573376895E-2</v>
      </c>
      <c r="BD106" s="153">
        <f t="shared" si="170"/>
        <v>4.069923269470805E-2</v>
      </c>
      <c r="BE106" s="153">
        <f t="shared" si="170"/>
        <v>3.8664271059972645E-2</v>
      </c>
      <c r="BF106" s="153">
        <f t="shared" si="171"/>
        <v>3.6731057506974009E-2</v>
      </c>
      <c r="BG106" s="153">
        <f t="shared" si="171"/>
        <v>3.4894504631625307E-2</v>
      </c>
      <c r="BH106" s="153">
        <f t="shared" si="171"/>
        <v>3.3149779400044044E-2</v>
      </c>
      <c r="BI106" s="153">
        <f t="shared" si="171"/>
        <v>3.1492290430041842E-2</v>
      </c>
      <c r="BJ106" s="153">
        <f t="shared" si="171"/>
        <v>2.9917675908539748E-2</v>
      </c>
      <c r="BK106" s="153">
        <f t="shared" si="171"/>
        <v>2.842179211311276E-2</v>
      </c>
      <c r="BL106" s="153">
        <f t="shared" si="104"/>
        <v>2.7000702507457119E-2</v>
      </c>
      <c r="BM106" s="153">
        <f t="shared" si="105"/>
        <v>2.5650667382084262E-2</v>
      </c>
      <c r="BN106" s="153">
        <f t="shared" si="106"/>
        <v>2.4368134012980047E-2</v>
      </c>
      <c r="BO106" s="153">
        <f t="shared" si="107"/>
        <v>2.3149727312331045E-2</v>
      </c>
      <c r="BP106" s="153">
        <f t="shared" si="108"/>
        <v>2.1992240946714491E-2</v>
      </c>
      <c r="BQ106" s="153">
        <f t="shared" si="108"/>
        <v>2.0892628899378766E-2</v>
      </c>
      <c r="BR106" s="153">
        <f t="shared" si="109"/>
        <v>1.9847997454409825E-2</v>
      </c>
      <c r="BS106" s="153">
        <f t="shared" si="110"/>
        <v>1.8855597581689334E-2</v>
      </c>
      <c r="BT106" s="153">
        <f t="shared" si="111"/>
        <v>1.7912817702604868E-2</v>
      </c>
      <c r="BU106" s="153">
        <f t="shared" si="111"/>
        <v>1.7017176817474625E-2</v>
      </c>
      <c r="BV106" s="153">
        <f t="shared" si="112"/>
        <v>1.6166317976600893E-2</v>
      </c>
      <c r="BW106" s="153">
        <f t="shared" si="113"/>
        <v>1.5358002077770848E-2</v>
      </c>
      <c r="BX106" s="153">
        <f t="shared" si="114"/>
        <v>1.4590101973882304E-2</v>
      </c>
      <c r="BY106" s="153">
        <f t="shared" si="115"/>
        <v>1.3860596875188189E-2</v>
      </c>
      <c r="BZ106" s="153">
        <f t="shared" si="116"/>
        <v>1.3167567031428778E-2</v>
      </c>
      <c r="CA106" s="153">
        <f t="shared" si="117"/>
        <v>1.2509188679857338E-2</v>
      </c>
      <c r="CB106" s="153">
        <f t="shared" si="118"/>
        <v>1.188372924586447E-2</v>
      </c>
      <c r="CC106" s="153">
        <f t="shared" si="119"/>
        <v>1.1289542783571246E-2</v>
      </c>
      <c r="CD106" s="153">
        <f t="shared" si="120"/>
        <v>1.0725065644392682E-2</v>
      </c>
      <c r="CE106" s="153">
        <f t="shared" si="121"/>
        <v>1.0188812362173047E-2</v>
      </c>
      <c r="CF106" s="153">
        <f t="shared" si="122"/>
        <v>9.6793717440643943E-3</v>
      </c>
      <c r="CG106" s="153">
        <f t="shared" si="123"/>
        <v>9.1954031568611747E-3</v>
      </c>
      <c r="CH106" s="153">
        <f t="shared" si="124"/>
        <v>8.7356329990181149E-3</v>
      </c>
      <c r="CI106" s="153">
        <f t="shared" si="125"/>
        <v>8.2988513490672086E-3</v>
      </c>
      <c r="CJ106" s="153">
        <f t="shared" si="126"/>
        <v>7.8839087816138485E-3</v>
      </c>
      <c r="CK106" s="153">
        <f t="shared" si="127"/>
        <v>7.4897133425331558E-3</v>
      </c>
      <c r="CL106" s="153">
        <f t="shared" si="128"/>
        <v>7.1152276754064972E-3</v>
      </c>
      <c r="CM106" s="153">
        <f t="shared" si="129"/>
        <v>6.7594662916361722E-3</v>
      </c>
      <c r="CN106" s="153">
        <f t="shared" si="130"/>
        <v>6.4214929770543636E-3</v>
      </c>
      <c r="CO106" s="153">
        <f t="shared" si="131"/>
        <v>6.1004183282016454E-3</v>
      </c>
      <c r="CP106" s="153">
        <f t="shared" si="132"/>
        <v>5.7953974117915625E-3</v>
      </c>
      <c r="CQ106" s="153">
        <f t="shared" si="133"/>
        <v>5.5056275412019842E-3</v>
      </c>
      <c r="CR106" s="153">
        <f t="shared" si="134"/>
        <v>5.2303461641418844E-3</v>
      </c>
      <c r="CS106" s="153">
        <f t="shared" si="135"/>
        <v>4.9688288559347898E-3</v>
      </c>
      <c r="CT106" s="153">
        <f t="shared" si="136"/>
        <v>4.7203874131380502E-3</v>
      </c>
      <c r="CU106" s="153">
        <f t="shared" si="137"/>
        <v>4.4843680424811478E-3</v>
      </c>
      <c r="CV106" s="153">
        <f t="shared" si="138"/>
        <v>4.2601496403570898E-3</v>
      </c>
      <c r="CW106" s="153">
        <f t="shared" si="139"/>
        <v>4.0471421583392351E-3</v>
      </c>
      <c r="CX106" s="153">
        <f t="shared" si="140"/>
        <v>3.844785050422273E-3</v>
      </c>
      <c r="CY106" s="153">
        <f t="shared" si="141"/>
        <v>3.6525457979011593E-3</v>
      </c>
      <c r="CZ106" s="153">
        <f t="shared" si="142"/>
        <v>3.4699185080061014E-3</v>
      </c>
      <c r="DA106" s="153">
        <f t="shared" si="143"/>
        <v>3.2964225826057963E-3</v>
      </c>
      <c r="DB106" s="153">
        <f t="shared" si="144"/>
        <v>3.1316014534755062E-3</v>
      </c>
      <c r="DC106" s="153">
        <f t="shared" si="145"/>
        <v>2.9750213808017309E-3</v>
      </c>
      <c r="DD106" s="153">
        <f t="shared" si="146"/>
        <v>2.8262703117616444E-3</v>
      </c>
      <c r="DE106" s="153">
        <f t="shared" si="147"/>
        <v>2.684956796173562E-3</v>
      </c>
      <c r="DF106" s="153">
        <f t="shared" si="148"/>
        <v>2.5507089563648836E-3</v>
      </c>
      <c r="DG106" s="153">
        <f t="shared" si="149"/>
        <v>2.4231735085466395E-3</v>
      </c>
      <c r="DH106" s="153">
        <f t="shared" si="150"/>
        <v>2.3020148331193073E-3</v>
      </c>
      <c r="DI106" s="153">
        <f t="shared" si="151"/>
        <v>2.186914091463342E-3</v>
      </c>
      <c r="DJ106" s="153">
        <f t="shared" si="152"/>
        <v>2.077568386890175E-3</v>
      </c>
      <c r="DK106" s="153">
        <f t="shared" si="153"/>
        <v>1.9736899675456662E-3</v>
      </c>
      <c r="DL106" s="153">
        <f t="shared" si="154"/>
        <v>1.8750054691683829E-3</v>
      </c>
      <c r="DM106" s="153">
        <f t="shared" si="155"/>
        <v>1.7812551957099637E-3</v>
      </c>
      <c r="DN106" s="153">
        <f t="shared" si="156"/>
        <v>1.6921924359244655E-3</v>
      </c>
      <c r="DO106" s="153">
        <f t="shared" si="157"/>
        <v>1.6075828141282422E-3</v>
      </c>
      <c r="DP106" s="153">
        <f t="shared" si="158"/>
        <v>1.52720367342183E-3</v>
      </c>
      <c r="DQ106" s="153">
        <f t="shared" si="159"/>
        <v>1.4508434897507385E-3</v>
      </c>
      <c r="DR106" s="153">
        <f t="shared" si="160"/>
        <v>1.3783013152632016E-3</v>
      </c>
      <c r="DS106" s="153">
        <f t="shared" si="161"/>
        <v>1.3093862495000413E-3</v>
      </c>
      <c r="DT106" s="153">
        <f t="shared" si="162"/>
        <v>1.2439169370250392E-3</v>
      </c>
      <c r="DU106" s="153">
        <f t="shared" si="163"/>
        <v>1.1817210901737872E-3</v>
      </c>
      <c r="DV106" s="153">
        <f t="shared" si="164"/>
        <v>1.1226350356650979E-3</v>
      </c>
      <c r="DW106" s="153">
        <f t="shared" si="165"/>
        <v>1.0665032838818431E-3</v>
      </c>
      <c r="DX106" s="153">
        <f t="shared" si="166"/>
        <v>1.0131781196877508E-3</v>
      </c>
      <c r="DY106" s="153">
        <f t="shared" si="167"/>
        <v>9.6251921370336317E-4</v>
      </c>
      <c r="DZ106" s="153">
        <f t="shared" si="168"/>
        <v>9.1439325301819494E-4</v>
      </c>
    </row>
    <row r="107" spans="1:130" s="355" customFormat="1" x14ac:dyDescent="0.15">
      <c r="A107" s="355" t="s">
        <v>54</v>
      </c>
      <c r="C107" s="356"/>
      <c r="D107" s="356"/>
      <c r="E107" s="356"/>
      <c r="F107" s="356"/>
      <c r="G107" s="356"/>
      <c r="H107" s="356"/>
      <c r="I107" s="356"/>
      <c r="J107" s="356"/>
      <c r="K107" s="356"/>
      <c r="L107" s="356"/>
      <c r="M107" s="356"/>
      <c r="N107" s="356"/>
      <c r="O107" s="356"/>
      <c r="P107" s="356"/>
      <c r="Q107" s="356"/>
      <c r="R107" s="8">
        <f t="shared" si="101"/>
        <v>1.6007411280266048</v>
      </c>
      <c r="S107" s="356"/>
      <c r="T107" s="356"/>
      <c r="U107" s="356"/>
      <c r="V107" s="153"/>
      <c r="W107" s="153">
        <f t="shared" ref="W107:AN107" si="175">+IF(W75=0,W9,IF(W214=1,W9*$Z165,V107*(W$102/V$102)))</f>
        <v>2.2090973964761451</v>
      </c>
      <c r="X107" s="153">
        <f t="shared" si="175"/>
        <v>2.843737175726925</v>
      </c>
      <c r="Y107" s="153">
        <f t="shared" si="175"/>
        <v>3.0204513058397735</v>
      </c>
      <c r="Z107" s="153">
        <f t="shared" si="175"/>
        <v>3.2081467193314417</v>
      </c>
      <c r="AA107" s="153">
        <f t="shared" si="175"/>
        <v>2.8265278031559355</v>
      </c>
      <c r="AB107" s="153">
        <f t="shared" si="175"/>
        <v>2.5254518937569852</v>
      </c>
      <c r="AC107" s="153">
        <f t="shared" si="175"/>
        <v>2.1793028032703488</v>
      </c>
      <c r="AD107" s="153">
        <f t="shared" si="175"/>
        <v>1.8156304305258246</v>
      </c>
      <c r="AE107" s="153">
        <f t="shared" si="175"/>
        <v>1.4208811811919644</v>
      </c>
      <c r="AF107" s="153">
        <f t="shared" si="175"/>
        <v>1.2784303712752059</v>
      </c>
      <c r="AG107" s="153">
        <f t="shared" si="175"/>
        <v>1.1494497137098181</v>
      </c>
      <c r="AH107" s="153">
        <f t="shared" si="175"/>
        <v>1.0385622074075833</v>
      </c>
      <c r="AI107" s="153">
        <f t="shared" si="175"/>
        <v>0.94308044164960525</v>
      </c>
      <c r="AJ107" s="153">
        <f t="shared" si="175"/>
        <v>0.86091847165936064</v>
      </c>
      <c r="AK107" s="153">
        <f t="shared" si="175"/>
        <v>0.79036816808563537</v>
      </c>
      <c r="AL107" s="153">
        <f t="shared" si="175"/>
        <v>0.72953507645910443</v>
      </c>
      <c r="AM107" s="153">
        <f t="shared" si="175"/>
        <v>0.6773629826528198</v>
      </c>
      <c r="AN107" s="153">
        <f t="shared" si="175"/>
        <v>0.63226994777271706</v>
      </c>
      <c r="AO107" s="153">
        <f t="shared" ref="AO107:AO113" si="176">+IF(AO75=0,AO9,IF(AO214=1,AO9*AN165,AN107*(AO$102/AN$102)))</f>
        <v>0.59277233151478481</v>
      </c>
      <c r="AP107" s="153">
        <f t="shared" si="170"/>
        <v>0.56313371493904552</v>
      </c>
      <c r="AQ107" s="153">
        <f t="shared" si="170"/>
        <v>0.53497702919209322</v>
      </c>
      <c r="AR107" s="153">
        <f t="shared" si="170"/>
        <v>0.50822817773248852</v>
      </c>
      <c r="AS107" s="153">
        <f t="shared" si="170"/>
        <v>0.48281676884586405</v>
      </c>
      <c r="AT107" s="153">
        <f t="shared" si="170"/>
        <v>0.45867593040357085</v>
      </c>
      <c r="AU107" s="153">
        <f t="shared" si="170"/>
        <v>0.43574213388339228</v>
      </c>
      <c r="AV107" s="153">
        <f t="shared" si="170"/>
        <v>0.41395502718922267</v>
      </c>
      <c r="AW107" s="153">
        <f t="shared" si="170"/>
        <v>0.3932572758297615</v>
      </c>
      <c r="AX107" s="153">
        <f t="shared" si="170"/>
        <v>0.37359441203827343</v>
      </c>
      <c r="AY107" s="153">
        <f t="shared" si="170"/>
        <v>0.35491469143635973</v>
      </c>
      <c r="AZ107" s="153">
        <f t="shared" si="170"/>
        <v>0.33716895686454174</v>
      </c>
      <c r="BA107" s="153">
        <f t="shared" si="170"/>
        <v>0.32031050902131464</v>
      </c>
      <c r="BB107" s="153">
        <f t="shared" si="170"/>
        <v>0.30429498357024887</v>
      </c>
      <c r="BC107" s="153">
        <f t="shared" si="170"/>
        <v>0.28908023439173641</v>
      </c>
      <c r="BD107" s="153">
        <f t="shared" si="170"/>
        <v>0.27462622267214959</v>
      </c>
      <c r="BE107" s="153">
        <f t="shared" si="170"/>
        <v>0.26089491153854211</v>
      </c>
      <c r="BF107" s="153">
        <f t="shared" si="171"/>
        <v>0.24785016596161499</v>
      </c>
      <c r="BG107" s="153">
        <f t="shared" si="171"/>
        <v>0.23545765766353424</v>
      </c>
      <c r="BH107" s="153">
        <f t="shared" si="171"/>
        <v>0.22368477478035753</v>
      </c>
      <c r="BI107" s="153">
        <f t="shared" si="171"/>
        <v>0.21250053604133964</v>
      </c>
      <c r="BJ107" s="153">
        <f t="shared" si="171"/>
        <v>0.20187550923927267</v>
      </c>
      <c r="BK107" s="153">
        <f t="shared" si="171"/>
        <v>0.19178173377730903</v>
      </c>
      <c r="BL107" s="153">
        <f t="shared" si="104"/>
        <v>0.18219264708844357</v>
      </c>
      <c r="BM107" s="153">
        <f t="shared" si="105"/>
        <v>0.17308301473402138</v>
      </c>
      <c r="BN107" s="153">
        <f t="shared" si="106"/>
        <v>0.16442886399732029</v>
      </c>
      <c r="BO107" s="153">
        <f t="shared" si="107"/>
        <v>0.15620742079745426</v>
      </c>
      <c r="BP107" s="153">
        <f t="shared" si="108"/>
        <v>0.14839704975758153</v>
      </c>
      <c r="BQ107" s="153">
        <f t="shared" si="108"/>
        <v>0.14097719726970245</v>
      </c>
      <c r="BR107" s="153">
        <f t="shared" si="109"/>
        <v>0.13392833740621732</v>
      </c>
      <c r="BS107" s="153">
        <f t="shared" si="110"/>
        <v>0.12723192053590646</v>
      </c>
      <c r="BT107" s="153">
        <f t="shared" si="111"/>
        <v>0.12087032450911113</v>
      </c>
      <c r="BU107" s="153">
        <f t="shared" si="111"/>
        <v>0.11482680828365557</v>
      </c>
      <c r="BV107" s="153">
        <f t="shared" si="112"/>
        <v>0.10908546786947279</v>
      </c>
      <c r="BW107" s="153">
        <f t="shared" si="113"/>
        <v>0.10363119447599915</v>
      </c>
      <c r="BX107" s="153">
        <f t="shared" si="114"/>
        <v>9.8449634752199186E-2</v>
      </c>
      <c r="BY107" s="153">
        <f t="shared" si="115"/>
        <v>9.352715301458922E-2</v>
      </c>
      <c r="BZ107" s="153">
        <f t="shared" si="116"/>
        <v>8.8850795363859758E-2</v>
      </c>
      <c r="CA107" s="153">
        <f t="shared" si="117"/>
        <v>8.4408255595666767E-2</v>
      </c>
      <c r="CB107" s="153">
        <f t="shared" si="118"/>
        <v>8.0187842815883426E-2</v>
      </c>
      <c r="CC107" s="153">
        <f t="shared" si="119"/>
        <v>7.6178450675089257E-2</v>
      </c>
      <c r="CD107" s="153">
        <f t="shared" si="120"/>
        <v>7.2369528141334794E-2</v>
      </c>
      <c r="CE107" s="153">
        <f t="shared" si="121"/>
        <v>6.8751051734268057E-2</v>
      </c>
      <c r="CF107" s="153">
        <f t="shared" si="122"/>
        <v>6.5313499147554646E-2</v>
      </c>
      <c r="CG107" s="153">
        <f t="shared" si="123"/>
        <v>6.204782419017691E-2</v>
      </c>
      <c r="CH107" s="153">
        <f t="shared" si="124"/>
        <v>5.894543298066806E-2</v>
      </c>
      <c r="CI107" s="153">
        <f t="shared" si="125"/>
        <v>5.5998161331634655E-2</v>
      </c>
      <c r="CJ107" s="153">
        <f t="shared" si="126"/>
        <v>5.3198253265052918E-2</v>
      </c>
      <c r="CK107" s="153">
        <f t="shared" si="127"/>
        <v>5.053834060180027E-2</v>
      </c>
      <c r="CL107" s="153">
        <f t="shared" si="128"/>
        <v>4.8011423571710253E-2</v>
      </c>
      <c r="CM107" s="153">
        <f t="shared" si="129"/>
        <v>4.5610852393124741E-2</v>
      </c>
      <c r="CN107" s="153">
        <f t="shared" si="130"/>
        <v>4.3330309773468502E-2</v>
      </c>
      <c r="CO107" s="153">
        <f t="shared" si="131"/>
        <v>4.1163794284795073E-2</v>
      </c>
      <c r="CP107" s="153">
        <f t="shared" si="132"/>
        <v>3.910560457055532E-2</v>
      </c>
      <c r="CQ107" s="153">
        <f t="shared" si="133"/>
        <v>3.7150324342027551E-2</v>
      </c>
      <c r="CR107" s="153">
        <f t="shared" si="134"/>
        <v>3.5292808124926169E-2</v>
      </c>
      <c r="CS107" s="153">
        <f t="shared" si="135"/>
        <v>3.3528167718679856E-2</v>
      </c>
      <c r="CT107" s="153">
        <f t="shared" si="136"/>
        <v>3.1851759332745859E-2</v>
      </c>
      <c r="CU107" s="153">
        <f t="shared" si="137"/>
        <v>3.0259171366108565E-2</v>
      </c>
      <c r="CV107" s="153">
        <f t="shared" si="138"/>
        <v>2.8746212797803136E-2</v>
      </c>
      <c r="CW107" s="153">
        <f t="shared" si="139"/>
        <v>2.7308902157912977E-2</v>
      </c>
      <c r="CX107" s="153">
        <f t="shared" si="140"/>
        <v>2.5943457050017327E-2</v>
      </c>
      <c r="CY107" s="153">
        <f t="shared" si="141"/>
        <v>2.4646284197516459E-2</v>
      </c>
      <c r="CZ107" s="153">
        <f t="shared" si="142"/>
        <v>2.3413969987640636E-2</v>
      </c>
      <c r="DA107" s="153">
        <f t="shared" si="143"/>
        <v>2.2243271488258602E-2</v>
      </c>
      <c r="DB107" s="153">
        <f t="shared" si="144"/>
        <v>2.1131107913845672E-2</v>
      </c>
      <c r="DC107" s="153">
        <f t="shared" si="145"/>
        <v>2.0074552518153387E-2</v>
      </c>
      <c r="DD107" s="153">
        <f t="shared" si="146"/>
        <v>1.9070824892245718E-2</v>
      </c>
      <c r="DE107" s="153">
        <f t="shared" si="147"/>
        <v>1.8117283647633431E-2</v>
      </c>
      <c r="DF107" s="153">
        <f t="shared" si="148"/>
        <v>1.7211419465251759E-2</v>
      </c>
      <c r="DG107" s="153">
        <f t="shared" si="149"/>
        <v>1.6350848491989169E-2</v>
      </c>
      <c r="DH107" s="153">
        <f t="shared" si="150"/>
        <v>1.553330606738971E-2</v>
      </c>
      <c r="DI107" s="153">
        <f t="shared" si="151"/>
        <v>1.4756640764020224E-2</v>
      </c>
      <c r="DJ107" s="153">
        <f t="shared" si="152"/>
        <v>1.4018808725819211E-2</v>
      </c>
      <c r="DK107" s="153">
        <f t="shared" si="153"/>
        <v>1.331786828952825E-2</v>
      </c>
      <c r="DL107" s="153">
        <f t="shared" si="154"/>
        <v>1.2651974875051838E-2</v>
      </c>
      <c r="DM107" s="153">
        <f t="shared" si="155"/>
        <v>1.2019376131299246E-2</v>
      </c>
      <c r="DN107" s="153">
        <f t="shared" si="156"/>
        <v>1.1418407324734283E-2</v>
      </c>
      <c r="DO107" s="153">
        <f t="shared" si="157"/>
        <v>1.0847486958497568E-2</v>
      </c>
      <c r="DP107" s="153">
        <f t="shared" si="158"/>
        <v>1.030511261057269E-2</v>
      </c>
      <c r="DQ107" s="153">
        <f t="shared" si="159"/>
        <v>9.7898569800440541E-3</v>
      </c>
      <c r="DR107" s="153">
        <f t="shared" si="160"/>
        <v>9.3003641310418512E-3</v>
      </c>
      <c r="DS107" s="153">
        <f t="shared" si="161"/>
        <v>8.8353459244897587E-3</v>
      </c>
      <c r="DT107" s="153">
        <f t="shared" si="162"/>
        <v>8.3935786282652702E-3</v>
      </c>
      <c r="DU107" s="153">
        <f t="shared" si="163"/>
        <v>7.9738996968520062E-3</v>
      </c>
      <c r="DV107" s="153">
        <f t="shared" si="164"/>
        <v>7.5752047120094057E-3</v>
      </c>
      <c r="DW107" s="153">
        <f t="shared" si="165"/>
        <v>7.1964444764089355E-3</v>
      </c>
      <c r="DX107" s="153">
        <f t="shared" si="166"/>
        <v>6.836622252588488E-3</v>
      </c>
      <c r="DY107" s="153">
        <f t="shared" si="167"/>
        <v>6.4947911399590632E-3</v>
      </c>
      <c r="DZ107" s="153">
        <f t="shared" si="168"/>
        <v>6.1700515829611101E-3</v>
      </c>
    </row>
    <row r="108" spans="1:130" s="1" customFormat="1" x14ac:dyDescent="0.15">
      <c r="A108" s="1" t="s">
        <v>55</v>
      </c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8">
        <f t="shared" si="101"/>
        <v>0.40515158969265602</v>
      </c>
      <c r="S108" s="324"/>
      <c r="T108" s="324"/>
      <c r="U108" s="324"/>
      <c r="V108" s="324"/>
      <c r="W108" s="153">
        <f t="shared" ref="W108:AN108" si="177">+IF(W76=0,W10,IF(W215=1,W10*$Z166,V108*(W$102/V$102)))</f>
        <v>0.50169259501631014</v>
      </c>
      <c r="X108" s="153">
        <f t="shared" si="177"/>
        <v>0.72309374310061081</v>
      </c>
      <c r="Y108" s="153">
        <f t="shared" si="177"/>
        <v>0.82958942163466609</v>
      </c>
      <c r="Z108" s="153">
        <f t="shared" si="177"/>
        <v>0.95176955277897013</v>
      </c>
      <c r="AA108" s="153">
        <f t="shared" si="177"/>
        <v>1.0569050849267174</v>
      </c>
      <c r="AB108" s="153">
        <f t="shared" si="177"/>
        <v>1.1736542267846262</v>
      </c>
      <c r="AC108" s="153">
        <f t="shared" si="177"/>
        <v>1.0127882272573401</v>
      </c>
      <c r="AD108" s="153">
        <f t="shared" si="177"/>
        <v>0.84377862604833109</v>
      </c>
      <c r="AE108" s="153">
        <f t="shared" si="177"/>
        <v>0.66032665606781527</v>
      </c>
      <c r="AF108" s="153">
        <f t="shared" si="177"/>
        <v>0.59412543656290517</v>
      </c>
      <c r="AG108" s="153">
        <f t="shared" si="177"/>
        <v>0.53418420612438766</v>
      </c>
      <c r="AH108" s="153">
        <f t="shared" si="177"/>
        <v>0.48265141280888452</v>
      </c>
      <c r="AI108" s="153">
        <f t="shared" si="177"/>
        <v>0.43827813520271286</v>
      </c>
      <c r="AJ108" s="153">
        <f t="shared" si="177"/>
        <v>0.40009497139017691</v>
      </c>
      <c r="AK108" s="153">
        <f t="shared" si="177"/>
        <v>0.36730810176303014</v>
      </c>
      <c r="AL108" s="153">
        <f t="shared" si="177"/>
        <v>0.33903711576945383</v>
      </c>
      <c r="AM108" s="153">
        <f t="shared" si="177"/>
        <v>0.31479115861330376</v>
      </c>
      <c r="AN108" s="153">
        <f t="shared" si="177"/>
        <v>0.29383505522586312</v>
      </c>
      <c r="AO108" s="153">
        <f t="shared" si="176"/>
        <v>0.27547931287985589</v>
      </c>
      <c r="AP108" s="153">
        <f t="shared" si="170"/>
        <v>0.26170534723586308</v>
      </c>
      <c r="AQ108" s="153">
        <f t="shared" si="170"/>
        <v>0.24862007987406992</v>
      </c>
      <c r="AR108" s="153">
        <f t="shared" si="170"/>
        <v>0.23618907588036642</v>
      </c>
      <c r="AS108" s="153">
        <f t="shared" si="170"/>
        <v>0.2243796220863481</v>
      </c>
      <c r="AT108" s="153">
        <f t="shared" si="170"/>
        <v>0.21316064098203069</v>
      </c>
      <c r="AU108" s="153">
        <f t="shared" si="170"/>
        <v>0.20250260893292915</v>
      </c>
      <c r="AV108" s="153">
        <f t="shared" si="170"/>
        <v>0.19237747848628267</v>
      </c>
      <c r="AW108" s="153">
        <f t="shared" si="170"/>
        <v>0.18275860456196852</v>
      </c>
      <c r="AX108" s="153">
        <f t="shared" si="170"/>
        <v>0.17362067433387007</v>
      </c>
      <c r="AY108" s="153">
        <f t="shared" si="170"/>
        <v>0.16493964061717656</v>
      </c>
      <c r="AZ108" s="153">
        <f t="shared" si="170"/>
        <v>0.15669265858631773</v>
      </c>
      <c r="BA108" s="153">
        <f t="shared" si="170"/>
        <v>0.14885802565700185</v>
      </c>
      <c r="BB108" s="153">
        <f t="shared" si="170"/>
        <v>0.14141512437415174</v>
      </c>
      <c r="BC108" s="153">
        <f t="shared" si="170"/>
        <v>0.13434436815544415</v>
      </c>
      <c r="BD108" s="153">
        <f t="shared" si="170"/>
        <v>0.12762714974767195</v>
      </c>
      <c r="BE108" s="153">
        <f t="shared" si="170"/>
        <v>0.12124579226028834</v>
      </c>
      <c r="BF108" s="153">
        <f t="shared" si="171"/>
        <v>0.11518350264727392</v>
      </c>
      <c r="BG108" s="153">
        <f t="shared" si="171"/>
        <v>0.10942432751491023</v>
      </c>
      <c r="BH108" s="153">
        <f t="shared" si="171"/>
        <v>0.10395311113916471</v>
      </c>
      <c r="BI108" s="153">
        <f t="shared" si="171"/>
        <v>9.8755455582206469E-2</v>
      </c>
      <c r="BJ108" s="153">
        <f t="shared" si="171"/>
        <v>9.3817682803096145E-2</v>
      </c>
      <c r="BK108" s="153">
        <f t="shared" si="171"/>
        <v>8.9126798662941334E-2</v>
      </c>
      <c r="BL108" s="153">
        <f t="shared" si="104"/>
        <v>8.4670458729794257E-2</v>
      </c>
      <c r="BM108" s="153">
        <f t="shared" si="105"/>
        <v>8.0436935793304534E-2</v>
      </c>
      <c r="BN108" s="153">
        <f t="shared" si="106"/>
        <v>7.6415089003639303E-2</v>
      </c>
      <c r="BO108" s="153">
        <f t="shared" si="107"/>
        <v>7.2594334553457332E-2</v>
      </c>
      <c r="BP108" s="153">
        <f t="shared" si="108"/>
        <v>6.8964617825784461E-2</v>
      </c>
      <c r="BQ108" s="153">
        <f t="shared" si="108"/>
        <v>6.5516386934495241E-2</v>
      </c>
      <c r="BR108" s="153">
        <f t="shared" si="109"/>
        <v>6.2240567587770475E-2</v>
      </c>
      <c r="BS108" s="153">
        <f t="shared" si="110"/>
        <v>5.9128539208381951E-2</v>
      </c>
      <c r="BT108" s="153">
        <f t="shared" si="111"/>
        <v>5.6172112247962848E-2</v>
      </c>
      <c r="BU108" s="153">
        <f t="shared" si="111"/>
        <v>5.3363506635564703E-2</v>
      </c>
      <c r="BV108" s="153">
        <f t="shared" si="112"/>
        <v>5.0695331303786464E-2</v>
      </c>
      <c r="BW108" s="153">
        <f t="shared" si="113"/>
        <v>4.8160564738597138E-2</v>
      </c>
      <c r="BX108" s="153">
        <f t="shared" si="114"/>
        <v>4.5752536501667281E-2</v>
      </c>
      <c r="BY108" s="153">
        <f t="shared" si="115"/>
        <v>4.3464909676583917E-2</v>
      </c>
      <c r="BZ108" s="153">
        <f t="shared" si="116"/>
        <v>4.1291664192754721E-2</v>
      </c>
      <c r="CA108" s="153">
        <f t="shared" si="117"/>
        <v>3.9227080983116981E-2</v>
      </c>
      <c r="CB108" s="153">
        <f t="shared" si="118"/>
        <v>3.726572693396113E-2</v>
      </c>
      <c r="CC108" s="153">
        <f t="shared" si="119"/>
        <v>3.5402440587263072E-2</v>
      </c>
      <c r="CD108" s="153">
        <f t="shared" si="120"/>
        <v>3.3632318557899915E-2</v>
      </c>
      <c r="CE108" s="153">
        <f t="shared" si="121"/>
        <v>3.1950702630004921E-2</v>
      </c>
      <c r="CF108" s="153">
        <f t="shared" si="122"/>
        <v>3.0353167498504672E-2</v>
      </c>
      <c r="CG108" s="153">
        <f t="shared" si="123"/>
        <v>2.8835509123579437E-2</v>
      </c>
      <c r="CH108" s="153">
        <f t="shared" si="124"/>
        <v>2.7393733667400465E-2</v>
      </c>
      <c r="CI108" s="153">
        <f t="shared" si="125"/>
        <v>2.6024046984030439E-2</v>
      </c>
      <c r="CJ108" s="153">
        <f t="shared" si="126"/>
        <v>2.4722844634828916E-2</v>
      </c>
      <c r="CK108" s="153">
        <f t="shared" si="127"/>
        <v>2.3486702403087468E-2</v>
      </c>
      <c r="CL108" s="153">
        <f t="shared" si="128"/>
        <v>2.2312367282933093E-2</v>
      </c>
      <c r="CM108" s="153">
        <f t="shared" si="129"/>
        <v>2.1196748918786437E-2</v>
      </c>
      <c r="CN108" s="153">
        <f t="shared" si="130"/>
        <v>2.0136911472847116E-2</v>
      </c>
      <c r="CO108" s="153">
        <f t="shared" si="131"/>
        <v>1.9130065899204761E-2</v>
      </c>
      <c r="CP108" s="153">
        <f t="shared" si="132"/>
        <v>1.8173562604244523E-2</v>
      </c>
      <c r="CQ108" s="153">
        <f t="shared" si="133"/>
        <v>1.7264884474032297E-2</v>
      </c>
      <c r="CR108" s="153">
        <f t="shared" si="134"/>
        <v>1.6401640250330682E-2</v>
      </c>
      <c r="CS108" s="153">
        <f t="shared" si="135"/>
        <v>1.5581558237814147E-2</v>
      </c>
      <c r="CT108" s="153">
        <f t="shared" si="136"/>
        <v>1.4802480325923439E-2</v>
      </c>
      <c r="CU108" s="153">
        <f t="shared" si="137"/>
        <v>1.4062356309627266E-2</v>
      </c>
      <c r="CV108" s="153">
        <f t="shared" si="138"/>
        <v>1.3359238494145902E-2</v>
      </c>
      <c r="CW108" s="153">
        <f t="shared" si="139"/>
        <v>1.2691276569438607E-2</v>
      </c>
      <c r="CX108" s="153">
        <f t="shared" si="140"/>
        <v>1.2056712740966676E-2</v>
      </c>
      <c r="CY108" s="153">
        <f t="shared" si="141"/>
        <v>1.1453877103918342E-2</v>
      </c>
      <c r="CZ108" s="153">
        <f t="shared" si="142"/>
        <v>1.0881183248722424E-2</v>
      </c>
      <c r="DA108" s="153">
        <f t="shared" si="143"/>
        <v>1.0337124086286302E-2</v>
      </c>
      <c r="DB108" s="153">
        <f t="shared" si="144"/>
        <v>9.8202678819719873E-3</v>
      </c>
      <c r="DC108" s="153">
        <f t="shared" si="145"/>
        <v>9.3292544878733879E-3</v>
      </c>
      <c r="DD108" s="153">
        <f t="shared" si="146"/>
        <v>8.8627917634797188E-3</v>
      </c>
      <c r="DE108" s="153">
        <f t="shared" si="147"/>
        <v>8.4196521753057332E-3</v>
      </c>
      <c r="DF108" s="153">
        <f t="shared" si="148"/>
        <v>7.9986695665404464E-3</v>
      </c>
      <c r="DG108" s="153">
        <f t="shared" si="149"/>
        <v>7.5987360882134236E-3</v>
      </c>
      <c r="DH108" s="153">
        <f t="shared" si="150"/>
        <v>7.2187992838027518E-3</v>
      </c>
      <c r="DI108" s="153">
        <f t="shared" si="151"/>
        <v>6.8578593196126142E-3</v>
      </c>
      <c r="DJ108" s="153">
        <f t="shared" si="152"/>
        <v>6.5149663536319827E-3</v>
      </c>
      <c r="DK108" s="153">
        <f t="shared" si="153"/>
        <v>6.1892180359503831E-3</v>
      </c>
      <c r="DL108" s="153">
        <f t="shared" si="154"/>
        <v>5.8797571341528635E-3</v>
      </c>
      <c r="DM108" s="153">
        <f t="shared" si="155"/>
        <v>5.5857692774452204E-3</v>
      </c>
      <c r="DN108" s="153">
        <f t="shared" si="156"/>
        <v>5.3064808135729596E-3</v>
      </c>
      <c r="DO108" s="153">
        <f t="shared" si="157"/>
        <v>5.0411567728943117E-3</v>
      </c>
      <c r="DP108" s="153">
        <f t="shared" si="158"/>
        <v>4.7890989342495955E-3</v>
      </c>
      <c r="DQ108" s="153">
        <f t="shared" si="159"/>
        <v>4.5496439875371154E-3</v>
      </c>
      <c r="DR108" s="153">
        <f t="shared" si="160"/>
        <v>4.322161788160259E-3</v>
      </c>
      <c r="DS108" s="153">
        <f t="shared" si="161"/>
        <v>4.1060536987522454E-3</v>
      </c>
      <c r="DT108" s="153">
        <f t="shared" si="162"/>
        <v>3.9007510138146331E-3</v>
      </c>
      <c r="DU108" s="153">
        <f t="shared" si="163"/>
        <v>3.7057134631239014E-3</v>
      </c>
      <c r="DV108" s="153">
        <f t="shared" si="164"/>
        <v>3.5204277899677063E-3</v>
      </c>
      <c r="DW108" s="153">
        <f t="shared" si="165"/>
        <v>3.3444064004693208E-3</v>
      </c>
      <c r="DX108" s="153">
        <f t="shared" si="166"/>
        <v>3.1771860804458547E-3</v>
      </c>
      <c r="DY108" s="153">
        <f t="shared" si="167"/>
        <v>3.0183267764235617E-3</v>
      </c>
      <c r="DZ108" s="153">
        <f t="shared" si="168"/>
        <v>2.8674104376023835E-3</v>
      </c>
    </row>
    <row r="109" spans="1:130" s="1" customFormat="1" x14ac:dyDescent="0.15">
      <c r="A109" s="1" t="s">
        <v>56</v>
      </c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8">
        <f t="shared" si="101"/>
        <v>0.58967496043455159</v>
      </c>
      <c r="S109" s="324"/>
      <c r="T109" s="324"/>
      <c r="U109" s="324"/>
      <c r="V109" s="324"/>
      <c r="W109" s="153">
        <f t="shared" ref="W109:AN109" si="178">+IF(W77=0,W11,IF(W216=1,W11*$Z167,V109*(W$102/V$102)))</f>
        <v>0.56450371289523038</v>
      </c>
      <c r="X109" s="153">
        <f t="shared" si="178"/>
        <v>0.80742718953750414</v>
      </c>
      <c r="Y109" s="153">
        <f t="shared" si="178"/>
        <v>0.9182495125083443</v>
      </c>
      <c r="Z109" s="153">
        <f t="shared" si="178"/>
        <v>1.0442826029982819</v>
      </c>
      <c r="AA109" s="153">
        <f t="shared" si="178"/>
        <v>1.1536835819900664</v>
      </c>
      <c r="AB109" s="153">
        <f t="shared" si="178"/>
        <v>1.2745456100982464</v>
      </c>
      <c r="AC109" s="153">
        <f t="shared" si="178"/>
        <v>1.3800747491160248</v>
      </c>
      <c r="AD109" s="153">
        <f t="shared" si="178"/>
        <v>1.4943414327878348</v>
      </c>
      <c r="AE109" s="153">
        <f t="shared" si="178"/>
        <v>1.1694459315207379</v>
      </c>
      <c r="AF109" s="153">
        <f t="shared" si="178"/>
        <v>1.0522028275201363</v>
      </c>
      <c r="AG109" s="153">
        <f t="shared" si="178"/>
        <v>0.94604623453311576</v>
      </c>
      <c r="AH109" s="153">
        <f t="shared" si="178"/>
        <v>0.8547810782215628</v>
      </c>
      <c r="AI109" s="153">
        <f t="shared" si="178"/>
        <v>0.77619550472103094</v>
      </c>
      <c r="AJ109" s="153">
        <f t="shared" si="178"/>
        <v>0.70857269234046549</v>
      </c>
      <c r="AK109" s="153">
        <f t="shared" si="178"/>
        <v>0.65050677762926257</v>
      </c>
      <c r="AL109" s="153">
        <f t="shared" si="178"/>
        <v>0.60043854360226578</v>
      </c>
      <c r="AM109" s="153">
        <f t="shared" si="178"/>
        <v>0.5574986808971415</v>
      </c>
      <c r="AN109" s="153">
        <f t="shared" si="178"/>
        <v>0.52038518620209528</v>
      </c>
      <c r="AO109" s="153">
        <f t="shared" si="176"/>
        <v>0.48787696014560156</v>
      </c>
      <c r="AP109" s="153">
        <f t="shared" si="170"/>
        <v>0.46348311213832144</v>
      </c>
      <c r="AQ109" s="153">
        <f t="shared" si="170"/>
        <v>0.44030895653140534</v>
      </c>
      <c r="AR109" s="153">
        <f t="shared" si="170"/>
        <v>0.41829350870483506</v>
      </c>
      <c r="AS109" s="153">
        <f t="shared" si="170"/>
        <v>0.39737883326959328</v>
      </c>
      <c r="AT109" s="153">
        <f t="shared" si="170"/>
        <v>0.37750989160611359</v>
      </c>
      <c r="AU109" s="153">
        <f t="shared" si="170"/>
        <v>0.35863439702580791</v>
      </c>
      <c r="AV109" s="153">
        <f t="shared" si="170"/>
        <v>0.34070267717451752</v>
      </c>
      <c r="AW109" s="153">
        <f t="shared" si="170"/>
        <v>0.32366754331579162</v>
      </c>
      <c r="AX109" s="153">
        <f t="shared" si="170"/>
        <v>0.30748416615000201</v>
      </c>
      <c r="AY109" s="153">
        <f t="shared" si="170"/>
        <v>0.29210995784250188</v>
      </c>
      <c r="AZ109" s="153">
        <f t="shared" si="170"/>
        <v>0.27750445995037676</v>
      </c>
      <c r="BA109" s="153">
        <f t="shared" si="170"/>
        <v>0.26362923695285789</v>
      </c>
      <c r="BB109" s="153">
        <f t="shared" si="170"/>
        <v>0.25044777510521499</v>
      </c>
      <c r="BC109" s="153">
        <f t="shared" si="170"/>
        <v>0.23792538634995422</v>
      </c>
      <c r="BD109" s="153">
        <f t="shared" si="170"/>
        <v>0.22602911703245651</v>
      </c>
      <c r="BE109" s="153">
        <f t="shared" si="170"/>
        <v>0.21472766118083367</v>
      </c>
      <c r="BF109" s="153">
        <f t="shared" si="171"/>
        <v>0.20399127812179196</v>
      </c>
      <c r="BG109" s="153">
        <f t="shared" si="171"/>
        <v>0.19379171421570235</v>
      </c>
      <c r="BH109" s="153">
        <f t="shared" si="171"/>
        <v>0.18410212850491722</v>
      </c>
      <c r="BI109" s="153">
        <f t="shared" si="171"/>
        <v>0.17489702207967137</v>
      </c>
      <c r="BJ109" s="153">
        <f t="shared" si="171"/>
        <v>0.1661521709756878</v>
      </c>
      <c r="BK109" s="153">
        <f t="shared" si="171"/>
        <v>0.1578445624269034</v>
      </c>
      <c r="BL109" s="153">
        <f t="shared" si="104"/>
        <v>0.14995233430555821</v>
      </c>
      <c r="BM109" s="153">
        <f t="shared" si="105"/>
        <v>0.14245471759028031</v>
      </c>
      <c r="BN109" s="153">
        <f t="shared" si="106"/>
        <v>0.1353319817107663</v>
      </c>
      <c r="BO109" s="153">
        <f t="shared" si="107"/>
        <v>0.12856538262522799</v>
      </c>
      <c r="BP109" s="153">
        <f t="shared" si="108"/>
        <v>0.12213711349396658</v>
      </c>
      <c r="BQ109" s="153">
        <f t="shared" si="108"/>
        <v>0.11603025781926825</v>
      </c>
      <c r="BR109" s="153">
        <f t="shared" si="109"/>
        <v>0.11022874492830483</v>
      </c>
      <c r="BS109" s="153">
        <f t="shared" si="110"/>
        <v>0.10471730768188958</v>
      </c>
      <c r="BT109" s="153">
        <f t="shared" si="111"/>
        <v>9.9481442297795097E-2</v>
      </c>
      <c r="BU109" s="153">
        <f t="shared" si="111"/>
        <v>9.4507370182905337E-2</v>
      </c>
      <c r="BV109" s="153">
        <f t="shared" si="112"/>
        <v>8.9782001673760062E-2</v>
      </c>
      <c r="BW109" s="153">
        <f t="shared" si="113"/>
        <v>8.5292901590072051E-2</v>
      </c>
      <c r="BX109" s="153">
        <f t="shared" si="114"/>
        <v>8.1028256510568442E-2</v>
      </c>
      <c r="BY109" s="153">
        <f t="shared" si="115"/>
        <v>7.6976843685040014E-2</v>
      </c>
      <c r="BZ109" s="153">
        <f t="shared" si="116"/>
        <v>7.3128001500788006E-2</v>
      </c>
      <c r="CA109" s="153">
        <f t="shared" si="117"/>
        <v>6.9471601425748597E-2</v>
      </c>
      <c r="CB109" s="153">
        <f t="shared" si="118"/>
        <v>6.5998021354461159E-2</v>
      </c>
      <c r="CC109" s="153">
        <f t="shared" si="119"/>
        <v>6.2698120286738102E-2</v>
      </c>
      <c r="CD109" s="153">
        <f t="shared" si="120"/>
        <v>5.9563214272401195E-2</v>
      </c>
      <c r="CE109" s="153">
        <f t="shared" si="121"/>
        <v>5.6585053558781136E-2</v>
      </c>
      <c r="CF109" s="153">
        <f t="shared" si="122"/>
        <v>5.3755800880842079E-2</v>
      </c>
      <c r="CG109" s="153">
        <f t="shared" si="123"/>
        <v>5.1068010836799974E-2</v>
      </c>
      <c r="CH109" s="153">
        <f t="shared" si="124"/>
        <v>4.8514610294959973E-2</v>
      </c>
      <c r="CI109" s="153">
        <f t="shared" si="125"/>
        <v>4.6088879780211971E-2</v>
      </c>
      <c r="CJ109" s="153">
        <f t="shared" si="126"/>
        <v>4.3784435791201372E-2</v>
      </c>
      <c r="CK109" s="153">
        <f t="shared" si="127"/>
        <v>4.1595214001641304E-2</v>
      </c>
      <c r="CL109" s="153">
        <f t="shared" si="128"/>
        <v>3.9515453301559235E-2</v>
      </c>
      <c r="CM109" s="153">
        <f t="shared" si="129"/>
        <v>3.7539680636481269E-2</v>
      </c>
      <c r="CN109" s="153">
        <f t="shared" si="130"/>
        <v>3.5662696604657207E-2</v>
      </c>
      <c r="CO109" s="153">
        <f t="shared" si="131"/>
        <v>3.3879561774424347E-2</v>
      </c>
      <c r="CP109" s="153">
        <f t="shared" si="132"/>
        <v>3.218558368570313E-2</v>
      </c>
      <c r="CQ109" s="153">
        <f t="shared" si="133"/>
        <v>3.0576304501417972E-2</v>
      </c>
      <c r="CR109" s="153">
        <f t="shared" si="134"/>
        <v>2.9047489276347073E-2</v>
      </c>
      <c r="CS109" s="153">
        <f t="shared" si="135"/>
        <v>2.7595114812529718E-2</v>
      </c>
      <c r="CT109" s="153">
        <f t="shared" si="136"/>
        <v>2.621535907190323E-2</v>
      </c>
      <c r="CU109" s="153">
        <f t="shared" si="137"/>
        <v>2.4904591118308068E-2</v>
      </c>
      <c r="CV109" s="153">
        <f t="shared" si="138"/>
        <v>2.3659361562392664E-2</v>
      </c>
      <c r="CW109" s="153">
        <f t="shared" si="139"/>
        <v>2.2476393484273029E-2</v>
      </c>
      <c r="CX109" s="153">
        <f t="shared" si="140"/>
        <v>2.1352573810059377E-2</v>
      </c>
      <c r="CY109" s="153">
        <f t="shared" si="141"/>
        <v>2.0284945119556409E-2</v>
      </c>
      <c r="CZ109" s="153">
        <f t="shared" si="142"/>
        <v>1.9270697863578587E-2</v>
      </c>
      <c r="DA109" s="153">
        <f t="shared" si="143"/>
        <v>1.8307162970399658E-2</v>
      </c>
      <c r="DB109" s="153">
        <f t="shared" si="144"/>
        <v>1.7391804821879676E-2</v>
      </c>
      <c r="DC109" s="153">
        <f t="shared" si="145"/>
        <v>1.6522214580785691E-2</v>
      </c>
      <c r="DD109" s="153">
        <f t="shared" si="146"/>
        <v>1.5696103851746405E-2</v>
      </c>
      <c r="DE109" s="153">
        <f t="shared" si="147"/>
        <v>1.4911298659159085E-2</v>
      </c>
      <c r="DF109" s="153">
        <f t="shared" si="148"/>
        <v>1.416573372620113E-2</v>
      </c>
      <c r="DG109" s="153">
        <f t="shared" si="149"/>
        <v>1.3457447039891074E-2</v>
      </c>
      <c r="DH109" s="153">
        <f t="shared" si="150"/>
        <v>1.2784574687896519E-2</v>
      </c>
      <c r="DI109" s="153">
        <f t="shared" si="151"/>
        <v>1.2145345953501693E-2</v>
      </c>
      <c r="DJ109" s="153">
        <f t="shared" si="152"/>
        <v>1.1538078655826607E-2</v>
      </c>
      <c r="DK109" s="153">
        <f t="shared" si="153"/>
        <v>1.0961174723035276E-2</v>
      </c>
      <c r="DL109" s="153">
        <f t="shared" si="154"/>
        <v>1.0413115986883511E-2</v>
      </c>
      <c r="DM109" s="153">
        <f t="shared" si="155"/>
        <v>9.8924601875393352E-3</v>
      </c>
      <c r="DN109" s="153">
        <f t="shared" si="156"/>
        <v>9.3978371781623677E-3</v>
      </c>
      <c r="DO109" s="153">
        <f t="shared" si="157"/>
        <v>8.9279453192542494E-3</v>
      </c>
      <c r="DP109" s="153">
        <f t="shared" si="158"/>
        <v>8.4815480532915363E-3</v>
      </c>
      <c r="DQ109" s="153">
        <f t="shared" si="159"/>
        <v>8.0574706506269592E-3</v>
      </c>
      <c r="DR109" s="153">
        <f t="shared" si="160"/>
        <v>7.6545971180956105E-3</v>
      </c>
      <c r="DS109" s="153">
        <f t="shared" si="161"/>
        <v>7.2718672621908294E-3</v>
      </c>
      <c r="DT109" s="153">
        <f t="shared" si="162"/>
        <v>6.9082738990812872E-3</v>
      </c>
      <c r="DU109" s="153">
        <f t="shared" si="163"/>
        <v>6.5628602041272223E-3</v>
      </c>
      <c r="DV109" s="153">
        <f t="shared" si="164"/>
        <v>6.234717193920861E-3</v>
      </c>
      <c r="DW109" s="153">
        <f t="shared" si="165"/>
        <v>5.9229813342248179E-3</v>
      </c>
      <c r="DX109" s="153">
        <f t="shared" si="166"/>
        <v>5.6268322675135764E-3</v>
      </c>
      <c r="DY109" s="153">
        <f t="shared" si="167"/>
        <v>5.3454906541378971E-3</v>
      </c>
      <c r="DZ109" s="153">
        <f t="shared" si="168"/>
        <v>5.0782161214310024E-3</v>
      </c>
    </row>
    <row r="110" spans="1:130" s="1" customFormat="1" x14ac:dyDescent="0.15">
      <c r="A110" s="1" t="s">
        <v>57</v>
      </c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8">
        <f t="shared" si="101"/>
        <v>0.19137708401697254</v>
      </c>
      <c r="S110" s="324"/>
      <c r="T110" s="324"/>
      <c r="U110" s="324"/>
      <c r="V110" s="324"/>
      <c r="W110" s="153">
        <f t="shared" ref="W110:AN110" si="179">+IF(W78=0,W12,IF(W217=1,W12*$Z168,V110*(W$102/V$102)))</f>
        <v>0.27175340474303866</v>
      </c>
      <c r="X110" s="153">
        <f t="shared" si="179"/>
        <v>0.2440378886848312</v>
      </c>
      <c r="Y110" s="153">
        <f t="shared" si="179"/>
        <v>0.29387641789014829</v>
      </c>
      <c r="Z110" s="153">
        <f t="shared" si="179"/>
        <v>0.35389319854131812</v>
      </c>
      <c r="AA110" s="153">
        <f t="shared" si="179"/>
        <v>0.41301044572648205</v>
      </c>
      <c r="AB110" s="153">
        <f t="shared" si="179"/>
        <v>0.48200312688199881</v>
      </c>
      <c r="AC110" s="153">
        <f t="shared" si="179"/>
        <v>0.54931655617286157</v>
      </c>
      <c r="AD110" s="153">
        <f t="shared" si="179"/>
        <v>0.62603054224477039</v>
      </c>
      <c r="AE110" s="153">
        <f t="shared" si="179"/>
        <v>0.6891755174498525</v>
      </c>
      <c r="AF110" s="153">
        <f t="shared" si="179"/>
        <v>0.75868965138535882</v>
      </c>
      <c r="AG110" s="153">
        <f t="shared" si="179"/>
        <v>0.81602001637663124</v>
      </c>
      <c r="AH110" s="153">
        <f t="shared" si="179"/>
        <v>0.87768254899933362</v>
      </c>
      <c r="AI110" s="153">
        <f t="shared" si="179"/>
        <v>0.79699149462079588</v>
      </c>
      <c r="AJ110" s="153">
        <f t="shared" si="179"/>
        <v>0.72755691791705857</v>
      </c>
      <c r="AK110" s="153">
        <f t="shared" si="179"/>
        <v>0.66793528925426704</v>
      </c>
      <c r="AL110" s="153">
        <f t="shared" si="179"/>
        <v>0.61652561678451767</v>
      </c>
      <c r="AM110" s="153">
        <f t="shared" si="179"/>
        <v>0.57243530042991753</v>
      </c>
      <c r="AN110" s="153">
        <f t="shared" si="179"/>
        <v>0.53432745333766118</v>
      </c>
      <c r="AO110" s="153">
        <f t="shared" si="176"/>
        <v>0.50094826019024996</v>
      </c>
      <c r="AP110" s="153">
        <f t="shared" si="170"/>
        <v>0.47590084718073744</v>
      </c>
      <c r="AQ110" s="153">
        <f t="shared" si="170"/>
        <v>0.45210580482170054</v>
      </c>
      <c r="AR110" s="153">
        <f t="shared" si="170"/>
        <v>0.4295005145806155</v>
      </c>
      <c r="AS110" s="153">
        <f t="shared" si="170"/>
        <v>0.40802548885158468</v>
      </c>
      <c r="AT110" s="153">
        <f t="shared" si="170"/>
        <v>0.38762421440900541</v>
      </c>
      <c r="AU110" s="153">
        <f t="shared" si="170"/>
        <v>0.36824300368855512</v>
      </c>
      <c r="AV110" s="153">
        <f t="shared" si="170"/>
        <v>0.34983085350412735</v>
      </c>
      <c r="AW110" s="153">
        <f t="shared" si="170"/>
        <v>0.33233931082892099</v>
      </c>
      <c r="AX110" s="153">
        <f t="shared" si="170"/>
        <v>0.31572234528747495</v>
      </c>
      <c r="AY110" s="153">
        <f t="shared" si="170"/>
        <v>0.29993622802310116</v>
      </c>
      <c r="AZ110" s="153">
        <f t="shared" si="170"/>
        <v>0.28493941662194611</v>
      </c>
      <c r="BA110" s="153">
        <f t="shared" si="170"/>
        <v>0.27069244579084878</v>
      </c>
      <c r="BB110" s="153">
        <f t="shared" si="170"/>
        <v>0.25715782350130634</v>
      </c>
      <c r="BC110" s="153">
        <f t="shared" si="170"/>
        <v>0.244299932326241</v>
      </c>
      <c r="BD110" s="153">
        <f t="shared" si="170"/>
        <v>0.23208493570992894</v>
      </c>
      <c r="BE110" s="153">
        <f t="shared" si="170"/>
        <v>0.22048068892443248</v>
      </c>
      <c r="BF110" s="153">
        <f t="shared" si="171"/>
        <v>0.20945665447821085</v>
      </c>
      <c r="BG110" s="153">
        <f t="shared" si="171"/>
        <v>0.19898382175430029</v>
      </c>
      <c r="BH110" s="153">
        <f t="shared" si="171"/>
        <v>0.18903463066658527</v>
      </c>
      <c r="BI110" s="153">
        <f t="shared" si="171"/>
        <v>0.17958289913325601</v>
      </c>
      <c r="BJ110" s="153">
        <f t="shared" si="171"/>
        <v>0.17060375417659321</v>
      </c>
      <c r="BK110" s="153">
        <f t="shared" si="171"/>
        <v>0.16207356646776355</v>
      </c>
      <c r="BL110" s="153">
        <f t="shared" si="104"/>
        <v>0.15396988814437537</v>
      </c>
      <c r="BM110" s="153">
        <f t="shared" si="105"/>
        <v>0.14627139373715659</v>
      </c>
      <c r="BN110" s="153">
        <f t="shared" si="106"/>
        <v>0.13895782405029874</v>
      </c>
      <c r="BO110" s="153">
        <f t="shared" si="107"/>
        <v>0.13200993284778381</v>
      </c>
      <c r="BP110" s="153">
        <f t="shared" si="108"/>
        <v>0.1254094362053946</v>
      </c>
      <c r="BQ110" s="153">
        <f t="shared" si="108"/>
        <v>0.11913896439512486</v>
      </c>
      <c r="BR110" s="153">
        <f t="shared" si="109"/>
        <v>0.11318201617536862</v>
      </c>
      <c r="BS110" s="153">
        <f t="shared" si="110"/>
        <v>0.10752291536660018</v>
      </c>
      <c r="BT110" s="153">
        <f t="shared" si="111"/>
        <v>0.10214676959827017</v>
      </c>
      <c r="BU110" s="153">
        <f t="shared" si="111"/>
        <v>9.7039431118356653E-2</v>
      </c>
      <c r="BV110" s="153">
        <f t="shared" si="112"/>
        <v>9.2187459562438817E-2</v>
      </c>
      <c r="BW110" s="153">
        <f t="shared" si="113"/>
        <v>8.7578086584316872E-2</v>
      </c>
      <c r="BX110" s="153">
        <f t="shared" si="114"/>
        <v>8.319918225510102E-2</v>
      </c>
      <c r="BY110" s="153">
        <f t="shared" si="115"/>
        <v>7.903922314234596E-2</v>
      </c>
      <c r="BZ110" s="153">
        <f t="shared" si="116"/>
        <v>7.5087261985228665E-2</v>
      </c>
      <c r="CA110" s="153">
        <f t="shared" si="117"/>
        <v>7.1332898885967222E-2</v>
      </c>
      <c r="CB110" s="153">
        <f t="shared" si="118"/>
        <v>6.7766253941668853E-2</v>
      </c>
      <c r="CC110" s="153">
        <f t="shared" si="119"/>
        <v>6.4377941244585402E-2</v>
      </c>
      <c r="CD110" s="153">
        <f t="shared" si="120"/>
        <v>6.1159044182356126E-2</v>
      </c>
      <c r="CE110" s="153">
        <f t="shared" si="121"/>
        <v>5.8101091973238317E-2</v>
      </c>
      <c r="CF110" s="153">
        <f t="shared" si="122"/>
        <v>5.5196037374576401E-2</v>
      </c>
      <c r="CG110" s="153">
        <f t="shared" si="123"/>
        <v>5.2436235505847577E-2</v>
      </c>
      <c r="CH110" s="153">
        <f t="shared" si="124"/>
        <v>4.9814423730555196E-2</v>
      </c>
      <c r="CI110" s="153">
        <f t="shared" si="125"/>
        <v>4.7323702544027436E-2</v>
      </c>
      <c r="CJ110" s="153">
        <f t="shared" si="126"/>
        <v>4.4957517416826062E-2</v>
      </c>
      <c r="CK110" s="153">
        <f t="shared" si="127"/>
        <v>4.2709641545984757E-2</v>
      </c>
      <c r="CL110" s="153">
        <f t="shared" si="128"/>
        <v>4.0574159468685519E-2</v>
      </c>
      <c r="CM110" s="153">
        <f t="shared" si="129"/>
        <v>3.8545451495251244E-2</v>
      </c>
      <c r="CN110" s="153">
        <f t="shared" si="130"/>
        <v>3.661817892048868E-2</v>
      </c>
      <c r="CO110" s="153">
        <f t="shared" si="131"/>
        <v>3.4787269974464241E-2</v>
      </c>
      <c r="CP110" s="153">
        <f t="shared" si="132"/>
        <v>3.3047906475741025E-2</v>
      </c>
      <c r="CQ110" s="153">
        <f t="shared" si="133"/>
        <v>3.1395511151953971E-2</v>
      </c>
      <c r="CR110" s="153">
        <f t="shared" si="134"/>
        <v>2.9825735594356272E-2</v>
      </c>
      <c r="CS110" s="153">
        <f t="shared" si="135"/>
        <v>2.8334448814638456E-2</v>
      </c>
      <c r="CT110" s="153">
        <f t="shared" si="136"/>
        <v>2.691772637390653E-2</v>
      </c>
      <c r="CU110" s="153">
        <f t="shared" si="137"/>
        <v>2.5571840055211202E-2</v>
      </c>
      <c r="CV110" s="153">
        <f t="shared" si="138"/>
        <v>2.4293248052450641E-2</v>
      </c>
      <c r="CW110" s="153">
        <f t="shared" si="139"/>
        <v>2.3078585649828107E-2</v>
      </c>
      <c r="CX110" s="153">
        <f t="shared" si="140"/>
        <v>2.19246563673367E-2</v>
      </c>
      <c r="CY110" s="153">
        <f t="shared" si="141"/>
        <v>2.0828423548969865E-2</v>
      </c>
      <c r="CZ110" s="153">
        <f t="shared" si="142"/>
        <v>1.9787002371521371E-2</v>
      </c>
      <c r="DA110" s="153">
        <f t="shared" si="143"/>
        <v>1.8797652252945302E-2</v>
      </c>
      <c r="DB110" s="153">
        <f t="shared" si="144"/>
        <v>1.7857769640298036E-2</v>
      </c>
      <c r="DC110" s="153">
        <f t="shared" si="145"/>
        <v>1.6964881158283134E-2</v>
      </c>
      <c r="DD110" s="153">
        <f t="shared" si="146"/>
        <v>1.6116637100368977E-2</v>
      </c>
      <c r="DE110" s="153">
        <f t="shared" si="147"/>
        <v>1.5310805245350527E-2</v>
      </c>
      <c r="DF110" s="153">
        <f t="shared" si="148"/>
        <v>1.4545264983082999E-2</v>
      </c>
      <c r="DG110" s="153">
        <f t="shared" si="149"/>
        <v>1.3818001733928848E-2</v>
      </c>
      <c r="DH110" s="153">
        <f t="shared" si="150"/>
        <v>1.3127101647232405E-2</v>
      </c>
      <c r="DI110" s="153">
        <f t="shared" si="151"/>
        <v>1.2470746564870785E-2</v>
      </c>
      <c r="DJ110" s="153">
        <f t="shared" si="152"/>
        <v>1.1847209236627245E-2</v>
      </c>
      <c r="DK110" s="153">
        <f t="shared" si="153"/>
        <v>1.1254848774795882E-2</v>
      </c>
      <c r="DL110" s="153">
        <f t="shared" si="154"/>
        <v>1.0692106336056087E-2</v>
      </c>
      <c r="DM110" s="153">
        <f t="shared" si="155"/>
        <v>1.0157501019253282E-2</v>
      </c>
      <c r="DN110" s="153">
        <f t="shared" si="156"/>
        <v>9.649625968290618E-3</v>
      </c>
      <c r="DO110" s="153">
        <f t="shared" si="157"/>
        <v>9.1671446698760872E-3</v>
      </c>
      <c r="DP110" s="153">
        <f t="shared" si="158"/>
        <v>8.7087874363822818E-3</v>
      </c>
      <c r="DQ110" s="153">
        <f t="shared" si="159"/>
        <v>8.2733480645631671E-3</v>
      </c>
      <c r="DR110" s="153">
        <f t="shared" si="160"/>
        <v>7.8596806613350084E-3</v>
      </c>
      <c r="DS110" s="153">
        <f t="shared" si="161"/>
        <v>7.4666966282682578E-3</v>
      </c>
      <c r="DT110" s="153">
        <f t="shared" si="162"/>
        <v>7.0933617968548445E-3</v>
      </c>
      <c r="DU110" s="153">
        <f t="shared" si="163"/>
        <v>6.7386937070121021E-3</v>
      </c>
      <c r="DV110" s="153">
        <f t="shared" si="164"/>
        <v>6.4017590216614963E-3</v>
      </c>
      <c r="DW110" s="153">
        <f t="shared" si="165"/>
        <v>6.081671070578421E-3</v>
      </c>
      <c r="DX110" s="153">
        <f t="shared" si="166"/>
        <v>5.7775875170494994E-3</v>
      </c>
      <c r="DY110" s="153">
        <f t="shared" si="167"/>
        <v>5.4887081411970238E-3</v>
      </c>
      <c r="DZ110" s="153">
        <f t="shared" si="168"/>
        <v>5.2142727341371728E-3</v>
      </c>
    </row>
    <row r="111" spans="1:130" s="1" customFormat="1" x14ac:dyDescent="0.15">
      <c r="A111" s="1" t="s">
        <v>58</v>
      </c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8">
        <f t="shared" si="101"/>
        <v>0.41227239850714797</v>
      </c>
      <c r="S111" s="324"/>
      <c r="T111" s="324"/>
      <c r="U111" s="324"/>
      <c r="V111" s="324"/>
      <c r="W111" s="153">
        <f t="shared" ref="W111:AN111" si="180">+IF(W79=0,W13,IF(W218=1,W13*$Z169,V111*(W$102/V$102)))</f>
        <v>0.83681045236235274</v>
      </c>
      <c r="X111" s="153">
        <f t="shared" si="180"/>
        <v>0.53297093331331402</v>
      </c>
      <c r="Y111" s="153">
        <f t="shared" si="180"/>
        <v>0.60026593145636786</v>
      </c>
      <c r="Z111" s="153">
        <f t="shared" si="180"/>
        <v>0.67605785971701871</v>
      </c>
      <c r="AA111" s="153">
        <f t="shared" si="180"/>
        <v>0.59563869866602226</v>
      </c>
      <c r="AB111" s="153">
        <f t="shared" si="180"/>
        <v>0.53219249351146902</v>
      </c>
      <c r="AC111" s="153">
        <f t="shared" si="180"/>
        <v>0.45924794523153384</v>
      </c>
      <c r="AD111" s="153">
        <f t="shared" si="180"/>
        <v>0.3826106878161033</v>
      </c>
      <c r="AE111" s="153">
        <f t="shared" si="180"/>
        <v>0.29942455077896551</v>
      </c>
      <c r="AF111" s="153">
        <f t="shared" si="180"/>
        <v>0.26940566508182101</v>
      </c>
      <c r="AG111" s="153">
        <f t="shared" si="180"/>
        <v>0.24222536600973824</v>
      </c>
      <c r="AH111" s="153">
        <f t="shared" si="180"/>
        <v>0.21885786547482852</v>
      </c>
      <c r="AI111" s="153">
        <f t="shared" si="180"/>
        <v>0.19873684114281404</v>
      </c>
      <c r="AJ111" s="153">
        <f t="shared" si="180"/>
        <v>0.18142271855389636</v>
      </c>
      <c r="AK111" s="153">
        <f t="shared" si="180"/>
        <v>0.16655554089364952</v>
      </c>
      <c r="AL111" s="153">
        <f t="shared" si="180"/>
        <v>0.15373608675921629</v>
      </c>
      <c r="AM111" s="153">
        <f t="shared" si="180"/>
        <v>0.14274177846804728</v>
      </c>
      <c r="AN111" s="153">
        <f t="shared" si="180"/>
        <v>0.13323925152141808</v>
      </c>
      <c r="AO111" s="153">
        <f t="shared" si="176"/>
        <v>0.12491585603879925</v>
      </c>
      <c r="AP111" s="153">
        <f t="shared" si="170"/>
        <v>0.11867006323685927</v>
      </c>
      <c r="AQ111" s="153">
        <f t="shared" si="170"/>
        <v>0.11273656007501631</v>
      </c>
      <c r="AR111" s="153">
        <f t="shared" si="170"/>
        <v>0.1070997320712655</v>
      </c>
      <c r="AS111" s="153">
        <f t="shared" si="170"/>
        <v>0.10174474546770222</v>
      </c>
      <c r="AT111" s="153">
        <f t="shared" si="170"/>
        <v>9.6657508194317107E-2</v>
      </c>
      <c r="AU111" s="153">
        <f t="shared" si="170"/>
        <v>9.1824632784601248E-2</v>
      </c>
      <c r="AV111" s="153">
        <f t="shared" si="170"/>
        <v>8.7233401145371176E-2</v>
      </c>
      <c r="AW111" s="153">
        <f t="shared" si="170"/>
        <v>8.2871731088102613E-2</v>
      </c>
      <c r="AX111" s="153">
        <f t="shared" si="170"/>
        <v>7.8728144533697475E-2</v>
      </c>
      <c r="AY111" s="153">
        <f t="shared" si="170"/>
        <v>7.4791737307012593E-2</v>
      </c>
      <c r="AZ111" s="153">
        <f t="shared" si="170"/>
        <v>7.1052150441661965E-2</v>
      </c>
      <c r="BA111" s="153">
        <f t="shared" si="170"/>
        <v>6.7499542919578867E-2</v>
      </c>
      <c r="BB111" s="153">
        <f t="shared" si="170"/>
        <v>6.4124565773599915E-2</v>
      </c>
      <c r="BC111" s="153">
        <f t="shared" si="170"/>
        <v>6.0918337484919913E-2</v>
      </c>
      <c r="BD111" s="153">
        <f t="shared" si="170"/>
        <v>5.7872420610673915E-2</v>
      </c>
      <c r="BE111" s="153">
        <f t="shared" si="170"/>
        <v>5.4978799580140215E-2</v>
      </c>
      <c r="BF111" s="153">
        <f t="shared" si="171"/>
        <v>5.2229859601133202E-2</v>
      </c>
      <c r="BG111" s="153">
        <f t="shared" si="171"/>
        <v>4.9618366621076541E-2</v>
      </c>
      <c r="BH111" s="153">
        <f t="shared" si="171"/>
        <v>4.7137448290022713E-2</v>
      </c>
      <c r="BI111" s="153">
        <f t="shared" si="171"/>
        <v>4.4780575875521575E-2</v>
      </c>
      <c r="BJ111" s="153">
        <f t="shared" si="171"/>
        <v>4.2541547081745491E-2</v>
      </c>
      <c r="BK111" s="153">
        <f t="shared" si="171"/>
        <v>4.0414469727658213E-2</v>
      </c>
      <c r="BL111" s="153">
        <f t="shared" si="104"/>
        <v>3.8393746241275298E-2</v>
      </c>
      <c r="BM111" s="153">
        <f t="shared" si="105"/>
        <v>3.6474058929211531E-2</v>
      </c>
      <c r="BN111" s="153">
        <f t="shared" si="106"/>
        <v>3.4650355982750951E-2</v>
      </c>
      <c r="BO111" s="153">
        <f t="shared" si="107"/>
        <v>3.29178381836134E-2</v>
      </c>
      <c r="BP111" s="153">
        <f t="shared" si="108"/>
        <v>3.1271946274432728E-2</v>
      </c>
      <c r="BQ111" s="153">
        <f t="shared" si="108"/>
        <v>2.970834896071109E-2</v>
      </c>
      <c r="BR111" s="153">
        <f t="shared" si="109"/>
        <v>2.8222931512675534E-2</v>
      </c>
      <c r="BS111" s="153">
        <f t="shared" si="110"/>
        <v>2.6811784937041755E-2</v>
      </c>
      <c r="BT111" s="153">
        <f t="shared" si="111"/>
        <v>2.5471195690189664E-2</v>
      </c>
      <c r="BU111" s="153">
        <f t="shared" si="111"/>
        <v>2.4197635905680179E-2</v>
      </c>
      <c r="BV111" s="153">
        <f t="shared" si="112"/>
        <v>2.2987754110396167E-2</v>
      </c>
      <c r="BW111" s="153">
        <f t="shared" si="113"/>
        <v>2.1838366404876356E-2</v>
      </c>
      <c r="BX111" s="153">
        <f t="shared" si="114"/>
        <v>2.0746448084632538E-2</v>
      </c>
      <c r="BY111" s="153">
        <f t="shared" si="115"/>
        <v>1.970912568040091E-2</v>
      </c>
      <c r="BZ111" s="153">
        <f t="shared" si="116"/>
        <v>1.8723669396380864E-2</v>
      </c>
      <c r="CA111" s="153">
        <f t="shared" si="117"/>
        <v>1.7787485926561819E-2</v>
      </c>
      <c r="CB111" s="153">
        <f t="shared" si="118"/>
        <v>1.6898111630233727E-2</v>
      </c>
      <c r="CC111" s="153">
        <f t="shared" si="119"/>
        <v>1.6053206048722041E-2</v>
      </c>
      <c r="CD111" s="153">
        <f t="shared" si="120"/>
        <v>1.5250545746285938E-2</v>
      </c>
      <c r="CE111" s="153">
        <f t="shared" si="121"/>
        <v>1.448801845897164E-2</v>
      </c>
      <c r="CF111" s="153">
        <f t="shared" si="122"/>
        <v>1.3763617536023058E-2</v>
      </c>
      <c r="CG111" s="153">
        <f t="shared" si="123"/>
        <v>1.3075436659221904E-2</v>
      </c>
      <c r="CH111" s="153">
        <f t="shared" si="124"/>
        <v>1.2421664826260809E-2</v>
      </c>
      <c r="CI111" s="153">
        <f t="shared" si="125"/>
        <v>1.1800581584947768E-2</v>
      </c>
      <c r="CJ111" s="153">
        <f t="shared" si="126"/>
        <v>1.121055250570038E-2</v>
      </c>
      <c r="CK111" s="153">
        <f t="shared" si="127"/>
        <v>1.065002488041536E-2</v>
      </c>
      <c r="CL111" s="153">
        <f t="shared" si="128"/>
        <v>1.0117523636394591E-2</v>
      </c>
      <c r="CM111" s="153">
        <f t="shared" si="129"/>
        <v>9.6116474545748613E-3</v>
      </c>
      <c r="CN111" s="153">
        <f t="shared" si="130"/>
        <v>9.1310650818461174E-3</v>
      </c>
      <c r="CO111" s="153">
        <f t="shared" si="131"/>
        <v>8.674511827753811E-3</v>
      </c>
      <c r="CP111" s="153">
        <f t="shared" si="132"/>
        <v>8.2407862363661193E-3</v>
      </c>
      <c r="CQ111" s="153">
        <f t="shared" si="133"/>
        <v>7.8287469245478126E-3</v>
      </c>
      <c r="CR111" s="153">
        <f t="shared" si="134"/>
        <v>7.4373095783204215E-3</v>
      </c>
      <c r="CS111" s="153">
        <f t="shared" si="135"/>
        <v>7.0654440994044002E-3</v>
      </c>
      <c r="CT111" s="153">
        <f t="shared" si="136"/>
        <v>6.7121718944341798E-3</v>
      </c>
      <c r="CU111" s="153">
        <f t="shared" si="137"/>
        <v>6.3765632997124701E-3</v>
      </c>
      <c r="CV111" s="153">
        <f t="shared" si="138"/>
        <v>6.0577351347268467E-3</v>
      </c>
      <c r="CW111" s="153">
        <f t="shared" si="139"/>
        <v>5.7548483779905043E-3</v>
      </c>
      <c r="CX111" s="153">
        <f t="shared" si="140"/>
        <v>5.4671059590909784E-3</v>
      </c>
      <c r="CY111" s="153">
        <f t="shared" si="141"/>
        <v>5.193750661136429E-3</v>
      </c>
      <c r="CZ111" s="153">
        <f t="shared" si="142"/>
        <v>4.9340631280796075E-3</v>
      </c>
      <c r="DA111" s="153">
        <f t="shared" si="143"/>
        <v>4.6873599716756266E-3</v>
      </c>
      <c r="DB111" s="153">
        <f t="shared" si="144"/>
        <v>4.4529919730918448E-3</v>
      </c>
      <c r="DC111" s="153">
        <f t="shared" si="145"/>
        <v>4.2303423744372527E-3</v>
      </c>
      <c r="DD111" s="153">
        <f t="shared" si="146"/>
        <v>4.01882525571539E-3</v>
      </c>
      <c r="DE111" s="153">
        <f t="shared" si="147"/>
        <v>3.8178839929296202E-3</v>
      </c>
      <c r="DF111" s="153">
        <f t="shared" si="148"/>
        <v>3.626989793283139E-3</v>
      </c>
      <c r="DG111" s="153">
        <f t="shared" si="149"/>
        <v>3.4456403036189818E-3</v>
      </c>
      <c r="DH111" s="153">
        <f t="shared" si="150"/>
        <v>3.2733582884380327E-3</v>
      </c>
      <c r="DI111" s="153">
        <f t="shared" si="151"/>
        <v>3.109690374016131E-3</v>
      </c>
      <c r="DJ111" s="153">
        <f t="shared" si="152"/>
        <v>2.9542058553153243E-3</v>
      </c>
      <c r="DK111" s="153">
        <f t="shared" si="153"/>
        <v>2.8064955625495581E-3</v>
      </c>
      <c r="DL111" s="153">
        <f t="shared" si="154"/>
        <v>2.6661707844220801E-3</v>
      </c>
      <c r="DM111" s="153">
        <f t="shared" si="155"/>
        <v>2.5328622452009762E-3</v>
      </c>
      <c r="DN111" s="153">
        <f t="shared" si="156"/>
        <v>2.4062191329409272E-3</v>
      </c>
      <c r="DO111" s="153">
        <f t="shared" si="157"/>
        <v>2.2859081762938807E-3</v>
      </c>
      <c r="DP111" s="153">
        <f t="shared" si="158"/>
        <v>2.1716127674791864E-3</v>
      </c>
      <c r="DQ111" s="153">
        <f t="shared" si="159"/>
        <v>2.0630321291052272E-3</v>
      </c>
      <c r="DR111" s="153">
        <f t="shared" si="160"/>
        <v>1.9598805226499656E-3</v>
      </c>
      <c r="DS111" s="153">
        <f t="shared" si="161"/>
        <v>1.8618864965174672E-3</v>
      </c>
      <c r="DT111" s="153">
        <f t="shared" si="162"/>
        <v>1.7687921716915938E-3</v>
      </c>
      <c r="DU111" s="153">
        <f t="shared" si="163"/>
        <v>1.6803525631070141E-3</v>
      </c>
      <c r="DV111" s="153">
        <f t="shared" si="164"/>
        <v>1.5963349349516634E-3</v>
      </c>
      <c r="DW111" s="153">
        <f t="shared" si="165"/>
        <v>1.5165181882040803E-3</v>
      </c>
      <c r="DX111" s="153">
        <f t="shared" si="166"/>
        <v>1.4406922787938762E-3</v>
      </c>
      <c r="DY111" s="153">
        <f t="shared" si="167"/>
        <v>1.3686576648541822E-3</v>
      </c>
      <c r="DZ111" s="153">
        <f t="shared" si="168"/>
        <v>1.300224781611473E-3</v>
      </c>
    </row>
    <row r="112" spans="1:130" s="1" customFormat="1" x14ac:dyDescent="0.15">
      <c r="A112" s="347" t="s">
        <v>114</v>
      </c>
      <c r="B112" s="347"/>
      <c r="C112" s="348"/>
      <c r="D112" s="348"/>
      <c r="E112" s="348"/>
      <c r="F112" s="348"/>
      <c r="G112" s="348"/>
      <c r="H112" s="348"/>
      <c r="I112" s="324"/>
      <c r="J112" s="324"/>
      <c r="K112" s="324"/>
      <c r="L112" s="324"/>
      <c r="M112" s="324"/>
      <c r="N112" s="324"/>
      <c r="O112" s="324"/>
      <c r="P112" s="324"/>
      <c r="Q112" s="324"/>
      <c r="R112" s="8">
        <f t="shared" si="101"/>
        <v>0.54177826149727892</v>
      </c>
      <c r="S112" s="324"/>
      <c r="T112" s="324"/>
      <c r="U112" s="324"/>
      <c r="V112" s="324"/>
      <c r="W112" s="153">
        <f t="shared" ref="W112:AN112" si="181">+IF(W80=0,W14,IF(W219=1,W14*$Z170,V112*(W$102/V$102)))</f>
        <v>0.58200510636430225</v>
      </c>
      <c r="X112" s="153">
        <f t="shared" si="181"/>
        <v>0.56968410834355332</v>
      </c>
      <c r="Y112" s="153">
        <f t="shared" si="181"/>
        <v>0.57709727699448232</v>
      </c>
      <c r="Z112" s="153">
        <f t="shared" si="181"/>
        <v>0.55679019167974442</v>
      </c>
      <c r="AA112" s="153">
        <f t="shared" si="181"/>
        <v>0.4905582864474749</v>
      </c>
      <c r="AB112" s="153">
        <f t="shared" si="181"/>
        <v>0.43830502998190735</v>
      </c>
      <c r="AC112" s="153">
        <f t="shared" si="181"/>
        <v>0.37822909352910455</v>
      </c>
      <c r="AD112" s="153">
        <f t="shared" si="181"/>
        <v>0.3151119022520022</v>
      </c>
      <c r="AE112" s="153">
        <f t="shared" si="181"/>
        <v>0.24660116087049871</v>
      </c>
      <c r="AF112" s="153">
        <f t="shared" si="181"/>
        <v>0.22187809777598549</v>
      </c>
      <c r="AG112" s="153">
        <f t="shared" si="181"/>
        <v>0.19949284818123578</v>
      </c>
      <c r="AH112" s="153">
        <f t="shared" si="181"/>
        <v>0.18024775707711799</v>
      </c>
      <c r="AI112" s="153">
        <f t="shared" si="181"/>
        <v>0.16367641065522368</v>
      </c>
      <c r="AJ112" s="153">
        <f t="shared" si="181"/>
        <v>0.14941678258273108</v>
      </c>
      <c r="AK112" s="153">
        <f t="shared" si="181"/>
        <v>0.13717241831685215</v>
      </c>
      <c r="AL112" s="153">
        <f t="shared" si="181"/>
        <v>0.12661452564220971</v>
      </c>
      <c r="AM112" s="153">
        <f t="shared" si="181"/>
        <v>0.11755979322124722</v>
      </c>
      <c r="AN112" s="153">
        <f t="shared" si="181"/>
        <v>0.10973366750728797</v>
      </c>
      <c r="AO112" s="153">
        <f t="shared" si="176"/>
        <v>0.10287865517427035</v>
      </c>
      <c r="AP112" s="153">
        <f t="shared" si="170"/>
        <v>9.7734722415556821E-2</v>
      </c>
      <c r="AQ112" s="153">
        <f t="shared" si="170"/>
        <v>9.2847986294778972E-2</v>
      </c>
      <c r="AR112" s="153">
        <f t="shared" si="170"/>
        <v>8.8205586980040024E-2</v>
      </c>
      <c r="AS112" s="153">
        <f t="shared" si="170"/>
        <v>8.3795307631038013E-2</v>
      </c>
      <c r="AT112" s="153">
        <f t="shared" si="170"/>
        <v>7.9605542249486114E-2</v>
      </c>
      <c r="AU112" s="153">
        <f t="shared" si="170"/>
        <v>7.5625265137011802E-2</v>
      </c>
      <c r="AV112" s="153">
        <f t="shared" si="170"/>
        <v>7.1844001880161212E-2</v>
      </c>
      <c r="AW112" s="153">
        <f t="shared" si="170"/>
        <v>6.8251801786153143E-2</v>
      </c>
      <c r="AX112" s="153">
        <f t="shared" si="170"/>
        <v>6.4839211696845478E-2</v>
      </c>
      <c r="AY112" s="153">
        <f t="shared" si="170"/>
        <v>6.1597251112003204E-2</v>
      </c>
      <c r="AZ112" s="153">
        <f t="shared" si="170"/>
        <v>5.8517388556403038E-2</v>
      </c>
      <c r="BA112" s="153">
        <f t="shared" si="170"/>
        <v>5.5591519128582886E-2</v>
      </c>
      <c r="BB112" s="153">
        <f t="shared" si="170"/>
        <v>5.2811943172153743E-2</v>
      </c>
      <c r="BC112" s="153">
        <f t="shared" si="170"/>
        <v>5.0171346013546052E-2</v>
      </c>
      <c r="BD112" s="153">
        <f t="shared" si="170"/>
        <v>4.7662778712868746E-2</v>
      </c>
      <c r="BE112" s="153">
        <f t="shared" si="170"/>
        <v>4.5279639777225308E-2</v>
      </c>
      <c r="BF112" s="153">
        <f t="shared" si="171"/>
        <v>4.301565778836404E-2</v>
      </c>
      <c r="BG112" s="153">
        <f t="shared" si="171"/>
        <v>4.0864874898945837E-2</v>
      </c>
      <c r="BH112" s="153">
        <f t="shared" si="171"/>
        <v>3.8821631153998545E-2</v>
      </c>
      <c r="BI112" s="153">
        <f t="shared" si="171"/>
        <v>3.6880549596298613E-2</v>
      </c>
      <c r="BJ112" s="153">
        <f t="shared" si="171"/>
        <v>3.5036522116483684E-2</v>
      </c>
      <c r="BK112" s="153">
        <f t="shared" si="171"/>
        <v>3.3284696010659497E-2</v>
      </c>
      <c r="BL112" s="153">
        <f t="shared" si="104"/>
        <v>3.1620461210126523E-2</v>
      </c>
      <c r="BM112" s="153">
        <f t="shared" si="105"/>
        <v>3.0039438149620196E-2</v>
      </c>
      <c r="BN112" s="153">
        <f t="shared" si="106"/>
        <v>2.8537466242139185E-2</v>
      </c>
      <c r="BO112" s="153">
        <f t="shared" si="107"/>
        <v>2.7110592930032224E-2</v>
      </c>
      <c r="BP112" s="153">
        <f t="shared" si="108"/>
        <v>2.575506328353061E-2</v>
      </c>
      <c r="BQ112" s="153">
        <f t="shared" si="108"/>
        <v>2.4467310119354078E-2</v>
      </c>
      <c r="BR112" s="153">
        <f t="shared" si="109"/>
        <v>2.3243944613386372E-2</v>
      </c>
      <c r="BS112" s="153">
        <f t="shared" si="110"/>
        <v>2.2081747382717051E-2</v>
      </c>
      <c r="BT112" s="153">
        <f t="shared" si="111"/>
        <v>2.0977660013581197E-2</v>
      </c>
      <c r="BU112" s="153">
        <f t="shared" si="111"/>
        <v>1.9928777012902136E-2</v>
      </c>
      <c r="BV112" s="153">
        <f t="shared" si="112"/>
        <v>1.8932338162257027E-2</v>
      </c>
      <c r="BW112" s="153">
        <f t="shared" si="113"/>
        <v>1.7985721254144174E-2</v>
      </c>
      <c r="BX112" s="153">
        <f t="shared" si="114"/>
        <v>1.7086435191436964E-2</v>
      </c>
      <c r="BY112" s="153">
        <f t="shared" si="115"/>
        <v>1.6232113431865116E-2</v>
      </c>
      <c r="BZ112" s="153">
        <f t="shared" si="116"/>
        <v>1.5420507760271859E-2</v>
      </c>
      <c r="CA112" s="153">
        <f t="shared" si="117"/>
        <v>1.4649482372258266E-2</v>
      </c>
      <c r="CB112" s="153">
        <f t="shared" si="118"/>
        <v>1.3917008253645353E-2</v>
      </c>
      <c r="CC112" s="153">
        <f t="shared" si="119"/>
        <v>1.3221157840963085E-2</v>
      </c>
      <c r="CD112" s="153">
        <f t="shared" si="120"/>
        <v>1.2560099948914929E-2</v>
      </c>
      <c r="CE112" s="153">
        <f t="shared" si="121"/>
        <v>1.1932094951469182E-2</v>
      </c>
      <c r="CF112" s="153">
        <f t="shared" si="122"/>
        <v>1.1335490203895722E-2</v>
      </c>
      <c r="CG112" s="153">
        <f t="shared" si="123"/>
        <v>1.0768715693700935E-2</v>
      </c>
      <c r="CH112" s="153">
        <f t="shared" si="124"/>
        <v>1.0230279909015889E-2</v>
      </c>
      <c r="CI112" s="153">
        <f t="shared" si="125"/>
        <v>9.7187659135650941E-3</v>
      </c>
      <c r="CJ112" s="153">
        <f t="shared" si="126"/>
        <v>9.2328276178868397E-3</v>
      </c>
      <c r="CK112" s="153">
        <f t="shared" si="127"/>
        <v>8.7711862369924971E-3</v>
      </c>
      <c r="CL112" s="153">
        <f t="shared" si="128"/>
        <v>8.3326269251428713E-3</v>
      </c>
      <c r="CM112" s="153">
        <f t="shared" si="129"/>
        <v>7.9159955788857279E-3</v>
      </c>
      <c r="CN112" s="153">
        <f t="shared" si="130"/>
        <v>7.5201957999414407E-3</v>
      </c>
      <c r="CO112" s="153">
        <f t="shared" si="131"/>
        <v>7.1441860099443685E-3</v>
      </c>
      <c r="CP112" s="153">
        <f t="shared" si="132"/>
        <v>6.7869767094471496E-3</v>
      </c>
      <c r="CQ112" s="153">
        <f t="shared" si="133"/>
        <v>6.4476278739747919E-3</v>
      </c>
      <c r="CR112" s="153">
        <f t="shared" si="134"/>
        <v>6.1252464802760524E-3</v>
      </c>
      <c r="CS112" s="153">
        <f t="shared" si="135"/>
        <v>5.8189841562622498E-3</v>
      </c>
      <c r="CT112" s="153">
        <f t="shared" si="136"/>
        <v>5.5280349484491372E-3</v>
      </c>
      <c r="CU112" s="153">
        <f t="shared" si="137"/>
        <v>5.25163320102668E-3</v>
      </c>
      <c r="CV112" s="153">
        <f t="shared" si="138"/>
        <v>4.9890515409753457E-3</v>
      </c>
      <c r="CW112" s="153">
        <f t="shared" si="139"/>
        <v>4.7395989639265786E-3</v>
      </c>
      <c r="CX112" s="153">
        <f t="shared" si="140"/>
        <v>4.5026190157302498E-3</v>
      </c>
      <c r="CY112" s="153">
        <f t="shared" si="141"/>
        <v>4.2774880649437373E-3</v>
      </c>
      <c r="CZ112" s="153">
        <f t="shared" si="142"/>
        <v>4.0636136616965506E-3</v>
      </c>
      <c r="DA112" s="153">
        <f t="shared" si="143"/>
        <v>3.8604329786117229E-3</v>
      </c>
      <c r="DB112" s="153">
        <f t="shared" si="144"/>
        <v>3.6674113296811368E-3</v>
      </c>
      <c r="DC112" s="153">
        <f t="shared" si="145"/>
        <v>3.4840407631970796E-3</v>
      </c>
      <c r="DD112" s="153">
        <f t="shared" si="146"/>
        <v>3.3098387250372254E-3</v>
      </c>
      <c r="DE112" s="153">
        <f t="shared" si="147"/>
        <v>3.144346788785364E-3</v>
      </c>
      <c r="DF112" s="153">
        <f t="shared" si="148"/>
        <v>2.9871294493460957E-3</v>
      </c>
      <c r="DG112" s="153">
        <f t="shared" si="149"/>
        <v>2.8377729768787907E-3</v>
      </c>
      <c r="DH112" s="153">
        <f t="shared" si="150"/>
        <v>2.695884328034851E-3</v>
      </c>
      <c r="DI112" s="153">
        <f t="shared" si="151"/>
        <v>2.5610901116331084E-3</v>
      </c>
      <c r="DJ112" s="153">
        <f t="shared" si="152"/>
        <v>2.433035606051453E-3</v>
      </c>
      <c r="DK112" s="153">
        <f t="shared" si="153"/>
        <v>2.3113838257488801E-3</v>
      </c>
      <c r="DL112" s="153">
        <f t="shared" si="154"/>
        <v>2.195814634461436E-3</v>
      </c>
      <c r="DM112" s="153">
        <f t="shared" si="155"/>
        <v>2.0860239027383643E-3</v>
      </c>
      <c r="DN112" s="153">
        <f t="shared" si="156"/>
        <v>1.9817227076014462E-3</v>
      </c>
      <c r="DO112" s="153">
        <f t="shared" si="157"/>
        <v>1.8826365722213738E-3</v>
      </c>
      <c r="DP112" s="153">
        <f t="shared" si="158"/>
        <v>1.7885047436103051E-3</v>
      </c>
      <c r="DQ112" s="153">
        <f t="shared" si="159"/>
        <v>1.6990795064297896E-3</v>
      </c>
      <c r="DR112" s="153">
        <f t="shared" si="160"/>
        <v>1.6141255311083E-3</v>
      </c>
      <c r="DS112" s="153">
        <f t="shared" si="161"/>
        <v>1.5334192545528849E-3</v>
      </c>
      <c r="DT112" s="153">
        <f t="shared" si="162"/>
        <v>1.4567482918252405E-3</v>
      </c>
      <c r="DU112" s="153">
        <f t="shared" si="163"/>
        <v>1.3839108772339785E-3</v>
      </c>
      <c r="DV112" s="153">
        <f t="shared" si="164"/>
        <v>1.3147153333722796E-3</v>
      </c>
      <c r="DW112" s="153">
        <f t="shared" si="165"/>
        <v>1.2489795667036657E-3</v>
      </c>
      <c r="DX112" s="153">
        <f t="shared" si="166"/>
        <v>1.1865305883684823E-3</v>
      </c>
      <c r="DY112" s="153">
        <f t="shared" si="167"/>
        <v>1.1272040589500581E-3</v>
      </c>
      <c r="DZ112" s="153">
        <f t="shared" si="168"/>
        <v>1.0708438560025552E-3</v>
      </c>
    </row>
    <row r="113" spans="1:130" s="1" customFormat="1" x14ac:dyDescent="0.15">
      <c r="A113" s="1" t="s">
        <v>32</v>
      </c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8">
        <f t="shared" si="101"/>
        <v>0.36395210273783341</v>
      </c>
      <c r="S113" s="324"/>
      <c r="T113" s="324"/>
      <c r="U113" s="324"/>
      <c r="V113" s="324"/>
      <c r="W113" s="153">
        <f t="shared" ref="W113:AN113" si="182">+IF(W81=0,W15,IF(W220=1,W15*$Z171,V113*(W$102/V$102)))</f>
        <v>0.66473669087257503</v>
      </c>
      <c r="X113" s="153">
        <f t="shared" si="182"/>
        <v>0.63080748393847597</v>
      </c>
      <c r="Y113" s="153">
        <f t="shared" si="182"/>
        <v>0.74448884429851503</v>
      </c>
      <c r="Z113" s="153">
        <f t="shared" si="182"/>
        <v>0.87865736123542426</v>
      </c>
      <c r="AA113" s="153">
        <f t="shared" si="182"/>
        <v>1.0057893085036811</v>
      </c>
      <c r="AB113" s="153">
        <f t="shared" si="182"/>
        <v>1.1513158345113612</v>
      </c>
      <c r="AC113" s="153">
        <f t="shared" si="182"/>
        <v>0.99351162926629422</v>
      </c>
      <c r="AD113" s="153">
        <f t="shared" si="182"/>
        <v>0.82771882111574679</v>
      </c>
      <c r="AE113" s="153">
        <f t="shared" si="182"/>
        <v>0.64775852864569761</v>
      </c>
      <c r="AF113" s="153">
        <f t="shared" si="182"/>
        <v>0.58281733000257119</v>
      </c>
      <c r="AG113" s="153">
        <f t="shared" si="182"/>
        <v>0.52401697281983883</v>
      </c>
      <c r="AH113" s="153">
        <f t="shared" si="182"/>
        <v>0.47346501331871432</v>
      </c>
      <c r="AI113" s="153">
        <f t="shared" si="182"/>
        <v>0.42993630105299457</v>
      </c>
      <c r="AJ113" s="153">
        <f t="shared" si="182"/>
        <v>0.39247988492475361</v>
      </c>
      <c r="AK113" s="153">
        <f t="shared" si="182"/>
        <v>0.36031705425084276</v>
      </c>
      <c r="AL113" s="153">
        <f t="shared" si="182"/>
        <v>0.33258415550704068</v>
      </c>
      <c r="AM113" s="153">
        <f t="shared" si="182"/>
        <v>0.30879967643330564</v>
      </c>
      <c r="AN113" s="153">
        <f t="shared" si="182"/>
        <v>0.28824243469293648</v>
      </c>
      <c r="AO113" s="153">
        <f t="shared" si="176"/>
        <v>0.27023606080966245</v>
      </c>
      <c r="AP113" s="153">
        <f t="shared" si="170"/>
        <v>0.25672425776917929</v>
      </c>
      <c r="AQ113" s="153">
        <f t="shared" si="170"/>
        <v>0.2438880448807203</v>
      </c>
      <c r="AR113" s="153">
        <f t="shared" si="170"/>
        <v>0.23169364263668427</v>
      </c>
      <c r="AS113" s="153">
        <f t="shared" si="170"/>
        <v>0.22010896050485004</v>
      </c>
      <c r="AT113" s="153">
        <f t="shared" si="170"/>
        <v>0.20910351247960754</v>
      </c>
      <c r="AU113" s="153">
        <f t="shared" si="170"/>
        <v>0.19864833685562716</v>
      </c>
      <c r="AV113" s="153">
        <f t="shared" si="170"/>
        <v>0.18871592001284579</v>
      </c>
      <c r="AW113" s="153">
        <f t="shared" si="170"/>
        <v>0.1792801240122035</v>
      </c>
      <c r="AX113" s="153">
        <f t="shared" si="170"/>
        <v>0.17031611781159331</v>
      </c>
      <c r="AY113" s="153">
        <f t="shared" si="170"/>
        <v>0.16180031192101363</v>
      </c>
      <c r="AZ113" s="153">
        <f t="shared" si="170"/>
        <v>0.15371029632496294</v>
      </c>
      <c r="BA113" s="153">
        <f t="shared" si="170"/>
        <v>0.14602478150871478</v>
      </c>
      <c r="BB113" s="153">
        <f t="shared" si="170"/>
        <v>0.13872354243327903</v>
      </c>
      <c r="BC113" s="153">
        <f t="shared" si="170"/>
        <v>0.13178736531161508</v>
      </c>
      <c r="BD113" s="153">
        <f t="shared" si="170"/>
        <v>0.12519799704603432</v>
      </c>
      <c r="BE113" s="153">
        <f t="shared" si="170"/>
        <v>0.11893809719373259</v>
      </c>
      <c r="BF113" s="153">
        <f t="shared" si="171"/>
        <v>0.11299119233404596</v>
      </c>
      <c r="BG113" s="153">
        <f t="shared" si="171"/>
        <v>0.10734163271734366</v>
      </c>
      <c r="BH113" s="153">
        <f t="shared" si="171"/>
        <v>0.10197455108147647</v>
      </c>
      <c r="BI113" s="153">
        <f t="shared" si="171"/>
        <v>9.6875823527402649E-2</v>
      </c>
      <c r="BJ113" s="153">
        <f t="shared" si="171"/>
        <v>9.2032032351032508E-2</v>
      </c>
      <c r="BK113" s="153">
        <f t="shared" si="171"/>
        <v>8.7430430733480877E-2</v>
      </c>
      <c r="BL113" s="153">
        <f t="shared" si="104"/>
        <v>8.3058909196806835E-2</v>
      </c>
      <c r="BM113" s="153">
        <f t="shared" si="105"/>
        <v>7.8905963736966483E-2</v>
      </c>
      <c r="BN113" s="153">
        <f t="shared" si="106"/>
        <v>7.4960665550118155E-2</v>
      </c>
      <c r="BO113" s="153">
        <f t="shared" si="107"/>
        <v>7.121263227261225E-2</v>
      </c>
      <c r="BP113" s="153">
        <f t="shared" si="108"/>
        <v>6.7652000658981637E-2</v>
      </c>
      <c r="BQ113" s="153">
        <f t="shared" si="108"/>
        <v>6.426940062603255E-2</v>
      </c>
      <c r="BR113" s="153">
        <f t="shared" si="109"/>
        <v>6.1055930594730919E-2</v>
      </c>
      <c r="BS113" s="153">
        <f t="shared" si="110"/>
        <v>5.8003134064994369E-2</v>
      </c>
      <c r="BT113" s="153">
        <f t="shared" si="111"/>
        <v>5.5102977361744646E-2</v>
      </c>
      <c r="BU113" s="153">
        <f t="shared" si="111"/>
        <v>5.2347828493657413E-2</v>
      </c>
      <c r="BV113" s="153">
        <f t="shared" si="112"/>
        <v>4.9730437068974537E-2</v>
      </c>
      <c r="BW113" s="153">
        <f t="shared" si="113"/>
        <v>4.724391521552581E-2</v>
      </c>
      <c r="BX113" s="153">
        <f t="shared" si="114"/>
        <v>4.4881719454749516E-2</v>
      </c>
      <c r="BY113" s="153">
        <f t="shared" si="115"/>
        <v>4.2637633482012036E-2</v>
      </c>
      <c r="BZ113" s="153">
        <f t="shared" si="116"/>
        <v>4.0505751807911432E-2</v>
      </c>
      <c r="CA113" s="153">
        <f t="shared" si="117"/>
        <v>3.8480464217515858E-2</v>
      </c>
      <c r="CB113" s="153">
        <f t="shared" si="118"/>
        <v>3.6556441006640066E-2</v>
      </c>
      <c r="CC113" s="153">
        <f t="shared" si="119"/>
        <v>3.4728618956308063E-2</v>
      </c>
      <c r="CD113" s="153">
        <f t="shared" si="120"/>
        <v>3.2992188008492657E-2</v>
      </c>
      <c r="CE113" s="153">
        <f t="shared" si="121"/>
        <v>3.1342578608068022E-2</v>
      </c>
      <c r="CF113" s="153">
        <f t="shared" si="122"/>
        <v>2.9775449677664621E-2</v>
      </c>
      <c r="CG113" s="153">
        <f t="shared" si="123"/>
        <v>2.828667719378139E-2</v>
      </c>
      <c r="CH113" s="153">
        <f t="shared" si="124"/>
        <v>2.687234333409232E-2</v>
      </c>
      <c r="CI113" s="153">
        <f t="shared" si="125"/>
        <v>2.5528726167387703E-2</v>
      </c>
      <c r="CJ113" s="153">
        <f t="shared" si="126"/>
        <v>2.4252289859018315E-2</v>
      </c>
      <c r="CK113" s="153">
        <f t="shared" si="127"/>
        <v>2.3039675366067398E-2</v>
      </c>
      <c r="CL113" s="153">
        <f t="shared" si="128"/>
        <v>2.1887691597764027E-2</v>
      </c>
      <c r="CM113" s="153">
        <f t="shared" si="129"/>
        <v>2.0793307017875823E-2</v>
      </c>
      <c r="CN113" s="153">
        <f t="shared" si="130"/>
        <v>1.9753641666982031E-2</v>
      </c>
      <c r="CO113" s="153">
        <f t="shared" si="131"/>
        <v>1.8765959583632929E-2</v>
      </c>
      <c r="CP113" s="153">
        <f t="shared" si="132"/>
        <v>1.7827661604451282E-2</v>
      </c>
      <c r="CQ113" s="153">
        <f t="shared" si="133"/>
        <v>1.6936278524228719E-2</v>
      </c>
      <c r="CR113" s="153">
        <f t="shared" si="134"/>
        <v>1.6089464598017283E-2</v>
      </c>
      <c r="CS113" s="153">
        <f t="shared" si="135"/>
        <v>1.5284991368116417E-2</v>
      </c>
      <c r="CT113" s="153">
        <f t="shared" si="136"/>
        <v>1.4520741799710595E-2</v>
      </c>
      <c r="CU113" s="153">
        <f t="shared" si="137"/>
        <v>1.3794704709725065E-2</v>
      </c>
      <c r="CV113" s="153">
        <f t="shared" si="138"/>
        <v>1.3104969474238811E-2</v>
      </c>
      <c r="CW113" s="153">
        <f t="shared" si="139"/>
        <v>1.2449721000526869E-2</v>
      </c>
      <c r="CX113" s="153">
        <f t="shared" si="140"/>
        <v>1.1827234950500524E-2</v>
      </c>
      <c r="CY113" s="153">
        <f t="shared" si="141"/>
        <v>1.1235873202975498E-2</v>
      </c>
      <c r="CZ113" s="153">
        <f t="shared" si="142"/>
        <v>1.0674079542826722E-2</v>
      </c>
      <c r="DA113" s="153">
        <f t="shared" si="143"/>
        <v>1.0140375565685386E-2</v>
      </c>
      <c r="DB113" s="153">
        <f t="shared" si="144"/>
        <v>9.6333567874011157E-3</v>
      </c>
      <c r="DC113" s="153">
        <f t="shared" si="145"/>
        <v>9.1516889480310597E-3</v>
      </c>
      <c r="DD113" s="153">
        <f t="shared" si="146"/>
        <v>8.694104500629506E-3</v>
      </c>
      <c r="DE113" s="153">
        <f t="shared" si="147"/>
        <v>8.2593992755980311E-3</v>
      </c>
      <c r="DF113" s="153">
        <f t="shared" si="148"/>
        <v>7.8464293118181289E-3</v>
      </c>
      <c r="DG113" s="153">
        <f t="shared" si="149"/>
        <v>7.4541078462272217E-3</v>
      </c>
      <c r="DH113" s="153">
        <f t="shared" si="150"/>
        <v>7.0814024539158603E-3</v>
      </c>
      <c r="DI113" s="153">
        <f t="shared" si="151"/>
        <v>6.7273323312200669E-3</v>
      </c>
      <c r="DJ113" s="153">
        <f t="shared" si="152"/>
        <v>6.390965714659063E-3</v>
      </c>
      <c r="DK113" s="153">
        <f t="shared" si="153"/>
        <v>6.0714174289261099E-3</v>
      </c>
      <c r="DL113" s="153">
        <f t="shared" si="154"/>
        <v>5.7678465574798037E-3</v>
      </c>
      <c r="DM113" s="153">
        <f t="shared" si="155"/>
        <v>5.4794542296058135E-3</v>
      </c>
      <c r="DN113" s="153">
        <f t="shared" si="156"/>
        <v>5.2054815181255222E-3</v>
      </c>
      <c r="DO113" s="153">
        <f t="shared" si="157"/>
        <v>4.9452074422192457E-3</v>
      </c>
      <c r="DP113" s="153">
        <f t="shared" si="158"/>
        <v>4.697947070108283E-3</v>
      </c>
      <c r="DQ113" s="153">
        <f t="shared" si="159"/>
        <v>4.4630497166028684E-3</v>
      </c>
      <c r="DR113" s="153">
        <f t="shared" si="160"/>
        <v>4.239897230772725E-3</v>
      </c>
      <c r="DS113" s="153">
        <f t="shared" si="161"/>
        <v>4.0279023692340885E-3</v>
      </c>
      <c r="DT113" s="153">
        <f t="shared" si="162"/>
        <v>3.826507250772384E-3</v>
      </c>
      <c r="DU113" s="153">
        <f t="shared" si="163"/>
        <v>3.6351818882337647E-3</v>
      </c>
      <c r="DV113" s="153">
        <f t="shared" si="164"/>
        <v>3.4534227938220765E-3</v>
      </c>
      <c r="DW113" s="153">
        <f t="shared" si="165"/>
        <v>3.2807516541309726E-3</v>
      </c>
      <c r="DX113" s="153">
        <f t="shared" si="166"/>
        <v>3.1167140714244237E-3</v>
      </c>
      <c r="DY113" s="153">
        <f t="shared" si="167"/>
        <v>2.9608783678532024E-3</v>
      </c>
      <c r="DZ113" s="153">
        <f t="shared" si="168"/>
        <v>2.8128344494605423E-3</v>
      </c>
    </row>
    <row r="114" spans="1:130" s="1" customFormat="1" x14ac:dyDescent="0.15"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  <c r="AL114" s="324"/>
      <c r="AM114" s="324"/>
      <c r="AN114" s="324"/>
      <c r="AO114" s="324"/>
      <c r="AP114" s="324"/>
      <c r="AQ114" s="324"/>
      <c r="AR114" s="324"/>
      <c r="AS114" s="324"/>
      <c r="AT114" s="324"/>
      <c r="AU114" s="324"/>
      <c r="AV114" s="324"/>
      <c r="AW114" s="324"/>
      <c r="AX114" s="324"/>
      <c r="AY114" s="324"/>
      <c r="AZ114" s="324"/>
      <c r="BA114" s="324"/>
      <c r="BB114" s="324"/>
      <c r="BC114" s="324"/>
      <c r="BD114" s="324"/>
      <c r="BE114" s="324"/>
      <c r="BF114" s="324"/>
      <c r="BG114" s="324"/>
      <c r="BH114" s="324"/>
      <c r="BJ114" s="323">
        <f>SUM(BJ102:BJ113)</f>
        <v>1.0379301686365405</v>
      </c>
      <c r="BK114" s="324">
        <f t="shared" si="171"/>
        <v>0.9860336602047135</v>
      </c>
      <c r="BL114" s="324">
        <f t="shared" si="104"/>
        <v>0.93673197719447776</v>
      </c>
      <c r="BM114" s="324">
        <f t="shared" si="105"/>
        <v>0.88989537833475385</v>
      </c>
      <c r="BN114" s="324">
        <f t="shared" si="106"/>
        <v>0.84540060941801609</v>
      </c>
      <c r="BO114" s="324">
        <f t="shared" si="107"/>
        <v>0.80313057894711526</v>
      </c>
      <c r="BP114" s="324">
        <f t="shared" si="108"/>
        <v>0.76297404999975948</v>
      </c>
    </row>
    <row r="115" spans="1:130" s="1" customFormat="1" x14ac:dyDescent="0.15">
      <c r="A115" s="349" t="s">
        <v>1254</v>
      </c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24">
        <f>SUM(BI102:BI113)</f>
        <v>1.09255807224899</v>
      </c>
      <c r="BJ115" s="324">
        <f t="shared" ref="BJ115:BQ115" si="183">SUM(BJ102:BJ113)</f>
        <v>1.0379301686365405</v>
      </c>
      <c r="BK115" s="324">
        <f t="shared" si="183"/>
        <v>0.98603366020471361</v>
      </c>
      <c r="BL115" s="324">
        <f t="shared" si="183"/>
        <v>0.93673197719447787</v>
      </c>
      <c r="BM115" s="324">
        <f t="shared" si="183"/>
        <v>0.88989537833475385</v>
      </c>
      <c r="BN115" s="324">
        <f t="shared" si="183"/>
        <v>0.84540060941801609</v>
      </c>
      <c r="BO115" s="324">
        <f t="shared" si="183"/>
        <v>0.80313057894711526</v>
      </c>
      <c r="BP115" s="324">
        <f t="shared" si="183"/>
        <v>0.76297404999975948</v>
      </c>
      <c r="BQ115" s="324">
        <f t="shared" si="183"/>
        <v>0.72482534749977146</v>
      </c>
      <c r="BR115" s="324">
        <f t="shared" ref="BR115:BU115" si="184">SUM(BR102:BR113)</f>
        <v>0.68858408012478289</v>
      </c>
      <c r="BS115" s="324">
        <f t="shared" si="184"/>
        <v>0.65415487611854362</v>
      </c>
      <c r="BT115" s="324">
        <f t="shared" si="184"/>
        <v>0.62144713231261639</v>
      </c>
      <c r="BU115" s="324">
        <f t="shared" si="184"/>
        <v>0.5903747756969856</v>
      </c>
      <c r="BV115" s="324">
        <f t="shared" ref="BV115:DZ115" si="185">SUM(BV102:BV113)</f>
        <v>0.56085603691213626</v>
      </c>
      <c r="BW115" s="324">
        <f t="shared" si="185"/>
        <v>0.53281323506652944</v>
      </c>
      <c r="BX115" s="324">
        <f t="shared" si="185"/>
        <v>0.50617257331320298</v>
      </c>
      <c r="BY115" s="324">
        <f t="shared" si="185"/>
        <v>0.48086394464754278</v>
      </c>
      <c r="BZ115" s="324">
        <f t="shared" si="185"/>
        <v>0.45682074741516571</v>
      </c>
      <c r="CA115" s="324">
        <f t="shared" si="185"/>
        <v>0.43397971004440727</v>
      </c>
      <c r="CB115" s="324">
        <f t="shared" si="185"/>
        <v>0.41228072454218695</v>
      </c>
      <c r="CC115" s="324">
        <f t="shared" si="185"/>
        <v>0.39166668831507762</v>
      </c>
      <c r="CD115" s="324">
        <f t="shared" si="185"/>
        <v>0.37208335389932368</v>
      </c>
      <c r="CE115" s="324">
        <f t="shared" si="185"/>
        <v>0.35347918620435748</v>
      </c>
      <c r="CF115" s="324">
        <f t="shared" si="185"/>
        <v>0.33580522689413961</v>
      </c>
      <c r="CG115" s="324">
        <f t="shared" si="185"/>
        <v>0.31901496554943254</v>
      </c>
      <c r="CH115" s="324">
        <f t="shared" si="185"/>
        <v>0.30306421727196098</v>
      </c>
      <c r="CI115" s="324">
        <f t="shared" si="185"/>
        <v>0.28791100640836287</v>
      </c>
      <c r="CJ115" s="324">
        <f t="shared" si="185"/>
        <v>0.27351545608794475</v>
      </c>
      <c r="CK115" s="324">
        <f t="shared" si="185"/>
        <v>0.25983968328354751</v>
      </c>
      <c r="CL115" s="324">
        <f t="shared" si="185"/>
        <v>0.24684769911937005</v>
      </c>
      <c r="CM115" s="324">
        <f t="shared" si="185"/>
        <v>0.23450531416340156</v>
      </c>
      <c r="CN115" s="324">
        <f t="shared" si="185"/>
        <v>0.22278004845523153</v>
      </c>
      <c r="CO115" s="324">
        <f t="shared" si="185"/>
        <v>0.21164104603246991</v>
      </c>
      <c r="CP115" s="324">
        <f t="shared" si="185"/>
        <v>0.2010589937308464</v>
      </c>
      <c r="CQ115" s="324">
        <f t="shared" si="185"/>
        <v>0.19100604404430407</v>
      </c>
      <c r="CR115" s="324">
        <f t="shared" si="185"/>
        <v>0.18145574184208885</v>
      </c>
      <c r="CS115" s="324">
        <f t="shared" si="185"/>
        <v>0.17238295474998444</v>
      </c>
      <c r="CT115" s="324">
        <f t="shared" si="185"/>
        <v>0.16376380701248519</v>
      </c>
      <c r="CU115" s="324">
        <f t="shared" si="185"/>
        <v>0.15557561666186093</v>
      </c>
      <c r="CV115" s="324">
        <f t="shared" si="185"/>
        <v>0.14779683582876785</v>
      </c>
      <c r="CW115" s="324">
        <f t="shared" si="185"/>
        <v>0.14040699403732945</v>
      </c>
      <c r="CX115" s="324">
        <f t="shared" si="185"/>
        <v>0.13338664433546299</v>
      </c>
      <c r="CY115" s="324">
        <f t="shared" si="185"/>
        <v>0.12671731211868983</v>
      </c>
      <c r="CZ115" s="324">
        <f t="shared" si="185"/>
        <v>0.12038144651275531</v>
      </c>
      <c r="DA115" s="324">
        <f t="shared" si="185"/>
        <v>0.11436237418711755</v>
      </c>
      <c r="DB115" s="324">
        <f t="shared" si="185"/>
        <v>0.10864425547776167</v>
      </c>
      <c r="DC115" s="324">
        <f t="shared" si="185"/>
        <v>0.10321204270387362</v>
      </c>
      <c r="DD115" s="324">
        <f t="shared" si="185"/>
        <v>9.8051440568679898E-2</v>
      </c>
      <c r="DE115" s="324">
        <f t="shared" si="185"/>
        <v>9.3148868540245913E-2</v>
      </c>
      <c r="DF115" s="324">
        <f t="shared" si="185"/>
        <v>8.8491425113233602E-2</v>
      </c>
      <c r="DG115" s="324">
        <f t="shared" si="185"/>
        <v>8.4066853857571927E-2</v>
      </c>
      <c r="DH115" s="324">
        <f t="shared" si="185"/>
        <v>7.9863511164693313E-2</v>
      </c>
      <c r="DI115" s="324">
        <f t="shared" si="185"/>
        <v>7.5870335606458658E-2</v>
      </c>
      <c r="DJ115" s="324">
        <f t="shared" si="185"/>
        <v>7.207681882613573E-2</v>
      </c>
      <c r="DK115" s="324">
        <f t="shared" si="185"/>
        <v>6.8472977884828923E-2</v>
      </c>
      <c r="DL115" s="324">
        <f t="shared" si="185"/>
        <v>6.5049328990587477E-2</v>
      </c>
      <c r="DM115" s="324">
        <f t="shared" si="185"/>
        <v>6.1796862541058102E-2</v>
      </c>
      <c r="DN115" s="324">
        <f t="shared" si="185"/>
        <v>5.8707019414005197E-2</v>
      </c>
      <c r="DO115" s="324">
        <f t="shared" si="185"/>
        <v>5.5771668443304938E-2</v>
      </c>
      <c r="DP115" s="324">
        <f t="shared" si="185"/>
        <v>5.2983085021139679E-2</v>
      </c>
      <c r="DQ115" s="324">
        <f t="shared" si="185"/>
        <v>5.0333930770082705E-2</v>
      </c>
      <c r="DR115" s="324">
        <f t="shared" si="185"/>
        <v>4.7817234231578555E-2</v>
      </c>
      <c r="DS115" s="324">
        <f t="shared" si="185"/>
        <v>4.5426372519999626E-2</v>
      </c>
      <c r="DT115" s="324">
        <f t="shared" si="185"/>
        <v>4.3155053893999644E-2</v>
      </c>
      <c r="DU115" s="324">
        <f t="shared" si="185"/>
        <v>4.099730119929966E-2</v>
      </c>
      <c r="DV115" s="324">
        <f t="shared" si="185"/>
        <v>3.8947436139334678E-2</v>
      </c>
      <c r="DW115" s="324">
        <f t="shared" si="185"/>
        <v>3.7000064332367945E-2</v>
      </c>
      <c r="DX115" s="324">
        <f t="shared" si="185"/>
        <v>3.5150061115749538E-2</v>
      </c>
      <c r="DY115" s="324">
        <f t="shared" si="185"/>
        <v>3.3392558059962059E-2</v>
      </c>
      <c r="DZ115" s="324">
        <f t="shared" si="185"/>
        <v>3.1722930156963966E-2</v>
      </c>
    </row>
    <row r="116" spans="1:130" s="1" customFormat="1" ht="18" x14ac:dyDescent="0.2">
      <c r="A116" s="328" t="s">
        <v>908</v>
      </c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51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24"/>
    </row>
    <row r="117" spans="1:130" s="1" customFormat="1" x14ac:dyDescent="0.15">
      <c r="A117" s="347" t="s">
        <v>104</v>
      </c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>
        <f t="shared" ref="V117:W128" si="186">+IF(V102&lt;80,V102,)</f>
        <v>0</v>
      </c>
      <c r="W117" s="324">
        <f t="shared" si="186"/>
        <v>1.6240659924690146</v>
      </c>
      <c r="X117" s="324">
        <f t="shared" ref="X117:BK123" si="187">+IF(X102&lt;80,X102,)</f>
        <v>1.3842794390922046</v>
      </c>
      <c r="Y117" s="324">
        <f t="shared" si="187"/>
        <v>1.4022927499634557</v>
      </c>
      <c r="Z117" s="324">
        <f t="shared" si="187"/>
        <v>1.3529484199086483</v>
      </c>
      <c r="AA117" s="324">
        <f t="shared" si="187"/>
        <v>1.1920110455249424</v>
      </c>
      <c r="AB117" s="324">
        <f t="shared" si="187"/>
        <v>1.0650404885241216</v>
      </c>
      <c r="AC117" s="324">
        <f t="shared" si="187"/>
        <v>0.91906154616318558</v>
      </c>
      <c r="AD117" s="324">
        <f t="shared" si="187"/>
        <v>0.7656926372213686</v>
      </c>
      <c r="AE117" s="324">
        <f t="shared" si="187"/>
        <v>0.59921790278102194</v>
      </c>
      <c r="AF117" s="324">
        <f t="shared" si="187"/>
        <v>0.53914315712482919</v>
      </c>
      <c r="AG117" s="324">
        <f t="shared" si="187"/>
        <v>0.48474908100594283</v>
      </c>
      <c r="AH117" s="324">
        <f t="shared" si="187"/>
        <v>0.43798529818541049</v>
      </c>
      <c r="AI117" s="324">
        <f t="shared" si="187"/>
        <v>0.39771846645544995</v>
      </c>
      <c r="AJ117" s="327">
        <f t="shared" si="187"/>
        <v>0.36306889547259652</v>
      </c>
      <c r="AK117" s="324">
        <f t="shared" si="187"/>
        <v>0.33331622824918522</v>
      </c>
      <c r="AL117" s="324">
        <f t="shared" si="187"/>
        <v>0.30766153025849458</v>
      </c>
      <c r="AM117" s="324">
        <f t="shared" si="187"/>
        <v>0.28565937198649127</v>
      </c>
      <c r="AN117" s="324">
        <f t="shared" si="187"/>
        <v>0.26664261383066901</v>
      </c>
      <c r="AO117" s="324">
        <f t="shared" si="187"/>
        <v>0.24998557093910706</v>
      </c>
      <c r="AP117" s="324">
        <f t="shared" si="187"/>
        <v>0.23748629239215169</v>
      </c>
      <c r="AQ117" s="324">
        <f t="shared" si="187"/>
        <v>0.2256119777725441</v>
      </c>
      <c r="AR117" s="324">
        <f t="shared" si="187"/>
        <v>0.2143313788839169</v>
      </c>
      <c r="AS117" s="324">
        <f t="shared" si="187"/>
        <v>0.20361480993972106</v>
      </c>
      <c r="AT117" s="324">
        <f t="shared" si="187"/>
        <v>0.193434069442735</v>
      </c>
      <c r="AU117" s="324">
        <f t="shared" si="187"/>
        <v>0.18376236597059825</v>
      </c>
      <c r="AV117" s="324">
        <f t="shared" si="187"/>
        <v>0.17457424767206833</v>
      </c>
      <c r="AW117" s="324">
        <f t="shared" si="187"/>
        <v>0.16584553528846491</v>
      </c>
      <c r="AX117" s="324">
        <f t="shared" si="187"/>
        <v>0.15755325852404164</v>
      </c>
      <c r="AY117" s="324">
        <f t="shared" si="187"/>
        <v>0.14967559559783955</v>
      </c>
      <c r="AZ117" s="324">
        <f t="shared" si="187"/>
        <v>0.14219181581794757</v>
      </c>
      <c r="BA117" s="324">
        <f t="shared" si="187"/>
        <v>0.1350822250270502</v>
      </c>
      <c r="BB117" s="324">
        <f t="shared" si="187"/>
        <v>0.12832811377569767</v>
      </c>
      <c r="BC117" s="324">
        <f t="shared" si="187"/>
        <v>0.12191170808691278</v>
      </c>
      <c r="BD117" s="324">
        <f t="shared" si="187"/>
        <v>0.11581612268256714</v>
      </c>
      <c r="BE117" s="324">
        <f t="shared" si="187"/>
        <v>0.11002531654843878</v>
      </c>
      <c r="BF117" s="324">
        <f t="shared" si="187"/>
        <v>0.10452405072101684</v>
      </c>
      <c r="BG117" s="324">
        <f t="shared" si="187"/>
        <v>9.9297848184965995E-2</v>
      </c>
      <c r="BH117" s="324">
        <f t="shared" si="187"/>
        <v>9.4332955775717695E-2</v>
      </c>
      <c r="BI117" s="324">
        <f t="shared" si="187"/>
        <v>8.9616307986931806E-2</v>
      </c>
      <c r="BJ117" s="324">
        <f t="shared" si="187"/>
        <v>8.513549258758521E-2</v>
      </c>
      <c r="BK117" s="324">
        <f t="shared" si="187"/>
        <v>8.0878717958205948E-2</v>
      </c>
    </row>
    <row r="118" spans="1:130" s="1" customFormat="1" x14ac:dyDescent="0.15">
      <c r="A118" s="347" t="s">
        <v>105</v>
      </c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>
        <f t="shared" si="186"/>
        <v>0</v>
      </c>
      <c r="W118" s="324">
        <f t="shared" si="186"/>
        <v>1.0537535277990626</v>
      </c>
      <c r="X118" s="324">
        <f t="shared" si="187"/>
        <v>1.0537535277990626</v>
      </c>
      <c r="Y118" s="324">
        <f t="shared" si="187"/>
        <v>0.90645464756908634</v>
      </c>
      <c r="Z118" s="324">
        <f t="shared" si="187"/>
        <v>0.90645464756908634</v>
      </c>
      <c r="AA118" s="324">
        <f t="shared" si="187"/>
        <v>0.90645464756908634</v>
      </c>
      <c r="AB118" s="324">
        <f t="shared" si="187"/>
        <v>0.80990096886794261</v>
      </c>
      <c r="AC118" s="324">
        <f t="shared" si="187"/>
        <v>0.69889252540841307</v>
      </c>
      <c r="AD118" s="324">
        <f t="shared" si="187"/>
        <v>0.58226444480058026</v>
      </c>
      <c r="AE118" s="324">
        <f t="shared" si="187"/>
        <v>0.45567015081077333</v>
      </c>
      <c r="AF118" s="324">
        <f t="shared" si="187"/>
        <v>0.40998682211510207</v>
      </c>
      <c r="AG118" s="324">
        <f t="shared" si="187"/>
        <v>0.36862331018851774</v>
      </c>
      <c r="AH118" s="324">
        <f t="shared" si="187"/>
        <v>0.33306218981574859</v>
      </c>
      <c r="AI118" s="324">
        <f t="shared" si="187"/>
        <v>0.30244162056722201</v>
      </c>
      <c r="AJ118" s="324">
        <f t="shared" si="187"/>
        <v>0.27609264941330897</v>
      </c>
      <c r="AK118" s="324">
        <f t="shared" si="187"/>
        <v>0.25346748701780392</v>
      </c>
      <c r="AL118" s="324">
        <f t="shared" si="187"/>
        <v>0.23395859042414713</v>
      </c>
      <c r="AM118" s="324">
        <f t="shared" si="187"/>
        <v>0.21722723655198145</v>
      </c>
      <c r="AN118" s="324">
        <f t="shared" si="187"/>
        <v>0.20276610477240878</v>
      </c>
      <c r="AO118" s="324">
        <f t="shared" si="187"/>
        <v>0.19009939836855611</v>
      </c>
      <c r="AP118" s="324">
        <f t="shared" si="187"/>
        <v>0.1805944284501283</v>
      </c>
      <c r="AQ118" s="324">
        <f t="shared" si="187"/>
        <v>0.17156470702762189</v>
      </c>
      <c r="AR118" s="324">
        <f t="shared" si="187"/>
        <v>0.16298647167624078</v>
      </c>
      <c r="AS118" s="324">
        <f t="shared" si="187"/>
        <v>0.15483714809242874</v>
      </c>
      <c r="AT118" s="324">
        <f t="shared" si="187"/>
        <v>0.1470952906878073</v>
      </c>
      <c r="AU118" s="324">
        <f t="shared" si="187"/>
        <v>0.13974052615341692</v>
      </c>
      <c r="AV118" s="324">
        <f t="shared" si="187"/>
        <v>0.13275349984574608</v>
      </c>
      <c r="AW118" s="324">
        <f t="shared" si="187"/>
        <v>0.12611582485345876</v>
      </c>
      <c r="AX118" s="324">
        <f t="shared" si="187"/>
        <v>0.11981003361078582</v>
      </c>
      <c r="AY118" s="324">
        <f t="shared" si="187"/>
        <v>0.11381953193024652</v>
      </c>
      <c r="AZ118" s="324">
        <f t="shared" si="187"/>
        <v>0.10812855533373419</v>
      </c>
      <c r="BA118" s="324">
        <f t="shared" si="187"/>
        <v>0.10272212756704747</v>
      </c>
      <c r="BB118" s="324">
        <f t="shared" si="187"/>
        <v>9.7586021188695096E-2</v>
      </c>
      <c r="BC118" s="324">
        <f t="shared" si="187"/>
        <v>9.2706720129260331E-2</v>
      </c>
      <c r="BD118" s="324">
        <f t="shared" si="187"/>
        <v>8.8071384122797317E-2</v>
      </c>
      <c r="BE118" s="324">
        <f t="shared" si="187"/>
        <v>8.3667814916657451E-2</v>
      </c>
      <c r="BF118" s="324">
        <f t="shared" si="187"/>
        <v>7.9484424170824575E-2</v>
      </c>
      <c r="BG118" s="324">
        <f t="shared" si="187"/>
        <v>7.5510202962283349E-2</v>
      </c>
      <c r="BH118" s="324">
        <f t="shared" si="187"/>
        <v>7.1734692814169179E-2</v>
      </c>
      <c r="BI118" s="324">
        <f t="shared" si="187"/>
        <v>6.8147958173460713E-2</v>
      </c>
      <c r="BJ118" s="324">
        <f t="shared" si="187"/>
        <v>6.474056026478768E-2</v>
      </c>
      <c r="BK118" s="324">
        <f t="shared" si="187"/>
        <v>6.1503532251548296E-2</v>
      </c>
      <c r="BL118" s="324"/>
    </row>
    <row r="119" spans="1:130" s="1" customFormat="1" x14ac:dyDescent="0.15">
      <c r="A119" s="347" t="s">
        <v>51</v>
      </c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>
        <f t="shared" si="186"/>
        <v>0</v>
      </c>
      <c r="W119" s="324">
        <f t="shared" si="186"/>
        <v>0.27014967320962396</v>
      </c>
      <c r="X119" s="324">
        <f t="shared" si="187"/>
        <v>0.27014967320962396</v>
      </c>
      <c r="Y119" s="324">
        <f t="shared" si="187"/>
        <v>0.2736650689511681</v>
      </c>
      <c r="Z119" s="324">
        <f t="shared" si="187"/>
        <v>0.26403525414455947</v>
      </c>
      <c r="AA119" s="324">
        <f t="shared" si="187"/>
        <v>0.23262744884949207</v>
      </c>
      <c r="AB119" s="324">
        <f t="shared" si="187"/>
        <v>0.20784845299623433</v>
      </c>
      <c r="AC119" s="324">
        <f t="shared" si="187"/>
        <v>0.17935986719439997</v>
      </c>
      <c r="AD119" s="324">
        <f t="shared" si="187"/>
        <v>0.14942908915848588</v>
      </c>
      <c r="AE119" s="324">
        <f t="shared" si="187"/>
        <v>0.11694063788436203</v>
      </c>
      <c r="AF119" s="324">
        <f t="shared" si="187"/>
        <v>0.10521672402068818</v>
      </c>
      <c r="AG119" s="324">
        <f t="shared" si="187"/>
        <v>9.460142376188127E-2</v>
      </c>
      <c r="AH119" s="324">
        <f t="shared" si="187"/>
        <v>8.5475216805215526E-2</v>
      </c>
      <c r="AI119" s="324">
        <f t="shared" si="187"/>
        <v>7.7616925245117319E-2</v>
      </c>
      <c r="AJ119" s="324">
        <f t="shared" si="187"/>
        <v>7.0854872719068041E-2</v>
      </c>
      <c r="AK119" s="324">
        <f t="shared" si="187"/>
        <v>6.504847763687982E-2</v>
      </c>
      <c r="AL119" s="324">
        <f t="shared" si="187"/>
        <v>6.0041823573577624E-2</v>
      </c>
      <c r="AM119" s="324">
        <f t="shared" si="187"/>
        <v>5.5747982533082184E-2</v>
      </c>
      <c r="AN119" s="324">
        <f t="shared" si="187"/>
        <v>5.2036758587813689E-2</v>
      </c>
      <c r="AO119" s="324">
        <f t="shared" si="187"/>
        <v>4.8786045930588114E-2</v>
      </c>
      <c r="AP119" s="324">
        <f t="shared" si="187"/>
        <v>4.6346743634058704E-2</v>
      </c>
      <c r="AQ119" s="324">
        <f t="shared" si="187"/>
        <v>4.4029406452355764E-2</v>
      </c>
      <c r="AR119" s="324">
        <f t="shared" si="187"/>
        <v>4.1827936129737973E-2</v>
      </c>
      <c r="AS119" s="324">
        <f t="shared" si="187"/>
        <v>3.9736539323251073E-2</v>
      </c>
      <c r="AT119" s="324">
        <f t="shared" si="187"/>
        <v>3.7749712357088516E-2</v>
      </c>
      <c r="AU119" s="324">
        <f t="shared" si="187"/>
        <v>3.5862226739234088E-2</v>
      </c>
      <c r="AV119" s="324">
        <f t="shared" si="187"/>
        <v>3.4069115402272379E-2</v>
      </c>
      <c r="AW119" s="324">
        <f t="shared" si="187"/>
        <v>3.2365659632158761E-2</v>
      </c>
      <c r="AX119" s="324">
        <f t="shared" si="187"/>
        <v>3.0747376650550821E-2</v>
      </c>
      <c r="AY119" s="324">
        <f t="shared" si="187"/>
        <v>2.9210007818023281E-2</v>
      </c>
      <c r="AZ119" s="324">
        <f t="shared" si="187"/>
        <v>2.7749507427122115E-2</v>
      </c>
      <c r="BA119" s="324">
        <f t="shared" si="187"/>
        <v>2.6362032055766007E-2</v>
      </c>
      <c r="BB119" s="324">
        <f t="shared" si="187"/>
        <v>2.5043930452977706E-2</v>
      </c>
      <c r="BC119" s="324">
        <f t="shared" si="187"/>
        <v>2.379173393032882E-2</v>
      </c>
      <c r="BD119" s="324">
        <f t="shared" si="187"/>
        <v>2.2602147233812379E-2</v>
      </c>
      <c r="BE119" s="324">
        <f t="shared" si="187"/>
        <v>2.1472039872121759E-2</v>
      </c>
      <c r="BF119" s="324">
        <f t="shared" si="187"/>
        <v>2.0398437878515668E-2</v>
      </c>
      <c r="BG119" s="324">
        <f t="shared" si="187"/>
        <v>1.9378515984589884E-2</v>
      </c>
      <c r="BH119" s="324">
        <f t="shared" si="187"/>
        <v>1.840959018536039E-2</v>
      </c>
      <c r="BI119" s="324">
        <f t="shared" si="187"/>
        <v>1.7489110676092368E-2</v>
      </c>
      <c r="BJ119" s="324">
        <f t="shared" si="187"/>
        <v>1.661465514228775E-2</v>
      </c>
      <c r="BK119" s="324">
        <f t="shared" si="187"/>
        <v>1.5783922385173361E-2</v>
      </c>
      <c r="BL119" s="324"/>
    </row>
    <row r="120" spans="1:130" s="1" customFormat="1" x14ac:dyDescent="0.15">
      <c r="A120" s="1" t="s">
        <v>52</v>
      </c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>
        <f t="shared" si="186"/>
        <v>0</v>
      </c>
      <c r="W120" s="324">
        <f t="shared" si="186"/>
        <v>0.65</v>
      </c>
      <c r="X120" s="324">
        <f t="shared" si="187"/>
        <v>0.65</v>
      </c>
      <c r="Y120" s="324">
        <f t="shared" si="187"/>
        <v>0.65</v>
      </c>
      <c r="Z120" s="324">
        <f t="shared" si="187"/>
        <v>0.62712759012947861</v>
      </c>
      <c r="AA120" s="324">
        <f t="shared" si="187"/>
        <v>0.55252883508910988</v>
      </c>
      <c r="AB120" s="324">
        <f t="shared" si="187"/>
        <v>0.4936746036508568</v>
      </c>
      <c r="AC120" s="324">
        <f t="shared" si="187"/>
        <v>0.4260094798476558</v>
      </c>
      <c r="AD120" s="324">
        <f t="shared" si="187"/>
        <v>0.35491890991154296</v>
      </c>
      <c r="AE120" s="324">
        <f t="shared" si="187"/>
        <v>0.27775344115400619</v>
      </c>
      <c r="AF120" s="324">
        <f t="shared" si="187"/>
        <v>0.2499071981512217</v>
      </c>
      <c r="AG120" s="324">
        <f t="shared" si="187"/>
        <v>0.22469409662288711</v>
      </c>
      <c r="AH120" s="324">
        <f t="shared" si="187"/>
        <v>0.20301783905531562</v>
      </c>
      <c r="AI120" s="324">
        <f t="shared" si="187"/>
        <v>0.1843530911806964</v>
      </c>
      <c r="AJ120" s="324">
        <f t="shared" si="187"/>
        <v>0.16829209311917059</v>
      </c>
      <c r="AK120" s="324">
        <f t="shared" si="187"/>
        <v>0.15450094024062841</v>
      </c>
      <c r="AL120" s="324">
        <f t="shared" si="187"/>
        <v>0.14260930513491779</v>
      </c>
      <c r="AM120" s="324">
        <f t="shared" si="187"/>
        <v>0.13241071937087184</v>
      </c>
      <c r="AN120" s="324">
        <f t="shared" si="187"/>
        <v>0.12359594599234115</v>
      </c>
      <c r="AO120" s="324">
        <f t="shared" si="187"/>
        <v>0.11587496342304711</v>
      </c>
      <c r="AP120" s="324">
        <f t="shared" si="187"/>
        <v>0.11008121525189475</v>
      </c>
      <c r="AQ120" s="324">
        <f t="shared" si="187"/>
        <v>0.10457715448930001</v>
      </c>
      <c r="AR120" s="324">
        <f t="shared" si="187"/>
        <v>9.9348296764835003E-2</v>
      </c>
      <c r="AS120" s="324">
        <f t="shared" si="187"/>
        <v>9.4380881926593246E-2</v>
      </c>
      <c r="AT120" s="324">
        <f t="shared" si="187"/>
        <v>8.9661837830263574E-2</v>
      </c>
      <c r="AU120" s="324">
        <f t="shared" si="187"/>
        <v>8.5178745938750397E-2</v>
      </c>
      <c r="AV120" s="324">
        <f t="shared" si="187"/>
        <v>8.0919808641812876E-2</v>
      </c>
      <c r="AW120" s="324">
        <f t="shared" si="187"/>
        <v>7.6873818209722222E-2</v>
      </c>
      <c r="AX120" s="324">
        <f t="shared" si="187"/>
        <v>7.3030127299236108E-2</v>
      </c>
      <c r="AY120" s="324">
        <f t="shared" si="187"/>
        <v>6.9378620934274299E-2</v>
      </c>
      <c r="AZ120" s="324">
        <f t="shared" si="187"/>
        <v>6.5909689887560574E-2</v>
      </c>
      <c r="BA120" s="324">
        <f t="shared" si="187"/>
        <v>6.2614205393182548E-2</v>
      </c>
      <c r="BB120" s="324">
        <f t="shared" si="187"/>
        <v>5.9483495123523418E-2</v>
      </c>
      <c r="BC120" s="324">
        <f t="shared" si="187"/>
        <v>5.6509320367347245E-2</v>
      </c>
      <c r="BD120" s="324">
        <f t="shared" si="187"/>
        <v>5.3683854348979883E-2</v>
      </c>
      <c r="BE120" s="324">
        <f t="shared" si="187"/>
        <v>5.0999661631530885E-2</v>
      </c>
      <c r="BF120" s="324">
        <f t="shared" si="187"/>
        <v>4.8449678549954335E-2</v>
      </c>
      <c r="BG120" s="324">
        <f t="shared" si="187"/>
        <v>4.6027194622456614E-2</v>
      </c>
      <c r="BH120" s="324">
        <f t="shared" si="187"/>
        <v>4.3725834891333783E-2</v>
      </c>
      <c r="BI120" s="324">
        <f t="shared" si="187"/>
        <v>4.153954314676709E-2</v>
      </c>
      <c r="BJ120" s="324">
        <f t="shared" si="187"/>
        <v>3.9462565989428731E-2</v>
      </c>
      <c r="BK120" s="324">
        <f t="shared" si="187"/>
        <v>3.7489437689957293E-2</v>
      </c>
      <c r="BL120" s="324"/>
    </row>
    <row r="121" spans="1:130" s="1" customFormat="1" x14ac:dyDescent="0.15">
      <c r="A121" s="1" t="s">
        <v>53</v>
      </c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>
        <f t="shared" si="186"/>
        <v>0</v>
      </c>
      <c r="W121" s="324">
        <f t="shared" si="186"/>
        <v>0.49278319473092996</v>
      </c>
      <c r="X121" s="324">
        <f t="shared" si="187"/>
        <v>0.49278319473092996</v>
      </c>
      <c r="Y121" s="324">
        <f t="shared" si="187"/>
        <v>0.49278319473092996</v>
      </c>
      <c r="Z121" s="324">
        <f t="shared" si="187"/>
        <v>0.47544298056602108</v>
      </c>
      <c r="AA121" s="324">
        <f t="shared" si="187"/>
        <v>0.41888757620949346</v>
      </c>
      <c r="AB121" s="324">
        <f t="shared" si="187"/>
        <v>0.37426853591476134</v>
      </c>
      <c r="AC121" s="324">
        <f t="shared" si="187"/>
        <v>0.32296971148459935</v>
      </c>
      <c r="AD121" s="324">
        <f t="shared" si="187"/>
        <v>0.26907396045635273</v>
      </c>
      <c r="AE121" s="324">
        <f t="shared" si="187"/>
        <v>0.21057265858366239</v>
      </c>
      <c r="AF121" s="324">
        <f t="shared" si="187"/>
        <v>0.18946164229417631</v>
      </c>
      <c r="AG121" s="324">
        <f t="shared" si="187"/>
        <v>0.17034688426308706</v>
      </c>
      <c r="AH121" s="324">
        <f t="shared" si="187"/>
        <v>0.15391350664161263</v>
      </c>
      <c r="AI121" s="324">
        <f t="shared" si="187"/>
        <v>0.13976323881622463</v>
      </c>
      <c r="AJ121" s="324">
        <f t="shared" si="187"/>
        <v>0.12758694660803085</v>
      </c>
      <c r="AK121" s="324">
        <f t="shared" si="187"/>
        <v>0.11713148757032213</v>
      </c>
      <c r="AL121" s="324">
        <f t="shared" si="187"/>
        <v>0.10811610612729665</v>
      </c>
      <c r="AM121" s="324">
        <f t="shared" si="187"/>
        <v>0.10038427278184442</v>
      </c>
      <c r="AN121" s="324">
        <f t="shared" si="187"/>
        <v>9.3701546341380559E-2</v>
      </c>
      <c r="AO121" s="324">
        <f t="shared" si="187"/>
        <v>8.7848053330675108E-2</v>
      </c>
      <c r="AP121" s="324">
        <f t="shared" si="187"/>
        <v>8.3455650664141345E-2</v>
      </c>
      <c r="AQ121" s="324">
        <f t="shared" si="187"/>
        <v>7.928286813093427E-2</v>
      </c>
      <c r="AR121" s="324">
        <f t="shared" si="187"/>
        <v>7.5318724724387554E-2</v>
      </c>
      <c r="AS121" s="324">
        <f t="shared" si="187"/>
        <v>7.1552788488168179E-2</v>
      </c>
      <c r="AT121" s="324">
        <f t="shared" si="187"/>
        <v>6.797514906375976E-2</v>
      </c>
      <c r="AU121" s="324">
        <f t="shared" si="187"/>
        <v>6.4576391610571771E-2</v>
      </c>
      <c r="AV121" s="324">
        <f t="shared" si="187"/>
        <v>6.1347572030043179E-2</v>
      </c>
      <c r="AW121" s="324">
        <f t="shared" si="187"/>
        <v>5.8280193428541016E-2</v>
      </c>
      <c r="AX121" s="324">
        <f t="shared" si="187"/>
        <v>5.5366183757113961E-2</v>
      </c>
      <c r="AY121" s="324">
        <f t="shared" si="187"/>
        <v>5.2597874569258261E-2</v>
      </c>
      <c r="AZ121" s="324">
        <f t="shared" si="187"/>
        <v>4.9967980840795345E-2</v>
      </c>
      <c r="BA121" s="324">
        <f t="shared" si="187"/>
        <v>4.7469581798755572E-2</v>
      </c>
      <c r="BB121" s="324">
        <f t="shared" si="187"/>
        <v>4.5096102708817788E-2</v>
      </c>
      <c r="BC121" s="324">
        <f t="shared" si="187"/>
        <v>4.2841297573376895E-2</v>
      </c>
      <c r="BD121" s="324">
        <f t="shared" si="187"/>
        <v>4.069923269470805E-2</v>
      </c>
      <c r="BE121" s="324">
        <f t="shared" si="187"/>
        <v>3.8664271059972645E-2</v>
      </c>
      <c r="BF121" s="324">
        <f t="shared" si="187"/>
        <v>3.6731057506974009E-2</v>
      </c>
      <c r="BG121" s="324">
        <f t="shared" si="187"/>
        <v>3.4894504631625307E-2</v>
      </c>
      <c r="BH121" s="324">
        <f t="shared" si="187"/>
        <v>3.3149779400044044E-2</v>
      </c>
      <c r="BI121" s="324">
        <f t="shared" si="187"/>
        <v>3.1492290430041842E-2</v>
      </c>
      <c r="BJ121" s="324">
        <f t="shared" si="187"/>
        <v>2.9917675908539748E-2</v>
      </c>
      <c r="BK121" s="324">
        <f t="shared" si="187"/>
        <v>2.842179211311276E-2</v>
      </c>
      <c r="BL121" s="324"/>
    </row>
    <row r="122" spans="1:130" s="1" customFormat="1" x14ac:dyDescent="0.15">
      <c r="A122" s="1" t="s">
        <v>54</v>
      </c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>
        <f t="shared" si="186"/>
        <v>0</v>
      </c>
      <c r="W122" s="324">
        <f t="shared" si="186"/>
        <v>2.2090973964761451</v>
      </c>
      <c r="X122" s="324">
        <f t="shared" si="187"/>
        <v>2.843737175726925</v>
      </c>
      <c r="Y122" s="324">
        <f t="shared" si="187"/>
        <v>3.0204513058397735</v>
      </c>
      <c r="Z122" s="324">
        <f t="shared" si="187"/>
        <v>3.2081467193314417</v>
      </c>
      <c r="AA122" s="324">
        <f t="shared" si="187"/>
        <v>2.8265278031559355</v>
      </c>
      <c r="AB122" s="324">
        <f t="shared" si="187"/>
        <v>2.5254518937569852</v>
      </c>
      <c r="AC122" s="324">
        <f t="shared" si="187"/>
        <v>2.1793028032703488</v>
      </c>
      <c r="AD122" s="324">
        <f t="shared" si="187"/>
        <v>1.8156304305258246</v>
      </c>
      <c r="AE122" s="324">
        <f t="shared" si="187"/>
        <v>1.4208811811919644</v>
      </c>
      <c r="AF122" s="324">
        <f t="shared" si="187"/>
        <v>1.2784303712752059</v>
      </c>
      <c r="AG122" s="324">
        <f t="shared" si="187"/>
        <v>1.1494497137098181</v>
      </c>
      <c r="AH122" s="324">
        <f t="shared" si="187"/>
        <v>1.0385622074075833</v>
      </c>
      <c r="AI122" s="324">
        <f t="shared" si="187"/>
        <v>0.94308044164960525</v>
      </c>
      <c r="AJ122" s="324">
        <f t="shared" si="187"/>
        <v>0.86091847165936064</v>
      </c>
      <c r="AK122" s="324">
        <f t="shared" si="187"/>
        <v>0.79036816808563537</v>
      </c>
      <c r="AL122" s="324">
        <f t="shared" si="187"/>
        <v>0.72953507645910443</v>
      </c>
      <c r="AM122" s="324">
        <f t="shared" si="187"/>
        <v>0.6773629826528198</v>
      </c>
      <c r="AN122" s="324">
        <f t="shared" si="187"/>
        <v>0.63226994777271706</v>
      </c>
      <c r="AO122" s="324">
        <f t="shared" si="187"/>
        <v>0.59277233151478481</v>
      </c>
      <c r="AP122" s="324">
        <f t="shared" si="187"/>
        <v>0.56313371493904552</v>
      </c>
      <c r="AQ122" s="324">
        <f t="shared" si="187"/>
        <v>0.53497702919209322</v>
      </c>
      <c r="AR122" s="324">
        <f t="shared" si="187"/>
        <v>0.50822817773248852</v>
      </c>
      <c r="AS122" s="324">
        <f t="shared" si="187"/>
        <v>0.48281676884586405</v>
      </c>
      <c r="AT122" s="324">
        <f t="shared" si="187"/>
        <v>0.45867593040357085</v>
      </c>
      <c r="AU122" s="324">
        <f t="shared" si="187"/>
        <v>0.43574213388339228</v>
      </c>
      <c r="AV122" s="324">
        <f t="shared" si="187"/>
        <v>0.41395502718922267</v>
      </c>
      <c r="AW122" s="324">
        <f t="shared" si="187"/>
        <v>0.3932572758297615</v>
      </c>
      <c r="AX122" s="324">
        <f t="shared" si="187"/>
        <v>0.37359441203827343</v>
      </c>
      <c r="AY122" s="324">
        <f t="shared" si="187"/>
        <v>0.35491469143635973</v>
      </c>
      <c r="AZ122" s="324">
        <f t="shared" si="187"/>
        <v>0.33716895686454174</v>
      </c>
      <c r="BA122" s="324">
        <f t="shared" si="187"/>
        <v>0.32031050902131464</v>
      </c>
      <c r="BB122" s="324">
        <f t="shared" si="187"/>
        <v>0.30429498357024887</v>
      </c>
      <c r="BC122" s="324">
        <f t="shared" si="187"/>
        <v>0.28908023439173641</v>
      </c>
      <c r="BD122" s="324">
        <f t="shared" si="187"/>
        <v>0.27462622267214959</v>
      </c>
      <c r="BE122" s="324">
        <f t="shared" si="187"/>
        <v>0.26089491153854211</v>
      </c>
      <c r="BF122" s="324">
        <f t="shared" si="187"/>
        <v>0.24785016596161499</v>
      </c>
      <c r="BG122" s="324">
        <f t="shared" si="187"/>
        <v>0.23545765766353424</v>
      </c>
      <c r="BH122" s="324">
        <f t="shared" si="187"/>
        <v>0.22368477478035753</v>
      </c>
      <c r="BI122" s="324">
        <f t="shared" si="187"/>
        <v>0.21250053604133964</v>
      </c>
      <c r="BJ122" s="324">
        <f t="shared" si="187"/>
        <v>0.20187550923927267</v>
      </c>
      <c r="BK122" s="324">
        <f t="shared" si="187"/>
        <v>0.19178173377730903</v>
      </c>
      <c r="BL122" s="324"/>
    </row>
    <row r="123" spans="1:130" s="1" customFormat="1" x14ac:dyDescent="0.15">
      <c r="A123" s="1" t="s">
        <v>55</v>
      </c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>
        <f t="shared" si="186"/>
        <v>0</v>
      </c>
      <c r="W123" s="324">
        <f t="shared" si="186"/>
        <v>0.50169259501631014</v>
      </c>
      <c r="X123" s="324">
        <f t="shared" si="187"/>
        <v>0.72309374310061081</v>
      </c>
      <c r="Y123" s="324">
        <f t="shared" si="187"/>
        <v>0.82958942163466609</v>
      </c>
      <c r="Z123" s="324">
        <f t="shared" si="187"/>
        <v>0.95176955277897013</v>
      </c>
      <c r="AA123" s="324">
        <f t="shared" si="187"/>
        <v>1.0569050849267174</v>
      </c>
      <c r="AB123" s="324">
        <f t="shared" si="187"/>
        <v>1.1736542267846262</v>
      </c>
      <c r="AC123" s="324">
        <f t="shared" si="187"/>
        <v>1.0127882272573401</v>
      </c>
      <c r="AD123" s="324">
        <f t="shared" si="187"/>
        <v>0.84377862604833109</v>
      </c>
      <c r="AE123" s="324">
        <f t="shared" si="187"/>
        <v>0.66032665606781527</v>
      </c>
      <c r="AF123" s="324">
        <f t="shared" si="187"/>
        <v>0.59412543656290517</v>
      </c>
      <c r="AG123" s="324">
        <f t="shared" si="187"/>
        <v>0.53418420612438766</v>
      </c>
      <c r="AH123" s="324">
        <f t="shared" si="187"/>
        <v>0.48265141280888452</v>
      </c>
      <c r="AI123" s="324">
        <f t="shared" si="187"/>
        <v>0.43827813520271286</v>
      </c>
      <c r="AJ123" s="324">
        <f t="shared" si="187"/>
        <v>0.40009497139017691</v>
      </c>
      <c r="AK123" s="324">
        <f t="shared" si="187"/>
        <v>0.36730810176303014</v>
      </c>
      <c r="AL123" s="324">
        <f t="shared" si="187"/>
        <v>0.33903711576945383</v>
      </c>
      <c r="AM123" s="324">
        <f t="shared" ref="AM123:BK128" si="188">+IF(AM108&lt;80,AM108,)</f>
        <v>0.31479115861330376</v>
      </c>
      <c r="AN123" s="324">
        <f t="shared" si="188"/>
        <v>0.29383505522586312</v>
      </c>
      <c r="AO123" s="324">
        <f t="shared" si="188"/>
        <v>0.27547931287985589</v>
      </c>
      <c r="AP123" s="324">
        <f t="shared" si="188"/>
        <v>0.26170534723586308</v>
      </c>
      <c r="AQ123" s="324">
        <f t="shared" si="188"/>
        <v>0.24862007987406992</v>
      </c>
      <c r="AR123" s="324">
        <f t="shared" si="188"/>
        <v>0.23618907588036642</v>
      </c>
      <c r="AS123" s="324">
        <f t="shared" si="188"/>
        <v>0.2243796220863481</v>
      </c>
      <c r="AT123" s="324">
        <f t="shared" si="188"/>
        <v>0.21316064098203069</v>
      </c>
      <c r="AU123" s="324">
        <f t="shared" si="188"/>
        <v>0.20250260893292915</v>
      </c>
      <c r="AV123" s="324">
        <f t="shared" si="188"/>
        <v>0.19237747848628267</v>
      </c>
      <c r="AW123" s="324">
        <f t="shared" si="188"/>
        <v>0.18275860456196852</v>
      </c>
      <c r="AX123" s="324">
        <f t="shared" si="188"/>
        <v>0.17362067433387007</v>
      </c>
      <c r="AY123" s="324">
        <f t="shared" si="188"/>
        <v>0.16493964061717656</v>
      </c>
      <c r="AZ123" s="324">
        <f t="shared" si="188"/>
        <v>0.15669265858631773</v>
      </c>
      <c r="BA123" s="324">
        <f t="shared" si="188"/>
        <v>0.14885802565700185</v>
      </c>
      <c r="BB123" s="324">
        <f t="shared" si="188"/>
        <v>0.14141512437415174</v>
      </c>
      <c r="BC123" s="324">
        <f t="shared" si="188"/>
        <v>0.13434436815544415</v>
      </c>
      <c r="BD123" s="324">
        <f t="shared" si="188"/>
        <v>0.12762714974767195</v>
      </c>
      <c r="BE123" s="324">
        <f t="shared" si="188"/>
        <v>0.12124579226028834</v>
      </c>
      <c r="BF123" s="324">
        <f t="shared" si="188"/>
        <v>0.11518350264727392</v>
      </c>
      <c r="BG123" s="324">
        <f t="shared" si="188"/>
        <v>0.10942432751491023</v>
      </c>
      <c r="BH123" s="324">
        <f t="shared" si="188"/>
        <v>0.10395311113916471</v>
      </c>
      <c r="BI123" s="324">
        <f t="shared" si="188"/>
        <v>9.8755455582206469E-2</v>
      </c>
      <c r="BJ123" s="324">
        <f t="shared" si="188"/>
        <v>9.3817682803096145E-2</v>
      </c>
      <c r="BK123" s="324">
        <f t="shared" si="188"/>
        <v>8.9126798662941334E-2</v>
      </c>
      <c r="BL123" s="324"/>
    </row>
    <row r="124" spans="1:130" s="1" customFormat="1" x14ac:dyDescent="0.15">
      <c r="A124" s="1" t="s">
        <v>56</v>
      </c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>
        <f t="shared" si="186"/>
        <v>0</v>
      </c>
      <c r="W124" s="324">
        <f t="shared" si="186"/>
        <v>0.56450371289523038</v>
      </c>
      <c r="X124" s="324">
        <f t="shared" ref="X124:AL124" si="189">+IF(X109&lt;80,X109,)</f>
        <v>0.80742718953750414</v>
      </c>
      <c r="Y124" s="324">
        <f t="shared" si="189"/>
        <v>0.9182495125083443</v>
      </c>
      <c r="Z124" s="324">
        <f t="shared" si="189"/>
        <v>1.0442826029982819</v>
      </c>
      <c r="AA124" s="324">
        <f t="shared" si="189"/>
        <v>1.1536835819900664</v>
      </c>
      <c r="AB124" s="324">
        <f t="shared" si="189"/>
        <v>1.2745456100982464</v>
      </c>
      <c r="AC124" s="324">
        <f t="shared" si="189"/>
        <v>1.3800747491160248</v>
      </c>
      <c r="AD124" s="324">
        <f t="shared" si="189"/>
        <v>1.4943414327878348</v>
      </c>
      <c r="AE124" s="324">
        <f t="shared" si="189"/>
        <v>1.1694459315207379</v>
      </c>
      <c r="AF124" s="324">
        <f t="shared" si="189"/>
        <v>1.0522028275201363</v>
      </c>
      <c r="AG124" s="324">
        <f t="shared" si="189"/>
        <v>0.94604623453311576</v>
      </c>
      <c r="AH124" s="324">
        <f t="shared" si="189"/>
        <v>0.8547810782215628</v>
      </c>
      <c r="AI124" s="324">
        <f t="shared" si="189"/>
        <v>0.77619550472103094</v>
      </c>
      <c r="AJ124" s="324">
        <f t="shared" si="189"/>
        <v>0.70857269234046549</v>
      </c>
      <c r="AK124" s="324">
        <f t="shared" si="189"/>
        <v>0.65050677762926257</v>
      </c>
      <c r="AL124" s="324">
        <f t="shared" si="189"/>
        <v>0.60043854360226578</v>
      </c>
      <c r="AM124" s="324">
        <f t="shared" si="188"/>
        <v>0.5574986808971415</v>
      </c>
      <c r="AN124" s="324">
        <f t="shared" si="188"/>
        <v>0.52038518620209528</v>
      </c>
      <c r="AO124" s="324">
        <f t="shared" si="188"/>
        <v>0.48787696014560156</v>
      </c>
      <c r="AP124" s="324">
        <f t="shared" si="188"/>
        <v>0.46348311213832144</v>
      </c>
      <c r="AQ124" s="324">
        <f t="shared" si="188"/>
        <v>0.44030895653140534</v>
      </c>
      <c r="AR124" s="324">
        <f t="shared" si="188"/>
        <v>0.41829350870483506</v>
      </c>
      <c r="AS124" s="324">
        <f t="shared" si="188"/>
        <v>0.39737883326959328</v>
      </c>
      <c r="AT124" s="324">
        <f t="shared" si="188"/>
        <v>0.37750989160611359</v>
      </c>
      <c r="AU124" s="324">
        <f t="shared" si="188"/>
        <v>0.35863439702580791</v>
      </c>
      <c r="AV124" s="324">
        <f t="shared" si="188"/>
        <v>0.34070267717451752</v>
      </c>
      <c r="AW124" s="324">
        <f t="shared" si="188"/>
        <v>0.32366754331579162</v>
      </c>
      <c r="AX124" s="324">
        <f t="shared" si="188"/>
        <v>0.30748416615000201</v>
      </c>
      <c r="AY124" s="324">
        <f t="shared" si="188"/>
        <v>0.29210995784250188</v>
      </c>
      <c r="AZ124" s="324">
        <f t="shared" si="188"/>
        <v>0.27750445995037676</v>
      </c>
      <c r="BA124" s="324">
        <f t="shared" si="188"/>
        <v>0.26362923695285789</v>
      </c>
      <c r="BB124" s="324">
        <f t="shared" si="188"/>
        <v>0.25044777510521499</v>
      </c>
      <c r="BC124" s="324">
        <f t="shared" si="188"/>
        <v>0.23792538634995422</v>
      </c>
      <c r="BD124" s="324">
        <f t="shared" si="188"/>
        <v>0.22602911703245651</v>
      </c>
      <c r="BE124" s="324">
        <f t="shared" si="188"/>
        <v>0.21472766118083367</v>
      </c>
      <c r="BF124" s="324">
        <f t="shared" si="188"/>
        <v>0.20399127812179196</v>
      </c>
      <c r="BG124" s="324">
        <f t="shared" si="188"/>
        <v>0.19379171421570235</v>
      </c>
      <c r="BH124" s="324">
        <f t="shared" si="188"/>
        <v>0.18410212850491722</v>
      </c>
      <c r="BI124" s="324">
        <f t="shared" si="188"/>
        <v>0.17489702207967137</v>
      </c>
      <c r="BJ124" s="324">
        <f t="shared" si="188"/>
        <v>0.1661521709756878</v>
      </c>
      <c r="BK124" s="324">
        <f t="shared" si="188"/>
        <v>0.1578445624269034</v>
      </c>
      <c r="BL124" s="324"/>
    </row>
    <row r="125" spans="1:130" s="1" customFormat="1" x14ac:dyDescent="0.15">
      <c r="A125" s="1" t="s">
        <v>57</v>
      </c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>
        <f t="shared" si="186"/>
        <v>0</v>
      </c>
      <c r="W125" s="324">
        <f t="shared" si="186"/>
        <v>0.27175340474303866</v>
      </c>
      <c r="X125" s="324">
        <f t="shared" ref="X125:AL125" si="190">+IF(X110&lt;80,X110,)</f>
        <v>0.2440378886848312</v>
      </c>
      <c r="Y125" s="324">
        <f t="shared" si="190"/>
        <v>0.29387641789014829</v>
      </c>
      <c r="Z125" s="324">
        <f t="shared" si="190"/>
        <v>0.35389319854131812</v>
      </c>
      <c r="AA125" s="324">
        <f t="shared" si="190"/>
        <v>0.41301044572648205</v>
      </c>
      <c r="AB125" s="324">
        <f t="shared" si="190"/>
        <v>0.48200312688199881</v>
      </c>
      <c r="AC125" s="324">
        <f t="shared" si="190"/>
        <v>0.54931655617286157</v>
      </c>
      <c r="AD125" s="324">
        <f t="shared" si="190"/>
        <v>0.62603054224477039</v>
      </c>
      <c r="AE125" s="324">
        <f t="shared" si="190"/>
        <v>0.6891755174498525</v>
      </c>
      <c r="AF125" s="324">
        <f t="shared" si="190"/>
        <v>0.75868965138535882</v>
      </c>
      <c r="AG125" s="324">
        <f t="shared" si="190"/>
        <v>0.81602001637663124</v>
      </c>
      <c r="AH125" s="324">
        <f t="shared" si="190"/>
        <v>0.87768254899933362</v>
      </c>
      <c r="AI125" s="324">
        <f t="shared" si="190"/>
        <v>0.79699149462079588</v>
      </c>
      <c r="AJ125" s="324">
        <f t="shared" si="190"/>
        <v>0.72755691791705857</v>
      </c>
      <c r="AK125" s="324">
        <f t="shared" si="190"/>
        <v>0.66793528925426704</v>
      </c>
      <c r="AL125" s="324">
        <f t="shared" si="190"/>
        <v>0.61652561678451767</v>
      </c>
      <c r="AM125" s="324">
        <f t="shared" si="188"/>
        <v>0.57243530042991753</v>
      </c>
      <c r="AN125" s="324">
        <f t="shared" si="188"/>
        <v>0.53432745333766118</v>
      </c>
      <c r="AO125" s="324">
        <f t="shared" si="188"/>
        <v>0.50094826019024996</v>
      </c>
      <c r="AP125" s="324">
        <f t="shared" si="188"/>
        <v>0.47590084718073744</v>
      </c>
      <c r="AQ125" s="324">
        <f t="shared" si="188"/>
        <v>0.45210580482170054</v>
      </c>
      <c r="AR125" s="324">
        <f t="shared" si="188"/>
        <v>0.4295005145806155</v>
      </c>
      <c r="AS125" s="324">
        <f t="shared" si="188"/>
        <v>0.40802548885158468</v>
      </c>
      <c r="AT125" s="324">
        <f t="shared" si="188"/>
        <v>0.38762421440900541</v>
      </c>
      <c r="AU125" s="324">
        <f t="shared" si="188"/>
        <v>0.36824300368855512</v>
      </c>
      <c r="AV125" s="324">
        <f t="shared" si="188"/>
        <v>0.34983085350412735</v>
      </c>
      <c r="AW125" s="324">
        <f t="shared" si="188"/>
        <v>0.33233931082892099</v>
      </c>
      <c r="AX125" s="324">
        <f t="shared" si="188"/>
        <v>0.31572234528747495</v>
      </c>
      <c r="AY125" s="324">
        <f t="shared" si="188"/>
        <v>0.29993622802310116</v>
      </c>
      <c r="AZ125" s="324">
        <f t="shared" si="188"/>
        <v>0.28493941662194611</v>
      </c>
      <c r="BA125" s="324">
        <f t="shared" si="188"/>
        <v>0.27069244579084878</v>
      </c>
      <c r="BB125" s="324">
        <f t="shared" si="188"/>
        <v>0.25715782350130634</v>
      </c>
      <c r="BC125" s="324">
        <f t="shared" si="188"/>
        <v>0.244299932326241</v>
      </c>
      <c r="BD125" s="324">
        <f t="shared" si="188"/>
        <v>0.23208493570992894</v>
      </c>
      <c r="BE125" s="324">
        <f t="shared" si="188"/>
        <v>0.22048068892443248</v>
      </c>
      <c r="BF125" s="324">
        <f t="shared" si="188"/>
        <v>0.20945665447821085</v>
      </c>
      <c r="BG125" s="324">
        <f t="shared" si="188"/>
        <v>0.19898382175430029</v>
      </c>
      <c r="BH125" s="324">
        <f t="shared" si="188"/>
        <v>0.18903463066658527</v>
      </c>
      <c r="BI125" s="324">
        <f t="shared" si="188"/>
        <v>0.17958289913325601</v>
      </c>
      <c r="BJ125" s="324">
        <f t="shared" si="188"/>
        <v>0.17060375417659321</v>
      </c>
      <c r="BK125" s="324">
        <f t="shared" si="188"/>
        <v>0.16207356646776355</v>
      </c>
      <c r="BL125" s="324"/>
    </row>
    <row r="126" spans="1:130" s="1" customFormat="1" x14ac:dyDescent="0.15">
      <c r="A126" s="1" t="s">
        <v>58</v>
      </c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>
        <f t="shared" si="186"/>
        <v>0</v>
      </c>
      <c r="W126" s="324">
        <f t="shared" si="186"/>
        <v>0.83681045236235274</v>
      </c>
      <c r="X126" s="324">
        <f t="shared" ref="X126:AL126" si="191">+IF(X111&lt;80,X111,)</f>
        <v>0.53297093331331402</v>
      </c>
      <c r="Y126" s="324">
        <f t="shared" si="191"/>
        <v>0.60026593145636786</v>
      </c>
      <c r="Z126" s="324">
        <f t="shared" si="191"/>
        <v>0.67605785971701871</v>
      </c>
      <c r="AA126" s="324">
        <f t="shared" si="191"/>
        <v>0.59563869866602226</v>
      </c>
      <c r="AB126" s="324">
        <f t="shared" si="191"/>
        <v>0.53219249351146902</v>
      </c>
      <c r="AC126" s="324">
        <f t="shared" si="191"/>
        <v>0.45924794523153384</v>
      </c>
      <c r="AD126" s="324">
        <f t="shared" si="191"/>
        <v>0.3826106878161033</v>
      </c>
      <c r="AE126" s="324">
        <f t="shared" si="191"/>
        <v>0.29942455077896551</v>
      </c>
      <c r="AF126" s="324">
        <f t="shared" si="191"/>
        <v>0.26940566508182101</v>
      </c>
      <c r="AG126" s="324">
        <f t="shared" si="191"/>
        <v>0.24222536600973824</v>
      </c>
      <c r="AH126" s="324">
        <f t="shared" si="191"/>
        <v>0.21885786547482852</v>
      </c>
      <c r="AI126" s="324">
        <f t="shared" si="191"/>
        <v>0.19873684114281404</v>
      </c>
      <c r="AJ126" s="324">
        <f t="shared" si="191"/>
        <v>0.18142271855389636</v>
      </c>
      <c r="AK126" s="324">
        <f t="shared" si="191"/>
        <v>0.16655554089364952</v>
      </c>
      <c r="AL126" s="324">
        <f t="shared" si="191"/>
        <v>0.15373608675921629</v>
      </c>
      <c r="AM126" s="324">
        <f t="shared" si="188"/>
        <v>0.14274177846804728</v>
      </c>
      <c r="AN126" s="324">
        <f t="shared" si="188"/>
        <v>0.13323925152141808</v>
      </c>
      <c r="AO126" s="324">
        <f t="shared" si="188"/>
        <v>0.12491585603879925</v>
      </c>
      <c r="AP126" s="324">
        <f t="shared" si="188"/>
        <v>0.11867006323685927</v>
      </c>
      <c r="AQ126" s="324">
        <f t="shared" si="188"/>
        <v>0.11273656007501631</v>
      </c>
      <c r="AR126" s="324">
        <f t="shared" si="188"/>
        <v>0.1070997320712655</v>
      </c>
      <c r="AS126" s="324">
        <f t="shared" si="188"/>
        <v>0.10174474546770222</v>
      </c>
      <c r="AT126" s="324">
        <f t="shared" si="188"/>
        <v>9.6657508194317107E-2</v>
      </c>
      <c r="AU126" s="324">
        <f t="shared" si="188"/>
        <v>9.1824632784601248E-2</v>
      </c>
      <c r="AV126" s="324">
        <f t="shared" si="188"/>
        <v>8.7233401145371176E-2</v>
      </c>
      <c r="AW126" s="324">
        <f t="shared" si="188"/>
        <v>8.2871731088102613E-2</v>
      </c>
      <c r="AX126" s="324">
        <f t="shared" si="188"/>
        <v>7.8728144533697475E-2</v>
      </c>
      <c r="AY126" s="324">
        <f t="shared" si="188"/>
        <v>7.4791737307012593E-2</v>
      </c>
      <c r="AZ126" s="324">
        <f t="shared" si="188"/>
        <v>7.1052150441661965E-2</v>
      </c>
      <c r="BA126" s="324">
        <f t="shared" si="188"/>
        <v>6.7499542919578867E-2</v>
      </c>
      <c r="BB126" s="324">
        <f t="shared" si="188"/>
        <v>6.4124565773599915E-2</v>
      </c>
      <c r="BC126" s="324">
        <f t="shared" si="188"/>
        <v>6.0918337484919913E-2</v>
      </c>
      <c r="BD126" s="324">
        <f t="shared" si="188"/>
        <v>5.7872420610673915E-2</v>
      </c>
      <c r="BE126" s="324">
        <f t="shared" si="188"/>
        <v>5.4978799580140215E-2</v>
      </c>
      <c r="BF126" s="324">
        <f t="shared" si="188"/>
        <v>5.2229859601133202E-2</v>
      </c>
      <c r="BG126" s="324">
        <f t="shared" si="188"/>
        <v>4.9618366621076541E-2</v>
      </c>
      <c r="BH126" s="324">
        <f t="shared" si="188"/>
        <v>4.7137448290022713E-2</v>
      </c>
      <c r="BI126" s="324">
        <f t="shared" si="188"/>
        <v>4.4780575875521575E-2</v>
      </c>
      <c r="BJ126" s="324">
        <f t="shared" si="188"/>
        <v>4.2541547081745491E-2</v>
      </c>
      <c r="BK126" s="324">
        <f t="shared" si="188"/>
        <v>4.0414469727658213E-2</v>
      </c>
      <c r="BL126" s="324"/>
    </row>
    <row r="127" spans="1:130" s="1" customFormat="1" x14ac:dyDescent="0.15">
      <c r="A127" s="347" t="s">
        <v>114</v>
      </c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>
        <f t="shared" si="186"/>
        <v>0</v>
      </c>
      <c r="W127" s="324">
        <f t="shared" si="186"/>
        <v>0.58200510636430225</v>
      </c>
      <c r="X127" s="324">
        <f t="shared" ref="X127:AL127" si="192">+IF(X112&lt;80,X112,)</f>
        <v>0.56968410834355332</v>
      </c>
      <c r="Y127" s="324">
        <f t="shared" si="192"/>
        <v>0.57709727699448232</v>
      </c>
      <c r="Z127" s="324">
        <f t="shared" si="192"/>
        <v>0.55679019167974442</v>
      </c>
      <c r="AA127" s="324">
        <f t="shared" si="192"/>
        <v>0.4905582864474749</v>
      </c>
      <c r="AB127" s="324">
        <f t="shared" si="192"/>
        <v>0.43830502998190735</v>
      </c>
      <c r="AC127" s="324">
        <f t="shared" si="192"/>
        <v>0.37822909352910455</v>
      </c>
      <c r="AD127" s="324">
        <f t="shared" si="192"/>
        <v>0.3151119022520022</v>
      </c>
      <c r="AE127" s="324">
        <f t="shared" si="192"/>
        <v>0.24660116087049871</v>
      </c>
      <c r="AF127" s="324">
        <f t="shared" si="192"/>
        <v>0.22187809777598549</v>
      </c>
      <c r="AG127" s="324">
        <f t="shared" si="192"/>
        <v>0.19949284818123578</v>
      </c>
      <c r="AH127" s="324">
        <f t="shared" si="192"/>
        <v>0.18024775707711799</v>
      </c>
      <c r="AI127" s="324">
        <f t="shared" si="192"/>
        <v>0.16367641065522368</v>
      </c>
      <c r="AJ127" s="324">
        <f t="shared" si="192"/>
        <v>0.14941678258273108</v>
      </c>
      <c r="AK127" s="324">
        <f t="shared" si="192"/>
        <v>0.13717241831685215</v>
      </c>
      <c r="AL127" s="324">
        <f t="shared" si="192"/>
        <v>0.12661452564220971</v>
      </c>
      <c r="AM127" s="324">
        <f t="shared" si="188"/>
        <v>0.11755979322124722</v>
      </c>
      <c r="AN127" s="324">
        <f t="shared" si="188"/>
        <v>0.10973366750728797</v>
      </c>
      <c r="AO127" s="324">
        <f t="shared" si="188"/>
        <v>0.10287865517427035</v>
      </c>
      <c r="AP127" s="324">
        <f t="shared" si="188"/>
        <v>9.7734722415556821E-2</v>
      </c>
      <c r="AQ127" s="324">
        <f t="shared" si="188"/>
        <v>9.2847986294778972E-2</v>
      </c>
      <c r="AR127" s="324">
        <f t="shared" si="188"/>
        <v>8.8205586980040024E-2</v>
      </c>
      <c r="AS127" s="324">
        <f t="shared" si="188"/>
        <v>8.3795307631038013E-2</v>
      </c>
      <c r="AT127" s="324">
        <f t="shared" si="188"/>
        <v>7.9605542249486114E-2</v>
      </c>
      <c r="AU127" s="324">
        <f t="shared" si="188"/>
        <v>7.5625265137011802E-2</v>
      </c>
      <c r="AV127" s="324">
        <f t="shared" si="188"/>
        <v>7.1844001880161212E-2</v>
      </c>
      <c r="AW127" s="324">
        <f t="shared" si="188"/>
        <v>6.8251801786153143E-2</v>
      </c>
      <c r="AX127" s="324">
        <f t="shared" si="188"/>
        <v>6.4839211696845478E-2</v>
      </c>
      <c r="AY127" s="324">
        <f t="shared" si="188"/>
        <v>6.1597251112003204E-2</v>
      </c>
      <c r="AZ127" s="324">
        <f t="shared" si="188"/>
        <v>5.8517388556403038E-2</v>
      </c>
      <c r="BA127" s="324">
        <f t="shared" si="188"/>
        <v>5.5591519128582886E-2</v>
      </c>
      <c r="BB127" s="324">
        <f t="shared" si="188"/>
        <v>5.2811943172153743E-2</v>
      </c>
      <c r="BC127" s="324">
        <f t="shared" si="188"/>
        <v>5.0171346013546052E-2</v>
      </c>
      <c r="BD127" s="324">
        <f t="shared" si="188"/>
        <v>4.7662778712868746E-2</v>
      </c>
      <c r="BE127" s="324">
        <f t="shared" si="188"/>
        <v>4.5279639777225308E-2</v>
      </c>
      <c r="BF127" s="324">
        <f t="shared" si="188"/>
        <v>4.301565778836404E-2</v>
      </c>
      <c r="BG127" s="324">
        <f t="shared" si="188"/>
        <v>4.0864874898945837E-2</v>
      </c>
      <c r="BH127" s="324">
        <f t="shared" si="188"/>
        <v>3.8821631153998545E-2</v>
      </c>
      <c r="BI127" s="324">
        <f t="shared" si="188"/>
        <v>3.6880549596298613E-2</v>
      </c>
      <c r="BJ127" s="324">
        <f t="shared" si="188"/>
        <v>3.5036522116483684E-2</v>
      </c>
      <c r="BK127" s="324">
        <f t="shared" si="188"/>
        <v>3.3284696010659497E-2</v>
      </c>
      <c r="BL127" s="324"/>
    </row>
    <row r="128" spans="1:130" s="1" customFormat="1" x14ac:dyDescent="0.15">
      <c r="A128" s="1" t="s">
        <v>32</v>
      </c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>
        <f t="shared" si="186"/>
        <v>0</v>
      </c>
      <c r="W128" s="324">
        <f t="shared" si="186"/>
        <v>0.66473669087257503</v>
      </c>
      <c r="X128" s="324">
        <f t="shared" ref="X128:AL128" si="193">+IF(X113&lt;80,X113,)</f>
        <v>0.63080748393847597</v>
      </c>
      <c r="Y128" s="324">
        <f t="shared" si="193"/>
        <v>0.74448884429851503</v>
      </c>
      <c r="Z128" s="324">
        <f t="shared" si="193"/>
        <v>0.87865736123542426</v>
      </c>
      <c r="AA128" s="324">
        <f t="shared" si="193"/>
        <v>1.0057893085036811</v>
      </c>
      <c r="AB128" s="324">
        <f t="shared" si="193"/>
        <v>1.1513158345113612</v>
      </c>
      <c r="AC128" s="324">
        <f t="shared" si="193"/>
        <v>0.99351162926629422</v>
      </c>
      <c r="AD128" s="324">
        <f t="shared" si="193"/>
        <v>0.82771882111574679</v>
      </c>
      <c r="AE128" s="324">
        <f t="shared" si="193"/>
        <v>0.64775852864569761</v>
      </c>
      <c r="AF128" s="324">
        <f t="shared" si="193"/>
        <v>0.58281733000257119</v>
      </c>
      <c r="AG128" s="324">
        <f t="shared" si="193"/>
        <v>0.52401697281983883</v>
      </c>
      <c r="AH128" s="324">
        <f t="shared" si="193"/>
        <v>0.47346501331871432</v>
      </c>
      <c r="AI128" s="324">
        <f t="shared" si="193"/>
        <v>0.42993630105299457</v>
      </c>
      <c r="AJ128" s="324">
        <f t="shared" si="193"/>
        <v>0.39247988492475361</v>
      </c>
      <c r="AK128" s="324">
        <f t="shared" si="193"/>
        <v>0.36031705425084276</v>
      </c>
      <c r="AL128" s="324">
        <f t="shared" si="193"/>
        <v>0.33258415550704068</v>
      </c>
      <c r="AM128" s="324">
        <f t="shared" si="188"/>
        <v>0.30879967643330564</v>
      </c>
      <c r="AN128" s="324">
        <f t="shared" si="188"/>
        <v>0.28824243469293648</v>
      </c>
      <c r="AO128" s="324">
        <f t="shared" si="188"/>
        <v>0.27023606080966245</v>
      </c>
      <c r="AP128" s="324">
        <f t="shared" si="188"/>
        <v>0.25672425776917929</v>
      </c>
      <c r="AQ128" s="324">
        <f t="shared" si="188"/>
        <v>0.2438880448807203</v>
      </c>
      <c r="AR128" s="324">
        <f t="shared" si="188"/>
        <v>0.23169364263668427</v>
      </c>
      <c r="AS128" s="324">
        <f t="shared" si="188"/>
        <v>0.22010896050485004</v>
      </c>
      <c r="AT128" s="324">
        <f t="shared" si="188"/>
        <v>0.20910351247960754</v>
      </c>
      <c r="AU128" s="324">
        <f t="shared" si="188"/>
        <v>0.19864833685562716</v>
      </c>
      <c r="AV128" s="324">
        <f t="shared" si="188"/>
        <v>0.18871592001284579</v>
      </c>
      <c r="AW128" s="324">
        <f t="shared" si="188"/>
        <v>0.1792801240122035</v>
      </c>
      <c r="AX128" s="324">
        <f t="shared" si="188"/>
        <v>0.17031611781159331</v>
      </c>
      <c r="AY128" s="324">
        <f t="shared" si="188"/>
        <v>0.16180031192101363</v>
      </c>
      <c r="AZ128" s="324">
        <f t="shared" si="188"/>
        <v>0.15371029632496294</v>
      </c>
      <c r="BA128" s="324">
        <f t="shared" si="188"/>
        <v>0.14602478150871478</v>
      </c>
      <c r="BB128" s="324">
        <f t="shared" si="188"/>
        <v>0.13872354243327903</v>
      </c>
      <c r="BC128" s="324">
        <f t="shared" si="188"/>
        <v>0.13178736531161508</v>
      </c>
      <c r="BD128" s="324">
        <f t="shared" si="188"/>
        <v>0.12519799704603432</v>
      </c>
      <c r="BE128" s="324">
        <f t="shared" si="188"/>
        <v>0.11893809719373259</v>
      </c>
      <c r="BF128" s="324">
        <f t="shared" si="188"/>
        <v>0.11299119233404596</v>
      </c>
      <c r="BG128" s="324">
        <f t="shared" si="188"/>
        <v>0.10734163271734366</v>
      </c>
      <c r="BH128" s="324">
        <f t="shared" si="188"/>
        <v>0.10197455108147647</v>
      </c>
      <c r="BI128" s="324">
        <f t="shared" si="188"/>
        <v>9.6875823527402649E-2</v>
      </c>
      <c r="BJ128" s="324">
        <f t="shared" si="188"/>
        <v>9.2032032351032508E-2</v>
      </c>
      <c r="BK128" s="324">
        <f t="shared" si="188"/>
        <v>8.7430430733480877E-2</v>
      </c>
      <c r="BL128" s="324"/>
    </row>
    <row r="129" spans="1:64" s="1" customFormat="1" x14ac:dyDescent="0.15"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52"/>
      <c r="S129" s="324"/>
      <c r="T129" s="324"/>
      <c r="U129" s="324"/>
      <c r="V129" s="352">
        <f>SUM(V117:V128)</f>
        <v>0</v>
      </c>
      <c r="W129" s="352">
        <f>SUM(W117:W128)</f>
        <v>9.7213517469385859</v>
      </c>
      <c r="X129" s="352">
        <f t="shared" ref="X129:BK129" si="194">SUM(X117:X128)</f>
        <v>10.202724357477035</v>
      </c>
      <c r="Y129" s="352">
        <f t="shared" si="194"/>
        <v>10.709214371836937</v>
      </c>
      <c r="Z129" s="352">
        <f t="shared" si="194"/>
        <v>11.295606378599993</v>
      </c>
      <c r="AA129" s="352">
        <f t="shared" si="194"/>
        <v>10.844622762658505</v>
      </c>
      <c r="AB129" s="352">
        <f t="shared" si="194"/>
        <v>10.528201265480508</v>
      </c>
      <c r="AC129" s="352">
        <f t="shared" si="194"/>
        <v>9.4987641339417603</v>
      </c>
      <c r="AD129" s="352">
        <f t="shared" si="194"/>
        <v>8.4266014843389438</v>
      </c>
      <c r="AE129" s="352">
        <f t="shared" si="194"/>
        <v>6.7937683177393575</v>
      </c>
      <c r="AF129" s="352">
        <f t="shared" si="194"/>
        <v>6.2512649233100008</v>
      </c>
      <c r="AG129" s="352">
        <f t="shared" si="194"/>
        <v>5.754450153597082</v>
      </c>
      <c r="AH129" s="352">
        <f t="shared" si="194"/>
        <v>5.3397019338113285</v>
      </c>
      <c r="AI129" s="352">
        <f t="shared" si="194"/>
        <v>4.8487884713098879</v>
      </c>
      <c r="AJ129" s="352">
        <f t="shared" si="194"/>
        <v>4.4263578967006181</v>
      </c>
      <c r="AK129" s="352">
        <f t="shared" si="194"/>
        <v>4.0636279709083594</v>
      </c>
      <c r="AL129" s="352">
        <f t="shared" si="194"/>
        <v>3.7508584760422421</v>
      </c>
      <c r="AM129" s="352">
        <f t="shared" si="194"/>
        <v>3.4826189539400545</v>
      </c>
      <c r="AN129" s="352">
        <f t="shared" si="194"/>
        <v>3.2507759657845918</v>
      </c>
      <c r="AO129" s="352">
        <f t="shared" si="194"/>
        <v>3.0477014687451973</v>
      </c>
      <c r="AP129" s="352">
        <f t="shared" si="194"/>
        <v>2.8953163953079377</v>
      </c>
      <c r="AQ129" s="352">
        <f t="shared" si="194"/>
        <v>2.7505505755425408</v>
      </c>
      <c r="AR129" s="352">
        <f t="shared" si="194"/>
        <v>2.6130230467654134</v>
      </c>
      <c r="AS129" s="352">
        <f t="shared" si="194"/>
        <v>2.4823718944271427</v>
      </c>
      <c r="AT129" s="352">
        <f t="shared" si="194"/>
        <v>2.3582532997057859</v>
      </c>
      <c r="AU129" s="352">
        <f t="shared" si="194"/>
        <v>2.2403406347204964</v>
      </c>
      <c r="AV129" s="352">
        <f t="shared" si="194"/>
        <v>2.1283236029844708</v>
      </c>
      <c r="AW129" s="352">
        <f t="shared" si="194"/>
        <v>2.0219074228352474</v>
      </c>
      <c r="AX129" s="352">
        <f t="shared" si="194"/>
        <v>1.920812051693485</v>
      </c>
      <c r="AY129" s="352">
        <f t="shared" si="194"/>
        <v>1.8247714491088105</v>
      </c>
      <c r="AZ129" s="352">
        <f t="shared" si="194"/>
        <v>1.73353287665337</v>
      </c>
      <c r="BA129" s="352">
        <f t="shared" si="194"/>
        <v>1.6468562328207015</v>
      </c>
      <c r="BB129" s="352">
        <f t="shared" si="194"/>
        <v>1.5645134211796661</v>
      </c>
      <c r="BC129" s="352">
        <f t="shared" si="194"/>
        <v>1.4862877501206826</v>
      </c>
      <c r="BD129" s="352">
        <f t="shared" si="194"/>
        <v>1.4119733626146489</v>
      </c>
      <c r="BE129" s="352">
        <f t="shared" si="194"/>
        <v>1.3413746944839162</v>
      </c>
      <c r="BF129" s="352">
        <f t="shared" si="194"/>
        <v>1.2743059597597204</v>
      </c>
      <c r="BG129" s="352">
        <f t="shared" si="194"/>
        <v>1.2105906617717344</v>
      </c>
      <c r="BH129" s="352">
        <f t="shared" si="194"/>
        <v>1.1500611286831475</v>
      </c>
      <c r="BI129" s="352">
        <f t="shared" si="194"/>
        <v>1.09255807224899</v>
      </c>
      <c r="BJ129" s="352">
        <f t="shared" si="194"/>
        <v>1.0379301686365405</v>
      </c>
      <c r="BK129" s="352">
        <f t="shared" si="194"/>
        <v>0.98603366020471361</v>
      </c>
      <c r="BL129" s="324"/>
    </row>
    <row r="130" spans="1:64" s="1" customFormat="1" ht="18" x14ac:dyDescent="0.2">
      <c r="A130" s="328" t="s">
        <v>909</v>
      </c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  <c r="AL130" s="324"/>
      <c r="AM130" s="324"/>
      <c r="AN130" s="324"/>
      <c r="AO130" s="324"/>
      <c r="AP130" s="324"/>
      <c r="AQ130" s="324"/>
      <c r="AR130" s="324"/>
      <c r="AS130" s="324"/>
      <c r="AT130" s="324"/>
      <c r="AU130" s="324"/>
      <c r="AV130" s="324"/>
      <c r="AW130" s="324"/>
      <c r="AX130" s="324"/>
      <c r="AY130" s="324"/>
      <c r="AZ130" s="324"/>
      <c r="BA130" s="324"/>
      <c r="BB130" s="324"/>
      <c r="BC130" s="324"/>
      <c r="BD130" s="324"/>
      <c r="BE130" s="324"/>
      <c r="BF130" s="324"/>
      <c r="BG130" s="324"/>
      <c r="BH130" s="324"/>
      <c r="BI130" s="324"/>
      <c r="BJ130" s="324"/>
      <c r="BK130" s="324"/>
      <c r="BL130" s="324"/>
    </row>
    <row r="131" spans="1:64" s="1" customFormat="1" x14ac:dyDescent="0.15">
      <c r="A131" s="347" t="s">
        <v>104</v>
      </c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3">
        <f t="shared" ref="V131:W142" si="195">+IF(V70=0,V4,0)</f>
        <v>1.6241013853700916</v>
      </c>
      <c r="W131" s="323">
        <f t="shared" si="195"/>
        <v>1.6240659924690146</v>
      </c>
      <c r="X131" s="323">
        <f t="shared" ref="X131:BK137" si="196">+IF(X70=0,X4,0)</f>
        <v>0</v>
      </c>
      <c r="Y131" s="323">
        <f t="shared" si="196"/>
        <v>0</v>
      </c>
      <c r="Z131" s="324">
        <f t="shared" si="196"/>
        <v>0</v>
      </c>
      <c r="AA131" s="324">
        <f t="shared" si="196"/>
        <v>0</v>
      </c>
      <c r="AB131" s="324">
        <f t="shared" si="196"/>
        <v>0</v>
      </c>
      <c r="AC131" s="324">
        <f t="shared" si="196"/>
        <v>0</v>
      </c>
      <c r="AD131" s="324">
        <f t="shared" si="196"/>
        <v>0</v>
      </c>
      <c r="AE131" s="324">
        <f t="shared" si="196"/>
        <v>0</v>
      </c>
      <c r="AF131" s="324">
        <f t="shared" si="196"/>
        <v>0</v>
      </c>
      <c r="AG131" s="324">
        <f t="shared" si="196"/>
        <v>0</v>
      </c>
      <c r="AH131" s="324">
        <f t="shared" si="196"/>
        <v>0</v>
      </c>
      <c r="AI131" s="324">
        <f t="shared" si="196"/>
        <v>0</v>
      </c>
      <c r="AJ131" s="324">
        <f t="shared" si="196"/>
        <v>0</v>
      </c>
      <c r="AK131" s="324">
        <f t="shared" si="196"/>
        <v>0</v>
      </c>
      <c r="AL131" s="324">
        <f t="shared" si="196"/>
        <v>0</v>
      </c>
      <c r="AM131" s="324">
        <f t="shared" si="196"/>
        <v>0</v>
      </c>
      <c r="AN131" s="324">
        <f t="shared" si="196"/>
        <v>0</v>
      </c>
      <c r="AO131" s="324">
        <f t="shared" si="196"/>
        <v>0</v>
      </c>
      <c r="AP131" s="324">
        <f t="shared" si="196"/>
        <v>0</v>
      </c>
      <c r="AQ131" s="324">
        <f t="shared" si="196"/>
        <v>0</v>
      </c>
      <c r="AR131" s="324">
        <f t="shared" si="196"/>
        <v>0</v>
      </c>
      <c r="AS131" s="324">
        <f t="shared" si="196"/>
        <v>0</v>
      </c>
      <c r="AT131" s="324">
        <f t="shared" si="196"/>
        <v>0</v>
      </c>
      <c r="AU131" s="324">
        <f t="shared" si="196"/>
        <v>0</v>
      </c>
      <c r="AV131" s="324">
        <f t="shared" si="196"/>
        <v>0</v>
      </c>
      <c r="AW131" s="324">
        <f t="shared" si="196"/>
        <v>0</v>
      </c>
      <c r="AX131" s="324">
        <f t="shared" si="196"/>
        <v>0</v>
      </c>
      <c r="AY131" s="324">
        <f t="shared" si="196"/>
        <v>0</v>
      </c>
      <c r="AZ131" s="324">
        <f t="shared" si="196"/>
        <v>0</v>
      </c>
      <c r="BA131" s="324">
        <f t="shared" si="196"/>
        <v>0</v>
      </c>
      <c r="BB131" s="324">
        <f t="shared" si="196"/>
        <v>0</v>
      </c>
      <c r="BC131" s="324">
        <f t="shared" si="196"/>
        <v>0</v>
      </c>
      <c r="BD131" s="324">
        <f t="shared" si="196"/>
        <v>0</v>
      </c>
      <c r="BE131" s="324">
        <f t="shared" si="196"/>
        <v>0</v>
      </c>
      <c r="BF131" s="324">
        <f t="shared" si="196"/>
        <v>0</v>
      </c>
      <c r="BG131" s="324">
        <f t="shared" si="196"/>
        <v>0</v>
      </c>
      <c r="BH131" s="324">
        <f t="shared" si="196"/>
        <v>0</v>
      </c>
      <c r="BI131" s="324">
        <f t="shared" si="196"/>
        <v>0</v>
      </c>
      <c r="BJ131" s="324">
        <f t="shared" si="196"/>
        <v>0</v>
      </c>
      <c r="BK131" s="324">
        <f t="shared" si="196"/>
        <v>0</v>
      </c>
      <c r="BL131" s="324"/>
    </row>
    <row r="132" spans="1:64" s="1" customFormat="1" x14ac:dyDescent="0.15">
      <c r="A132" s="347" t="s">
        <v>105</v>
      </c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3">
        <f t="shared" si="195"/>
        <v>1.155473565771262</v>
      </c>
      <c r="W132" s="323">
        <f t="shared" si="195"/>
        <v>0</v>
      </c>
      <c r="X132" s="323">
        <f t="shared" ref="X132:AL132" si="197">+IF(X71=0,X5,0)</f>
        <v>0</v>
      </c>
      <c r="Y132" s="323">
        <f t="shared" si="197"/>
        <v>0</v>
      </c>
      <c r="Z132" s="324">
        <f t="shared" si="197"/>
        <v>0</v>
      </c>
      <c r="AA132" s="324">
        <f t="shared" si="197"/>
        <v>0</v>
      </c>
      <c r="AB132" s="324">
        <f t="shared" si="197"/>
        <v>0</v>
      </c>
      <c r="AC132" s="324">
        <f t="shared" si="197"/>
        <v>0</v>
      </c>
      <c r="AD132" s="324">
        <f t="shared" si="197"/>
        <v>0</v>
      </c>
      <c r="AE132" s="324">
        <f t="shared" si="197"/>
        <v>0</v>
      </c>
      <c r="AF132" s="324">
        <f t="shared" si="197"/>
        <v>0</v>
      </c>
      <c r="AG132" s="324">
        <f t="shared" si="197"/>
        <v>0</v>
      </c>
      <c r="AH132" s="324">
        <f t="shared" si="197"/>
        <v>0</v>
      </c>
      <c r="AI132" s="324">
        <f t="shared" si="197"/>
        <v>0</v>
      </c>
      <c r="AJ132" s="324">
        <f t="shared" si="197"/>
        <v>0</v>
      </c>
      <c r="AK132" s="324">
        <f t="shared" si="197"/>
        <v>0</v>
      </c>
      <c r="AL132" s="324">
        <f t="shared" si="197"/>
        <v>0</v>
      </c>
      <c r="AM132" s="324">
        <f t="shared" si="196"/>
        <v>0</v>
      </c>
      <c r="AN132" s="324">
        <f t="shared" si="196"/>
        <v>0</v>
      </c>
      <c r="AO132" s="324">
        <f t="shared" si="196"/>
        <v>0</v>
      </c>
      <c r="AP132" s="324">
        <f t="shared" si="196"/>
        <v>0</v>
      </c>
      <c r="AQ132" s="324">
        <f t="shared" si="196"/>
        <v>0</v>
      </c>
      <c r="AR132" s="324">
        <f t="shared" si="196"/>
        <v>0</v>
      </c>
      <c r="AS132" s="324">
        <f t="shared" si="196"/>
        <v>0</v>
      </c>
      <c r="AT132" s="324">
        <f t="shared" si="196"/>
        <v>0</v>
      </c>
      <c r="AU132" s="324">
        <f t="shared" si="196"/>
        <v>0</v>
      </c>
      <c r="AV132" s="324">
        <f t="shared" si="196"/>
        <v>0</v>
      </c>
      <c r="AW132" s="324">
        <f t="shared" si="196"/>
        <v>0</v>
      </c>
      <c r="AX132" s="324">
        <f t="shared" si="196"/>
        <v>0</v>
      </c>
      <c r="AY132" s="324">
        <f t="shared" si="196"/>
        <v>0</v>
      </c>
      <c r="AZ132" s="324">
        <f t="shared" si="196"/>
        <v>0</v>
      </c>
      <c r="BA132" s="324">
        <f t="shared" si="196"/>
        <v>0</v>
      </c>
      <c r="BB132" s="324">
        <f t="shared" si="196"/>
        <v>0</v>
      </c>
      <c r="BC132" s="324">
        <f t="shared" si="196"/>
        <v>0</v>
      </c>
      <c r="BD132" s="324">
        <f t="shared" si="196"/>
        <v>0</v>
      </c>
      <c r="BE132" s="324">
        <f t="shared" si="196"/>
        <v>0</v>
      </c>
      <c r="BF132" s="324">
        <f t="shared" si="196"/>
        <v>0</v>
      </c>
      <c r="BG132" s="324">
        <f t="shared" si="196"/>
        <v>0</v>
      </c>
      <c r="BH132" s="324">
        <f t="shared" si="196"/>
        <v>0</v>
      </c>
      <c r="BI132" s="324">
        <f t="shared" si="196"/>
        <v>0</v>
      </c>
      <c r="BJ132" s="324">
        <f t="shared" si="196"/>
        <v>0</v>
      </c>
      <c r="BK132" s="324">
        <f t="shared" si="196"/>
        <v>0</v>
      </c>
      <c r="BL132" s="324"/>
    </row>
    <row r="133" spans="1:64" s="1" customFormat="1" x14ac:dyDescent="0.15">
      <c r="A133" s="347" t="s">
        <v>51</v>
      </c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3">
        <f t="shared" si="195"/>
        <v>0.36003612528655404</v>
      </c>
      <c r="W133" s="323">
        <f t="shared" si="195"/>
        <v>0</v>
      </c>
      <c r="X133" s="323">
        <f t="shared" si="196"/>
        <v>0</v>
      </c>
      <c r="Y133" s="323">
        <f t="shared" si="196"/>
        <v>0</v>
      </c>
      <c r="Z133" s="324">
        <f t="shared" si="196"/>
        <v>0</v>
      </c>
      <c r="AA133" s="324">
        <f t="shared" si="196"/>
        <v>0</v>
      </c>
      <c r="AB133" s="324">
        <f t="shared" si="196"/>
        <v>0</v>
      </c>
      <c r="AC133" s="324">
        <f t="shared" si="196"/>
        <v>0</v>
      </c>
      <c r="AD133" s="324">
        <f t="shared" si="196"/>
        <v>0</v>
      </c>
      <c r="AE133" s="324">
        <f t="shared" si="196"/>
        <v>0</v>
      </c>
      <c r="AF133" s="324">
        <f t="shared" si="196"/>
        <v>0</v>
      </c>
      <c r="AG133" s="324">
        <f t="shared" si="196"/>
        <v>0</v>
      </c>
      <c r="AH133" s="324">
        <f t="shared" si="196"/>
        <v>0</v>
      </c>
      <c r="AI133" s="324">
        <f t="shared" si="196"/>
        <v>0</v>
      </c>
      <c r="AJ133" s="324">
        <f t="shared" si="196"/>
        <v>0</v>
      </c>
      <c r="AK133" s="324">
        <f t="shared" si="196"/>
        <v>0</v>
      </c>
      <c r="AL133" s="324">
        <f t="shared" si="196"/>
        <v>0</v>
      </c>
      <c r="AM133" s="324">
        <f t="shared" si="196"/>
        <v>0</v>
      </c>
      <c r="AN133" s="324">
        <f t="shared" si="196"/>
        <v>0</v>
      </c>
      <c r="AO133" s="324">
        <f t="shared" si="196"/>
        <v>0</v>
      </c>
      <c r="AP133" s="324">
        <f t="shared" si="196"/>
        <v>0</v>
      </c>
      <c r="AQ133" s="324">
        <f t="shared" si="196"/>
        <v>0</v>
      </c>
      <c r="AR133" s="324">
        <f t="shared" si="196"/>
        <v>0</v>
      </c>
      <c r="AS133" s="324">
        <f t="shared" si="196"/>
        <v>0</v>
      </c>
      <c r="AT133" s="324">
        <f t="shared" si="196"/>
        <v>0</v>
      </c>
      <c r="AU133" s="324">
        <f t="shared" si="196"/>
        <v>0</v>
      </c>
      <c r="AV133" s="324">
        <f t="shared" si="196"/>
        <v>0</v>
      </c>
      <c r="AW133" s="324">
        <f t="shared" si="196"/>
        <v>0</v>
      </c>
      <c r="AX133" s="324">
        <f t="shared" si="196"/>
        <v>0</v>
      </c>
      <c r="AY133" s="324">
        <f t="shared" si="196"/>
        <v>0</v>
      </c>
      <c r="AZ133" s="324">
        <f t="shared" si="196"/>
        <v>0</v>
      </c>
      <c r="BA133" s="324">
        <f t="shared" si="196"/>
        <v>0</v>
      </c>
      <c r="BB133" s="324">
        <f t="shared" si="196"/>
        <v>0</v>
      </c>
      <c r="BC133" s="324">
        <f t="shared" si="196"/>
        <v>0</v>
      </c>
      <c r="BD133" s="324">
        <f t="shared" si="196"/>
        <v>0</v>
      </c>
      <c r="BE133" s="324">
        <f t="shared" si="196"/>
        <v>0</v>
      </c>
      <c r="BF133" s="324">
        <f t="shared" si="196"/>
        <v>0</v>
      </c>
      <c r="BG133" s="324">
        <f t="shared" si="196"/>
        <v>0</v>
      </c>
      <c r="BH133" s="324">
        <f t="shared" si="196"/>
        <v>0</v>
      </c>
      <c r="BI133" s="324">
        <f t="shared" si="196"/>
        <v>0</v>
      </c>
      <c r="BJ133" s="324">
        <f t="shared" si="196"/>
        <v>0</v>
      </c>
      <c r="BK133" s="324">
        <f t="shared" si="196"/>
        <v>0</v>
      </c>
      <c r="BL133" s="324"/>
    </row>
    <row r="134" spans="1:64" s="1" customFormat="1" x14ac:dyDescent="0.15">
      <c r="A134" s="1" t="s">
        <v>52</v>
      </c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3">
        <f t="shared" si="195"/>
        <v>0.45881090813127307</v>
      </c>
      <c r="W134" s="323">
        <f t="shared" si="195"/>
        <v>0</v>
      </c>
      <c r="X134" s="323">
        <f t="shared" si="196"/>
        <v>0</v>
      </c>
      <c r="Y134" s="323">
        <f t="shared" si="196"/>
        <v>0</v>
      </c>
      <c r="Z134" s="324">
        <f t="shared" si="196"/>
        <v>0</v>
      </c>
      <c r="AA134" s="324">
        <f t="shared" si="196"/>
        <v>0</v>
      </c>
      <c r="AB134" s="324">
        <f t="shared" si="196"/>
        <v>0</v>
      </c>
      <c r="AC134" s="324">
        <f t="shared" si="196"/>
        <v>0</v>
      </c>
      <c r="AD134" s="324">
        <f t="shared" si="196"/>
        <v>0</v>
      </c>
      <c r="AE134" s="324">
        <f t="shared" si="196"/>
        <v>0</v>
      </c>
      <c r="AF134" s="324">
        <f t="shared" si="196"/>
        <v>0</v>
      </c>
      <c r="AG134" s="324">
        <f t="shared" si="196"/>
        <v>0</v>
      </c>
      <c r="AH134" s="324">
        <f t="shared" si="196"/>
        <v>0</v>
      </c>
      <c r="AI134" s="324">
        <f t="shared" si="196"/>
        <v>0</v>
      </c>
      <c r="AJ134" s="324">
        <f t="shared" si="196"/>
        <v>0</v>
      </c>
      <c r="AK134" s="324">
        <f t="shared" si="196"/>
        <v>0</v>
      </c>
      <c r="AL134" s="324">
        <f t="shared" si="196"/>
        <v>0</v>
      </c>
      <c r="AM134" s="324">
        <f t="shared" si="196"/>
        <v>0</v>
      </c>
      <c r="AN134" s="324">
        <f t="shared" si="196"/>
        <v>0</v>
      </c>
      <c r="AO134" s="324">
        <f t="shared" si="196"/>
        <v>0</v>
      </c>
      <c r="AP134" s="324">
        <f t="shared" si="196"/>
        <v>0</v>
      </c>
      <c r="AQ134" s="324">
        <f t="shared" si="196"/>
        <v>0</v>
      </c>
      <c r="AR134" s="324">
        <f t="shared" si="196"/>
        <v>0</v>
      </c>
      <c r="AS134" s="324">
        <f t="shared" si="196"/>
        <v>0</v>
      </c>
      <c r="AT134" s="324">
        <f t="shared" si="196"/>
        <v>0</v>
      </c>
      <c r="AU134" s="324">
        <f t="shared" si="196"/>
        <v>0</v>
      </c>
      <c r="AV134" s="324">
        <f t="shared" si="196"/>
        <v>0</v>
      </c>
      <c r="AW134" s="324">
        <f t="shared" si="196"/>
        <v>0</v>
      </c>
      <c r="AX134" s="324">
        <f t="shared" si="196"/>
        <v>0</v>
      </c>
      <c r="AY134" s="324">
        <f t="shared" si="196"/>
        <v>0</v>
      </c>
      <c r="AZ134" s="324">
        <f t="shared" si="196"/>
        <v>0</v>
      </c>
      <c r="BA134" s="324">
        <f t="shared" si="196"/>
        <v>0</v>
      </c>
      <c r="BB134" s="324">
        <f t="shared" si="196"/>
        <v>0</v>
      </c>
      <c r="BC134" s="324">
        <f t="shared" si="196"/>
        <v>0</v>
      </c>
      <c r="BD134" s="324">
        <f t="shared" si="196"/>
        <v>0</v>
      </c>
      <c r="BE134" s="324">
        <f t="shared" si="196"/>
        <v>0</v>
      </c>
      <c r="BF134" s="324">
        <f t="shared" si="196"/>
        <v>0</v>
      </c>
      <c r="BG134" s="324">
        <f t="shared" si="196"/>
        <v>0</v>
      </c>
      <c r="BH134" s="324">
        <f t="shared" si="196"/>
        <v>0</v>
      </c>
      <c r="BI134" s="324">
        <f t="shared" si="196"/>
        <v>0</v>
      </c>
      <c r="BJ134" s="324">
        <f t="shared" si="196"/>
        <v>0</v>
      </c>
      <c r="BK134" s="324">
        <f t="shared" si="196"/>
        <v>0</v>
      </c>
      <c r="BL134" s="324"/>
    </row>
    <row r="135" spans="1:64" s="1" customFormat="1" x14ac:dyDescent="0.15">
      <c r="A135" s="1" t="s">
        <v>53</v>
      </c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3">
        <f t="shared" si="195"/>
        <v>0.29191932470646453</v>
      </c>
      <c r="W135" s="323">
        <f t="shared" si="195"/>
        <v>0.28125092186342665</v>
      </c>
      <c r="X135" s="323">
        <f t="shared" si="196"/>
        <v>0.23347990029250282</v>
      </c>
      <c r="Y135" s="323">
        <f t="shared" si="196"/>
        <v>0</v>
      </c>
      <c r="Z135" s="324">
        <f t="shared" si="196"/>
        <v>0</v>
      </c>
      <c r="AA135" s="324">
        <f t="shared" si="196"/>
        <v>0</v>
      </c>
      <c r="AB135" s="324">
        <f t="shared" si="196"/>
        <v>0</v>
      </c>
      <c r="AC135" s="324">
        <f t="shared" si="196"/>
        <v>0</v>
      </c>
      <c r="AD135" s="324">
        <f t="shared" si="196"/>
        <v>0</v>
      </c>
      <c r="AE135" s="324">
        <f t="shared" si="196"/>
        <v>0</v>
      </c>
      <c r="AF135" s="324">
        <f t="shared" si="196"/>
        <v>0</v>
      </c>
      <c r="AG135" s="324">
        <f t="shared" si="196"/>
        <v>0</v>
      </c>
      <c r="AH135" s="324">
        <f t="shared" si="196"/>
        <v>0</v>
      </c>
      <c r="AI135" s="324">
        <f t="shared" si="196"/>
        <v>0</v>
      </c>
      <c r="AJ135" s="324">
        <f t="shared" si="196"/>
        <v>0</v>
      </c>
      <c r="AK135" s="324">
        <f t="shared" si="196"/>
        <v>0</v>
      </c>
      <c r="AL135" s="324">
        <f t="shared" si="196"/>
        <v>0</v>
      </c>
      <c r="AM135" s="324">
        <f t="shared" si="196"/>
        <v>0</v>
      </c>
      <c r="AN135" s="324">
        <f t="shared" si="196"/>
        <v>0</v>
      </c>
      <c r="AO135" s="324">
        <f t="shared" si="196"/>
        <v>0</v>
      </c>
      <c r="AP135" s="324">
        <f t="shared" si="196"/>
        <v>0</v>
      </c>
      <c r="AQ135" s="324">
        <f t="shared" si="196"/>
        <v>0</v>
      </c>
      <c r="AR135" s="324">
        <f t="shared" si="196"/>
        <v>0</v>
      </c>
      <c r="AS135" s="324">
        <f t="shared" si="196"/>
        <v>0</v>
      </c>
      <c r="AT135" s="324">
        <f t="shared" si="196"/>
        <v>0</v>
      </c>
      <c r="AU135" s="324">
        <f t="shared" si="196"/>
        <v>0</v>
      </c>
      <c r="AV135" s="324">
        <f t="shared" si="196"/>
        <v>0</v>
      </c>
      <c r="AW135" s="324">
        <f t="shared" si="196"/>
        <v>0</v>
      </c>
      <c r="AX135" s="324">
        <f t="shared" si="196"/>
        <v>0</v>
      </c>
      <c r="AY135" s="324">
        <f t="shared" si="196"/>
        <v>0</v>
      </c>
      <c r="AZ135" s="324">
        <f t="shared" si="196"/>
        <v>0</v>
      </c>
      <c r="BA135" s="324">
        <f t="shared" si="196"/>
        <v>0</v>
      </c>
      <c r="BB135" s="324">
        <f t="shared" si="196"/>
        <v>0</v>
      </c>
      <c r="BC135" s="324">
        <f t="shared" si="196"/>
        <v>0</v>
      </c>
      <c r="BD135" s="324">
        <f t="shared" si="196"/>
        <v>0</v>
      </c>
      <c r="BE135" s="324">
        <f t="shared" si="196"/>
        <v>0</v>
      </c>
      <c r="BF135" s="324">
        <f t="shared" si="196"/>
        <v>0</v>
      </c>
      <c r="BG135" s="324">
        <f t="shared" si="196"/>
        <v>0</v>
      </c>
      <c r="BH135" s="324">
        <f t="shared" si="196"/>
        <v>0</v>
      </c>
      <c r="BI135" s="324">
        <f t="shared" si="196"/>
        <v>0</v>
      </c>
      <c r="BJ135" s="324">
        <f t="shared" si="196"/>
        <v>0</v>
      </c>
      <c r="BK135" s="324">
        <f t="shared" si="196"/>
        <v>0</v>
      </c>
      <c r="BL135" s="324"/>
    </row>
    <row r="136" spans="1:64" s="1" customFormat="1" x14ac:dyDescent="0.15">
      <c r="A136" s="1" t="s">
        <v>54</v>
      </c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3">
        <f t="shared" si="195"/>
        <v>2.1002932928721529</v>
      </c>
      <c r="W136" s="323">
        <f t="shared" si="195"/>
        <v>2.2090973964761451</v>
      </c>
      <c r="X136" s="323">
        <f t="shared" si="196"/>
        <v>2.843737175726925</v>
      </c>
      <c r="Y136" s="323">
        <f t="shared" si="196"/>
        <v>3.0204513058397735</v>
      </c>
      <c r="Z136" s="324">
        <f t="shared" si="196"/>
        <v>3.2081467193314417</v>
      </c>
      <c r="AA136" s="324">
        <f t="shared" si="196"/>
        <v>0</v>
      </c>
      <c r="AB136" s="324">
        <f t="shared" si="196"/>
        <v>0</v>
      </c>
      <c r="AC136" s="324">
        <f t="shared" si="196"/>
        <v>0</v>
      </c>
      <c r="AD136" s="324">
        <f t="shared" si="196"/>
        <v>0</v>
      </c>
      <c r="AE136" s="324">
        <f t="shared" si="196"/>
        <v>0</v>
      </c>
      <c r="AF136" s="324">
        <f t="shared" si="196"/>
        <v>0</v>
      </c>
      <c r="AG136" s="324">
        <f t="shared" si="196"/>
        <v>0</v>
      </c>
      <c r="AH136" s="324">
        <f t="shared" si="196"/>
        <v>0</v>
      </c>
      <c r="AI136" s="324">
        <f t="shared" si="196"/>
        <v>0</v>
      </c>
      <c r="AJ136" s="324">
        <f t="shared" si="196"/>
        <v>0</v>
      </c>
      <c r="AK136" s="324">
        <f t="shared" si="196"/>
        <v>0</v>
      </c>
      <c r="AL136" s="324">
        <f t="shared" si="196"/>
        <v>0</v>
      </c>
      <c r="AM136" s="324">
        <f t="shared" si="196"/>
        <v>0</v>
      </c>
      <c r="AN136" s="324">
        <f t="shared" si="196"/>
        <v>0</v>
      </c>
      <c r="AO136" s="324">
        <f t="shared" si="196"/>
        <v>0</v>
      </c>
      <c r="AP136" s="324">
        <f t="shared" si="196"/>
        <v>0</v>
      </c>
      <c r="AQ136" s="324">
        <f t="shared" si="196"/>
        <v>0</v>
      </c>
      <c r="AR136" s="324">
        <f t="shared" si="196"/>
        <v>0</v>
      </c>
      <c r="AS136" s="324">
        <f t="shared" si="196"/>
        <v>0</v>
      </c>
      <c r="AT136" s="324">
        <f t="shared" si="196"/>
        <v>0</v>
      </c>
      <c r="AU136" s="324">
        <f t="shared" si="196"/>
        <v>0</v>
      </c>
      <c r="AV136" s="324">
        <f t="shared" si="196"/>
        <v>0</v>
      </c>
      <c r="AW136" s="324">
        <f t="shared" si="196"/>
        <v>0</v>
      </c>
      <c r="AX136" s="324">
        <f t="shared" si="196"/>
        <v>0</v>
      </c>
      <c r="AY136" s="324">
        <f t="shared" si="196"/>
        <v>0</v>
      </c>
      <c r="AZ136" s="324">
        <f t="shared" si="196"/>
        <v>0</v>
      </c>
      <c r="BA136" s="324">
        <f t="shared" si="196"/>
        <v>0</v>
      </c>
      <c r="BB136" s="324">
        <f t="shared" si="196"/>
        <v>0</v>
      </c>
      <c r="BC136" s="324">
        <f t="shared" si="196"/>
        <v>0</v>
      </c>
      <c r="BD136" s="324">
        <f t="shared" si="196"/>
        <v>0</v>
      </c>
      <c r="BE136" s="324">
        <f t="shared" si="196"/>
        <v>0</v>
      </c>
      <c r="BF136" s="324">
        <f t="shared" si="196"/>
        <v>0</v>
      </c>
      <c r="BG136" s="324">
        <f t="shared" si="196"/>
        <v>0</v>
      </c>
      <c r="BH136" s="324">
        <f t="shared" si="196"/>
        <v>0</v>
      </c>
      <c r="BI136" s="324">
        <f t="shared" si="196"/>
        <v>0</v>
      </c>
      <c r="BJ136" s="324">
        <f t="shared" si="196"/>
        <v>0</v>
      </c>
      <c r="BK136" s="324">
        <f t="shared" si="196"/>
        <v>0</v>
      </c>
      <c r="BL136" s="324"/>
    </row>
    <row r="137" spans="1:64" s="1" customFormat="1" x14ac:dyDescent="0.15">
      <c r="A137" s="1" t="s">
        <v>55</v>
      </c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3">
        <f t="shared" si="195"/>
        <v>0.46632243313686156</v>
      </c>
      <c r="W137" s="323">
        <f t="shared" si="195"/>
        <v>0.50169259501631014</v>
      </c>
      <c r="X137" s="323">
        <f t="shared" si="196"/>
        <v>0.72309374310061081</v>
      </c>
      <c r="Y137" s="323">
        <f t="shared" si="196"/>
        <v>0.82958942163466609</v>
      </c>
      <c r="Z137" s="324">
        <f t="shared" si="196"/>
        <v>0.95176955277897013</v>
      </c>
      <c r="AA137" s="324">
        <f t="shared" si="196"/>
        <v>1.0569050849267174</v>
      </c>
      <c r="AB137" s="324">
        <f t="shared" si="196"/>
        <v>1.1736542267846262</v>
      </c>
      <c r="AC137" s="324">
        <f t="shared" si="196"/>
        <v>0</v>
      </c>
      <c r="AD137" s="324">
        <f t="shared" si="196"/>
        <v>0</v>
      </c>
      <c r="AE137" s="324">
        <f t="shared" si="196"/>
        <v>0</v>
      </c>
      <c r="AF137" s="324">
        <f t="shared" si="196"/>
        <v>0</v>
      </c>
      <c r="AG137" s="324">
        <f t="shared" si="196"/>
        <v>0</v>
      </c>
      <c r="AH137" s="324">
        <f t="shared" si="196"/>
        <v>0</v>
      </c>
      <c r="AI137" s="324">
        <f t="shared" si="196"/>
        <v>0</v>
      </c>
      <c r="AJ137" s="324">
        <f t="shared" si="196"/>
        <v>0</v>
      </c>
      <c r="AK137" s="324">
        <f t="shared" si="196"/>
        <v>0</v>
      </c>
      <c r="AL137" s="324">
        <f t="shared" si="196"/>
        <v>0</v>
      </c>
      <c r="AM137" s="324">
        <f t="shared" si="196"/>
        <v>0</v>
      </c>
      <c r="AN137" s="324">
        <f t="shared" si="196"/>
        <v>0</v>
      </c>
      <c r="AO137" s="324">
        <f t="shared" si="196"/>
        <v>0</v>
      </c>
      <c r="AP137" s="324">
        <f t="shared" si="196"/>
        <v>0</v>
      </c>
      <c r="AQ137" s="324">
        <f t="shared" si="196"/>
        <v>0</v>
      </c>
      <c r="AR137" s="324">
        <f t="shared" si="196"/>
        <v>0</v>
      </c>
      <c r="AS137" s="324">
        <f t="shared" si="196"/>
        <v>0</v>
      </c>
      <c r="AT137" s="324">
        <f t="shared" si="196"/>
        <v>0</v>
      </c>
      <c r="AU137" s="324">
        <f t="shared" si="196"/>
        <v>0</v>
      </c>
      <c r="AV137" s="324">
        <f t="shared" si="196"/>
        <v>0</v>
      </c>
      <c r="AW137" s="324">
        <f t="shared" si="196"/>
        <v>0</v>
      </c>
      <c r="AX137" s="324">
        <f t="shared" si="196"/>
        <v>0</v>
      </c>
      <c r="AY137" s="324">
        <f t="shared" si="196"/>
        <v>0</v>
      </c>
      <c r="AZ137" s="324">
        <f t="shared" si="196"/>
        <v>0</v>
      </c>
      <c r="BA137" s="324">
        <f t="shared" si="196"/>
        <v>0</v>
      </c>
      <c r="BB137" s="324">
        <f t="shared" ref="X137:BK142" si="198">+IF(BB76=0,BB10,0)</f>
        <v>0</v>
      </c>
      <c r="BC137" s="324">
        <f t="shared" si="198"/>
        <v>0</v>
      </c>
      <c r="BD137" s="324">
        <f t="shared" si="198"/>
        <v>0</v>
      </c>
      <c r="BE137" s="324">
        <f t="shared" si="198"/>
        <v>0</v>
      </c>
      <c r="BF137" s="324">
        <f t="shared" si="198"/>
        <v>0</v>
      </c>
      <c r="BG137" s="324">
        <f t="shared" si="198"/>
        <v>0</v>
      </c>
      <c r="BH137" s="324">
        <f t="shared" si="198"/>
        <v>0</v>
      </c>
      <c r="BI137" s="324">
        <f t="shared" si="198"/>
        <v>0</v>
      </c>
      <c r="BJ137" s="324">
        <f t="shared" si="198"/>
        <v>0</v>
      </c>
      <c r="BK137" s="324">
        <f t="shared" si="198"/>
        <v>0</v>
      </c>
      <c r="BL137" s="324"/>
    </row>
    <row r="138" spans="1:64" s="1" customFormat="1" x14ac:dyDescent="0.15">
      <c r="A138" s="1" t="s">
        <v>56</v>
      </c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3">
        <f t="shared" si="195"/>
        <v>0.52550819055382458</v>
      </c>
      <c r="W138" s="323">
        <f t="shared" si="195"/>
        <v>0.56450371289523038</v>
      </c>
      <c r="X138" s="323">
        <f t="shared" si="198"/>
        <v>0.80742718953750414</v>
      </c>
      <c r="Y138" s="323">
        <f t="shared" si="198"/>
        <v>0.9182495125083443</v>
      </c>
      <c r="Z138" s="324">
        <f t="shared" si="198"/>
        <v>1.0442826029982819</v>
      </c>
      <c r="AA138" s="324">
        <f t="shared" si="198"/>
        <v>1.1536835819900664</v>
      </c>
      <c r="AB138" s="324">
        <f t="shared" si="198"/>
        <v>1.2745456100982464</v>
      </c>
      <c r="AC138" s="324">
        <f t="shared" si="198"/>
        <v>1.3800747491160248</v>
      </c>
      <c r="AD138" s="324">
        <f t="shared" si="198"/>
        <v>1.4943414327878348</v>
      </c>
      <c r="AE138" s="324">
        <f t="shared" si="198"/>
        <v>0</v>
      </c>
      <c r="AF138" s="324">
        <f t="shared" si="198"/>
        <v>0</v>
      </c>
      <c r="AG138" s="324">
        <f t="shared" si="198"/>
        <v>0</v>
      </c>
      <c r="AH138" s="324">
        <f t="shared" si="198"/>
        <v>0</v>
      </c>
      <c r="AI138" s="324">
        <f t="shared" si="198"/>
        <v>0</v>
      </c>
      <c r="AJ138" s="324">
        <f t="shared" si="198"/>
        <v>0</v>
      </c>
      <c r="AK138" s="324">
        <f t="shared" si="198"/>
        <v>0</v>
      </c>
      <c r="AL138" s="324">
        <f t="shared" si="198"/>
        <v>0</v>
      </c>
      <c r="AM138" s="324">
        <f t="shared" si="198"/>
        <v>0</v>
      </c>
      <c r="AN138" s="324">
        <f t="shared" si="198"/>
        <v>0</v>
      </c>
      <c r="AO138" s="324">
        <f t="shared" si="198"/>
        <v>0</v>
      </c>
      <c r="AP138" s="324">
        <f t="shared" si="198"/>
        <v>0</v>
      </c>
      <c r="AQ138" s="324">
        <f t="shared" si="198"/>
        <v>0</v>
      </c>
      <c r="AR138" s="324">
        <f t="shared" si="198"/>
        <v>0</v>
      </c>
      <c r="AS138" s="324">
        <f t="shared" si="198"/>
        <v>0</v>
      </c>
      <c r="AT138" s="324">
        <f t="shared" si="198"/>
        <v>0</v>
      </c>
      <c r="AU138" s="324">
        <f t="shared" si="198"/>
        <v>0</v>
      </c>
      <c r="AV138" s="324">
        <f t="shared" si="198"/>
        <v>0</v>
      </c>
      <c r="AW138" s="324">
        <f t="shared" si="198"/>
        <v>0</v>
      </c>
      <c r="AX138" s="324">
        <f t="shared" si="198"/>
        <v>0</v>
      </c>
      <c r="AY138" s="324">
        <f t="shared" si="198"/>
        <v>0</v>
      </c>
      <c r="AZ138" s="324">
        <f t="shared" si="198"/>
        <v>0</v>
      </c>
      <c r="BA138" s="324">
        <f t="shared" si="198"/>
        <v>0</v>
      </c>
      <c r="BB138" s="324">
        <f t="shared" si="198"/>
        <v>0</v>
      </c>
      <c r="BC138" s="324">
        <f t="shared" si="198"/>
        <v>0</v>
      </c>
      <c r="BD138" s="324">
        <f t="shared" si="198"/>
        <v>0</v>
      </c>
      <c r="BE138" s="324">
        <f t="shared" si="198"/>
        <v>0</v>
      </c>
      <c r="BF138" s="324">
        <f t="shared" si="198"/>
        <v>0</v>
      </c>
      <c r="BG138" s="324">
        <f t="shared" si="198"/>
        <v>0</v>
      </c>
      <c r="BH138" s="324">
        <f t="shared" si="198"/>
        <v>0</v>
      </c>
      <c r="BI138" s="324">
        <f t="shared" si="198"/>
        <v>0</v>
      </c>
      <c r="BJ138" s="324">
        <f t="shared" si="198"/>
        <v>0</v>
      </c>
      <c r="BK138" s="324">
        <f t="shared" si="198"/>
        <v>0</v>
      </c>
      <c r="BL138" s="324"/>
    </row>
    <row r="139" spans="1:64" s="1" customFormat="1" x14ac:dyDescent="0.15">
      <c r="A139" s="1" t="s">
        <v>57</v>
      </c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3">
        <f t="shared" si="195"/>
        <v>0.27766333840896795</v>
      </c>
      <c r="W139" s="323">
        <f t="shared" si="195"/>
        <v>0.27175340474303866</v>
      </c>
      <c r="X139" s="323">
        <f t="shared" si="198"/>
        <v>0.2440378886848312</v>
      </c>
      <c r="Y139" s="323">
        <f t="shared" si="198"/>
        <v>0.29387641789014829</v>
      </c>
      <c r="Z139" s="324">
        <f t="shared" si="198"/>
        <v>0.35389319854131812</v>
      </c>
      <c r="AA139" s="324">
        <f t="shared" si="198"/>
        <v>0.41301044572648205</v>
      </c>
      <c r="AB139" s="324">
        <f t="shared" si="198"/>
        <v>0.48200312688199881</v>
      </c>
      <c r="AC139" s="324">
        <f t="shared" si="198"/>
        <v>0.54931655617286157</v>
      </c>
      <c r="AD139" s="324">
        <f t="shared" si="198"/>
        <v>0.62603054224477039</v>
      </c>
      <c r="AE139" s="324">
        <f t="shared" si="198"/>
        <v>0.6891755174498525</v>
      </c>
      <c r="AF139" s="324">
        <f t="shared" si="198"/>
        <v>0.75868965138535882</v>
      </c>
      <c r="AG139" s="324">
        <f t="shared" si="198"/>
        <v>0.81602001637663124</v>
      </c>
      <c r="AH139" s="324">
        <f t="shared" si="198"/>
        <v>0.87768254899933362</v>
      </c>
      <c r="AI139" s="324">
        <f t="shared" si="198"/>
        <v>0</v>
      </c>
      <c r="AJ139" s="324">
        <f t="shared" si="198"/>
        <v>0</v>
      </c>
      <c r="AK139" s="324">
        <f t="shared" si="198"/>
        <v>0</v>
      </c>
      <c r="AL139" s="324">
        <f t="shared" si="198"/>
        <v>0</v>
      </c>
      <c r="AM139" s="324">
        <f t="shared" si="198"/>
        <v>0</v>
      </c>
      <c r="AN139" s="324">
        <f t="shared" si="198"/>
        <v>0</v>
      </c>
      <c r="AO139" s="324">
        <f t="shared" si="198"/>
        <v>0</v>
      </c>
      <c r="AP139" s="324">
        <f t="shared" si="198"/>
        <v>0</v>
      </c>
      <c r="AQ139" s="324">
        <f t="shared" si="198"/>
        <v>0</v>
      </c>
      <c r="AR139" s="324">
        <f t="shared" si="198"/>
        <v>0</v>
      </c>
      <c r="AS139" s="324">
        <f t="shared" si="198"/>
        <v>0</v>
      </c>
      <c r="AT139" s="324">
        <f t="shared" si="198"/>
        <v>0</v>
      </c>
      <c r="AU139" s="324">
        <f t="shared" si="198"/>
        <v>0</v>
      </c>
      <c r="AV139" s="324">
        <f t="shared" si="198"/>
        <v>0</v>
      </c>
      <c r="AW139" s="324">
        <f t="shared" si="198"/>
        <v>0</v>
      </c>
      <c r="AX139" s="324">
        <f t="shared" si="198"/>
        <v>0</v>
      </c>
      <c r="AY139" s="324">
        <f t="shared" si="198"/>
        <v>0</v>
      </c>
      <c r="AZ139" s="324">
        <f t="shared" si="198"/>
        <v>0</v>
      </c>
      <c r="BA139" s="324">
        <f t="shared" si="198"/>
        <v>0</v>
      </c>
      <c r="BB139" s="324">
        <f t="shared" si="198"/>
        <v>0</v>
      </c>
      <c r="BC139" s="324">
        <f t="shared" si="198"/>
        <v>0</v>
      </c>
      <c r="BD139" s="324">
        <f t="shared" si="198"/>
        <v>0</v>
      </c>
      <c r="BE139" s="324">
        <f t="shared" si="198"/>
        <v>0</v>
      </c>
      <c r="BF139" s="324">
        <f t="shared" si="198"/>
        <v>0</v>
      </c>
      <c r="BG139" s="324">
        <f t="shared" si="198"/>
        <v>0</v>
      </c>
      <c r="BH139" s="324">
        <f t="shared" si="198"/>
        <v>0</v>
      </c>
      <c r="BI139" s="324">
        <f t="shared" si="198"/>
        <v>0</v>
      </c>
      <c r="BJ139" s="324">
        <f t="shared" si="198"/>
        <v>0</v>
      </c>
      <c r="BK139" s="324">
        <f t="shared" si="198"/>
        <v>0</v>
      </c>
      <c r="BL139" s="324"/>
    </row>
    <row r="140" spans="1:64" s="1" customFormat="1" x14ac:dyDescent="0.15">
      <c r="A140" s="1" t="s">
        <v>58</v>
      </c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3">
        <f t="shared" si="195"/>
        <v>0.91582355741909705</v>
      </c>
      <c r="W140" s="323">
        <f t="shared" si="195"/>
        <v>0.83681045236235274</v>
      </c>
      <c r="X140" s="323">
        <f t="shared" si="198"/>
        <v>0.53297093331331402</v>
      </c>
      <c r="Y140" s="323">
        <f t="shared" si="198"/>
        <v>0.60026593145636786</v>
      </c>
      <c r="Z140" s="324">
        <f t="shared" si="198"/>
        <v>0.67605785971701871</v>
      </c>
      <c r="AA140" s="324">
        <f t="shared" si="198"/>
        <v>0</v>
      </c>
      <c r="AB140" s="324">
        <f t="shared" si="198"/>
        <v>0</v>
      </c>
      <c r="AC140" s="324">
        <f t="shared" si="198"/>
        <v>0</v>
      </c>
      <c r="AD140" s="324">
        <f t="shared" si="198"/>
        <v>0</v>
      </c>
      <c r="AE140" s="324">
        <f t="shared" si="198"/>
        <v>0</v>
      </c>
      <c r="AF140" s="324">
        <f t="shared" si="198"/>
        <v>0</v>
      </c>
      <c r="AG140" s="324">
        <f t="shared" si="198"/>
        <v>0</v>
      </c>
      <c r="AH140" s="324">
        <f t="shared" si="198"/>
        <v>0</v>
      </c>
      <c r="AI140" s="324">
        <f t="shared" si="198"/>
        <v>0</v>
      </c>
      <c r="AJ140" s="324">
        <f t="shared" si="198"/>
        <v>0</v>
      </c>
      <c r="AK140" s="324">
        <f t="shared" si="198"/>
        <v>0</v>
      </c>
      <c r="AL140" s="324">
        <f t="shared" si="198"/>
        <v>0</v>
      </c>
      <c r="AM140" s="324">
        <f t="shared" si="198"/>
        <v>0</v>
      </c>
      <c r="AN140" s="324">
        <f t="shared" si="198"/>
        <v>0</v>
      </c>
      <c r="AO140" s="324">
        <f t="shared" si="198"/>
        <v>0</v>
      </c>
      <c r="AP140" s="324">
        <f t="shared" si="198"/>
        <v>0</v>
      </c>
      <c r="AQ140" s="324">
        <f t="shared" si="198"/>
        <v>0</v>
      </c>
      <c r="AR140" s="324">
        <f t="shared" si="198"/>
        <v>0</v>
      </c>
      <c r="AS140" s="324">
        <f t="shared" si="198"/>
        <v>0</v>
      </c>
      <c r="AT140" s="324">
        <f t="shared" si="198"/>
        <v>0</v>
      </c>
      <c r="AU140" s="324">
        <f t="shared" si="198"/>
        <v>0</v>
      </c>
      <c r="AV140" s="324">
        <f t="shared" si="198"/>
        <v>0</v>
      </c>
      <c r="AW140" s="324">
        <f t="shared" si="198"/>
        <v>0</v>
      </c>
      <c r="AX140" s="324">
        <f t="shared" si="198"/>
        <v>0</v>
      </c>
      <c r="AY140" s="324">
        <f t="shared" si="198"/>
        <v>0</v>
      </c>
      <c r="AZ140" s="324">
        <f t="shared" si="198"/>
        <v>0</v>
      </c>
      <c r="BA140" s="324">
        <f t="shared" si="198"/>
        <v>0</v>
      </c>
      <c r="BB140" s="324">
        <f t="shared" si="198"/>
        <v>0</v>
      </c>
      <c r="BC140" s="324">
        <f t="shared" si="198"/>
        <v>0</v>
      </c>
      <c r="BD140" s="324">
        <f t="shared" si="198"/>
        <v>0</v>
      </c>
      <c r="BE140" s="324">
        <f t="shared" si="198"/>
        <v>0</v>
      </c>
      <c r="BF140" s="324">
        <f t="shared" si="198"/>
        <v>0</v>
      </c>
      <c r="BG140" s="324">
        <f t="shared" si="198"/>
        <v>0</v>
      </c>
      <c r="BH140" s="324">
        <f t="shared" si="198"/>
        <v>0</v>
      </c>
      <c r="BI140" s="324">
        <f t="shared" si="198"/>
        <v>0</v>
      </c>
      <c r="BJ140" s="324">
        <f t="shared" si="198"/>
        <v>0</v>
      </c>
      <c r="BK140" s="324">
        <f t="shared" si="198"/>
        <v>0</v>
      </c>
      <c r="BL140" s="324"/>
    </row>
    <row r="141" spans="1:64" s="1" customFormat="1" x14ac:dyDescent="0.15">
      <c r="A141" s="347" t="s">
        <v>114</v>
      </c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3">
        <f t="shared" si="195"/>
        <v>0.58450110040542902</v>
      </c>
      <c r="W141" s="323">
        <f t="shared" si="195"/>
        <v>0.58200510636430225</v>
      </c>
      <c r="X141" s="323">
        <f t="shared" si="198"/>
        <v>0</v>
      </c>
      <c r="Y141" s="323">
        <f t="shared" si="198"/>
        <v>0</v>
      </c>
      <c r="Z141" s="324">
        <f t="shared" si="198"/>
        <v>0</v>
      </c>
      <c r="AA141" s="324">
        <f t="shared" si="198"/>
        <v>0</v>
      </c>
      <c r="AB141" s="324">
        <f t="shared" si="198"/>
        <v>0</v>
      </c>
      <c r="AC141" s="324">
        <f t="shared" si="198"/>
        <v>0</v>
      </c>
      <c r="AD141" s="324">
        <f t="shared" si="198"/>
        <v>0</v>
      </c>
      <c r="AE141" s="324">
        <f t="shared" si="198"/>
        <v>0</v>
      </c>
      <c r="AF141" s="324">
        <f t="shared" si="198"/>
        <v>0</v>
      </c>
      <c r="AG141" s="324">
        <f t="shared" si="198"/>
        <v>0</v>
      </c>
      <c r="AH141" s="324">
        <f t="shared" si="198"/>
        <v>0</v>
      </c>
      <c r="AI141" s="324">
        <f t="shared" si="198"/>
        <v>0</v>
      </c>
      <c r="AJ141" s="324">
        <f t="shared" si="198"/>
        <v>0</v>
      </c>
      <c r="AK141" s="324">
        <f t="shared" si="198"/>
        <v>0</v>
      </c>
      <c r="AL141" s="324">
        <f t="shared" si="198"/>
        <v>0</v>
      </c>
      <c r="AM141" s="324">
        <f t="shared" si="198"/>
        <v>0</v>
      </c>
      <c r="AN141" s="324">
        <f t="shared" si="198"/>
        <v>0</v>
      </c>
      <c r="AO141" s="324">
        <f t="shared" si="198"/>
        <v>0</v>
      </c>
      <c r="AP141" s="324">
        <f t="shared" si="198"/>
        <v>0</v>
      </c>
      <c r="AQ141" s="324">
        <f t="shared" si="198"/>
        <v>0</v>
      </c>
      <c r="AR141" s="324">
        <f t="shared" si="198"/>
        <v>0</v>
      </c>
      <c r="AS141" s="324">
        <f t="shared" si="198"/>
        <v>0</v>
      </c>
      <c r="AT141" s="324">
        <f t="shared" si="198"/>
        <v>0</v>
      </c>
      <c r="AU141" s="324">
        <f t="shared" si="198"/>
        <v>0</v>
      </c>
      <c r="AV141" s="324">
        <f t="shared" si="198"/>
        <v>0</v>
      </c>
      <c r="AW141" s="324">
        <f t="shared" si="198"/>
        <v>0</v>
      </c>
      <c r="AX141" s="324">
        <f t="shared" si="198"/>
        <v>0</v>
      </c>
      <c r="AY141" s="324">
        <f t="shared" si="198"/>
        <v>0</v>
      </c>
      <c r="AZ141" s="324">
        <f t="shared" si="198"/>
        <v>0</v>
      </c>
      <c r="BA141" s="324">
        <f t="shared" si="198"/>
        <v>0</v>
      </c>
      <c r="BB141" s="324">
        <f t="shared" si="198"/>
        <v>0</v>
      </c>
      <c r="BC141" s="324">
        <f t="shared" si="198"/>
        <v>0</v>
      </c>
      <c r="BD141" s="324">
        <f t="shared" si="198"/>
        <v>0</v>
      </c>
      <c r="BE141" s="324">
        <f t="shared" si="198"/>
        <v>0</v>
      </c>
      <c r="BF141" s="324">
        <f t="shared" si="198"/>
        <v>0</v>
      </c>
      <c r="BG141" s="324">
        <f t="shared" si="198"/>
        <v>0</v>
      </c>
      <c r="BH141" s="324">
        <f t="shared" si="198"/>
        <v>0</v>
      </c>
      <c r="BI141" s="324">
        <f t="shared" si="198"/>
        <v>0</v>
      </c>
      <c r="BJ141" s="324">
        <f t="shared" si="198"/>
        <v>0</v>
      </c>
      <c r="BK141" s="324">
        <f t="shared" si="198"/>
        <v>0</v>
      </c>
      <c r="BL141" s="324"/>
    </row>
    <row r="142" spans="1:64" s="1" customFormat="1" x14ac:dyDescent="0.15">
      <c r="A142" s="1" t="s">
        <v>32</v>
      </c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3">
        <f t="shared" si="195"/>
        <v>0.67173845880599181</v>
      </c>
      <c r="W142" s="323">
        <f t="shared" si="195"/>
        <v>0.66473669087257503</v>
      </c>
      <c r="X142" s="323">
        <f t="shared" si="198"/>
        <v>0.63080748393847597</v>
      </c>
      <c r="Y142" s="323">
        <f t="shared" si="198"/>
        <v>0.74448884429851503</v>
      </c>
      <c r="Z142" s="324">
        <f t="shared" si="198"/>
        <v>0.87865736123542426</v>
      </c>
      <c r="AA142" s="324">
        <f t="shared" si="198"/>
        <v>1.0057893085036811</v>
      </c>
      <c r="AB142" s="324">
        <f t="shared" si="198"/>
        <v>1.1513158345113612</v>
      </c>
      <c r="AC142" s="324">
        <f t="shared" si="198"/>
        <v>0</v>
      </c>
      <c r="AD142" s="324">
        <f t="shared" si="198"/>
        <v>0</v>
      </c>
      <c r="AE142" s="324">
        <f t="shared" si="198"/>
        <v>0</v>
      </c>
      <c r="AF142" s="324">
        <f t="shared" si="198"/>
        <v>0</v>
      </c>
      <c r="AG142" s="324">
        <f t="shared" si="198"/>
        <v>0</v>
      </c>
      <c r="AH142" s="324">
        <f t="shared" si="198"/>
        <v>0</v>
      </c>
      <c r="AI142" s="324">
        <f t="shared" si="198"/>
        <v>0</v>
      </c>
      <c r="AJ142" s="324">
        <f t="shared" si="198"/>
        <v>0</v>
      </c>
      <c r="AK142" s="324">
        <f t="shared" si="198"/>
        <v>0</v>
      </c>
      <c r="AL142" s="324">
        <f t="shared" si="198"/>
        <v>0</v>
      </c>
      <c r="AM142" s="324">
        <f t="shared" si="198"/>
        <v>0</v>
      </c>
      <c r="AN142" s="324">
        <f t="shared" si="198"/>
        <v>0</v>
      </c>
      <c r="AO142" s="324">
        <f t="shared" si="198"/>
        <v>0</v>
      </c>
      <c r="AP142" s="324">
        <f t="shared" si="198"/>
        <v>0</v>
      </c>
      <c r="AQ142" s="324">
        <f t="shared" si="198"/>
        <v>0</v>
      </c>
      <c r="AR142" s="324">
        <f t="shared" si="198"/>
        <v>0</v>
      </c>
      <c r="AS142" s="324">
        <f t="shared" si="198"/>
        <v>0</v>
      </c>
      <c r="AT142" s="324">
        <f t="shared" si="198"/>
        <v>0</v>
      </c>
      <c r="AU142" s="324">
        <f t="shared" si="198"/>
        <v>0</v>
      </c>
      <c r="AV142" s="324">
        <f t="shared" si="198"/>
        <v>0</v>
      </c>
      <c r="AW142" s="324">
        <f t="shared" si="198"/>
        <v>0</v>
      </c>
      <c r="AX142" s="324">
        <f t="shared" si="198"/>
        <v>0</v>
      </c>
      <c r="AY142" s="324">
        <f t="shared" si="198"/>
        <v>0</v>
      </c>
      <c r="AZ142" s="324">
        <f t="shared" si="198"/>
        <v>0</v>
      </c>
      <c r="BA142" s="324">
        <f t="shared" si="198"/>
        <v>0</v>
      </c>
      <c r="BB142" s="324">
        <f t="shared" si="198"/>
        <v>0</v>
      </c>
      <c r="BC142" s="324">
        <f t="shared" si="198"/>
        <v>0</v>
      </c>
      <c r="BD142" s="324">
        <f t="shared" si="198"/>
        <v>0</v>
      </c>
      <c r="BE142" s="324">
        <f t="shared" si="198"/>
        <v>0</v>
      </c>
      <c r="BF142" s="324">
        <f t="shared" si="198"/>
        <v>0</v>
      </c>
      <c r="BG142" s="324">
        <f t="shared" si="198"/>
        <v>0</v>
      </c>
      <c r="BH142" s="324">
        <f t="shared" si="198"/>
        <v>0</v>
      </c>
      <c r="BI142" s="324">
        <f t="shared" si="198"/>
        <v>0</v>
      </c>
      <c r="BJ142" s="324">
        <f t="shared" si="198"/>
        <v>0</v>
      </c>
      <c r="BK142" s="324">
        <f t="shared" si="198"/>
        <v>0</v>
      </c>
      <c r="BL142" s="324"/>
    </row>
    <row r="143" spans="1:64" s="353" customFormat="1" x14ac:dyDescent="0.15"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669">
        <f>SUM(V131:V142)</f>
        <v>9.4321916808679696</v>
      </c>
      <c r="W143" s="669">
        <f>SUM(W131:W142)</f>
        <v>7.5359162730623943</v>
      </c>
      <c r="X143" s="669">
        <f t="shared" ref="X143:BK143" si="199">SUM(X131:X142)</f>
        <v>6.0155543145941639</v>
      </c>
      <c r="Y143" s="669">
        <f t="shared" si="199"/>
        <v>6.406921433627816</v>
      </c>
      <c r="Z143" s="354">
        <f t="shared" si="199"/>
        <v>7.1128072946024536</v>
      </c>
      <c r="AA143" s="354">
        <f t="shared" si="199"/>
        <v>3.6293884211469472</v>
      </c>
      <c r="AB143" s="354">
        <f t="shared" si="199"/>
        <v>4.0815187982762327</v>
      </c>
      <c r="AC143" s="354">
        <f t="shared" si="199"/>
        <v>1.9293913052888865</v>
      </c>
      <c r="AD143" s="354">
        <f t="shared" si="199"/>
        <v>2.1203719750326053</v>
      </c>
      <c r="AE143" s="354">
        <f t="shared" si="199"/>
        <v>0.6891755174498525</v>
      </c>
      <c r="AF143" s="354">
        <f t="shared" si="199"/>
        <v>0.75868965138535882</v>
      </c>
      <c r="AG143" s="354">
        <f t="shared" si="199"/>
        <v>0.81602001637663124</v>
      </c>
      <c r="AH143" s="354">
        <f t="shared" si="199"/>
        <v>0.87768254899933362</v>
      </c>
      <c r="AI143" s="354">
        <f t="shared" si="199"/>
        <v>0</v>
      </c>
      <c r="AJ143" s="354">
        <f t="shared" si="199"/>
        <v>0</v>
      </c>
      <c r="AK143" s="354">
        <f t="shared" si="199"/>
        <v>0</v>
      </c>
      <c r="AL143" s="354">
        <f t="shared" si="199"/>
        <v>0</v>
      </c>
      <c r="AM143" s="354">
        <f t="shared" si="199"/>
        <v>0</v>
      </c>
      <c r="AN143" s="354">
        <f t="shared" si="199"/>
        <v>0</v>
      </c>
      <c r="AO143" s="354">
        <f t="shared" si="199"/>
        <v>0</v>
      </c>
      <c r="AP143" s="354">
        <f t="shared" si="199"/>
        <v>0</v>
      </c>
      <c r="AQ143" s="354">
        <f t="shared" si="199"/>
        <v>0</v>
      </c>
      <c r="AR143" s="354">
        <f t="shared" si="199"/>
        <v>0</v>
      </c>
      <c r="AS143" s="354">
        <f t="shared" si="199"/>
        <v>0</v>
      </c>
      <c r="AT143" s="354">
        <f t="shared" si="199"/>
        <v>0</v>
      </c>
      <c r="AU143" s="354">
        <f t="shared" si="199"/>
        <v>0</v>
      </c>
      <c r="AV143" s="354">
        <f t="shared" si="199"/>
        <v>0</v>
      </c>
      <c r="AW143" s="354">
        <f t="shared" si="199"/>
        <v>0</v>
      </c>
      <c r="AX143" s="354">
        <f t="shared" si="199"/>
        <v>0</v>
      </c>
      <c r="AY143" s="354">
        <f t="shared" si="199"/>
        <v>0</v>
      </c>
      <c r="AZ143" s="354">
        <f t="shared" si="199"/>
        <v>0</v>
      </c>
      <c r="BA143" s="354">
        <f t="shared" si="199"/>
        <v>0</v>
      </c>
      <c r="BB143" s="354">
        <f t="shared" si="199"/>
        <v>0</v>
      </c>
      <c r="BC143" s="354">
        <f t="shared" si="199"/>
        <v>0</v>
      </c>
      <c r="BD143" s="354">
        <f t="shared" si="199"/>
        <v>0</v>
      </c>
      <c r="BE143" s="354">
        <f t="shared" si="199"/>
        <v>0</v>
      </c>
      <c r="BF143" s="354">
        <f t="shared" si="199"/>
        <v>0</v>
      </c>
      <c r="BG143" s="354">
        <f t="shared" si="199"/>
        <v>0</v>
      </c>
      <c r="BH143" s="354">
        <f t="shared" si="199"/>
        <v>0</v>
      </c>
      <c r="BI143" s="354">
        <f t="shared" si="199"/>
        <v>0</v>
      </c>
      <c r="BJ143" s="354">
        <f t="shared" si="199"/>
        <v>0</v>
      </c>
      <c r="BK143" s="354">
        <f t="shared" si="199"/>
        <v>0</v>
      </c>
      <c r="BL143" s="354"/>
    </row>
    <row r="144" spans="1:64" s="355" customFormat="1" x14ac:dyDescent="0.15">
      <c r="A144" s="355" t="s">
        <v>910</v>
      </c>
      <c r="C144" s="356"/>
      <c r="D144" s="356"/>
      <c r="E144" s="356"/>
      <c r="F144" s="356"/>
      <c r="G144" s="356"/>
      <c r="H144" s="356"/>
      <c r="I144" s="356"/>
      <c r="J144" s="356"/>
      <c r="K144" s="356"/>
      <c r="L144" s="356"/>
      <c r="M144" s="356"/>
      <c r="N144" s="356"/>
      <c r="O144" s="356"/>
      <c r="P144" s="356"/>
      <c r="Q144" s="356"/>
      <c r="R144" s="357"/>
      <c r="S144" s="356"/>
      <c r="T144" s="356"/>
      <c r="U144" s="356"/>
      <c r="V144" s="357">
        <f>+V129+V143</f>
        <v>9.4321916808679696</v>
      </c>
      <c r="W144" s="357">
        <f>+W129+W143</f>
        <v>17.257268020000978</v>
      </c>
      <c r="X144" s="357">
        <f t="shared" ref="X144:BK144" si="200">+X129+X143</f>
        <v>16.2182786720712</v>
      </c>
      <c r="Y144" s="357">
        <f t="shared" si="200"/>
        <v>17.116135805464754</v>
      </c>
      <c r="Z144" s="356">
        <f t="shared" si="200"/>
        <v>18.408413673202446</v>
      </c>
      <c r="AA144" s="356">
        <f t="shared" si="200"/>
        <v>14.474011183805452</v>
      </c>
      <c r="AB144" s="356">
        <f t="shared" si="200"/>
        <v>14.60972006375674</v>
      </c>
      <c r="AC144" s="356">
        <f t="shared" si="200"/>
        <v>11.428155439230647</v>
      </c>
      <c r="AD144" s="356">
        <f t="shared" si="200"/>
        <v>10.54697345937155</v>
      </c>
      <c r="AE144" s="356">
        <f t="shared" si="200"/>
        <v>7.4829438351892099</v>
      </c>
      <c r="AF144" s="356">
        <f t="shared" si="200"/>
        <v>7.0099545746953593</v>
      </c>
      <c r="AG144" s="356">
        <f t="shared" si="200"/>
        <v>6.5704701699737136</v>
      </c>
      <c r="AH144" s="356">
        <f t="shared" si="200"/>
        <v>6.2173844828106617</v>
      </c>
      <c r="AI144" s="356">
        <f t="shared" si="200"/>
        <v>4.8487884713098879</v>
      </c>
      <c r="AJ144" s="356">
        <f t="shared" si="200"/>
        <v>4.4263578967006181</v>
      </c>
      <c r="AK144" s="356">
        <f t="shared" si="200"/>
        <v>4.0636279709083594</v>
      </c>
      <c r="AL144" s="356">
        <f t="shared" si="200"/>
        <v>3.7508584760422421</v>
      </c>
      <c r="AM144" s="356">
        <f t="shared" si="200"/>
        <v>3.4826189539400545</v>
      </c>
      <c r="AN144" s="357">
        <f t="shared" si="200"/>
        <v>3.2507759657845918</v>
      </c>
      <c r="AO144" s="356">
        <f t="shared" si="200"/>
        <v>3.0477014687451973</v>
      </c>
      <c r="AP144" s="356">
        <f t="shared" si="200"/>
        <v>2.8953163953079377</v>
      </c>
      <c r="AQ144" s="356">
        <f t="shared" si="200"/>
        <v>2.7505505755425408</v>
      </c>
      <c r="AR144" s="356">
        <f t="shared" si="200"/>
        <v>2.6130230467654134</v>
      </c>
      <c r="AS144" s="356">
        <f t="shared" si="200"/>
        <v>2.4823718944271427</v>
      </c>
      <c r="AT144" s="356">
        <f t="shared" si="200"/>
        <v>2.3582532997057859</v>
      </c>
      <c r="AU144" s="356">
        <f t="shared" si="200"/>
        <v>2.2403406347204964</v>
      </c>
      <c r="AV144" s="356">
        <f t="shared" si="200"/>
        <v>2.1283236029844708</v>
      </c>
      <c r="AW144" s="356">
        <f t="shared" si="200"/>
        <v>2.0219074228352474</v>
      </c>
      <c r="AX144" s="356">
        <f t="shared" si="200"/>
        <v>1.920812051693485</v>
      </c>
      <c r="AY144" s="356">
        <f t="shared" si="200"/>
        <v>1.8247714491088105</v>
      </c>
      <c r="AZ144" s="356">
        <f t="shared" si="200"/>
        <v>1.73353287665337</v>
      </c>
      <c r="BA144" s="356">
        <f t="shared" si="200"/>
        <v>1.6468562328207015</v>
      </c>
      <c r="BB144" s="356">
        <f t="shared" si="200"/>
        <v>1.5645134211796661</v>
      </c>
      <c r="BC144" s="356">
        <f t="shared" si="200"/>
        <v>1.4862877501206826</v>
      </c>
      <c r="BD144" s="356">
        <f t="shared" si="200"/>
        <v>1.4119733626146489</v>
      </c>
      <c r="BE144" s="356">
        <f t="shared" si="200"/>
        <v>1.3413746944839162</v>
      </c>
      <c r="BF144" s="356">
        <f t="shared" si="200"/>
        <v>1.2743059597597204</v>
      </c>
      <c r="BG144" s="356">
        <f t="shared" si="200"/>
        <v>1.2105906617717344</v>
      </c>
      <c r="BH144" s="356">
        <f t="shared" si="200"/>
        <v>1.1500611286831475</v>
      </c>
      <c r="BI144" s="356">
        <f t="shared" si="200"/>
        <v>1.09255807224899</v>
      </c>
      <c r="BJ144" s="356">
        <f t="shared" si="200"/>
        <v>1.0379301686365405</v>
      </c>
      <c r="BK144" s="356">
        <f t="shared" si="200"/>
        <v>0.98603366020471361</v>
      </c>
      <c r="BL144" s="356"/>
    </row>
    <row r="145" spans="1:64" s="355" customFormat="1" x14ac:dyDescent="0.15">
      <c r="A145" s="355" t="s">
        <v>941</v>
      </c>
      <c r="C145" s="356"/>
      <c r="D145" s="356"/>
      <c r="E145" s="356"/>
      <c r="F145" s="356"/>
      <c r="G145" s="356"/>
      <c r="H145" s="356"/>
      <c r="I145" s="356"/>
      <c r="J145" s="356"/>
      <c r="K145" s="356"/>
      <c r="L145" s="356"/>
      <c r="M145" s="356"/>
      <c r="N145" s="356"/>
      <c r="O145" s="356"/>
      <c r="P145" s="356"/>
      <c r="Q145" s="356"/>
      <c r="R145" s="357"/>
      <c r="S145" s="356"/>
      <c r="T145" s="356"/>
      <c r="U145" s="356"/>
      <c r="V145" s="357">
        <f>+SUMPRODUCT(V70:V81*V4:V15)/V16</f>
        <v>0</v>
      </c>
      <c r="W145" s="357">
        <f>+SUMPRODUCT(W70:W81*W4:W15)/W16</f>
        <v>0.20499786723445548</v>
      </c>
      <c r="X145" s="357">
        <f t="shared" ref="X145:BK145" si="201">+SUMPRODUCT(X70:X81*X4:X15)/X16</f>
        <v>0.39896937886013067</v>
      </c>
      <c r="Y145" s="357">
        <f t="shared" si="201"/>
        <v>0.40751366551460466</v>
      </c>
      <c r="Z145" s="356">
        <f t="shared" si="201"/>
        <v>0.39334264235777361</v>
      </c>
      <c r="AA145" s="356" t="e">
        <f t="shared" si="201"/>
        <v>#DIV/0!</v>
      </c>
      <c r="AB145" s="356" t="e">
        <f t="shared" si="201"/>
        <v>#DIV/0!</v>
      </c>
      <c r="AC145" s="356" t="e">
        <f t="shared" si="201"/>
        <v>#DIV/0!</v>
      </c>
      <c r="AD145" s="356">
        <f t="shared" si="201"/>
        <v>0.85324712718935602</v>
      </c>
      <c r="AE145" s="356">
        <f t="shared" si="201"/>
        <v>0.95334762413281326</v>
      </c>
      <c r="AF145" s="356">
        <f t="shared" si="201"/>
        <v>0.950865903492359</v>
      </c>
      <c r="AG145" s="356">
        <f t="shared" si="201"/>
        <v>0.94820324553152413</v>
      </c>
      <c r="AH145" s="356">
        <f t="shared" si="201"/>
        <v>0.94612555443075674</v>
      </c>
      <c r="AI145" s="356">
        <f t="shared" si="201"/>
        <v>0.99969197381784813</v>
      </c>
      <c r="AJ145" s="356">
        <f t="shared" si="201"/>
        <v>1</v>
      </c>
      <c r="AK145" s="356">
        <f t="shared" si="201"/>
        <v>0.99972592397309834</v>
      </c>
      <c r="AL145" s="356">
        <f t="shared" si="201"/>
        <v>1</v>
      </c>
      <c r="AM145" s="356">
        <f t="shared" si="201"/>
        <v>0.99975436131646489</v>
      </c>
      <c r="AN145" s="356">
        <f t="shared" si="201"/>
        <v>1</v>
      </c>
      <c r="AO145" s="356">
        <f t="shared" si="201"/>
        <v>0.99989360989186171</v>
      </c>
      <c r="AP145" s="356">
        <f t="shared" si="201"/>
        <v>1</v>
      </c>
      <c r="AQ145" s="356">
        <f t="shared" si="201"/>
        <v>0.9999580983214752</v>
      </c>
      <c r="AR145" s="356">
        <f t="shared" si="201"/>
        <v>1</v>
      </c>
      <c r="AS145" s="356">
        <f t="shared" si="201"/>
        <v>0.99996556697053429</v>
      </c>
      <c r="AT145" s="356">
        <f t="shared" si="201"/>
        <v>1</v>
      </c>
      <c r="AU145" s="356">
        <f t="shared" si="201"/>
        <v>0.99998008338574651</v>
      </c>
      <c r="AV145" s="356">
        <f t="shared" si="201"/>
        <v>1</v>
      </c>
      <c r="AW145" s="356">
        <f t="shared" si="201"/>
        <v>0.99998284980245078</v>
      </c>
      <c r="AX145" s="356">
        <f t="shared" si="201"/>
        <v>1</v>
      </c>
      <c r="AY145" s="356">
        <f t="shared" si="201"/>
        <v>0.99998582068206021</v>
      </c>
      <c r="AZ145" s="356">
        <f t="shared" si="201"/>
        <v>1</v>
      </c>
      <c r="BA145" s="356">
        <f t="shared" si="201"/>
        <v>0.99998870769575665</v>
      </c>
      <c r="BB145" s="356">
        <f t="shared" si="201"/>
        <v>1</v>
      </c>
      <c r="BC145" s="356">
        <f t="shared" si="201"/>
        <v>0.99999121406452596</v>
      </c>
      <c r="BD145" s="356">
        <f t="shared" si="201"/>
        <v>1</v>
      </c>
      <c r="BE145" s="356">
        <f t="shared" si="201"/>
        <v>0.99999322487286124</v>
      </c>
      <c r="BF145" s="356">
        <f t="shared" si="201"/>
        <v>1</v>
      </c>
      <c r="BG145" s="356">
        <f t="shared" si="201"/>
        <v>0.99999474359546736</v>
      </c>
      <c r="BH145" s="356">
        <f t="shared" si="201"/>
        <v>1</v>
      </c>
      <c r="BI145" s="356">
        <f t="shared" si="201"/>
        <v>0.99999451776470549</v>
      </c>
      <c r="BJ145" s="356">
        <f t="shared" si="201"/>
        <v>1</v>
      </c>
      <c r="BK145" s="356">
        <f t="shared" si="201"/>
        <v>0.99999286585397462</v>
      </c>
      <c r="BL145" s="356"/>
    </row>
    <row r="146" spans="1:64" s="355" customFormat="1" x14ac:dyDescent="0.15">
      <c r="C146" s="356"/>
      <c r="D146" s="356"/>
      <c r="E146" s="356"/>
      <c r="F146" s="356"/>
      <c r="G146" s="356"/>
      <c r="H146" s="356"/>
      <c r="I146" s="356"/>
      <c r="J146" s="356"/>
      <c r="K146" s="356"/>
      <c r="L146" s="356"/>
      <c r="M146" s="356"/>
      <c r="N146" s="356"/>
      <c r="O146" s="356"/>
      <c r="P146" s="356"/>
      <c r="Q146" s="356"/>
      <c r="R146" s="357"/>
      <c r="S146" s="356"/>
      <c r="T146" s="356"/>
      <c r="U146" s="356"/>
      <c r="V146" s="356"/>
      <c r="W146" s="356"/>
      <c r="X146" s="356"/>
      <c r="Y146" s="356"/>
      <c r="Z146" s="356"/>
      <c r="AA146" s="356"/>
      <c r="AB146" s="356"/>
      <c r="AC146" s="356"/>
      <c r="AD146" s="356"/>
      <c r="AE146" s="356"/>
      <c r="AF146" s="356"/>
      <c r="AG146" s="356"/>
      <c r="AH146" s="356"/>
      <c r="AI146" s="356"/>
      <c r="AJ146" s="356"/>
      <c r="AK146" s="356"/>
      <c r="AL146" s="356"/>
      <c r="AM146" s="356"/>
      <c r="AN146" s="356"/>
      <c r="AO146" s="356"/>
      <c r="AP146" s="356"/>
      <c r="AQ146" s="356"/>
      <c r="AR146" s="356"/>
      <c r="AS146" s="356"/>
      <c r="AT146" s="356"/>
      <c r="AU146" s="356"/>
      <c r="AV146" s="356"/>
      <c r="AW146" s="356"/>
      <c r="AX146" s="356"/>
      <c r="AY146" s="356"/>
      <c r="AZ146" s="356"/>
      <c r="BA146" s="356"/>
      <c r="BB146" s="356"/>
      <c r="BC146" s="356"/>
      <c r="BD146" s="356"/>
      <c r="BE146" s="356"/>
      <c r="BF146" s="356"/>
      <c r="BG146" s="356"/>
      <c r="BH146" s="356"/>
      <c r="BI146" s="356"/>
      <c r="BJ146" s="356"/>
      <c r="BK146" s="356"/>
      <c r="BL146" s="356"/>
    </row>
    <row r="147" spans="1:64" s="1" customFormat="1" ht="16" x14ac:dyDescent="0.2">
      <c r="A147" s="321" t="s">
        <v>911</v>
      </c>
      <c r="N147" s="324"/>
      <c r="O147" s="324"/>
      <c r="P147" s="324"/>
      <c r="Q147" s="324"/>
      <c r="R147" s="324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77"/>
      <c r="AJ147" s="177"/>
      <c r="AK147" s="177"/>
      <c r="AL147" s="177"/>
      <c r="AM147" s="177"/>
      <c r="AN147" s="177"/>
      <c r="AO147" s="177"/>
      <c r="AP147" s="177"/>
      <c r="AQ147" s="177"/>
      <c r="AR147" s="177"/>
      <c r="AS147" s="177"/>
      <c r="AT147" s="177"/>
      <c r="AU147" s="177"/>
      <c r="AV147" s="177"/>
      <c r="AW147" s="177"/>
      <c r="AX147" s="177"/>
      <c r="AY147" s="177"/>
      <c r="AZ147" s="177"/>
      <c r="BA147" s="177"/>
      <c r="BB147" s="177"/>
      <c r="BC147" s="177"/>
      <c r="BD147" s="177"/>
      <c r="BE147" s="177"/>
      <c r="BF147" s="177"/>
      <c r="BG147" s="177"/>
      <c r="BH147" s="177"/>
      <c r="BI147" s="177"/>
      <c r="BJ147" s="177"/>
      <c r="BK147" s="177"/>
    </row>
    <row r="148" spans="1:64" s="1" customFormat="1" ht="14" x14ac:dyDescent="0.15">
      <c r="A148" s="338" t="s">
        <v>912</v>
      </c>
      <c r="N148" s="324"/>
      <c r="O148" s="324"/>
      <c r="P148" s="324"/>
      <c r="Q148" s="324"/>
      <c r="R148" s="324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7"/>
      <c r="AM148" s="177"/>
      <c r="AN148" s="177"/>
      <c r="AO148" s="177"/>
      <c r="AP148" s="177"/>
      <c r="AQ148" s="177"/>
      <c r="AR148" s="177"/>
      <c r="AS148" s="177"/>
      <c r="AT148" s="177"/>
      <c r="AU148" s="177"/>
      <c r="AV148" s="177"/>
      <c r="AW148" s="177"/>
      <c r="AX148" s="177"/>
      <c r="AY148" s="177"/>
      <c r="AZ148" s="177"/>
      <c r="BA148" s="177"/>
      <c r="BB148" s="177"/>
      <c r="BC148" s="177"/>
      <c r="BD148" s="177"/>
      <c r="BE148" s="177"/>
      <c r="BF148" s="177"/>
      <c r="BG148" s="177"/>
      <c r="BH148" s="177"/>
      <c r="BI148" s="177"/>
      <c r="BJ148" s="177"/>
      <c r="BK148" s="177"/>
    </row>
    <row r="149" spans="1:64" s="1" customFormat="1" ht="14" x14ac:dyDescent="0.15">
      <c r="A149" s="338" t="s">
        <v>913</v>
      </c>
      <c r="N149" s="324"/>
      <c r="O149" s="324"/>
      <c r="P149" s="324"/>
      <c r="Q149" s="324"/>
      <c r="R149" s="324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7"/>
      <c r="AM149" s="177"/>
      <c r="AN149" s="177"/>
      <c r="AO149" s="177"/>
      <c r="AP149" s="177"/>
      <c r="AQ149" s="177"/>
      <c r="AR149" s="177"/>
      <c r="AS149" s="177"/>
      <c r="AT149" s="177"/>
      <c r="AU149" s="177"/>
      <c r="AV149" s="177"/>
      <c r="AW149" s="177"/>
      <c r="AX149" s="177"/>
      <c r="AY149" s="177"/>
      <c r="AZ149" s="177"/>
      <c r="BA149" s="177"/>
      <c r="BB149" s="177"/>
      <c r="BC149" s="177"/>
      <c r="BD149" s="177"/>
      <c r="BE149" s="177"/>
      <c r="BF149" s="177"/>
      <c r="BG149" s="177"/>
      <c r="BH149" s="177"/>
      <c r="BI149" s="177"/>
      <c r="BJ149" s="177"/>
      <c r="BK149" s="177"/>
    </row>
    <row r="150" spans="1:64" s="1" customFormat="1" ht="14" x14ac:dyDescent="0.15">
      <c r="A150" s="338" t="s">
        <v>914</v>
      </c>
      <c r="N150" s="324"/>
      <c r="O150" s="324"/>
      <c r="P150" s="324"/>
      <c r="Q150" s="324"/>
      <c r="R150" s="324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77"/>
      <c r="AJ150" s="177"/>
      <c r="AK150" s="177"/>
      <c r="AL150" s="177"/>
      <c r="AM150" s="177"/>
      <c r="AN150" s="177"/>
      <c r="AO150" s="177"/>
      <c r="AP150" s="177"/>
      <c r="AQ150" s="177"/>
      <c r="AR150" s="177"/>
      <c r="AS150" s="177"/>
      <c r="AT150" s="177"/>
      <c r="AU150" s="177"/>
      <c r="AV150" s="177"/>
      <c r="AW150" s="177"/>
      <c r="AX150" s="177"/>
      <c r="AY150" s="177"/>
      <c r="AZ150" s="177"/>
      <c r="BA150" s="177"/>
      <c r="BB150" s="177"/>
      <c r="BC150" s="177"/>
      <c r="BD150" s="177"/>
      <c r="BE150" s="177"/>
      <c r="BF150" s="177"/>
      <c r="BG150" s="177"/>
      <c r="BH150" s="177"/>
      <c r="BI150" s="177"/>
      <c r="BJ150" s="177"/>
      <c r="BK150" s="177"/>
    </row>
    <row r="151" spans="1:64" s="1" customFormat="1" ht="14" x14ac:dyDescent="0.15">
      <c r="A151" s="338" t="s">
        <v>915</v>
      </c>
      <c r="N151" s="324"/>
      <c r="O151" s="324"/>
      <c r="P151" s="324"/>
      <c r="Q151" s="324"/>
      <c r="R151" s="324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  <c r="AI151" s="177"/>
      <c r="AJ151" s="177"/>
      <c r="AK151" s="177"/>
      <c r="AL151" s="177"/>
      <c r="AM151" s="177"/>
      <c r="AN151" s="177"/>
      <c r="AO151" s="177"/>
      <c r="AP151" s="177"/>
      <c r="AQ151" s="177"/>
      <c r="AR151" s="177"/>
      <c r="AS151" s="177"/>
      <c r="AT151" s="177"/>
      <c r="AU151" s="177"/>
      <c r="AV151" s="177"/>
      <c r="AW151" s="177"/>
      <c r="AX151" s="177"/>
      <c r="AY151" s="177"/>
      <c r="AZ151" s="177"/>
      <c r="BA151" s="177"/>
      <c r="BB151" s="177"/>
      <c r="BC151" s="177"/>
      <c r="BD151" s="177"/>
      <c r="BE151" s="177"/>
      <c r="BF151" s="177"/>
      <c r="BG151" s="177"/>
      <c r="BH151" s="177"/>
      <c r="BI151" s="177"/>
      <c r="BJ151" s="177"/>
      <c r="BK151" s="177"/>
    </row>
    <row r="152" spans="1:64" s="1" customFormat="1" ht="14" x14ac:dyDescent="0.15">
      <c r="A152" s="338" t="s">
        <v>916</v>
      </c>
      <c r="N152" s="324"/>
      <c r="O152" s="324"/>
      <c r="P152" s="324"/>
      <c r="Q152" s="324"/>
      <c r="R152" s="324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77"/>
      <c r="AJ152" s="177"/>
      <c r="AK152" s="177"/>
      <c r="AL152" s="177"/>
      <c r="AM152" s="177"/>
      <c r="AN152" s="177"/>
      <c r="AO152" s="177"/>
      <c r="AP152" s="177"/>
      <c r="AQ152" s="177"/>
      <c r="AR152" s="177"/>
      <c r="AS152" s="177"/>
      <c r="AT152" s="177"/>
      <c r="AU152" s="177"/>
      <c r="AV152" s="177"/>
      <c r="AW152" s="177"/>
      <c r="AX152" s="177"/>
      <c r="AY152" s="177"/>
      <c r="AZ152" s="177"/>
      <c r="BA152" s="177"/>
      <c r="BB152" s="177"/>
      <c r="BC152" s="177"/>
      <c r="BD152" s="177"/>
      <c r="BE152" s="177"/>
      <c r="BF152" s="177"/>
      <c r="BG152" s="177"/>
      <c r="BH152" s="177"/>
      <c r="BI152" s="177"/>
      <c r="BJ152" s="177"/>
      <c r="BK152" s="177"/>
    </row>
    <row r="153" spans="1:64" s="1" customFormat="1" ht="14" x14ac:dyDescent="0.15">
      <c r="A153" s="338" t="s">
        <v>917</v>
      </c>
      <c r="N153" s="324"/>
      <c r="O153" s="324"/>
      <c r="P153" s="324"/>
      <c r="Q153" s="324"/>
      <c r="R153" s="324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7"/>
      <c r="AM153" s="177"/>
      <c r="AN153" s="177"/>
      <c r="AO153" s="177"/>
      <c r="AP153" s="177"/>
      <c r="AQ153" s="177"/>
      <c r="AR153" s="177"/>
      <c r="AS153" s="177"/>
      <c r="AT153" s="177"/>
      <c r="AU153" s="177"/>
      <c r="AV153" s="177"/>
      <c r="AW153" s="177"/>
      <c r="AX153" s="177"/>
      <c r="AY153" s="177"/>
      <c r="AZ153" s="177"/>
      <c r="BA153" s="177"/>
      <c r="BB153" s="177"/>
      <c r="BC153" s="177"/>
      <c r="BD153" s="177"/>
      <c r="BE153" s="177"/>
      <c r="BF153" s="177"/>
      <c r="BG153" s="177"/>
      <c r="BH153" s="177"/>
      <c r="BI153" s="177"/>
      <c r="BJ153" s="177"/>
      <c r="BK153" s="177"/>
    </row>
    <row r="154" spans="1:64" ht="14" x14ac:dyDescent="0.15">
      <c r="A154" s="338" t="s">
        <v>918</v>
      </c>
    </row>
    <row r="155" spans="1:64" x14ac:dyDescent="0.15">
      <c r="A155">
        <v>100</v>
      </c>
    </row>
    <row r="156" spans="1:64" ht="14" x14ac:dyDescent="0.15">
      <c r="A156" s="338" t="s">
        <v>919</v>
      </c>
    </row>
    <row r="157" spans="1:64" ht="14" x14ac:dyDescent="0.15">
      <c r="A157" s="338">
        <v>10</v>
      </c>
    </row>
    <row r="158" spans="1:64" ht="23" x14ac:dyDescent="0.25">
      <c r="A158" s="338"/>
      <c r="V158" s="587" t="s">
        <v>1157</v>
      </c>
    </row>
    <row r="159" spans="1:64" s="179" customFormat="1" ht="56" x14ac:dyDescent="0.15">
      <c r="V159" s="574" t="s">
        <v>920</v>
      </c>
      <c r="W159" s="575" t="s">
        <v>921</v>
      </c>
      <c r="X159" s="575" t="s">
        <v>922</v>
      </c>
      <c r="Y159" s="575" t="s">
        <v>923</v>
      </c>
      <c r="Z159" s="575" t="s">
        <v>924</v>
      </c>
      <c r="AA159" s="575" t="s">
        <v>925</v>
      </c>
      <c r="AB159" s="358"/>
    </row>
    <row r="160" spans="1:64" ht="14" x14ac:dyDescent="0.15">
      <c r="V160" s="576" t="s">
        <v>104</v>
      </c>
      <c r="W160" s="577">
        <v>2015</v>
      </c>
      <c r="X160" s="578">
        <v>2005</v>
      </c>
      <c r="Y160" s="578">
        <v>2015</v>
      </c>
      <c r="Z160" s="579">
        <f>+Y63</f>
        <v>0.84367037175168769</v>
      </c>
      <c r="AA160" s="580" t="s">
        <v>1303</v>
      </c>
      <c r="AB160" s="1"/>
    </row>
    <row r="161" spans="22:28" x14ac:dyDescent="0.15">
      <c r="V161" s="576" t="s">
        <v>105</v>
      </c>
      <c r="W161" s="577">
        <v>2005</v>
      </c>
      <c r="X161" s="578">
        <v>1990</v>
      </c>
      <c r="Y161" s="578">
        <v>1995</v>
      </c>
      <c r="Z161" s="579">
        <v>0.8</v>
      </c>
      <c r="AA161" s="581" t="s">
        <v>104</v>
      </c>
    </row>
    <row r="162" spans="22:28" x14ac:dyDescent="0.15">
      <c r="V162" s="576" t="s">
        <v>51</v>
      </c>
      <c r="W162" s="577">
        <v>2005</v>
      </c>
      <c r="X162" s="578">
        <v>1990</v>
      </c>
      <c r="Y162" s="578">
        <v>1995</v>
      </c>
      <c r="Z162" s="579">
        <v>0.94</v>
      </c>
      <c r="AA162" s="581" t="s">
        <v>104</v>
      </c>
    </row>
    <row r="163" spans="22:28" x14ac:dyDescent="0.15">
      <c r="V163" s="576" t="s">
        <v>52</v>
      </c>
      <c r="W163" s="577">
        <v>2005</v>
      </c>
      <c r="X163" s="578">
        <v>1990</v>
      </c>
      <c r="Y163" s="578">
        <v>2005</v>
      </c>
      <c r="Z163" s="579">
        <v>1</v>
      </c>
      <c r="AA163" s="581" t="s">
        <v>104</v>
      </c>
    </row>
    <row r="164" spans="22:28" x14ac:dyDescent="0.15">
      <c r="V164" s="576" t="s">
        <v>53</v>
      </c>
      <c r="W164" s="577">
        <v>2020</v>
      </c>
      <c r="X164" s="578">
        <v>1990</v>
      </c>
      <c r="Y164" s="578">
        <v>2020</v>
      </c>
      <c r="Z164" s="579">
        <v>1</v>
      </c>
      <c r="AA164" s="581" t="s">
        <v>104</v>
      </c>
    </row>
    <row r="165" spans="22:28" x14ac:dyDescent="0.15">
      <c r="V165" s="576" t="s">
        <v>54</v>
      </c>
      <c r="W165" s="577">
        <v>2030</v>
      </c>
      <c r="X165" s="578">
        <f>+W165</f>
        <v>2030</v>
      </c>
      <c r="Y165" s="578">
        <f>+X165</f>
        <v>2030</v>
      </c>
      <c r="Z165" s="579">
        <v>1</v>
      </c>
      <c r="AA165" s="581" t="s">
        <v>104</v>
      </c>
    </row>
    <row r="166" spans="22:28" x14ac:dyDescent="0.15">
      <c r="V166" s="576" t="s">
        <v>55</v>
      </c>
      <c r="W166" s="577">
        <v>2040</v>
      </c>
      <c r="X166" s="578">
        <f t="shared" ref="X166:Y171" si="202">+W166</f>
        <v>2040</v>
      </c>
      <c r="Y166" s="578">
        <f t="shared" si="202"/>
        <v>2040</v>
      </c>
      <c r="Z166" s="579">
        <v>1</v>
      </c>
      <c r="AA166" s="581" t="s">
        <v>104</v>
      </c>
    </row>
    <row r="167" spans="22:28" x14ac:dyDescent="0.15">
      <c r="V167" s="576" t="s">
        <v>56</v>
      </c>
      <c r="W167" s="577">
        <v>2050</v>
      </c>
      <c r="X167" s="578">
        <f t="shared" si="202"/>
        <v>2050</v>
      </c>
      <c r="Y167" s="578">
        <f t="shared" si="202"/>
        <v>2050</v>
      </c>
      <c r="Z167" s="579">
        <v>1</v>
      </c>
      <c r="AA167" s="581" t="s">
        <v>104</v>
      </c>
    </row>
    <row r="168" spans="22:28" x14ac:dyDescent="0.15">
      <c r="V168" s="576" t="s">
        <v>57</v>
      </c>
      <c r="W168" s="577">
        <v>2070</v>
      </c>
      <c r="X168" s="578">
        <f t="shared" si="202"/>
        <v>2070</v>
      </c>
      <c r="Y168" s="578">
        <f t="shared" si="202"/>
        <v>2070</v>
      </c>
      <c r="Z168" s="579">
        <v>1</v>
      </c>
      <c r="AA168" s="581" t="s">
        <v>104</v>
      </c>
    </row>
    <row r="169" spans="22:28" x14ac:dyDescent="0.15">
      <c r="V169" s="576" t="s">
        <v>58</v>
      </c>
      <c r="W169" s="577">
        <v>2030</v>
      </c>
      <c r="X169" s="578">
        <f t="shared" si="202"/>
        <v>2030</v>
      </c>
      <c r="Y169" s="578">
        <f t="shared" si="202"/>
        <v>2030</v>
      </c>
      <c r="Z169" s="579">
        <v>1</v>
      </c>
      <c r="AA169" s="581" t="s">
        <v>104</v>
      </c>
    </row>
    <row r="170" spans="22:28" x14ac:dyDescent="0.15">
      <c r="V170" s="576" t="s">
        <v>114</v>
      </c>
      <c r="W170" s="577">
        <v>2015</v>
      </c>
      <c r="X170" s="578">
        <f t="shared" si="202"/>
        <v>2015</v>
      </c>
      <c r="Y170" s="578">
        <f t="shared" si="202"/>
        <v>2015</v>
      </c>
      <c r="Z170" s="579">
        <v>1</v>
      </c>
      <c r="AA170" s="581" t="s">
        <v>104</v>
      </c>
    </row>
    <row r="171" spans="22:28" x14ac:dyDescent="0.15">
      <c r="V171" s="582" t="s">
        <v>32</v>
      </c>
      <c r="W171" s="583">
        <v>2040</v>
      </c>
      <c r="X171" s="584">
        <f t="shared" si="202"/>
        <v>2040</v>
      </c>
      <c r="Y171" s="584">
        <f t="shared" si="202"/>
        <v>2040</v>
      </c>
      <c r="Z171" s="585">
        <v>1</v>
      </c>
      <c r="AA171" s="586" t="s">
        <v>104</v>
      </c>
    </row>
    <row r="172" spans="22:28" x14ac:dyDescent="0.15">
      <c r="X172" s="359"/>
      <c r="Y172" s="359"/>
      <c r="Z172" s="359"/>
      <c r="AA172" s="359"/>
      <c r="AB172" s="359"/>
    </row>
    <row r="173" spans="22:28" x14ac:dyDescent="0.15">
      <c r="V173" s="171" t="s">
        <v>926</v>
      </c>
    </row>
    <row r="174" spans="22:28" x14ac:dyDescent="0.15">
      <c r="V174" s="171" t="s">
        <v>922</v>
      </c>
      <c r="Y174" s="360">
        <v>2005</v>
      </c>
    </row>
    <row r="175" spans="22:28" x14ac:dyDescent="0.15">
      <c r="V175" s="171" t="s">
        <v>927</v>
      </c>
    </row>
    <row r="183" spans="22:24" x14ac:dyDescent="0.15">
      <c r="V183" t="s">
        <v>928</v>
      </c>
    </row>
    <row r="184" spans="22:24" x14ac:dyDescent="0.15">
      <c r="V184" t="s">
        <v>929</v>
      </c>
    </row>
    <row r="185" spans="22:24" x14ac:dyDescent="0.15">
      <c r="V185" t="s">
        <v>930</v>
      </c>
    </row>
    <row r="186" spans="22:24" x14ac:dyDescent="0.15">
      <c r="V186" t="s">
        <v>931</v>
      </c>
    </row>
    <row r="187" spans="22:24" x14ac:dyDescent="0.15">
      <c r="V187" t="s">
        <v>932</v>
      </c>
    </row>
    <row r="188" spans="22:24" x14ac:dyDescent="0.15">
      <c r="X188" s="1" t="s">
        <v>933</v>
      </c>
    </row>
    <row r="189" spans="22:24" x14ac:dyDescent="0.15">
      <c r="V189" s="1" t="s">
        <v>934</v>
      </c>
      <c r="W189">
        <v>0.84499999999999997</v>
      </c>
    </row>
    <row r="190" spans="22:24" x14ac:dyDescent="0.15">
      <c r="V190" s="1" t="s">
        <v>935</v>
      </c>
      <c r="W190">
        <v>2012</v>
      </c>
      <c r="X190">
        <v>0.03</v>
      </c>
    </row>
    <row r="191" spans="22:24" x14ac:dyDescent="0.15">
      <c r="W191">
        <v>2015</v>
      </c>
      <c r="X191">
        <f>+X190+(X192-X190)*(3/8)</f>
        <v>8.2500000000000004E-2</v>
      </c>
    </row>
    <row r="192" spans="22:24" x14ac:dyDescent="0.15">
      <c r="W192">
        <v>2020</v>
      </c>
      <c r="X192">
        <v>0.17</v>
      </c>
    </row>
    <row r="193" spans="1:70" x14ac:dyDescent="0.15">
      <c r="W193">
        <v>2025</v>
      </c>
      <c r="X193">
        <f>+X192+(X194-X192)*0.5</f>
        <v>0.29499999999999998</v>
      </c>
    </row>
    <row r="194" spans="1:70" x14ac:dyDescent="0.15">
      <c r="W194">
        <v>2030</v>
      </c>
      <c r="X194">
        <v>0.42</v>
      </c>
    </row>
    <row r="195" spans="1:70" x14ac:dyDescent="0.15">
      <c r="W195">
        <v>2035</v>
      </c>
      <c r="X195">
        <f>+X194+0.25*(X$198-X$194)</f>
        <v>0.52249999999999996</v>
      </c>
    </row>
    <row r="196" spans="1:70" x14ac:dyDescent="0.15">
      <c r="W196">
        <v>2040</v>
      </c>
      <c r="X196">
        <f>+X195+0.25*(X$198-X$194)</f>
        <v>0.625</v>
      </c>
    </row>
    <row r="197" spans="1:70" x14ac:dyDescent="0.15">
      <c r="W197">
        <v>2045</v>
      </c>
      <c r="X197">
        <f>+X196+0.25*(X$198-X$194)</f>
        <v>0.72750000000000004</v>
      </c>
    </row>
    <row r="198" spans="1:70" x14ac:dyDescent="0.15">
      <c r="W198">
        <v>2050</v>
      </c>
      <c r="X198">
        <v>0.83</v>
      </c>
    </row>
    <row r="201" spans="1:70" x14ac:dyDescent="0.15">
      <c r="A201" s="1" t="s">
        <v>936</v>
      </c>
    </row>
    <row r="202" spans="1:70" x14ac:dyDescent="0.15">
      <c r="A202" s="1" t="s">
        <v>937</v>
      </c>
    </row>
    <row r="203" spans="1:70" x14ac:dyDescent="0.15">
      <c r="A203">
        <v>0.9</v>
      </c>
    </row>
    <row r="204" spans="1:70" x14ac:dyDescent="0.15">
      <c r="A204" s="1" t="s">
        <v>938</v>
      </c>
      <c r="BR204" s="655">
        <f>+US!BE40</f>
        <v>0</v>
      </c>
    </row>
    <row r="205" spans="1:70" x14ac:dyDescent="0.15">
      <c r="A205">
        <v>0.01</v>
      </c>
      <c r="BR205" s="655">
        <f>+EU!BE40</f>
        <v>5.3829734675184555E-3</v>
      </c>
    </row>
    <row r="206" spans="1:70" x14ac:dyDescent="0.15">
      <c r="BR206" s="655">
        <f>+Japan!BE40</f>
        <v>5.8346703082390611E-3</v>
      </c>
    </row>
    <row r="207" spans="1:70" x14ac:dyDescent="0.15">
      <c r="BR207" s="655">
        <f>+Russia!BE40</f>
        <v>1.2980338133364916E-2</v>
      </c>
    </row>
    <row r="208" spans="1:70" ht="18" x14ac:dyDescent="0.2">
      <c r="A208" s="328" t="s">
        <v>939</v>
      </c>
      <c r="BR208" s="655">
        <f>+Eurasia!BE40</f>
        <v>8.0478764517478447E-3</v>
      </c>
    </row>
    <row r="209" spans="1:81" x14ac:dyDescent="0.15">
      <c r="A209" s="347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55">
        <f>+China!BE40</f>
        <v>8.3073460624753029E-3</v>
      </c>
    </row>
    <row r="210" spans="1:81" x14ac:dyDescent="0.15">
      <c r="A210" s="347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55">
        <f>+India!BE40</f>
        <v>7.0359970395491274E-3</v>
      </c>
    </row>
    <row r="211" spans="1:81" x14ac:dyDescent="0.15">
      <c r="A211" s="347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55">
        <f>+MidEast!BE40</f>
        <v>9.3415734600783909E-3</v>
      </c>
    </row>
    <row r="212" spans="1:81" x14ac:dyDescent="0.15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55">
        <f>+Africa!BE40</f>
        <v>4.4303199266934896E-3</v>
      </c>
    </row>
    <row r="213" spans="1:81" x14ac:dyDescent="0.15">
      <c r="A213" s="1"/>
      <c r="BR213" s="655">
        <f>+LatAm!BE40</f>
        <v>6.3453531516674024E-3</v>
      </c>
    </row>
    <row r="214" spans="1:81" x14ac:dyDescent="0.15">
      <c r="A214" s="1"/>
      <c r="BR214" s="655">
        <f>+OHI!BE40</f>
        <v>6.7931516272668625E-3</v>
      </c>
    </row>
    <row r="215" spans="1:81" x14ac:dyDescent="0.15">
      <c r="A215" s="1"/>
      <c r="BR215" s="655">
        <f>+OthAsia!BE40</f>
        <v>8.8692090482092052E-3</v>
      </c>
    </row>
    <row r="216" spans="1:81" x14ac:dyDescent="0.15">
      <c r="A216" s="1"/>
    </row>
    <row r="217" spans="1:81" x14ac:dyDescent="0.15">
      <c r="A217" s="1"/>
    </row>
    <row r="218" spans="1:81" x14ac:dyDescent="0.15">
      <c r="A218" s="1"/>
    </row>
    <row r="219" spans="1:81" x14ac:dyDescent="0.15">
      <c r="A219" s="347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 x14ac:dyDescent="0.15">
      <c r="A220" s="1"/>
    </row>
    <row r="223" spans="1:81" x14ac:dyDescent="0.15">
      <c r="A223" s="1" t="s">
        <v>828</v>
      </c>
      <c r="V223" s="175">
        <f>+US!B4</f>
        <v>1990</v>
      </c>
      <c r="W223" s="175">
        <f>+US!C4</f>
        <v>1991</v>
      </c>
      <c r="X223" s="175">
        <f>+US!D4</f>
        <v>1992</v>
      </c>
      <c r="Y223" s="175">
        <f>+US!E4</f>
        <v>1993</v>
      </c>
      <c r="Z223" s="175">
        <f>+US!F4</f>
        <v>1994</v>
      </c>
      <c r="AA223" s="175">
        <f>+US!G4</f>
        <v>1995</v>
      </c>
      <c r="AB223" s="175">
        <f>+US!H4</f>
        <v>1996</v>
      </c>
      <c r="AC223" s="175">
        <f>+US!I4</f>
        <v>1997</v>
      </c>
      <c r="AD223" s="175">
        <f>+US!J4</f>
        <v>1998</v>
      </c>
      <c r="AE223" s="175">
        <f>+US!K4</f>
        <v>1999</v>
      </c>
      <c r="AF223" s="175">
        <f>+US!L4</f>
        <v>2000</v>
      </c>
      <c r="AG223" s="175">
        <f>+US!M4</f>
        <v>2001</v>
      </c>
      <c r="AH223" s="175">
        <f>+US!N4</f>
        <v>2002</v>
      </c>
      <c r="AI223" s="175">
        <f>+US!O4</f>
        <v>2003</v>
      </c>
      <c r="AJ223" s="175">
        <f>+US!P4</f>
        <v>2004</v>
      </c>
      <c r="AK223" s="175">
        <f>+US!Q4</f>
        <v>2005</v>
      </c>
      <c r="AL223" s="175">
        <f>+US!R4</f>
        <v>2006</v>
      </c>
      <c r="AM223" s="175">
        <f>+US!S4</f>
        <v>2007</v>
      </c>
      <c r="AN223" s="175">
        <f>+US!T4</f>
        <v>2008</v>
      </c>
      <c r="AO223" s="175">
        <f>+US!U4</f>
        <v>2009</v>
      </c>
      <c r="AP223" s="175">
        <f>+US!V4</f>
        <v>2010</v>
      </c>
      <c r="AQ223" s="175">
        <f>+US!W4</f>
        <v>2011</v>
      </c>
      <c r="AR223" s="175">
        <f>+US!X4</f>
        <v>2012</v>
      </c>
      <c r="AS223" s="175">
        <f>+US!Y4</f>
        <v>2013</v>
      </c>
      <c r="AT223" s="175">
        <f>+US!Z4</f>
        <v>2014</v>
      </c>
      <c r="AU223" s="175">
        <f>+US!AA4</f>
        <v>2015</v>
      </c>
      <c r="AV223" s="175">
        <f>+US!AB4</f>
        <v>2016</v>
      </c>
      <c r="AW223" s="175">
        <f>+US!AC4</f>
        <v>2017</v>
      </c>
      <c r="AX223" s="175">
        <f>+US!AD4</f>
        <v>2018</v>
      </c>
      <c r="AY223" s="175">
        <f>+US!AE4</f>
        <v>2019</v>
      </c>
      <c r="AZ223" s="175">
        <f>+US!AF4</f>
        <v>2020</v>
      </c>
      <c r="BA223" s="175">
        <f>+US!AG4</f>
        <v>2021</v>
      </c>
      <c r="BB223" s="175">
        <f>+US!AH4</f>
        <v>2022</v>
      </c>
      <c r="BC223" s="175">
        <f>+US!AI4</f>
        <v>0</v>
      </c>
      <c r="BD223" s="175">
        <f>+US!AJ4</f>
        <v>0</v>
      </c>
      <c r="BE223" s="175">
        <f>+US!AK4</f>
        <v>0</v>
      </c>
      <c r="BF223" s="175">
        <f>+US!AL4</f>
        <v>0</v>
      </c>
      <c r="BG223" s="175">
        <f>+US!AM4</f>
        <v>0</v>
      </c>
      <c r="BH223" s="175">
        <f>+US!AN4</f>
        <v>0</v>
      </c>
      <c r="BI223" s="175">
        <f>+US!AO4</f>
        <v>0</v>
      </c>
      <c r="BJ223" s="175">
        <f>+US!AP4</f>
        <v>0</v>
      </c>
      <c r="BK223" s="175">
        <f>+US!AQ4</f>
        <v>0</v>
      </c>
      <c r="BL223" s="175">
        <f>+US!AR4</f>
        <v>0</v>
      </c>
      <c r="BM223" s="175">
        <f>+US!AS4</f>
        <v>0</v>
      </c>
      <c r="BN223" s="175">
        <f>+US!AT4</f>
        <v>0</v>
      </c>
      <c r="BO223" s="175">
        <f>+US!AU4</f>
        <v>0</v>
      </c>
      <c r="BP223" s="175">
        <f>+US!AV4</f>
        <v>0</v>
      </c>
      <c r="BQ223" s="175">
        <f>+US!AW4</f>
        <v>0</v>
      </c>
      <c r="BR223" s="175">
        <f>+US!AX4</f>
        <v>0</v>
      </c>
      <c r="BS223" s="175">
        <f>+US!AY4</f>
        <v>0</v>
      </c>
      <c r="BT223" s="175">
        <f>+US!AZ4</f>
        <v>0</v>
      </c>
      <c r="BU223" s="175">
        <f>+US!BA4</f>
        <v>0</v>
      </c>
      <c r="BV223" s="175">
        <f>+US!BB4</f>
        <v>0</v>
      </c>
      <c r="BW223" s="175">
        <f>+US!BC4</f>
        <v>0</v>
      </c>
      <c r="BX223" s="175">
        <f>+US!BD4</f>
        <v>0</v>
      </c>
      <c r="BY223" s="175">
        <f>+US!BE4</f>
        <v>0</v>
      </c>
      <c r="BZ223" s="175">
        <f>+US!BF4</f>
        <v>0</v>
      </c>
      <c r="CA223" s="175">
        <f>+US!BG4</f>
        <v>0</v>
      </c>
      <c r="CB223" s="175">
        <f>+US!BH4</f>
        <v>0</v>
      </c>
      <c r="CC223" s="175">
        <f>+US!BI4</f>
        <v>0</v>
      </c>
    </row>
    <row r="224" spans="1:81" x14ac:dyDescent="0.15">
      <c r="A224" s="347" t="s">
        <v>104</v>
      </c>
      <c r="V224" s="324">
        <f>+R70</f>
        <v>0</v>
      </c>
      <c r="W224" s="324">
        <f>+X70</f>
        <v>1</v>
      </c>
      <c r="X224" s="324">
        <f>+Z70</f>
        <v>1</v>
      </c>
      <c r="Y224" s="324">
        <f>+AB70</f>
        <v>1</v>
      </c>
      <c r="Z224" s="324">
        <f>+AD70</f>
        <v>1</v>
      </c>
      <c r="AA224" s="324">
        <f>+AF70</f>
        <v>1</v>
      </c>
      <c r="AB224" s="324">
        <f>+AH70</f>
        <v>1</v>
      </c>
      <c r="AC224" s="409">
        <f>+AJ70</f>
        <v>1</v>
      </c>
      <c r="AD224" s="409">
        <f>+AL70</f>
        <v>1</v>
      </c>
      <c r="AE224" s="409">
        <f>+AN70</f>
        <v>1</v>
      </c>
      <c r="AF224" s="409">
        <f>+AP70</f>
        <v>1</v>
      </c>
      <c r="AG224" s="409">
        <f>+AR70</f>
        <v>1</v>
      </c>
      <c r="AH224" s="409">
        <f>+AT70</f>
        <v>1</v>
      </c>
      <c r="AI224" s="409">
        <f>+AV70</f>
        <v>1</v>
      </c>
      <c r="AJ224" s="409">
        <f>+AX70</f>
        <v>1</v>
      </c>
      <c r="AK224" s="409">
        <f>+AZ70</f>
        <v>1</v>
      </c>
      <c r="AL224" s="409">
        <f>+BB70</f>
        <v>1</v>
      </c>
      <c r="AM224" s="409">
        <f>+BD70</f>
        <v>1</v>
      </c>
      <c r="AN224" s="409">
        <f>+BF70</f>
        <v>1</v>
      </c>
      <c r="AO224" s="409">
        <f>+BH70</f>
        <v>1</v>
      </c>
      <c r="AP224" s="324">
        <f>+AO224</f>
        <v>1</v>
      </c>
      <c r="AQ224" s="324">
        <f>+AP224</f>
        <v>1</v>
      </c>
      <c r="AR224" s="324">
        <f t="shared" ref="AR224:CC234" si="206">+AQ224</f>
        <v>1</v>
      </c>
      <c r="AS224" s="324">
        <f t="shared" si="206"/>
        <v>1</v>
      </c>
      <c r="AT224" s="324">
        <f t="shared" si="206"/>
        <v>1</v>
      </c>
      <c r="AU224" s="324">
        <f t="shared" si="206"/>
        <v>1</v>
      </c>
      <c r="AV224" s="324">
        <f t="shared" si="206"/>
        <v>1</v>
      </c>
      <c r="AW224" s="324">
        <f t="shared" si="206"/>
        <v>1</v>
      </c>
      <c r="AX224" s="324">
        <f t="shared" si="206"/>
        <v>1</v>
      </c>
      <c r="AY224" s="324">
        <f t="shared" si="206"/>
        <v>1</v>
      </c>
      <c r="AZ224" s="324">
        <f t="shared" si="206"/>
        <v>1</v>
      </c>
      <c r="BA224" s="324">
        <f t="shared" si="206"/>
        <v>1</v>
      </c>
      <c r="BB224" s="324">
        <f t="shared" si="206"/>
        <v>1</v>
      </c>
      <c r="BC224" s="324">
        <f t="shared" si="206"/>
        <v>1</v>
      </c>
      <c r="BD224" s="324">
        <f t="shared" si="206"/>
        <v>1</v>
      </c>
      <c r="BE224" s="324">
        <f t="shared" si="206"/>
        <v>1</v>
      </c>
      <c r="BF224" s="324">
        <f t="shared" si="206"/>
        <v>1</v>
      </c>
      <c r="BG224" s="324">
        <f t="shared" si="206"/>
        <v>1</v>
      </c>
      <c r="BH224" s="324">
        <f t="shared" si="206"/>
        <v>1</v>
      </c>
      <c r="BI224" s="324">
        <f t="shared" si="206"/>
        <v>1</v>
      </c>
      <c r="BJ224" s="324">
        <f t="shared" si="206"/>
        <v>1</v>
      </c>
      <c r="BK224" s="324">
        <f t="shared" si="206"/>
        <v>1</v>
      </c>
      <c r="BL224" s="324">
        <f t="shared" si="206"/>
        <v>1</v>
      </c>
      <c r="BM224" s="324">
        <f t="shared" si="206"/>
        <v>1</v>
      </c>
      <c r="BN224" s="324">
        <f t="shared" si="206"/>
        <v>1</v>
      </c>
      <c r="BO224" s="324">
        <f t="shared" si="206"/>
        <v>1</v>
      </c>
      <c r="BP224" s="324">
        <f t="shared" si="206"/>
        <v>1</v>
      </c>
      <c r="BQ224" s="324">
        <f t="shared" si="206"/>
        <v>1</v>
      </c>
      <c r="BR224" s="324">
        <f t="shared" si="206"/>
        <v>1</v>
      </c>
      <c r="BS224" s="324">
        <f t="shared" si="206"/>
        <v>1</v>
      </c>
      <c r="BT224" s="324">
        <f t="shared" si="206"/>
        <v>1</v>
      </c>
      <c r="BU224" s="324">
        <f t="shared" si="206"/>
        <v>1</v>
      </c>
      <c r="BV224" s="324">
        <f t="shared" si="206"/>
        <v>1</v>
      </c>
      <c r="BW224" s="324">
        <f t="shared" si="206"/>
        <v>1</v>
      </c>
      <c r="BX224" s="324">
        <f t="shared" si="206"/>
        <v>1</v>
      </c>
      <c r="BY224" s="324">
        <f t="shared" si="206"/>
        <v>1</v>
      </c>
      <c r="BZ224" s="324">
        <f t="shared" si="206"/>
        <v>1</v>
      </c>
      <c r="CA224" s="324">
        <f t="shared" si="206"/>
        <v>1</v>
      </c>
      <c r="CB224" s="324">
        <f t="shared" si="206"/>
        <v>1</v>
      </c>
      <c r="CC224" s="324">
        <f t="shared" si="206"/>
        <v>1</v>
      </c>
    </row>
    <row r="225" spans="1:81" x14ac:dyDescent="0.15">
      <c r="A225" s="347" t="s">
        <v>105</v>
      </c>
      <c r="V225" s="324">
        <f t="shared" ref="V225:V235" si="207">+R71</f>
        <v>0</v>
      </c>
      <c r="W225" s="324">
        <f t="shared" ref="W225:W235" si="208">+X71</f>
        <v>1</v>
      </c>
      <c r="X225" s="324">
        <f t="shared" ref="X225:X235" si="209">+Z71</f>
        <v>1</v>
      </c>
      <c r="Y225" s="324">
        <f t="shared" ref="Y225:Y235" si="210">+AB71</f>
        <v>1</v>
      </c>
      <c r="Z225" s="324">
        <f t="shared" ref="Z225:Z235" si="211">+AD71</f>
        <v>1</v>
      </c>
      <c r="AA225" s="324">
        <f t="shared" ref="AA225:AA235" si="212">+AF71</f>
        <v>1</v>
      </c>
      <c r="AB225" s="324">
        <f t="shared" ref="AB225:AB235" si="213">+AH71</f>
        <v>1</v>
      </c>
      <c r="AC225" s="409">
        <f t="shared" ref="AC225:AC235" si="214">+AJ71</f>
        <v>1</v>
      </c>
      <c r="AD225" s="409">
        <f t="shared" ref="AD225:AD235" si="215">+AL71</f>
        <v>1</v>
      </c>
      <c r="AE225" s="409">
        <f t="shared" ref="AE225:AE235" si="216">+AN71</f>
        <v>1</v>
      </c>
      <c r="AF225" s="409">
        <f t="shared" ref="AF225:AF235" si="217">+AP71</f>
        <v>1</v>
      </c>
      <c r="AG225" s="409">
        <f t="shared" ref="AG225:AG235" si="218">+AR71</f>
        <v>1</v>
      </c>
      <c r="AH225" s="409">
        <f t="shared" ref="AH225:AH235" si="219">+AT71</f>
        <v>1</v>
      </c>
      <c r="AI225" s="409">
        <f t="shared" ref="AI225:AI235" si="220">+AV71</f>
        <v>1</v>
      </c>
      <c r="AJ225" s="409">
        <f t="shared" ref="AJ225:AJ235" si="221">+AX71</f>
        <v>1</v>
      </c>
      <c r="AK225" s="409">
        <f t="shared" ref="AK225:AK235" si="222">+AZ71</f>
        <v>1</v>
      </c>
      <c r="AL225" s="409">
        <f t="shared" ref="AL225:AL235" si="223">+BB71</f>
        <v>1</v>
      </c>
      <c r="AM225" s="409">
        <f t="shared" ref="AM225:AM235" si="224">+BD71</f>
        <v>1</v>
      </c>
      <c r="AN225" s="409">
        <f t="shared" ref="AN225:AN235" si="225">+BF71</f>
        <v>1</v>
      </c>
      <c r="AO225" s="409">
        <f t="shared" ref="AO225:AO235" si="226">+BH71</f>
        <v>1</v>
      </c>
      <c r="AP225" s="324">
        <f t="shared" ref="AP225:BE235" si="227">+AO225</f>
        <v>1</v>
      </c>
      <c r="AQ225" s="324">
        <f t="shared" si="227"/>
        <v>1</v>
      </c>
      <c r="AR225" s="324">
        <f t="shared" si="227"/>
        <v>1</v>
      </c>
      <c r="AS225" s="324">
        <f t="shared" si="227"/>
        <v>1</v>
      </c>
      <c r="AT225" s="324">
        <f t="shared" si="227"/>
        <v>1</v>
      </c>
      <c r="AU225" s="324">
        <f t="shared" si="227"/>
        <v>1</v>
      </c>
      <c r="AV225" s="324">
        <f t="shared" si="227"/>
        <v>1</v>
      </c>
      <c r="AW225" s="324">
        <f t="shared" si="227"/>
        <v>1</v>
      </c>
      <c r="AX225" s="324">
        <f t="shared" si="227"/>
        <v>1</v>
      </c>
      <c r="AY225" s="324">
        <f t="shared" si="227"/>
        <v>1</v>
      </c>
      <c r="AZ225" s="324">
        <f t="shared" si="227"/>
        <v>1</v>
      </c>
      <c r="BA225" s="324">
        <f t="shared" si="227"/>
        <v>1</v>
      </c>
      <c r="BB225" s="324">
        <f t="shared" si="227"/>
        <v>1</v>
      </c>
      <c r="BC225" s="324">
        <f t="shared" si="227"/>
        <v>1</v>
      </c>
      <c r="BD225" s="324">
        <f t="shared" si="227"/>
        <v>1</v>
      </c>
      <c r="BE225" s="324">
        <f t="shared" si="227"/>
        <v>1</v>
      </c>
      <c r="BF225" s="324">
        <f t="shared" si="206"/>
        <v>1</v>
      </c>
      <c r="BG225" s="324">
        <f t="shared" si="206"/>
        <v>1</v>
      </c>
      <c r="BH225" s="324">
        <f t="shared" si="206"/>
        <v>1</v>
      </c>
      <c r="BI225" s="324">
        <f t="shared" si="206"/>
        <v>1</v>
      </c>
      <c r="BJ225" s="324">
        <f t="shared" si="206"/>
        <v>1</v>
      </c>
      <c r="BK225" s="324">
        <f t="shared" si="206"/>
        <v>1</v>
      </c>
      <c r="BL225" s="324">
        <f t="shared" si="206"/>
        <v>1</v>
      </c>
      <c r="BM225" s="324">
        <f t="shared" si="206"/>
        <v>1</v>
      </c>
      <c r="BN225" s="324">
        <f t="shared" si="206"/>
        <v>1</v>
      </c>
      <c r="BO225" s="324">
        <f t="shared" si="206"/>
        <v>1</v>
      </c>
      <c r="BP225" s="324">
        <f t="shared" si="206"/>
        <v>1</v>
      </c>
      <c r="BQ225" s="324">
        <f t="shared" si="206"/>
        <v>1</v>
      </c>
      <c r="BR225" s="324">
        <f t="shared" si="206"/>
        <v>1</v>
      </c>
      <c r="BS225" s="324">
        <f t="shared" si="206"/>
        <v>1</v>
      </c>
      <c r="BT225" s="324">
        <f t="shared" si="206"/>
        <v>1</v>
      </c>
      <c r="BU225" s="324">
        <f t="shared" si="206"/>
        <v>1</v>
      </c>
      <c r="BV225" s="324">
        <f t="shared" si="206"/>
        <v>1</v>
      </c>
      <c r="BW225" s="324">
        <f t="shared" si="206"/>
        <v>1</v>
      </c>
      <c r="BX225" s="324">
        <f t="shared" si="206"/>
        <v>1</v>
      </c>
      <c r="BY225" s="324">
        <f t="shared" si="206"/>
        <v>1</v>
      </c>
      <c r="BZ225" s="324">
        <f t="shared" si="206"/>
        <v>1</v>
      </c>
      <c r="CA225" s="324">
        <f t="shared" si="206"/>
        <v>1</v>
      </c>
      <c r="CB225" s="324">
        <f t="shared" si="206"/>
        <v>1</v>
      </c>
      <c r="CC225" s="324">
        <f t="shared" si="206"/>
        <v>1</v>
      </c>
    </row>
    <row r="226" spans="1:81" x14ac:dyDescent="0.15">
      <c r="A226" s="347" t="s">
        <v>51</v>
      </c>
      <c r="V226" s="324">
        <f t="shared" si="207"/>
        <v>0</v>
      </c>
      <c r="W226" s="324">
        <f t="shared" si="208"/>
        <v>1</v>
      </c>
      <c r="X226" s="324">
        <f t="shared" si="209"/>
        <v>1</v>
      </c>
      <c r="Y226" s="324">
        <f t="shared" si="210"/>
        <v>1</v>
      </c>
      <c r="Z226" s="324">
        <f t="shared" si="211"/>
        <v>1</v>
      </c>
      <c r="AA226" s="324">
        <f t="shared" si="212"/>
        <v>1</v>
      </c>
      <c r="AB226" s="324">
        <f t="shared" si="213"/>
        <v>1</v>
      </c>
      <c r="AC226" s="409">
        <f t="shared" si="214"/>
        <v>1</v>
      </c>
      <c r="AD226" s="409">
        <f t="shared" si="215"/>
        <v>1</v>
      </c>
      <c r="AE226" s="409">
        <f t="shared" si="216"/>
        <v>1</v>
      </c>
      <c r="AF226" s="409">
        <f t="shared" si="217"/>
        <v>1</v>
      </c>
      <c r="AG226" s="409">
        <f t="shared" si="218"/>
        <v>1</v>
      </c>
      <c r="AH226" s="409">
        <f t="shared" si="219"/>
        <v>1</v>
      </c>
      <c r="AI226" s="409">
        <f t="shared" si="220"/>
        <v>1</v>
      </c>
      <c r="AJ226" s="409">
        <f t="shared" si="221"/>
        <v>1</v>
      </c>
      <c r="AK226" s="409">
        <f t="shared" si="222"/>
        <v>1</v>
      </c>
      <c r="AL226" s="409">
        <f t="shared" si="223"/>
        <v>1</v>
      </c>
      <c r="AM226" s="409">
        <f t="shared" si="224"/>
        <v>1</v>
      </c>
      <c r="AN226" s="409">
        <f t="shared" si="225"/>
        <v>1</v>
      </c>
      <c r="AO226" s="409">
        <f t="shared" si="226"/>
        <v>1</v>
      </c>
      <c r="AP226" s="324">
        <f t="shared" si="227"/>
        <v>1</v>
      </c>
      <c r="AQ226" s="324">
        <f t="shared" si="227"/>
        <v>1</v>
      </c>
      <c r="AR226" s="324">
        <f t="shared" si="227"/>
        <v>1</v>
      </c>
      <c r="AS226" s="324">
        <f t="shared" si="227"/>
        <v>1</v>
      </c>
      <c r="AT226" s="324">
        <f t="shared" si="227"/>
        <v>1</v>
      </c>
      <c r="AU226" s="324">
        <f t="shared" si="227"/>
        <v>1</v>
      </c>
      <c r="AV226" s="324">
        <f t="shared" si="227"/>
        <v>1</v>
      </c>
      <c r="AW226" s="324">
        <f t="shared" si="227"/>
        <v>1</v>
      </c>
      <c r="AX226" s="324">
        <f t="shared" si="227"/>
        <v>1</v>
      </c>
      <c r="AY226" s="324">
        <f t="shared" si="227"/>
        <v>1</v>
      </c>
      <c r="AZ226" s="324">
        <f t="shared" si="227"/>
        <v>1</v>
      </c>
      <c r="BA226" s="324">
        <f t="shared" si="227"/>
        <v>1</v>
      </c>
      <c r="BB226" s="324">
        <f t="shared" si="227"/>
        <v>1</v>
      </c>
      <c r="BC226" s="324">
        <f t="shared" si="227"/>
        <v>1</v>
      </c>
      <c r="BD226" s="324">
        <f t="shared" si="227"/>
        <v>1</v>
      </c>
      <c r="BE226" s="324">
        <f t="shared" si="227"/>
        <v>1</v>
      </c>
      <c r="BF226" s="324">
        <f t="shared" si="206"/>
        <v>1</v>
      </c>
      <c r="BG226" s="324">
        <f t="shared" si="206"/>
        <v>1</v>
      </c>
      <c r="BH226" s="324">
        <f t="shared" si="206"/>
        <v>1</v>
      </c>
      <c r="BI226" s="324">
        <f t="shared" si="206"/>
        <v>1</v>
      </c>
      <c r="BJ226" s="324">
        <f t="shared" si="206"/>
        <v>1</v>
      </c>
      <c r="BK226" s="324">
        <f t="shared" si="206"/>
        <v>1</v>
      </c>
      <c r="BL226" s="324">
        <f t="shared" si="206"/>
        <v>1</v>
      </c>
      <c r="BM226" s="324">
        <f t="shared" si="206"/>
        <v>1</v>
      </c>
      <c r="BN226" s="324">
        <f t="shared" si="206"/>
        <v>1</v>
      </c>
      <c r="BO226" s="324">
        <f t="shared" si="206"/>
        <v>1</v>
      </c>
      <c r="BP226" s="324">
        <f t="shared" si="206"/>
        <v>1</v>
      </c>
      <c r="BQ226" s="324">
        <f t="shared" si="206"/>
        <v>1</v>
      </c>
      <c r="BR226" s="324">
        <f t="shared" si="206"/>
        <v>1</v>
      </c>
      <c r="BS226" s="324">
        <f t="shared" si="206"/>
        <v>1</v>
      </c>
      <c r="BT226" s="324">
        <f t="shared" si="206"/>
        <v>1</v>
      </c>
      <c r="BU226" s="324">
        <f t="shared" si="206"/>
        <v>1</v>
      </c>
      <c r="BV226" s="324">
        <f t="shared" si="206"/>
        <v>1</v>
      </c>
      <c r="BW226" s="324">
        <f t="shared" si="206"/>
        <v>1</v>
      </c>
      <c r="BX226" s="324">
        <f t="shared" si="206"/>
        <v>1</v>
      </c>
      <c r="BY226" s="324">
        <f t="shared" si="206"/>
        <v>1</v>
      </c>
      <c r="BZ226" s="324">
        <f t="shared" si="206"/>
        <v>1</v>
      </c>
      <c r="CA226" s="324">
        <f t="shared" si="206"/>
        <v>1</v>
      </c>
      <c r="CB226" s="324">
        <f t="shared" si="206"/>
        <v>1</v>
      </c>
      <c r="CC226" s="324">
        <f t="shared" si="206"/>
        <v>1</v>
      </c>
    </row>
    <row r="227" spans="1:81" x14ac:dyDescent="0.15">
      <c r="A227" s="1" t="s">
        <v>52</v>
      </c>
      <c r="V227" s="324">
        <f t="shared" si="207"/>
        <v>0</v>
      </c>
      <c r="W227" s="324">
        <f t="shared" si="208"/>
        <v>1</v>
      </c>
      <c r="X227" s="324">
        <f t="shared" si="209"/>
        <v>1</v>
      </c>
      <c r="Y227" s="324">
        <f t="shared" si="210"/>
        <v>1</v>
      </c>
      <c r="Z227" s="324">
        <f t="shared" si="211"/>
        <v>1</v>
      </c>
      <c r="AA227" s="324">
        <f t="shared" si="212"/>
        <v>1</v>
      </c>
      <c r="AB227" s="324">
        <f t="shared" si="213"/>
        <v>1</v>
      </c>
      <c r="AC227" s="409">
        <f t="shared" si="214"/>
        <v>1</v>
      </c>
      <c r="AD227" s="409">
        <f t="shared" si="215"/>
        <v>1</v>
      </c>
      <c r="AE227" s="409">
        <f t="shared" si="216"/>
        <v>1</v>
      </c>
      <c r="AF227" s="409">
        <f t="shared" si="217"/>
        <v>1</v>
      </c>
      <c r="AG227" s="409">
        <f t="shared" si="218"/>
        <v>1</v>
      </c>
      <c r="AH227" s="409">
        <f t="shared" si="219"/>
        <v>1</v>
      </c>
      <c r="AI227" s="409">
        <f t="shared" si="220"/>
        <v>1</v>
      </c>
      <c r="AJ227" s="409">
        <f t="shared" si="221"/>
        <v>1</v>
      </c>
      <c r="AK227" s="409">
        <f t="shared" si="222"/>
        <v>1</v>
      </c>
      <c r="AL227" s="409">
        <f t="shared" si="223"/>
        <v>1</v>
      </c>
      <c r="AM227" s="409">
        <f t="shared" si="224"/>
        <v>1</v>
      </c>
      <c r="AN227" s="409">
        <f t="shared" si="225"/>
        <v>1</v>
      </c>
      <c r="AO227" s="409">
        <f t="shared" si="226"/>
        <v>1</v>
      </c>
      <c r="AP227" s="324">
        <f t="shared" si="227"/>
        <v>1</v>
      </c>
      <c r="AQ227" s="324">
        <f t="shared" si="227"/>
        <v>1</v>
      </c>
      <c r="AR227" s="324">
        <f t="shared" si="227"/>
        <v>1</v>
      </c>
      <c r="AS227" s="324">
        <f t="shared" si="227"/>
        <v>1</v>
      </c>
      <c r="AT227" s="324">
        <f t="shared" si="227"/>
        <v>1</v>
      </c>
      <c r="AU227" s="324">
        <f t="shared" si="227"/>
        <v>1</v>
      </c>
      <c r="AV227" s="324">
        <f t="shared" si="227"/>
        <v>1</v>
      </c>
      <c r="AW227" s="324">
        <f t="shared" si="227"/>
        <v>1</v>
      </c>
      <c r="AX227" s="324">
        <f t="shared" si="227"/>
        <v>1</v>
      </c>
      <c r="AY227" s="324">
        <f t="shared" si="227"/>
        <v>1</v>
      </c>
      <c r="AZ227" s="324">
        <f t="shared" si="227"/>
        <v>1</v>
      </c>
      <c r="BA227" s="324">
        <f t="shared" si="227"/>
        <v>1</v>
      </c>
      <c r="BB227" s="324">
        <f t="shared" si="227"/>
        <v>1</v>
      </c>
      <c r="BC227" s="324">
        <f t="shared" si="227"/>
        <v>1</v>
      </c>
      <c r="BD227" s="324">
        <f t="shared" si="227"/>
        <v>1</v>
      </c>
      <c r="BE227" s="324">
        <f t="shared" si="227"/>
        <v>1</v>
      </c>
      <c r="BF227" s="324">
        <f t="shared" si="206"/>
        <v>1</v>
      </c>
      <c r="BG227" s="324">
        <f t="shared" si="206"/>
        <v>1</v>
      </c>
      <c r="BH227" s="324">
        <f t="shared" si="206"/>
        <v>1</v>
      </c>
      <c r="BI227" s="324">
        <f t="shared" si="206"/>
        <v>1</v>
      </c>
      <c r="BJ227" s="324">
        <f t="shared" si="206"/>
        <v>1</v>
      </c>
      <c r="BK227" s="324">
        <f t="shared" si="206"/>
        <v>1</v>
      </c>
      <c r="BL227" s="324">
        <f t="shared" si="206"/>
        <v>1</v>
      </c>
      <c r="BM227" s="324">
        <f t="shared" si="206"/>
        <v>1</v>
      </c>
      <c r="BN227" s="324">
        <f t="shared" si="206"/>
        <v>1</v>
      </c>
      <c r="BO227" s="324">
        <f t="shared" si="206"/>
        <v>1</v>
      </c>
      <c r="BP227" s="324">
        <f t="shared" si="206"/>
        <v>1</v>
      </c>
      <c r="BQ227" s="324">
        <f t="shared" si="206"/>
        <v>1</v>
      </c>
      <c r="BR227" s="324">
        <f t="shared" si="206"/>
        <v>1</v>
      </c>
      <c r="BS227" s="324">
        <f t="shared" si="206"/>
        <v>1</v>
      </c>
      <c r="BT227" s="324">
        <f t="shared" si="206"/>
        <v>1</v>
      </c>
      <c r="BU227" s="324">
        <f t="shared" si="206"/>
        <v>1</v>
      </c>
      <c r="BV227" s="324">
        <f t="shared" si="206"/>
        <v>1</v>
      </c>
      <c r="BW227" s="324">
        <f t="shared" si="206"/>
        <v>1</v>
      </c>
      <c r="BX227" s="324">
        <f t="shared" si="206"/>
        <v>1</v>
      </c>
      <c r="BY227" s="324">
        <f t="shared" si="206"/>
        <v>1</v>
      </c>
      <c r="BZ227" s="324">
        <f t="shared" si="206"/>
        <v>1</v>
      </c>
      <c r="CA227" s="324">
        <f t="shared" si="206"/>
        <v>1</v>
      </c>
      <c r="CB227" s="324">
        <f t="shared" si="206"/>
        <v>1</v>
      </c>
      <c r="CC227" s="324">
        <f t="shared" si="206"/>
        <v>1</v>
      </c>
    </row>
    <row r="228" spans="1:81" x14ac:dyDescent="0.15">
      <c r="A228" s="1" t="s">
        <v>53</v>
      </c>
      <c r="V228" s="324">
        <f t="shared" si="207"/>
        <v>0</v>
      </c>
      <c r="W228" s="324">
        <f t="shared" si="208"/>
        <v>0</v>
      </c>
      <c r="X228" s="324">
        <f t="shared" si="209"/>
        <v>1</v>
      </c>
      <c r="Y228" s="324">
        <f t="shared" si="210"/>
        <v>1</v>
      </c>
      <c r="Z228" s="324">
        <f t="shared" si="211"/>
        <v>1</v>
      </c>
      <c r="AA228" s="324">
        <f t="shared" si="212"/>
        <v>1</v>
      </c>
      <c r="AB228" s="324">
        <f t="shared" si="213"/>
        <v>1</v>
      </c>
      <c r="AC228" s="409">
        <f t="shared" si="214"/>
        <v>1</v>
      </c>
      <c r="AD228" s="409">
        <f t="shared" si="215"/>
        <v>1</v>
      </c>
      <c r="AE228" s="409">
        <f t="shared" si="216"/>
        <v>1</v>
      </c>
      <c r="AF228" s="409">
        <f t="shared" si="217"/>
        <v>1</v>
      </c>
      <c r="AG228" s="409">
        <f t="shared" si="218"/>
        <v>1</v>
      </c>
      <c r="AH228" s="409">
        <f t="shared" si="219"/>
        <v>1</v>
      </c>
      <c r="AI228" s="409">
        <f t="shared" si="220"/>
        <v>1</v>
      </c>
      <c r="AJ228" s="409">
        <f t="shared" si="221"/>
        <v>1</v>
      </c>
      <c r="AK228" s="409">
        <f t="shared" si="222"/>
        <v>1</v>
      </c>
      <c r="AL228" s="409">
        <f t="shared" si="223"/>
        <v>1</v>
      </c>
      <c r="AM228" s="409">
        <f t="shared" si="224"/>
        <v>1</v>
      </c>
      <c r="AN228" s="409">
        <f t="shared" si="225"/>
        <v>1</v>
      </c>
      <c r="AO228" s="409">
        <f t="shared" si="226"/>
        <v>1</v>
      </c>
      <c r="AP228" s="324">
        <f t="shared" si="227"/>
        <v>1</v>
      </c>
      <c r="AQ228" s="324">
        <f t="shared" si="227"/>
        <v>1</v>
      </c>
      <c r="AR228" s="324">
        <f t="shared" si="227"/>
        <v>1</v>
      </c>
      <c r="AS228" s="324">
        <f t="shared" si="227"/>
        <v>1</v>
      </c>
      <c r="AT228" s="324">
        <f t="shared" si="227"/>
        <v>1</v>
      </c>
      <c r="AU228" s="324">
        <f t="shared" si="227"/>
        <v>1</v>
      </c>
      <c r="AV228" s="324">
        <f t="shared" si="227"/>
        <v>1</v>
      </c>
      <c r="AW228" s="324">
        <f t="shared" si="227"/>
        <v>1</v>
      </c>
      <c r="AX228" s="324">
        <f t="shared" si="227"/>
        <v>1</v>
      </c>
      <c r="AY228" s="324">
        <f t="shared" si="227"/>
        <v>1</v>
      </c>
      <c r="AZ228" s="324">
        <f t="shared" si="227"/>
        <v>1</v>
      </c>
      <c r="BA228" s="324">
        <f t="shared" si="227"/>
        <v>1</v>
      </c>
      <c r="BB228" s="324">
        <f t="shared" si="227"/>
        <v>1</v>
      </c>
      <c r="BC228" s="324">
        <f t="shared" si="227"/>
        <v>1</v>
      </c>
      <c r="BD228" s="324">
        <f t="shared" si="227"/>
        <v>1</v>
      </c>
      <c r="BE228" s="324">
        <f t="shared" si="227"/>
        <v>1</v>
      </c>
      <c r="BF228" s="324">
        <f t="shared" si="206"/>
        <v>1</v>
      </c>
      <c r="BG228" s="324">
        <f t="shared" si="206"/>
        <v>1</v>
      </c>
      <c r="BH228" s="324">
        <f t="shared" si="206"/>
        <v>1</v>
      </c>
      <c r="BI228" s="324">
        <f t="shared" si="206"/>
        <v>1</v>
      </c>
      <c r="BJ228" s="324">
        <f t="shared" si="206"/>
        <v>1</v>
      </c>
      <c r="BK228" s="324">
        <f t="shared" si="206"/>
        <v>1</v>
      </c>
      <c r="BL228" s="324">
        <f t="shared" si="206"/>
        <v>1</v>
      </c>
      <c r="BM228" s="324">
        <f t="shared" si="206"/>
        <v>1</v>
      </c>
      <c r="BN228" s="324">
        <f t="shared" si="206"/>
        <v>1</v>
      </c>
      <c r="BO228" s="324">
        <f t="shared" si="206"/>
        <v>1</v>
      </c>
      <c r="BP228" s="324">
        <f t="shared" si="206"/>
        <v>1</v>
      </c>
      <c r="BQ228" s="324">
        <f t="shared" si="206"/>
        <v>1</v>
      </c>
      <c r="BR228" s="324">
        <f t="shared" si="206"/>
        <v>1</v>
      </c>
      <c r="BS228" s="324">
        <f t="shared" si="206"/>
        <v>1</v>
      </c>
      <c r="BT228" s="324">
        <f t="shared" si="206"/>
        <v>1</v>
      </c>
      <c r="BU228" s="324">
        <f t="shared" si="206"/>
        <v>1</v>
      </c>
      <c r="BV228" s="324">
        <f t="shared" si="206"/>
        <v>1</v>
      </c>
      <c r="BW228" s="324">
        <f t="shared" si="206"/>
        <v>1</v>
      </c>
      <c r="BX228" s="324">
        <f t="shared" si="206"/>
        <v>1</v>
      </c>
      <c r="BY228" s="324">
        <f t="shared" si="206"/>
        <v>1</v>
      </c>
      <c r="BZ228" s="324">
        <f t="shared" si="206"/>
        <v>1</v>
      </c>
      <c r="CA228" s="324">
        <f t="shared" si="206"/>
        <v>1</v>
      </c>
      <c r="CB228" s="324">
        <f t="shared" si="206"/>
        <v>1</v>
      </c>
      <c r="CC228" s="324">
        <f t="shared" si="206"/>
        <v>1</v>
      </c>
    </row>
    <row r="229" spans="1:81" x14ac:dyDescent="0.15">
      <c r="A229" s="1" t="s">
        <v>54</v>
      </c>
      <c r="V229" s="324">
        <f t="shared" si="207"/>
        <v>0</v>
      </c>
      <c r="W229" s="324">
        <f t="shared" si="208"/>
        <v>0</v>
      </c>
      <c r="X229" s="324">
        <f t="shared" si="209"/>
        <v>0</v>
      </c>
      <c r="Y229" s="324">
        <f t="shared" si="210"/>
        <v>1</v>
      </c>
      <c r="Z229" s="324">
        <f t="shared" si="211"/>
        <v>1</v>
      </c>
      <c r="AA229" s="324">
        <f t="shared" si="212"/>
        <v>1</v>
      </c>
      <c r="AB229" s="324">
        <f t="shared" si="213"/>
        <v>1</v>
      </c>
      <c r="AC229" s="409">
        <f t="shared" si="214"/>
        <v>1</v>
      </c>
      <c r="AD229" s="409">
        <f t="shared" si="215"/>
        <v>1</v>
      </c>
      <c r="AE229" s="409">
        <f t="shared" si="216"/>
        <v>1</v>
      </c>
      <c r="AF229" s="409">
        <f t="shared" si="217"/>
        <v>1</v>
      </c>
      <c r="AG229" s="409">
        <f t="shared" si="218"/>
        <v>1</v>
      </c>
      <c r="AH229" s="409">
        <f t="shared" si="219"/>
        <v>1</v>
      </c>
      <c r="AI229" s="409">
        <f t="shared" si="220"/>
        <v>1</v>
      </c>
      <c r="AJ229" s="409">
        <f t="shared" si="221"/>
        <v>1</v>
      </c>
      <c r="AK229" s="409">
        <f t="shared" si="222"/>
        <v>1</v>
      </c>
      <c r="AL229" s="409">
        <f t="shared" si="223"/>
        <v>1</v>
      </c>
      <c r="AM229" s="409">
        <f t="shared" si="224"/>
        <v>1</v>
      </c>
      <c r="AN229" s="409">
        <f t="shared" si="225"/>
        <v>1</v>
      </c>
      <c r="AO229" s="409">
        <f t="shared" si="226"/>
        <v>1</v>
      </c>
      <c r="AP229" s="324">
        <f t="shared" si="227"/>
        <v>1</v>
      </c>
      <c r="AQ229" s="324">
        <f t="shared" si="227"/>
        <v>1</v>
      </c>
      <c r="AR229" s="324">
        <f t="shared" si="227"/>
        <v>1</v>
      </c>
      <c r="AS229" s="324">
        <f t="shared" si="227"/>
        <v>1</v>
      </c>
      <c r="AT229" s="324">
        <f t="shared" si="227"/>
        <v>1</v>
      </c>
      <c r="AU229" s="324">
        <f t="shared" si="227"/>
        <v>1</v>
      </c>
      <c r="AV229" s="324">
        <f t="shared" si="227"/>
        <v>1</v>
      </c>
      <c r="AW229" s="324">
        <f t="shared" si="227"/>
        <v>1</v>
      </c>
      <c r="AX229" s="324">
        <f t="shared" si="227"/>
        <v>1</v>
      </c>
      <c r="AY229" s="324">
        <f t="shared" si="227"/>
        <v>1</v>
      </c>
      <c r="AZ229" s="324">
        <f t="shared" si="227"/>
        <v>1</v>
      </c>
      <c r="BA229" s="324">
        <f t="shared" si="227"/>
        <v>1</v>
      </c>
      <c r="BB229" s="324">
        <f t="shared" si="227"/>
        <v>1</v>
      </c>
      <c r="BC229" s="324">
        <f t="shared" si="227"/>
        <v>1</v>
      </c>
      <c r="BD229" s="324">
        <f t="shared" si="227"/>
        <v>1</v>
      </c>
      <c r="BE229" s="324">
        <f t="shared" si="227"/>
        <v>1</v>
      </c>
      <c r="BF229" s="324">
        <f t="shared" si="206"/>
        <v>1</v>
      </c>
      <c r="BG229" s="324">
        <f t="shared" si="206"/>
        <v>1</v>
      </c>
      <c r="BH229" s="324">
        <f t="shared" si="206"/>
        <v>1</v>
      </c>
      <c r="BI229" s="324">
        <f t="shared" si="206"/>
        <v>1</v>
      </c>
      <c r="BJ229" s="324">
        <f t="shared" si="206"/>
        <v>1</v>
      </c>
      <c r="BK229" s="324">
        <f t="shared" si="206"/>
        <v>1</v>
      </c>
      <c r="BL229" s="324">
        <f t="shared" si="206"/>
        <v>1</v>
      </c>
      <c r="BM229" s="324">
        <f t="shared" si="206"/>
        <v>1</v>
      </c>
      <c r="BN229" s="324">
        <f t="shared" si="206"/>
        <v>1</v>
      </c>
      <c r="BO229" s="324">
        <f t="shared" si="206"/>
        <v>1</v>
      </c>
      <c r="BP229" s="324">
        <f t="shared" si="206"/>
        <v>1</v>
      </c>
      <c r="BQ229" s="324">
        <f t="shared" si="206"/>
        <v>1</v>
      </c>
      <c r="BR229" s="324">
        <f t="shared" si="206"/>
        <v>1</v>
      </c>
      <c r="BS229" s="324">
        <f t="shared" si="206"/>
        <v>1</v>
      </c>
      <c r="BT229" s="324">
        <f t="shared" si="206"/>
        <v>1</v>
      </c>
      <c r="BU229" s="324">
        <f t="shared" si="206"/>
        <v>1</v>
      </c>
      <c r="BV229" s="324">
        <f t="shared" si="206"/>
        <v>1</v>
      </c>
      <c r="BW229" s="324">
        <f t="shared" si="206"/>
        <v>1</v>
      </c>
      <c r="BX229" s="324">
        <f t="shared" si="206"/>
        <v>1</v>
      </c>
      <c r="BY229" s="324">
        <f t="shared" si="206"/>
        <v>1</v>
      </c>
      <c r="BZ229" s="324">
        <f t="shared" si="206"/>
        <v>1</v>
      </c>
      <c r="CA229" s="324">
        <f t="shared" si="206"/>
        <v>1</v>
      </c>
      <c r="CB229" s="324">
        <f t="shared" si="206"/>
        <v>1</v>
      </c>
      <c r="CC229" s="324">
        <f t="shared" si="206"/>
        <v>1</v>
      </c>
    </row>
    <row r="230" spans="1:81" x14ac:dyDescent="0.15">
      <c r="A230" s="1" t="s">
        <v>55</v>
      </c>
      <c r="V230" s="324">
        <f t="shared" si="207"/>
        <v>0</v>
      </c>
      <c r="W230" s="324">
        <f t="shared" si="208"/>
        <v>0</v>
      </c>
      <c r="X230" s="324">
        <f t="shared" si="209"/>
        <v>0</v>
      </c>
      <c r="Y230" s="324">
        <f t="shared" si="210"/>
        <v>0</v>
      </c>
      <c r="Z230" s="324">
        <f t="shared" si="211"/>
        <v>1</v>
      </c>
      <c r="AA230" s="324">
        <f t="shared" si="212"/>
        <v>1</v>
      </c>
      <c r="AB230" s="324">
        <f t="shared" si="213"/>
        <v>1</v>
      </c>
      <c r="AC230" s="409">
        <f t="shared" si="214"/>
        <v>1</v>
      </c>
      <c r="AD230" s="409">
        <f t="shared" si="215"/>
        <v>1</v>
      </c>
      <c r="AE230" s="409">
        <f t="shared" si="216"/>
        <v>1</v>
      </c>
      <c r="AF230" s="409">
        <f t="shared" si="217"/>
        <v>1</v>
      </c>
      <c r="AG230" s="409">
        <f t="shared" si="218"/>
        <v>1</v>
      </c>
      <c r="AH230" s="409">
        <f t="shared" si="219"/>
        <v>1</v>
      </c>
      <c r="AI230" s="409">
        <f t="shared" si="220"/>
        <v>1</v>
      </c>
      <c r="AJ230" s="409">
        <f t="shared" si="221"/>
        <v>1</v>
      </c>
      <c r="AK230" s="409">
        <f t="shared" si="222"/>
        <v>1</v>
      </c>
      <c r="AL230" s="409">
        <f t="shared" si="223"/>
        <v>1</v>
      </c>
      <c r="AM230" s="409">
        <f t="shared" si="224"/>
        <v>1</v>
      </c>
      <c r="AN230" s="409">
        <f t="shared" si="225"/>
        <v>1</v>
      </c>
      <c r="AO230" s="409">
        <f t="shared" si="226"/>
        <v>1</v>
      </c>
      <c r="AP230" s="324">
        <f t="shared" si="227"/>
        <v>1</v>
      </c>
      <c r="AQ230" s="324">
        <f t="shared" si="227"/>
        <v>1</v>
      </c>
      <c r="AR230" s="324">
        <f t="shared" si="227"/>
        <v>1</v>
      </c>
      <c r="AS230" s="324">
        <f t="shared" si="227"/>
        <v>1</v>
      </c>
      <c r="AT230" s="324">
        <f t="shared" si="227"/>
        <v>1</v>
      </c>
      <c r="AU230" s="324">
        <f t="shared" si="227"/>
        <v>1</v>
      </c>
      <c r="AV230" s="324">
        <f t="shared" si="227"/>
        <v>1</v>
      </c>
      <c r="AW230" s="324">
        <f t="shared" si="227"/>
        <v>1</v>
      </c>
      <c r="AX230" s="324">
        <f t="shared" si="227"/>
        <v>1</v>
      </c>
      <c r="AY230" s="324">
        <f t="shared" si="227"/>
        <v>1</v>
      </c>
      <c r="AZ230" s="324">
        <f t="shared" si="227"/>
        <v>1</v>
      </c>
      <c r="BA230" s="324">
        <f t="shared" si="227"/>
        <v>1</v>
      </c>
      <c r="BB230" s="324">
        <f t="shared" si="227"/>
        <v>1</v>
      </c>
      <c r="BC230" s="324">
        <f t="shared" si="227"/>
        <v>1</v>
      </c>
      <c r="BD230" s="324">
        <f t="shared" si="227"/>
        <v>1</v>
      </c>
      <c r="BE230" s="324">
        <f t="shared" si="227"/>
        <v>1</v>
      </c>
      <c r="BF230" s="324">
        <f t="shared" si="206"/>
        <v>1</v>
      </c>
      <c r="BG230" s="324">
        <f t="shared" si="206"/>
        <v>1</v>
      </c>
      <c r="BH230" s="324">
        <f t="shared" si="206"/>
        <v>1</v>
      </c>
      <c r="BI230" s="324">
        <f t="shared" si="206"/>
        <v>1</v>
      </c>
      <c r="BJ230" s="324">
        <f t="shared" si="206"/>
        <v>1</v>
      </c>
      <c r="BK230" s="324">
        <f t="shared" si="206"/>
        <v>1</v>
      </c>
      <c r="BL230" s="324">
        <f t="shared" si="206"/>
        <v>1</v>
      </c>
      <c r="BM230" s="324">
        <f t="shared" si="206"/>
        <v>1</v>
      </c>
      <c r="BN230" s="324">
        <f t="shared" si="206"/>
        <v>1</v>
      </c>
      <c r="BO230" s="324">
        <f t="shared" si="206"/>
        <v>1</v>
      </c>
      <c r="BP230" s="324">
        <f t="shared" si="206"/>
        <v>1</v>
      </c>
      <c r="BQ230" s="324">
        <f t="shared" si="206"/>
        <v>1</v>
      </c>
      <c r="BR230" s="324">
        <f t="shared" si="206"/>
        <v>1</v>
      </c>
      <c r="BS230" s="324">
        <f t="shared" si="206"/>
        <v>1</v>
      </c>
      <c r="BT230" s="324">
        <f t="shared" si="206"/>
        <v>1</v>
      </c>
      <c r="BU230" s="324">
        <f t="shared" si="206"/>
        <v>1</v>
      </c>
      <c r="BV230" s="324">
        <f t="shared" si="206"/>
        <v>1</v>
      </c>
      <c r="BW230" s="324">
        <f t="shared" si="206"/>
        <v>1</v>
      </c>
      <c r="BX230" s="324">
        <f t="shared" si="206"/>
        <v>1</v>
      </c>
      <c r="BY230" s="324">
        <f t="shared" si="206"/>
        <v>1</v>
      </c>
      <c r="BZ230" s="324">
        <f t="shared" si="206"/>
        <v>1</v>
      </c>
      <c r="CA230" s="324">
        <f t="shared" si="206"/>
        <v>1</v>
      </c>
      <c r="CB230" s="324">
        <f t="shared" si="206"/>
        <v>1</v>
      </c>
      <c r="CC230" s="324">
        <f t="shared" si="206"/>
        <v>1</v>
      </c>
    </row>
    <row r="231" spans="1:81" x14ac:dyDescent="0.15">
      <c r="A231" s="1" t="s">
        <v>56</v>
      </c>
      <c r="V231" s="324">
        <f t="shared" si="207"/>
        <v>0</v>
      </c>
      <c r="W231" s="324">
        <f t="shared" si="208"/>
        <v>0</v>
      </c>
      <c r="X231" s="324">
        <f t="shared" si="209"/>
        <v>0</v>
      </c>
      <c r="Y231" s="324">
        <f t="shared" si="210"/>
        <v>0</v>
      </c>
      <c r="Z231" s="324">
        <f t="shared" si="211"/>
        <v>0</v>
      </c>
      <c r="AA231" s="324">
        <f t="shared" si="212"/>
        <v>1</v>
      </c>
      <c r="AB231" s="324">
        <f t="shared" si="213"/>
        <v>1</v>
      </c>
      <c r="AC231" s="409">
        <f t="shared" si="214"/>
        <v>1</v>
      </c>
      <c r="AD231" s="409">
        <f t="shared" si="215"/>
        <v>1</v>
      </c>
      <c r="AE231" s="409">
        <f t="shared" si="216"/>
        <v>1</v>
      </c>
      <c r="AF231" s="409">
        <f t="shared" si="217"/>
        <v>1</v>
      </c>
      <c r="AG231" s="409">
        <f t="shared" si="218"/>
        <v>1</v>
      </c>
      <c r="AH231" s="409">
        <f t="shared" si="219"/>
        <v>1</v>
      </c>
      <c r="AI231" s="409">
        <f t="shared" si="220"/>
        <v>1</v>
      </c>
      <c r="AJ231" s="409">
        <f t="shared" si="221"/>
        <v>1</v>
      </c>
      <c r="AK231" s="409">
        <f t="shared" si="222"/>
        <v>1</v>
      </c>
      <c r="AL231" s="409">
        <f t="shared" si="223"/>
        <v>1</v>
      </c>
      <c r="AM231" s="409">
        <f t="shared" si="224"/>
        <v>1</v>
      </c>
      <c r="AN231" s="409">
        <f t="shared" si="225"/>
        <v>1</v>
      </c>
      <c r="AO231" s="409">
        <f t="shared" si="226"/>
        <v>1</v>
      </c>
      <c r="AP231" s="324">
        <f t="shared" si="227"/>
        <v>1</v>
      </c>
      <c r="AQ231" s="324">
        <f t="shared" si="227"/>
        <v>1</v>
      </c>
      <c r="AR231" s="324">
        <f t="shared" si="227"/>
        <v>1</v>
      </c>
      <c r="AS231" s="324">
        <f t="shared" si="227"/>
        <v>1</v>
      </c>
      <c r="AT231" s="324">
        <f t="shared" si="227"/>
        <v>1</v>
      </c>
      <c r="AU231" s="324">
        <f t="shared" si="227"/>
        <v>1</v>
      </c>
      <c r="AV231" s="324">
        <f t="shared" si="227"/>
        <v>1</v>
      </c>
      <c r="AW231" s="324">
        <f t="shared" si="227"/>
        <v>1</v>
      </c>
      <c r="AX231" s="324">
        <f t="shared" si="227"/>
        <v>1</v>
      </c>
      <c r="AY231" s="324">
        <f t="shared" si="227"/>
        <v>1</v>
      </c>
      <c r="AZ231" s="324">
        <f t="shared" si="227"/>
        <v>1</v>
      </c>
      <c r="BA231" s="324">
        <f t="shared" si="227"/>
        <v>1</v>
      </c>
      <c r="BB231" s="324">
        <f t="shared" si="227"/>
        <v>1</v>
      </c>
      <c r="BC231" s="324">
        <f t="shared" si="227"/>
        <v>1</v>
      </c>
      <c r="BD231" s="324">
        <f t="shared" si="227"/>
        <v>1</v>
      </c>
      <c r="BE231" s="324">
        <f t="shared" si="227"/>
        <v>1</v>
      </c>
      <c r="BF231" s="324">
        <f t="shared" si="206"/>
        <v>1</v>
      </c>
      <c r="BG231" s="324">
        <f t="shared" si="206"/>
        <v>1</v>
      </c>
      <c r="BH231" s="324">
        <f t="shared" si="206"/>
        <v>1</v>
      </c>
      <c r="BI231" s="324">
        <f t="shared" si="206"/>
        <v>1</v>
      </c>
      <c r="BJ231" s="324">
        <f t="shared" si="206"/>
        <v>1</v>
      </c>
      <c r="BK231" s="324">
        <f t="shared" si="206"/>
        <v>1</v>
      </c>
      <c r="BL231" s="324">
        <f t="shared" si="206"/>
        <v>1</v>
      </c>
      <c r="BM231" s="324">
        <f t="shared" si="206"/>
        <v>1</v>
      </c>
      <c r="BN231" s="324">
        <f t="shared" si="206"/>
        <v>1</v>
      </c>
      <c r="BO231" s="324">
        <f t="shared" si="206"/>
        <v>1</v>
      </c>
      <c r="BP231" s="324">
        <f t="shared" si="206"/>
        <v>1</v>
      </c>
      <c r="BQ231" s="324">
        <f t="shared" si="206"/>
        <v>1</v>
      </c>
      <c r="BR231" s="324">
        <f t="shared" si="206"/>
        <v>1</v>
      </c>
      <c r="BS231" s="324">
        <f t="shared" si="206"/>
        <v>1</v>
      </c>
      <c r="BT231" s="324">
        <f t="shared" si="206"/>
        <v>1</v>
      </c>
      <c r="BU231" s="324">
        <f t="shared" si="206"/>
        <v>1</v>
      </c>
      <c r="BV231" s="324">
        <f t="shared" si="206"/>
        <v>1</v>
      </c>
      <c r="BW231" s="324">
        <f t="shared" si="206"/>
        <v>1</v>
      </c>
      <c r="BX231" s="324">
        <f t="shared" si="206"/>
        <v>1</v>
      </c>
      <c r="BY231" s="324">
        <f t="shared" si="206"/>
        <v>1</v>
      </c>
      <c r="BZ231" s="324">
        <f t="shared" si="206"/>
        <v>1</v>
      </c>
      <c r="CA231" s="324">
        <f t="shared" si="206"/>
        <v>1</v>
      </c>
      <c r="CB231" s="324">
        <f t="shared" si="206"/>
        <v>1</v>
      </c>
      <c r="CC231" s="324">
        <f t="shared" si="206"/>
        <v>1</v>
      </c>
    </row>
    <row r="232" spans="1:81" x14ac:dyDescent="0.15">
      <c r="A232" s="1" t="s">
        <v>57</v>
      </c>
      <c r="V232" s="324">
        <f t="shared" si="207"/>
        <v>0</v>
      </c>
      <c r="W232" s="324">
        <f t="shared" si="208"/>
        <v>0</v>
      </c>
      <c r="X232" s="324">
        <f t="shared" si="209"/>
        <v>0</v>
      </c>
      <c r="Y232" s="324">
        <f t="shared" si="210"/>
        <v>0</v>
      </c>
      <c r="Z232" s="324">
        <f t="shared" si="211"/>
        <v>0</v>
      </c>
      <c r="AA232" s="324">
        <f t="shared" si="212"/>
        <v>0</v>
      </c>
      <c r="AB232" s="324">
        <f t="shared" si="213"/>
        <v>0</v>
      </c>
      <c r="AC232" s="409">
        <f t="shared" si="214"/>
        <v>1</v>
      </c>
      <c r="AD232" s="409">
        <f t="shared" si="215"/>
        <v>1</v>
      </c>
      <c r="AE232" s="409">
        <f t="shared" si="216"/>
        <v>1</v>
      </c>
      <c r="AF232" s="409">
        <f t="shared" si="217"/>
        <v>1</v>
      </c>
      <c r="AG232" s="409">
        <f t="shared" si="218"/>
        <v>1</v>
      </c>
      <c r="AH232" s="409">
        <f t="shared" si="219"/>
        <v>1</v>
      </c>
      <c r="AI232" s="409">
        <f t="shared" si="220"/>
        <v>1</v>
      </c>
      <c r="AJ232" s="409">
        <f t="shared" si="221"/>
        <v>1</v>
      </c>
      <c r="AK232" s="409">
        <f t="shared" si="222"/>
        <v>1</v>
      </c>
      <c r="AL232" s="409">
        <f t="shared" si="223"/>
        <v>1</v>
      </c>
      <c r="AM232" s="409">
        <f t="shared" si="224"/>
        <v>1</v>
      </c>
      <c r="AN232" s="409">
        <f t="shared" si="225"/>
        <v>1</v>
      </c>
      <c r="AO232" s="409">
        <f t="shared" si="226"/>
        <v>1</v>
      </c>
      <c r="AP232" s="324">
        <f t="shared" si="227"/>
        <v>1</v>
      </c>
      <c r="AQ232" s="324">
        <f t="shared" si="227"/>
        <v>1</v>
      </c>
      <c r="AR232" s="324">
        <f t="shared" si="227"/>
        <v>1</v>
      </c>
      <c r="AS232" s="324">
        <f t="shared" si="227"/>
        <v>1</v>
      </c>
      <c r="AT232" s="324">
        <f t="shared" si="227"/>
        <v>1</v>
      </c>
      <c r="AU232" s="324">
        <f t="shared" si="227"/>
        <v>1</v>
      </c>
      <c r="AV232" s="324">
        <f t="shared" si="227"/>
        <v>1</v>
      </c>
      <c r="AW232" s="324">
        <f t="shared" si="227"/>
        <v>1</v>
      </c>
      <c r="AX232" s="324">
        <f t="shared" si="227"/>
        <v>1</v>
      </c>
      <c r="AY232" s="324">
        <f t="shared" si="227"/>
        <v>1</v>
      </c>
      <c r="AZ232" s="324">
        <f t="shared" si="227"/>
        <v>1</v>
      </c>
      <c r="BA232" s="324">
        <f t="shared" si="227"/>
        <v>1</v>
      </c>
      <c r="BB232" s="324">
        <f t="shared" si="227"/>
        <v>1</v>
      </c>
      <c r="BC232" s="324">
        <f t="shared" si="227"/>
        <v>1</v>
      </c>
      <c r="BD232" s="324">
        <f t="shared" si="227"/>
        <v>1</v>
      </c>
      <c r="BE232" s="324">
        <f t="shared" si="227"/>
        <v>1</v>
      </c>
      <c r="BF232" s="324">
        <f t="shared" si="206"/>
        <v>1</v>
      </c>
      <c r="BG232" s="324">
        <f t="shared" si="206"/>
        <v>1</v>
      </c>
      <c r="BH232" s="324">
        <f t="shared" si="206"/>
        <v>1</v>
      </c>
      <c r="BI232" s="324">
        <f t="shared" si="206"/>
        <v>1</v>
      </c>
      <c r="BJ232" s="324">
        <f t="shared" si="206"/>
        <v>1</v>
      </c>
      <c r="BK232" s="324">
        <f t="shared" si="206"/>
        <v>1</v>
      </c>
      <c r="BL232" s="324">
        <f t="shared" si="206"/>
        <v>1</v>
      </c>
      <c r="BM232" s="324">
        <f t="shared" si="206"/>
        <v>1</v>
      </c>
      <c r="BN232" s="324">
        <f t="shared" si="206"/>
        <v>1</v>
      </c>
      <c r="BO232" s="324">
        <f t="shared" si="206"/>
        <v>1</v>
      </c>
      <c r="BP232" s="324">
        <f t="shared" si="206"/>
        <v>1</v>
      </c>
      <c r="BQ232" s="324">
        <f t="shared" si="206"/>
        <v>1</v>
      </c>
      <c r="BR232" s="324">
        <f t="shared" si="206"/>
        <v>1</v>
      </c>
      <c r="BS232" s="324">
        <f t="shared" si="206"/>
        <v>1</v>
      </c>
      <c r="BT232" s="324">
        <f t="shared" si="206"/>
        <v>1</v>
      </c>
      <c r="BU232" s="324">
        <f t="shared" si="206"/>
        <v>1</v>
      </c>
      <c r="BV232" s="324">
        <f t="shared" si="206"/>
        <v>1</v>
      </c>
      <c r="BW232" s="324">
        <f t="shared" si="206"/>
        <v>1</v>
      </c>
      <c r="BX232" s="324">
        <f t="shared" si="206"/>
        <v>1</v>
      </c>
      <c r="BY232" s="324">
        <f t="shared" si="206"/>
        <v>1</v>
      </c>
      <c r="BZ232" s="324">
        <f t="shared" si="206"/>
        <v>1</v>
      </c>
      <c r="CA232" s="324">
        <f t="shared" si="206"/>
        <v>1</v>
      </c>
      <c r="CB232" s="324">
        <f t="shared" si="206"/>
        <v>1</v>
      </c>
      <c r="CC232" s="324">
        <f t="shared" si="206"/>
        <v>1</v>
      </c>
    </row>
    <row r="233" spans="1:81" x14ac:dyDescent="0.15">
      <c r="A233" s="1" t="s">
        <v>58</v>
      </c>
      <c r="V233" s="324">
        <f t="shared" si="207"/>
        <v>0</v>
      </c>
      <c r="W233" s="324">
        <f t="shared" si="208"/>
        <v>0</v>
      </c>
      <c r="X233" s="324">
        <f t="shared" si="209"/>
        <v>0</v>
      </c>
      <c r="Y233" s="324">
        <f t="shared" si="210"/>
        <v>1</v>
      </c>
      <c r="Z233" s="324">
        <f t="shared" si="211"/>
        <v>1</v>
      </c>
      <c r="AA233" s="324">
        <f t="shared" si="212"/>
        <v>1</v>
      </c>
      <c r="AB233" s="324">
        <f t="shared" si="213"/>
        <v>1</v>
      </c>
      <c r="AC233" s="409">
        <f t="shared" si="214"/>
        <v>1</v>
      </c>
      <c r="AD233" s="409">
        <f t="shared" si="215"/>
        <v>1</v>
      </c>
      <c r="AE233" s="409">
        <f t="shared" si="216"/>
        <v>1</v>
      </c>
      <c r="AF233" s="409">
        <f t="shared" si="217"/>
        <v>1</v>
      </c>
      <c r="AG233" s="409">
        <f t="shared" si="218"/>
        <v>1</v>
      </c>
      <c r="AH233" s="409">
        <f t="shared" si="219"/>
        <v>1</v>
      </c>
      <c r="AI233" s="409">
        <f t="shared" si="220"/>
        <v>1</v>
      </c>
      <c r="AJ233" s="409">
        <f t="shared" si="221"/>
        <v>1</v>
      </c>
      <c r="AK233" s="409">
        <f t="shared" si="222"/>
        <v>1</v>
      </c>
      <c r="AL233" s="409">
        <f t="shared" si="223"/>
        <v>1</v>
      </c>
      <c r="AM233" s="409">
        <f t="shared" si="224"/>
        <v>1</v>
      </c>
      <c r="AN233" s="409">
        <f t="shared" si="225"/>
        <v>1</v>
      </c>
      <c r="AO233" s="409">
        <f t="shared" si="226"/>
        <v>1</v>
      </c>
      <c r="AP233" s="324">
        <f t="shared" si="227"/>
        <v>1</v>
      </c>
      <c r="AQ233" s="324">
        <f t="shared" si="227"/>
        <v>1</v>
      </c>
      <c r="AR233" s="324">
        <f t="shared" si="227"/>
        <v>1</v>
      </c>
      <c r="AS233" s="324">
        <f t="shared" si="227"/>
        <v>1</v>
      </c>
      <c r="AT233" s="324">
        <f t="shared" si="227"/>
        <v>1</v>
      </c>
      <c r="AU233" s="324">
        <f t="shared" si="227"/>
        <v>1</v>
      </c>
      <c r="AV233" s="324">
        <f t="shared" si="227"/>
        <v>1</v>
      </c>
      <c r="AW233" s="324">
        <f t="shared" si="227"/>
        <v>1</v>
      </c>
      <c r="AX233" s="324">
        <f t="shared" si="227"/>
        <v>1</v>
      </c>
      <c r="AY233" s="324">
        <f t="shared" si="227"/>
        <v>1</v>
      </c>
      <c r="AZ233" s="324">
        <f t="shared" si="227"/>
        <v>1</v>
      </c>
      <c r="BA233" s="324">
        <f t="shared" si="227"/>
        <v>1</v>
      </c>
      <c r="BB233" s="324">
        <f t="shared" si="227"/>
        <v>1</v>
      </c>
      <c r="BC233" s="324">
        <f t="shared" si="227"/>
        <v>1</v>
      </c>
      <c r="BD233" s="324">
        <f t="shared" si="227"/>
        <v>1</v>
      </c>
      <c r="BE233" s="324">
        <f t="shared" si="227"/>
        <v>1</v>
      </c>
      <c r="BF233" s="324">
        <f t="shared" si="206"/>
        <v>1</v>
      </c>
      <c r="BG233" s="324">
        <f t="shared" si="206"/>
        <v>1</v>
      </c>
      <c r="BH233" s="324">
        <f t="shared" si="206"/>
        <v>1</v>
      </c>
      <c r="BI233" s="324">
        <f t="shared" si="206"/>
        <v>1</v>
      </c>
      <c r="BJ233" s="324">
        <f t="shared" si="206"/>
        <v>1</v>
      </c>
      <c r="BK233" s="324">
        <f t="shared" si="206"/>
        <v>1</v>
      </c>
      <c r="BL233" s="324">
        <f t="shared" si="206"/>
        <v>1</v>
      </c>
      <c r="BM233" s="324">
        <f t="shared" si="206"/>
        <v>1</v>
      </c>
      <c r="BN233" s="324">
        <f t="shared" si="206"/>
        <v>1</v>
      </c>
      <c r="BO233" s="324">
        <f t="shared" si="206"/>
        <v>1</v>
      </c>
      <c r="BP233" s="324">
        <f t="shared" si="206"/>
        <v>1</v>
      </c>
      <c r="BQ233" s="324">
        <f t="shared" si="206"/>
        <v>1</v>
      </c>
      <c r="BR233" s="324">
        <f t="shared" si="206"/>
        <v>1</v>
      </c>
      <c r="BS233" s="324">
        <f t="shared" si="206"/>
        <v>1</v>
      </c>
      <c r="BT233" s="324">
        <f t="shared" si="206"/>
        <v>1</v>
      </c>
      <c r="BU233" s="324">
        <f t="shared" si="206"/>
        <v>1</v>
      </c>
      <c r="BV233" s="324">
        <f t="shared" si="206"/>
        <v>1</v>
      </c>
      <c r="BW233" s="324">
        <f t="shared" si="206"/>
        <v>1</v>
      </c>
      <c r="BX233" s="324">
        <f t="shared" si="206"/>
        <v>1</v>
      </c>
      <c r="BY233" s="324">
        <f t="shared" si="206"/>
        <v>1</v>
      </c>
      <c r="BZ233" s="324">
        <f t="shared" si="206"/>
        <v>1</v>
      </c>
      <c r="CA233" s="324">
        <f t="shared" si="206"/>
        <v>1</v>
      </c>
      <c r="CB233" s="324">
        <f t="shared" si="206"/>
        <v>1</v>
      </c>
      <c r="CC233" s="324">
        <f t="shared" si="206"/>
        <v>1</v>
      </c>
    </row>
    <row r="234" spans="1:81" x14ac:dyDescent="0.15">
      <c r="A234" s="347" t="s">
        <v>114</v>
      </c>
      <c r="V234" s="324">
        <f t="shared" si="207"/>
        <v>0</v>
      </c>
      <c r="W234" s="324">
        <f t="shared" si="208"/>
        <v>1</v>
      </c>
      <c r="X234" s="324">
        <f t="shared" si="209"/>
        <v>1</v>
      </c>
      <c r="Y234" s="324">
        <f t="shared" si="210"/>
        <v>1</v>
      </c>
      <c r="Z234" s="324">
        <f t="shared" si="211"/>
        <v>1</v>
      </c>
      <c r="AA234" s="324">
        <f t="shared" si="212"/>
        <v>1</v>
      </c>
      <c r="AB234" s="324">
        <f t="shared" si="213"/>
        <v>1</v>
      </c>
      <c r="AC234" s="409">
        <f t="shared" si="214"/>
        <v>1</v>
      </c>
      <c r="AD234" s="409">
        <f t="shared" si="215"/>
        <v>1</v>
      </c>
      <c r="AE234" s="409">
        <f t="shared" si="216"/>
        <v>1</v>
      </c>
      <c r="AF234" s="409">
        <f t="shared" si="217"/>
        <v>1</v>
      </c>
      <c r="AG234" s="409">
        <f t="shared" si="218"/>
        <v>1</v>
      </c>
      <c r="AH234" s="409">
        <f t="shared" si="219"/>
        <v>1</v>
      </c>
      <c r="AI234" s="409">
        <f t="shared" si="220"/>
        <v>1</v>
      </c>
      <c r="AJ234" s="409">
        <f t="shared" si="221"/>
        <v>1</v>
      </c>
      <c r="AK234" s="409">
        <f t="shared" si="222"/>
        <v>1</v>
      </c>
      <c r="AL234" s="409">
        <f t="shared" si="223"/>
        <v>1</v>
      </c>
      <c r="AM234" s="409">
        <f t="shared" si="224"/>
        <v>1</v>
      </c>
      <c r="AN234" s="409">
        <f t="shared" si="225"/>
        <v>1</v>
      </c>
      <c r="AO234" s="409">
        <f t="shared" si="226"/>
        <v>1</v>
      </c>
      <c r="AP234" s="324">
        <f t="shared" si="227"/>
        <v>1</v>
      </c>
      <c r="AQ234" s="324">
        <f t="shared" si="227"/>
        <v>1</v>
      </c>
      <c r="AR234" s="324">
        <f t="shared" si="227"/>
        <v>1</v>
      </c>
      <c r="AS234" s="324">
        <f t="shared" si="227"/>
        <v>1</v>
      </c>
      <c r="AT234" s="324">
        <f t="shared" si="227"/>
        <v>1</v>
      </c>
      <c r="AU234" s="324">
        <f t="shared" si="227"/>
        <v>1</v>
      </c>
      <c r="AV234" s="324">
        <f t="shared" si="227"/>
        <v>1</v>
      </c>
      <c r="AW234" s="324">
        <f t="shared" si="227"/>
        <v>1</v>
      </c>
      <c r="AX234" s="324">
        <f t="shared" si="227"/>
        <v>1</v>
      </c>
      <c r="AY234" s="324">
        <f t="shared" si="227"/>
        <v>1</v>
      </c>
      <c r="AZ234" s="324">
        <f t="shared" si="227"/>
        <v>1</v>
      </c>
      <c r="BA234" s="324">
        <f t="shared" si="227"/>
        <v>1</v>
      </c>
      <c r="BB234" s="324">
        <f t="shared" si="227"/>
        <v>1</v>
      </c>
      <c r="BC234" s="324">
        <f t="shared" si="227"/>
        <v>1</v>
      </c>
      <c r="BD234" s="324">
        <f t="shared" si="227"/>
        <v>1</v>
      </c>
      <c r="BE234" s="324">
        <f t="shared" si="227"/>
        <v>1</v>
      </c>
      <c r="BF234" s="324">
        <f t="shared" si="206"/>
        <v>1</v>
      </c>
      <c r="BG234" s="324">
        <f t="shared" ref="BG234:CC234" si="228">+BF234</f>
        <v>1</v>
      </c>
      <c r="BH234" s="324">
        <f t="shared" si="228"/>
        <v>1</v>
      </c>
      <c r="BI234" s="324">
        <f t="shared" si="228"/>
        <v>1</v>
      </c>
      <c r="BJ234" s="324">
        <f t="shared" si="228"/>
        <v>1</v>
      </c>
      <c r="BK234" s="324">
        <f t="shared" si="228"/>
        <v>1</v>
      </c>
      <c r="BL234" s="324">
        <f t="shared" si="228"/>
        <v>1</v>
      </c>
      <c r="BM234" s="324">
        <f t="shared" si="228"/>
        <v>1</v>
      </c>
      <c r="BN234" s="324">
        <f t="shared" si="228"/>
        <v>1</v>
      </c>
      <c r="BO234" s="324">
        <f t="shared" si="228"/>
        <v>1</v>
      </c>
      <c r="BP234" s="324">
        <f t="shared" si="228"/>
        <v>1</v>
      </c>
      <c r="BQ234" s="324">
        <f t="shared" si="228"/>
        <v>1</v>
      </c>
      <c r="BR234" s="324">
        <f t="shared" si="228"/>
        <v>1</v>
      </c>
      <c r="BS234" s="324">
        <f t="shared" si="228"/>
        <v>1</v>
      </c>
      <c r="BT234" s="324">
        <f t="shared" si="228"/>
        <v>1</v>
      </c>
      <c r="BU234" s="324">
        <f t="shared" si="228"/>
        <v>1</v>
      </c>
      <c r="BV234" s="324">
        <f t="shared" si="228"/>
        <v>1</v>
      </c>
      <c r="BW234" s="324">
        <f t="shared" si="228"/>
        <v>1</v>
      </c>
      <c r="BX234" s="324">
        <f t="shared" si="228"/>
        <v>1</v>
      </c>
      <c r="BY234" s="324">
        <f t="shared" si="228"/>
        <v>1</v>
      </c>
      <c r="BZ234" s="324">
        <f t="shared" si="228"/>
        <v>1</v>
      </c>
      <c r="CA234" s="324">
        <f t="shared" si="228"/>
        <v>1</v>
      </c>
      <c r="CB234" s="324">
        <f t="shared" si="228"/>
        <v>1</v>
      </c>
      <c r="CC234" s="324">
        <f t="shared" si="228"/>
        <v>1</v>
      </c>
    </row>
    <row r="235" spans="1:81" x14ac:dyDescent="0.15">
      <c r="A235" s="1" t="s">
        <v>32</v>
      </c>
      <c r="V235" s="324">
        <f t="shared" si="207"/>
        <v>0</v>
      </c>
      <c r="W235" s="324">
        <f t="shared" si="208"/>
        <v>0</v>
      </c>
      <c r="X235" s="324">
        <f t="shared" si="209"/>
        <v>0</v>
      </c>
      <c r="Y235" s="324">
        <f t="shared" si="210"/>
        <v>0</v>
      </c>
      <c r="Z235" s="324">
        <f t="shared" si="211"/>
        <v>1</v>
      </c>
      <c r="AA235" s="324">
        <f t="shared" si="212"/>
        <v>1</v>
      </c>
      <c r="AB235" s="324">
        <f t="shared" si="213"/>
        <v>1</v>
      </c>
      <c r="AC235" s="409">
        <f t="shared" si="214"/>
        <v>1</v>
      </c>
      <c r="AD235" s="409">
        <f t="shared" si="215"/>
        <v>1</v>
      </c>
      <c r="AE235" s="409">
        <f t="shared" si="216"/>
        <v>1</v>
      </c>
      <c r="AF235" s="409">
        <f t="shared" si="217"/>
        <v>1</v>
      </c>
      <c r="AG235" s="409">
        <f t="shared" si="218"/>
        <v>1</v>
      </c>
      <c r="AH235" s="409">
        <f t="shared" si="219"/>
        <v>1</v>
      </c>
      <c r="AI235" s="409">
        <f t="shared" si="220"/>
        <v>1</v>
      </c>
      <c r="AJ235" s="409">
        <f t="shared" si="221"/>
        <v>1</v>
      </c>
      <c r="AK235" s="409">
        <f t="shared" si="222"/>
        <v>1</v>
      </c>
      <c r="AL235" s="409">
        <f t="shared" si="223"/>
        <v>1</v>
      </c>
      <c r="AM235" s="409">
        <f t="shared" si="224"/>
        <v>1</v>
      </c>
      <c r="AN235" s="409">
        <f t="shared" si="225"/>
        <v>1</v>
      </c>
      <c r="AO235" s="409">
        <f t="shared" si="226"/>
        <v>1</v>
      </c>
      <c r="AP235" s="324">
        <f t="shared" si="227"/>
        <v>1</v>
      </c>
      <c r="AQ235" s="324">
        <f t="shared" si="227"/>
        <v>1</v>
      </c>
      <c r="AR235" s="324">
        <f t="shared" si="227"/>
        <v>1</v>
      </c>
      <c r="AS235" s="324">
        <f t="shared" si="227"/>
        <v>1</v>
      </c>
      <c r="AT235" s="324">
        <f t="shared" si="227"/>
        <v>1</v>
      </c>
      <c r="AU235" s="324">
        <f t="shared" si="227"/>
        <v>1</v>
      </c>
      <c r="AV235" s="324">
        <f t="shared" si="227"/>
        <v>1</v>
      </c>
      <c r="AW235" s="324">
        <f t="shared" si="227"/>
        <v>1</v>
      </c>
      <c r="AX235" s="324">
        <f t="shared" si="227"/>
        <v>1</v>
      </c>
      <c r="AY235" s="324">
        <f t="shared" si="227"/>
        <v>1</v>
      </c>
      <c r="AZ235" s="324">
        <f t="shared" si="227"/>
        <v>1</v>
      </c>
      <c r="BA235" s="324">
        <f t="shared" si="227"/>
        <v>1</v>
      </c>
      <c r="BB235" s="324">
        <f t="shared" si="227"/>
        <v>1</v>
      </c>
      <c r="BC235" s="324">
        <f t="shared" si="227"/>
        <v>1</v>
      </c>
      <c r="BD235" s="324">
        <f t="shared" si="227"/>
        <v>1</v>
      </c>
      <c r="BE235" s="324">
        <f t="shared" si="227"/>
        <v>1</v>
      </c>
      <c r="BF235" s="324">
        <f t="shared" ref="BF235:CC235" si="229">+BE235</f>
        <v>1</v>
      </c>
      <c r="BG235" s="324">
        <f t="shared" si="229"/>
        <v>1</v>
      </c>
      <c r="BH235" s="324">
        <f t="shared" si="229"/>
        <v>1</v>
      </c>
      <c r="BI235" s="324">
        <f t="shared" si="229"/>
        <v>1</v>
      </c>
      <c r="BJ235" s="324">
        <f t="shared" si="229"/>
        <v>1</v>
      </c>
      <c r="BK235" s="324">
        <f t="shared" si="229"/>
        <v>1</v>
      </c>
      <c r="BL235" s="324">
        <f t="shared" si="229"/>
        <v>1</v>
      </c>
      <c r="BM235" s="324">
        <f t="shared" si="229"/>
        <v>1</v>
      </c>
      <c r="BN235" s="324">
        <f t="shared" si="229"/>
        <v>1</v>
      </c>
      <c r="BO235" s="324">
        <f t="shared" si="229"/>
        <v>1</v>
      </c>
      <c r="BP235" s="324">
        <f t="shared" si="229"/>
        <v>1</v>
      </c>
      <c r="BQ235" s="324">
        <f t="shared" si="229"/>
        <v>1</v>
      </c>
      <c r="BR235" s="324">
        <f t="shared" si="229"/>
        <v>1</v>
      </c>
      <c r="BS235" s="324">
        <f t="shared" si="229"/>
        <v>1</v>
      </c>
      <c r="BT235" s="324">
        <f t="shared" si="229"/>
        <v>1</v>
      </c>
      <c r="BU235" s="324">
        <f t="shared" si="229"/>
        <v>1</v>
      </c>
      <c r="BV235" s="324">
        <f t="shared" si="229"/>
        <v>1</v>
      </c>
      <c r="BW235" s="324">
        <f t="shared" si="229"/>
        <v>1</v>
      </c>
      <c r="BX235" s="324">
        <f t="shared" si="229"/>
        <v>1</v>
      </c>
      <c r="BY235" s="324">
        <f t="shared" si="229"/>
        <v>1</v>
      </c>
      <c r="BZ235" s="324">
        <f t="shared" si="229"/>
        <v>1</v>
      </c>
      <c r="CA235" s="324">
        <f t="shared" si="229"/>
        <v>1</v>
      </c>
      <c r="CB235" s="324">
        <f t="shared" si="229"/>
        <v>1</v>
      </c>
      <c r="CC235" s="324">
        <f t="shared" si="229"/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90" zoomScale="40" zoomScaleNormal="40" workbookViewId="0">
      <selection activeCell="AD132" sqref="AD132"/>
    </sheetView>
  </sheetViews>
  <sheetFormatPr baseColWidth="10" defaultColWidth="8.83203125" defaultRowHeight="13" x14ac:dyDescent="0.1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baseColWidth="10" defaultColWidth="9.1640625" defaultRowHeight="15.75" customHeight="1" x14ac:dyDescent="0.2"/>
  <cols>
    <col min="1" max="1" width="29.5" style="2" customWidth="1"/>
    <col min="2" max="16384" width="9.1640625" style="2"/>
  </cols>
  <sheetData>
    <row r="1" spans="1:309" s="626" customFormat="1" ht="15.75" customHeight="1" x14ac:dyDescent="0.25">
      <c r="A1" s="625" t="s">
        <v>1193</v>
      </c>
      <c r="B1" s="626">
        <v>2005</v>
      </c>
      <c r="C1" s="626">
        <f t="shared" ref="C1:AH1" si="0">+B1+10</f>
        <v>2015</v>
      </c>
      <c r="D1" s="626">
        <f t="shared" si="0"/>
        <v>2025</v>
      </c>
      <c r="E1" s="626">
        <f t="shared" si="0"/>
        <v>2035</v>
      </c>
      <c r="F1" s="626">
        <f t="shared" si="0"/>
        <v>2045</v>
      </c>
      <c r="G1" s="626">
        <f t="shared" si="0"/>
        <v>2055</v>
      </c>
      <c r="H1" s="626">
        <f t="shared" si="0"/>
        <v>2065</v>
      </c>
      <c r="I1" s="626">
        <f t="shared" si="0"/>
        <v>2075</v>
      </c>
      <c r="J1" s="626">
        <f t="shared" si="0"/>
        <v>2085</v>
      </c>
      <c r="K1" s="626">
        <f t="shared" si="0"/>
        <v>2095</v>
      </c>
      <c r="L1" s="626">
        <f t="shared" si="0"/>
        <v>2105</v>
      </c>
      <c r="M1" s="626">
        <f t="shared" si="0"/>
        <v>2115</v>
      </c>
      <c r="N1" s="626">
        <f t="shared" si="0"/>
        <v>2125</v>
      </c>
      <c r="O1" s="626">
        <f t="shared" si="0"/>
        <v>2135</v>
      </c>
      <c r="P1" s="626">
        <f t="shared" si="0"/>
        <v>2145</v>
      </c>
      <c r="Q1" s="626">
        <f t="shared" si="0"/>
        <v>2155</v>
      </c>
      <c r="R1" s="626">
        <f t="shared" si="0"/>
        <v>2165</v>
      </c>
      <c r="S1" s="626">
        <f t="shared" si="0"/>
        <v>2175</v>
      </c>
      <c r="T1" s="626">
        <f t="shared" si="0"/>
        <v>2185</v>
      </c>
      <c r="U1" s="626">
        <f t="shared" si="0"/>
        <v>2195</v>
      </c>
      <c r="V1" s="626">
        <f t="shared" si="0"/>
        <v>2205</v>
      </c>
      <c r="W1" s="626">
        <f t="shared" si="0"/>
        <v>2215</v>
      </c>
      <c r="X1" s="626">
        <f t="shared" si="0"/>
        <v>2225</v>
      </c>
      <c r="Y1" s="626">
        <f t="shared" si="0"/>
        <v>2235</v>
      </c>
      <c r="Z1" s="626">
        <f t="shared" si="0"/>
        <v>2245</v>
      </c>
      <c r="AA1" s="626">
        <f t="shared" si="0"/>
        <v>2255</v>
      </c>
      <c r="AB1" s="626">
        <f t="shared" si="0"/>
        <v>2265</v>
      </c>
      <c r="AC1" s="626">
        <f t="shared" si="0"/>
        <v>2275</v>
      </c>
      <c r="AD1" s="626">
        <f t="shared" si="0"/>
        <v>2285</v>
      </c>
      <c r="AE1" s="626">
        <f t="shared" si="0"/>
        <v>2295</v>
      </c>
      <c r="AF1" s="626">
        <f t="shared" si="0"/>
        <v>2305</v>
      </c>
      <c r="AG1" s="626">
        <f t="shared" si="0"/>
        <v>2315</v>
      </c>
      <c r="AH1" s="626">
        <f t="shared" si="0"/>
        <v>2325</v>
      </c>
      <c r="AI1" s="626">
        <f t="shared" ref="AI1:BI1" si="1">+AH1+10</f>
        <v>2335</v>
      </c>
      <c r="AJ1" s="626">
        <f t="shared" si="1"/>
        <v>2345</v>
      </c>
      <c r="AK1" s="626">
        <f t="shared" si="1"/>
        <v>2355</v>
      </c>
      <c r="AL1" s="626">
        <f t="shared" si="1"/>
        <v>2365</v>
      </c>
      <c r="AM1" s="626">
        <f t="shared" si="1"/>
        <v>2375</v>
      </c>
      <c r="AN1" s="626">
        <f t="shared" si="1"/>
        <v>2385</v>
      </c>
      <c r="AO1" s="626">
        <f t="shared" si="1"/>
        <v>2395</v>
      </c>
      <c r="AP1" s="626">
        <f t="shared" si="1"/>
        <v>2405</v>
      </c>
      <c r="AQ1" s="626">
        <f t="shared" si="1"/>
        <v>2415</v>
      </c>
      <c r="AR1" s="626">
        <f t="shared" si="1"/>
        <v>2425</v>
      </c>
      <c r="AS1" s="626">
        <f t="shared" si="1"/>
        <v>2435</v>
      </c>
      <c r="AT1" s="626">
        <f t="shared" si="1"/>
        <v>2445</v>
      </c>
      <c r="AU1" s="626">
        <f t="shared" si="1"/>
        <v>2455</v>
      </c>
      <c r="AV1" s="626">
        <f t="shared" si="1"/>
        <v>2465</v>
      </c>
      <c r="AW1" s="626">
        <f t="shared" si="1"/>
        <v>2475</v>
      </c>
      <c r="AX1" s="626">
        <f t="shared" si="1"/>
        <v>2485</v>
      </c>
      <c r="AY1" s="626">
        <f t="shared" si="1"/>
        <v>2495</v>
      </c>
      <c r="AZ1" s="626">
        <f t="shared" si="1"/>
        <v>2505</v>
      </c>
      <c r="BA1" s="626">
        <f t="shared" si="1"/>
        <v>2515</v>
      </c>
      <c r="BB1" s="626">
        <f t="shared" si="1"/>
        <v>2525</v>
      </c>
      <c r="BC1" s="626">
        <f t="shared" si="1"/>
        <v>2535</v>
      </c>
      <c r="BD1" s="626">
        <f t="shared" si="1"/>
        <v>2545</v>
      </c>
      <c r="BE1" s="626">
        <f t="shared" si="1"/>
        <v>2555</v>
      </c>
      <c r="BF1" s="626">
        <f t="shared" si="1"/>
        <v>2565</v>
      </c>
      <c r="BG1" s="626">
        <f t="shared" si="1"/>
        <v>2575</v>
      </c>
      <c r="BH1" s="626">
        <f t="shared" si="1"/>
        <v>2585</v>
      </c>
      <c r="BI1" s="626">
        <f t="shared" si="1"/>
        <v>2595</v>
      </c>
      <c r="BJ1" s="635"/>
      <c r="BK1" s="635"/>
      <c r="BL1" s="635"/>
      <c r="BM1" s="635"/>
      <c r="BN1" s="635"/>
      <c r="BO1" s="635"/>
      <c r="BP1" s="635"/>
      <c r="BQ1" s="635"/>
      <c r="BR1" s="635"/>
      <c r="BS1" s="635"/>
      <c r="BT1" s="635"/>
      <c r="BU1" s="635"/>
      <c r="BV1" s="635"/>
      <c r="BW1" s="635"/>
      <c r="BX1" s="635"/>
      <c r="BY1" s="635"/>
      <c r="BZ1" s="635"/>
      <c r="CA1" s="635"/>
      <c r="CB1" s="635"/>
      <c r="CC1" s="635"/>
      <c r="CD1" s="635"/>
      <c r="CE1" s="635"/>
      <c r="CF1" s="635"/>
      <c r="CG1" s="635"/>
      <c r="CH1" s="635"/>
      <c r="CI1" s="635"/>
      <c r="CJ1" s="635"/>
      <c r="CK1" s="635"/>
      <c r="CL1" s="635"/>
      <c r="CM1" s="635"/>
      <c r="CN1" s="635"/>
      <c r="CO1" s="635"/>
      <c r="CP1" s="635"/>
      <c r="CQ1" s="635"/>
      <c r="CR1" s="635"/>
      <c r="CS1" s="635"/>
      <c r="CT1" s="635"/>
      <c r="CU1" s="635"/>
      <c r="CV1" s="635"/>
      <c r="CW1" s="635"/>
      <c r="CX1" s="635"/>
      <c r="CY1" s="635"/>
      <c r="CZ1" s="635"/>
      <c r="DA1" s="635"/>
      <c r="DB1" s="635"/>
      <c r="DC1" s="635"/>
      <c r="DD1" s="635"/>
      <c r="DE1" s="635"/>
      <c r="DF1" s="635"/>
      <c r="DG1" s="635"/>
      <c r="DH1" s="635"/>
      <c r="DI1" s="635"/>
      <c r="DJ1" s="635"/>
      <c r="DK1" s="635"/>
      <c r="DL1" s="635"/>
      <c r="DM1" s="635"/>
      <c r="DN1" s="635"/>
      <c r="DO1" s="635"/>
      <c r="DP1" s="635"/>
      <c r="DQ1" s="635"/>
      <c r="DR1" s="635"/>
      <c r="DS1" s="635"/>
      <c r="DT1" s="635"/>
      <c r="DU1" s="635"/>
      <c r="DV1" s="635"/>
      <c r="DW1" s="635"/>
      <c r="DX1" s="635"/>
      <c r="DY1" s="635"/>
      <c r="DZ1" s="635"/>
      <c r="EA1" s="635"/>
      <c r="EB1" s="635"/>
      <c r="EC1" s="635"/>
      <c r="ED1" s="635"/>
      <c r="EE1" s="635"/>
      <c r="EF1" s="635"/>
      <c r="EG1" s="635"/>
      <c r="EH1" s="635"/>
      <c r="EI1" s="635"/>
      <c r="EJ1" s="635"/>
      <c r="EK1" s="635"/>
      <c r="EL1" s="635"/>
      <c r="EM1" s="635"/>
      <c r="EN1" s="635"/>
      <c r="EO1" s="635"/>
      <c r="EP1" s="635"/>
      <c r="EQ1" s="635"/>
      <c r="ER1" s="635"/>
      <c r="ES1" s="635"/>
      <c r="ET1" s="635"/>
      <c r="EU1" s="635"/>
      <c r="EV1" s="635"/>
      <c r="EW1" s="635"/>
      <c r="EX1" s="635"/>
      <c r="EY1" s="635"/>
      <c r="EZ1" s="635"/>
      <c r="FA1" s="635"/>
      <c r="FB1" s="635"/>
      <c r="FC1" s="635"/>
      <c r="FD1" s="635"/>
      <c r="FE1" s="635"/>
      <c r="FF1" s="635"/>
      <c r="FG1" s="635"/>
      <c r="FH1" s="635"/>
      <c r="FI1" s="635"/>
      <c r="FJ1" s="635"/>
      <c r="FK1" s="635"/>
      <c r="FL1" s="635"/>
      <c r="FM1" s="635"/>
      <c r="FN1" s="635"/>
      <c r="FO1" s="635"/>
      <c r="FP1" s="635"/>
      <c r="FQ1" s="635"/>
      <c r="FR1" s="635"/>
      <c r="FS1" s="635"/>
      <c r="FT1" s="635"/>
      <c r="FU1" s="635"/>
      <c r="FV1" s="635"/>
      <c r="FW1" s="635"/>
      <c r="FX1" s="635"/>
      <c r="FY1" s="635"/>
      <c r="FZ1" s="635"/>
      <c r="GA1" s="635"/>
      <c r="GB1" s="635"/>
      <c r="GC1" s="635"/>
      <c r="GD1" s="635"/>
      <c r="GE1" s="635"/>
      <c r="GF1" s="635"/>
      <c r="GG1" s="635"/>
      <c r="GH1" s="635"/>
      <c r="GI1" s="635"/>
      <c r="GJ1" s="635"/>
      <c r="GK1" s="635"/>
      <c r="GL1" s="635"/>
      <c r="GM1" s="635"/>
      <c r="GN1" s="635"/>
      <c r="GO1" s="635"/>
      <c r="GP1" s="635"/>
      <c r="GQ1" s="635"/>
      <c r="GR1" s="635"/>
      <c r="GS1" s="635"/>
      <c r="GT1" s="635"/>
      <c r="GU1" s="635"/>
      <c r="GV1" s="635"/>
      <c r="GW1" s="635"/>
      <c r="GX1" s="635"/>
      <c r="GY1" s="635"/>
      <c r="GZ1" s="635"/>
      <c r="HA1" s="635"/>
      <c r="HB1" s="635"/>
      <c r="HC1" s="635"/>
      <c r="HD1" s="635"/>
      <c r="HE1" s="635"/>
      <c r="HF1" s="635"/>
      <c r="HG1" s="635"/>
      <c r="HH1" s="635"/>
      <c r="HI1" s="635"/>
      <c r="HJ1" s="635"/>
      <c r="HK1" s="635"/>
      <c r="HL1" s="635"/>
      <c r="HM1" s="635"/>
      <c r="HN1" s="635"/>
      <c r="HO1" s="635"/>
      <c r="HP1" s="635"/>
      <c r="HQ1" s="635"/>
      <c r="HR1" s="635"/>
      <c r="HS1" s="635"/>
      <c r="HT1" s="635"/>
      <c r="HU1" s="635"/>
      <c r="HV1" s="635"/>
      <c r="HW1" s="635"/>
      <c r="HX1" s="635"/>
      <c r="HY1" s="635"/>
      <c r="HZ1" s="635"/>
      <c r="IA1" s="635"/>
      <c r="IB1" s="635"/>
      <c r="IC1" s="635"/>
      <c r="ID1" s="635"/>
      <c r="IE1" s="635"/>
      <c r="IF1" s="635"/>
      <c r="IG1" s="635"/>
      <c r="IH1" s="635"/>
      <c r="II1" s="635"/>
      <c r="IJ1" s="635"/>
      <c r="IK1" s="635"/>
      <c r="IL1" s="635"/>
      <c r="IM1" s="635"/>
      <c r="IN1" s="635"/>
      <c r="IO1" s="635"/>
      <c r="IP1" s="635"/>
      <c r="IQ1" s="635"/>
      <c r="IR1" s="635"/>
      <c r="IS1" s="635"/>
      <c r="IT1" s="635"/>
      <c r="IU1" s="635"/>
      <c r="IV1" s="635"/>
      <c r="IW1" s="635"/>
      <c r="IX1" s="635"/>
      <c r="IY1" s="635"/>
      <c r="IZ1" s="635"/>
      <c r="JA1" s="635"/>
      <c r="JB1" s="635"/>
      <c r="JC1" s="635"/>
      <c r="JD1" s="635"/>
      <c r="JE1" s="635"/>
      <c r="JF1" s="635"/>
      <c r="JG1" s="635"/>
      <c r="JH1" s="635"/>
      <c r="JI1" s="635"/>
      <c r="JJ1" s="635"/>
      <c r="JK1" s="635"/>
      <c r="JL1" s="635"/>
      <c r="JM1" s="635"/>
      <c r="JN1" s="635"/>
      <c r="JO1" s="635"/>
      <c r="JP1" s="635"/>
      <c r="JQ1" s="635"/>
      <c r="JR1" s="635"/>
      <c r="JS1" s="635"/>
      <c r="JT1" s="635"/>
      <c r="JU1" s="635"/>
      <c r="JV1" s="635"/>
      <c r="JW1" s="635"/>
      <c r="JX1" s="635"/>
      <c r="JY1" s="635"/>
      <c r="JZ1" s="635"/>
      <c r="KA1" s="635"/>
      <c r="KB1" s="635"/>
      <c r="KC1" s="635"/>
      <c r="KD1" s="635"/>
      <c r="KE1" s="635"/>
      <c r="KF1" s="635"/>
      <c r="KG1" s="635"/>
      <c r="KH1" s="635"/>
      <c r="KI1" s="635"/>
      <c r="KJ1" s="635"/>
      <c r="KK1" s="635"/>
      <c r="KL1" s="635"/>
      <c r="KM1" s="635"/>
      <c r="KN1" s="635"/>
      <c r="KO1" s="635"/>
      <c r="KP1" s="635"/>
      <c r="KQ1" s="635"/>
      <c r="KR1" s="635"/>
      <c r="KS1" s="635"/>
      <c r="KT1" s="635"/>
      <c r="KU1" s="635"/>
      <c r="KV1" s="635"/>
      <c r="KW1" s="635"/>
    </row>
    <row r="2" spans="1:309" s="635" customFormat="1" ht="15.75" customHeight="1" x14ac:dyDescent="0.2">
      <c r="A2" s="636" t="s">
        <v>1163</v>
      </c>
      <c r="M2" s="637"/>
    </row>
    <row r="3" spans="1:309" s="635" customFormat="1" ht="15.75" customHeight="1" x14ac:dyDescent="0.2">
      <c r="A3" s="627" t="s">
        <v>104</v>
      </c>
      <c r="B3" s="628">
        <f>+US!B65</f>
        <v>10.090227412391704</v>
      </c>
      <c r="C3" s="628">
        <f>+US!C65</f>
        <v>10.080214504259304</v>
      </c>
      <c r="D3" s="628">
        <f>+US!D65</f>
        <v>10.438340602373303</v>
      </c>
      <c r="E3" s="628">
        <f>+US!E65</f>
        <v>10.725392418067401</v>
      </c>
      <c r="F3" s="628">
        <f>+US!F65</f>
        <v>11.156086536763066</v>
      </c>
      <c r="G3" s="628">
        <f>+US!G65</f>
        <v>11.452763285709558</v>
      </c>
      <c r="H3" s="628">
        <f>+US!H65</f>
        <v>11.887173484846455</v>
      </c>
      <c r="I3" s="628">
        <f>+US!I65</f>
        <v>12.412697403302159</v>
      </c>
      <c r="J3" s="628">
        <f>+US!J65</f>
        <v>12.964740972669512</v>
      </c>
      <c r="K3" s="628">
        <f>+US!K65</f>
        <v>13.592629109987403</v>
      </c>
      <c r="L3" s="628">
        <f>+US!L65</f>
        <v>14.146426310876652</v>
      </c>
      <c r="M3" s="628">
        <f>+US!M65</f>
        <v>14.27715458399712</v>
      </c>
      <c r="N3" s="628">
        <f>+US!N65</f>
        <v>14.515659372564267</v>
      </c>
      <c r="O3" s="628">
        <f>+US!O65</f>
        <v>14.921764833646085</v>
      </c>
      <c r="P3" s="628">
        <f>+US!P65</f>
        <v>15.499792731083321</v>
      </c>
      <c r="Q3" s="628">
        <f>+US!Q65</f>
        <v>16.033970961933566</v>
      </c>
      <c r="R3" s="628">
        <f>+US!R65</f>
        <v>16.481240234767398</v>
      </c>
      <c r="S3" s="628">
        <f>+US!S65</f>
        <v>16.81149467190755</v>
      </c>
    </row>
    <row r="4" spans="1:309" s="635" customFormat="1" ht="15.75" customHeight="1" x14ac:dyDescent="0.2">
      <c r="A4" s="627" t="s">
        <v>105</v>
      </c>
      <c r="B4" s="628">
        <f>+EU!B65</f>
        <v>14.132759573189078</v>
      </c>
      <c r="C4" s="628">
        <f>+EU!C65</f>
        <v>14.488479159166506</v>
      </c>
      <c r="D4" s="628">
        <f>+EU!D65</f>
        <v>14.747691405369698</v>
      </c>
      <c r="E4" s="628">
        <f>+EU!E65</f>
        <v>14.784070395766962</v>
      </c>
      <c r="F4" s="628">
        <f>+EU!F65</f>
        <v>15.134329349599899</v>
      </c>
      <c r="G4" s="628">
        <f>+EU!G65</f>
        <v>15.575339189181445</v>
      </c>
      <c r="H4" s="628">
        <f>+EU!H65</f>
        <v>15.930322873621938</v>
      </c>
      <c r="I4" s="628">
        <f>+EU!I65</f>
        <v>16.452927378685683</v>
      </c>
      <c r="J4" s="628">
        <f>+EU!J65</f>
        <v>16.944380602530174</v>
      </c>
      <c r="K4" s="628">
        <f>+EU!K65</f>
        <v>17.395122648854858</v>
      </c>
      <c r="L4" s="628">
        <f>+EU!L65</f>
        <v>18.106647732507717</v>
      </c>
      <c r="M4" s="628">
        <f>+EU!M65</f>
        <v>18.416514895579677</v>
      </c>
      <c r="N4" s="628">
        <f>+EU!N65</f>
        <v>18.665376219461951</v>
      </c>
      <c r="O4" s="628">
        <f>+EU!O65</f>
        <v>18.931577025454914</v>
      </c>
      <c r="P4" s="628">
        <f>+EU!P65</f>
        <v>19.48807031130281</v>
      </c>
      <c r="Q4" s="628">
        <f>+EU!Q65</f>
        <v>19.953342203347084</v>
      </c>
      <c r="R4" s="628">
        <f>+EU!R65</f>
        <v>20.656552524605488</v>
      </c>
      <c r="S4" s="628">
        <f>+EU!S65</f>
        <v>21.309874966848845</v>
      </c>
    </row>
    <row r="5" spans="1:309" s="635" customFormat="1" ht="15.75" customHeight="1" x14ac:dyDescent="0.2">
      <c r="A5" s="627" t="s">
        <v>51</v>
      </c>
      <c r="B5" s="628">
        <f>+Japan!B65</f>
        <v>4.0524090988106485</v>
      </c>
      <c r="C5" s="628">
        <f>+Japan!C65</f>
        <v>4.1951164136381198</v>
      </c>
      <c r="D5" s="628">
        <f>+Japan!D65</f>
        <v>4.2342333750487589</v>
      </c>
      <c r="E5" s="628">
        <f>+Japan!E65</f>
        <v>4.2146157081164928</v>
      </c>
      <c r="F5" s="628">
        <f>+Japan!F65</f>
        <v>4.259575380694673</v>
      </c>
      <c r="G5" s="628">
        <f>+Japan!G65</f>
        <v>4.3703382816154734</v>
      </c>
      <c r="H5" s="628">
        <f>+Japan!H65</f>
        <v>4.5082073047634008</v>
      </c>
      <c r="I5" s="628">
        <f>+Japan!I65</f>
        <v>4.5510344920749271</v>
      </c>
      <c r="J5" s="628">
        <f>+Japan!J65</f>
        <v>4.4914499701814323</v>
      </c>
      <c r="K5" s="628">
        <f>+Japan!K65</f>
        <v>4.4787280666702216</v>
      </c>
      <c r="L5" s="628">
        <f>+Japan!L65</f>
        <v>4.602322597509005</v>
      </c>
      <c r="M5" s="628">
        <f>+Japan!M65</f>
        <v>4.6184190607943281</v>
      </c>
      <c r="N5" s="628">
        <f>+Japan!N65</f>
        <v>4.6189654696700835</v>
      </c>
      <c r="O5" s="628">
        <f>+Japan!O65</f>
        <v>4.6898780722225553</v>
      </c>
      <c r="P5" s="628">
        <f>+Japan!P65</f>
        <v>4.7934458090152514</v>
      </c>
      <c r="Q5" s="628">
        <f>+Japan!Q65</f>
        <v>4.8778549194449621</v>
      </c>
      <c r="R5" s="628">
        <f>+Japan!R65</f>
        <v>4.9450894345188834</v>
      </c>
      <c r="S5" s="628">
        <f>+Japan!S65</f>
        <v>5.0180273455390685</v>
      </c>
    </row>
    <row r="6" spans="1:309" s="635" customFormat="1" ht="15.75" customHeight="1" x14ac:dyDescent="0.2">
      <c r="A6" s="627" t="s">
        <v>52</v>
      </c>
      <c r="B6" s="628">
        <f>+Russia!B65</f>
        <v>3.1768947423764575</v>
      </c>
      <c r="C6" s="628">
        <f>+Russia!C65</f>
        <v>3.0167953716244678</v>
      </c>
      <c r="D6" s="628">
        <f>+Russia!D65</f>
        <v>2.5790413372812195</v>
      </c>
      <c r="E6" s="628">
        <f>+Russia!E65</f>
        <v>2.3554481278706545</v>
      </c>
      <c r="F6" s="628">
        <f>+Russia!F65</f>
        <v>2.0591681006945062</v>
      </c>
      <c r="G6" s="628">
        <f>+Russia!G65</f>
        <v>1.973463629971264</v>
      </c>
      <c r="H6" s="628">
        <f>+Russia!H65</f>
        <v>1.8996721604113866</v>
      </c>
      <c r="I6" s="628">
        <f>+Russia!I65</f>
        <v>1.9258809716432275</v>
      </c>
      <c r="J6" s="628">
        <f>+Russia!J65</f>
        <v>1.8233376513915456</v>
      </c>
      <c r="K6" s="628">
        <f>+Russia!K65</f>
        <v>1.9407744102507196</v>
      </c>
      <c r="L6" s="628">
        <f>+Russia!L65</f>
        <v>2.1348181462873068</v>
      </c>
      <c r="M6" s="628">
        <f>+Russia!M65</f>
        <v>2.2431635926526226</v>
      </c>
      <c r="N6" s="628">
        <f>+Russia!N65</f>
        <v>2.3481291145525365</v>
      </c>
      <c r="O6" s="628">
        <f>+Russia!O65</f>
        <v>2.5195893312023663</v>
      </c>
      <c r="P6" s="628">
        <f>+Russia!P65</f>
        <v>2.7014667794843135</v>
      </c>
      <c r="Q6" s="628">
        <f>+Russia!Q65</f>
        <v>2.8735484523349597</v>
      </c>
      <c r="R6" s="628">
        <f>+Russia!R65</f>
        <v>3.1093737661177365</v>
      </c>
      <c r="S6" s="628">
        <f>+Russia!S65</f>
        <v>3.3735194193107532</v>
      </c>
    </row>
    <row r="7" spans="1:309" s="635" customFormat="1" ht="15.75" customHeight="1" x14ac:dyDescent="0.2">
      <c r="A7" s="627" t="s">
        <v>53</v>
      </c>
      <c r="B7" s="628">
        <f>+Eurasia!B65</f>
        <v>1.8920437157080836</v>
      </c>
      <c r="C7" s="628">
        <f>+Eurasia!C65</f>
        <v>1.7189028618020425</v>
      </c>
      <c r="D7" s="628">
        <f>+Eurasia!D65</f>
        <v>1.5314196525024575</v>
      </c>
      <c r="E7" s="628">
        <f>+Eurasia!E65</f>
        <v>1.3869023736148456</v>
      </c>
      <c r="F7" s="628">
        <f>+Eurasia!F65</f>
        <v>1.2173582995683765</v>
      </c>
      <c r="G7" s="628">
        <f>+Eurasia!G65</f>
        <v>1.4262796506744146</v>
      </c>
      <c r="H7" s="628">
        <f>+Eurasia!H65</f>
        <v>1.4283933776055784</v>
      </c>
      <c r="I7" s="628">
        <f>+Eurasia!I65</f>
        <v>1.4350957454031137</v>
      </c>
      <c r="J7" s="628">
        <f>+Eurasia!J65</f>
        <v>1.4527975423206843</v>
      </c>
      <c r="K7" s="628">
        <f>+Eurasia!K65</f>
        <v>1.4589343674717714</v>
      </c>
      <c r="L7" s="628">
        <f>+Eurasia!L65</f>
        <v>1.5368045160373924</v>
      </c>
      <c r="M7" s="628">
        <f>+Eurasia!M65</f>
        <v>1.6395841638452195</v>
      </c>
      <c r="N7" s="628">
        <f>+Eurasia!N65</f>
        <v>1.7367208577420583</v>
      </c>
      <c r="O7" s="628">
        <f>+Eurasia!O65</f>
        <v>1.8526627257970636</v>
      </c>
      <c r="P7" s="628">
        <f>+Eurasia!P65</f>
        <v>2.0226989677666918</v>
      </c>
      <c r="Q7" s="628">
        <f>+Eurasia!Q65</f>
        <v>2.1508045975780687</v>
      </c>
      <c r="R7" s="628">
        <f>+Eurasia!R65</f>
        <v>2.3374478940256287</v>
      </c>
      <c r="S7" s="628">
        <f>+Eurasia!S65</f>
        <v>2.5381252033985704</v>
      </c>
    </row>
    <row r="8" spans="1:309" s="635" customFormat="1" ht="15.75" customHeight="1" x14ac:dyDescent="0.2">
      <c r="A8" s="627" t="s">
        <v>54</v>
      </c>
      <c r="B8" s="628">
        <f>+China!B65</f>
        <v>1.6144201721938181</v>
      </c>
      <c r="C8" s="628">
        <f>+China!C65</f>
        <v>1.7591998016385728</v>
      </c>
      <c r="D8" s="628">
        <f>+China!D65</f>
        <v>2.0091952536938558</v>
      </c>
      <c r="E8" s="628">
        <f>+China!E65</f>
        <v>2.2865660509178656</v>
      </c>
      <c r="F8" s="628">
        <f>+China!F65</f>
        <v>2.5823803404776613</v>
      </c>
      <c r="G8" s="628">
        <f>+China!G65</f>
        <v>2.8620965621277636</v>
      </c>
      <c r="H8" s="628">
        <f>+China!H65</f>
        <v>3.1441800829346183</v>
      </c>
      <c r="I8" s="628">
        <f>+China!I65</f>
        <v>3.4306572308684542</v>
      </c>
      <c r="J8" s="628">
        <f>+China!J65</f>
        <v>3.6949340337897181</v>
      </c>
      <c r="K8" s="628">
        <f>+China!K65</f>
        <v>3.97636216966356</v>
      </c>
      <c r="L8" s="628">
        <f>+China!L65</f>
        <v>4.3099834355320255</v>
      </c>
      <c r="M8" s="628">
        <f>+China!M65</f>
        <v>4.6630863258963648</v>
      </c>
      <c r="N8" s="628">
        <f>+China!N65</f>
        <v>5.0829414198110703</v>
      </c>
      <c r="O8" s="628">
        <f>+China!O65</f>
        <v>5.5877037191447725</v>
      </c>
      <c r="P8" s="628">
        <f>+China!P65</f>
        <v>6.1479488078445641</v>
      </c>
      <c r="Q8" s="628">
        <f>+China!Q65</f>
        <v>6.8385239781568785</v>
      </c>
      <c r="R8" s="628">
        <f>+China!R65</f>
        <v>7.6998428981002469</v>
      </c>
      <c r="S8" s="628">
        <f>+China!S65</f>
        <v>8.7837339319035621</v>
      </c>
    </row>
    <row r="9" spans="1:309" s="635" customFormat="1" ht="15.75" customHeight="1" x14ac:dyDescent="0.2">
      <c r="A9" s="627" t="s">
        <v>55</v>
      </c>
      <c r="B9" s="628">
        <f>+India!B65</f>
        <v>1.5770115284529704</v>
      </c>
      <c r="C9" s="628">
        <f>+India!C65</f>
        <v>1.5941787886518224</v>
      </c>
      <c r="D9" s="628">
        <f>+India!D65</f>
        <v>1.6835010439760776</v>
      </c>
      <c r="E9" s="628">
        <f>+India!E65</f>
        <v>1.7633669036629993</v>
      </c>
      <c r="F9" s="628">
        <f>+India!F65</f>
        <v>1.8798434947276361</v>
      </c>
      <c r="G9" s="628">
        <f>+India!G65</f>
        <v>2.0204903345477505</v>
      </c>
      <c r="H9" s="628">
        <f>+India!H65</f>
        <v>2.1745960225319854</v>
      </c>
      <c r="I9" s="628">
        <f>+India!I65</f>
        <v>2.2606901344533608</v>
      </c>
      <c r="J9" s="628">
        <f>+India!J65</f>
        <v>2.3980884148110664</v>
      </c>
      <c r="K9" s="628">
        <f>+India!K65</f>
        <v>2.6142020774323265</v>
      </c>
      <c r="L9" s="628">
        <f>+India!L65</f>
        <v>2.7144051032779051</v>
      </c>
      <c r="M9" s="628">
        <f>+India!M65</f>
        <v>2.8425775076498803</v>
      </c>
      <c r="N9" s="628">
        <f>+India!N65</f>
        <v>2.9485262869247362</v>
      </c>
      <c r="O9" s="628">
        <f>+India!O65</f>
        <v>3.1804904484622503</v>
      </c>
      <c r="P9" s="628">
        <f>+India!P65</f>
        <v>3.4346801565459084</v>
      </c>
      <c r="Q9" s="628">
        <f>+India!Q65</f>
        <v>3.7029558504933306</v>
      </c>
      <c r="R9" s="628">
        <f>+India!R65</f>
        <v>4.0022831976340258</v>
      </c>
      <c r="S9" s="628">
        <f>+India!S65</f>
        <v>4.3081688119903951</v>
      </c>
    </row>
    <row r="10" spans="1:309" s="635" customFormat="1" ht="15.75" customHeight="1" x14ac:dyDescent="0.2">
      <c r="A10" s="627" t="s">
        <v>56</v>
      </c>
      <c r="B10" s="628">
        <f>+MidEast!B65</f>
        <v>1.6749691600761134</v>
      </c>
      <c r="C10" s="628">
        <f>+MidEast!C65</f>
        <v>1.7767851356750697</v>
      </c>
      <c r="D10" s="628">
        <f>+MidEast!D65</f>
        <v>1.9349846963550505</v>
      </c>
      <c r="E10" s="628">
        <f>+MidEast!E65</f>
        <v>1.9714877001817825</v>
      </c>
      <c r="F10" s="628">
        <f>+MidEast!F65</f>
        <v>1.9991535180459974</v>
      </c>
      <c r="G10" s="628">
        <f>+MidEast!G65</f>
        <v>2.1954130816180411</v>
      </c>
      <c r="H10" s="628">
        <f>+MidEast!H65</f>
        <v>2.2990496185877944</v>
      </c>
      <c r="I10" s="628">
        <f>+MidEast!I65</f>
        <v>2.3733931561064869</v>
      </c>
      <c r="J10" s="628">
        <f>+MidEast!J65</f>
        <v>2.4686048619152525</v>
      </c>
      <c r="K10" s="628">
        <f>+MidEast!K65</f>
        <v>2.4957299811266611</v>
      </c>
      <c r="L10" s="628">
        <f>+MidEast!L65</f>
        <v>2.7268369798005514</v>
      </c>
      <c r="M10" s="628">
        <f>+MidEast!M65</f>
        <v>2.7526415226718584</v>
      </c>
      <c r="N10" s="628">
        <f>+MidEast!N65</f>
        <v>2.7890299136585468</v>
      </c>
      <c r="O10" s="628">
        <f>+MidEast!O65</f>
        <v>2.9365832439509045</v>
      </c>
      <c r="P10" s="628">
        <f>+MidEast!P65</f>
        <v>3.2002160159000428</v>
      </c>
      <c r="Q10" s="628">
        <f>+MidEast!Q65</f>
        <v>3.3466795624902561</v>
      </c>
      <c r="R10" s="628">
        <f>+MidEast!R65</f>
        <v>3.5346189115050213</v>
      </c>
      <c r="S10" s="628">
        <f>+MidEast!S65</f>
        <v>3.7146453908915307</v>
      </c>
    </row>
    <row r="11" spans="1:309" s="635" customFormat="1" ht="15.75" customHeight="1" x14ac:dyDescent="0.2">
      <c r="A11" s="627" t="s">
        <v>57</v>
      </c>
      <c r="B11" s="628">
        <f>+Africa!B65</f>
        <v>2.1548332392348892</v>
      </c>
      <c r="C11" s="628">
        <f>+Africa!C65</f>
        <v>2.176767472161667</v>
      </c>
      <c r="D11" s="628">
        <f>+Africa!D65</f>
        <v>2.2027712574489331</v>
      </c>
      <c r="E11" s="628">
        <f>+Africa!E65</f>
        <v>2.2052670941922008</v>
      </c>
      <c r="F11" s="628">
        <f>+Africa!F65</f>
        <v>2.2474664741290034</v>
      </c>
      <c r="G11" s="628">
        <f>+Africa!G65</f>
        <v>2.3204087962415754</v>
      </c>
      <c r="H11" s="628">
        <f>+Africa!H65</f>
        <v>2.4500953456540961</v>
      </c>
      <c r="I11" s="628">
        <f>+Africa!I65</f>
        <v>2.5488174668219354</v>
      </c>
      <c r="J11" s="628">
        <f>+Africa!J65</f>
        <v>2.6393706608349081</v>
      </c>
      <c r="K11" s="628">
        <f>+Africa!K65</f>
        <v>2.8632541546368966</v>
      </c>
      <c r="L11" s="628">
        <f>+Africa!L65</f>
        <v>2.9871873241520754</v>
      </c>
      <c r="M11" s="628">
        <f>+Africa!M65</f>
        <v>3.1027158542456816</v>
      </c>
      <c r="N11" s="628">
        <f>+Africa!N65</f>
        <v>3.249713234881777</v>
      </c>
      <c r="O11" s="628">
        <f>+Africa!O65</f>
        <v>3.4028342846025814</v>
      </c>
      <c r="P11" s="628">
        <f>+Africa!P65</f>
        <v>3.5994682879647697</v>
      </c>
      <c r="Q11" s="628">
        <f>+Africa!Q65</f>
        <v>3.8055416633194148</v>
      </c>
      <c r="R11" s="628">
        <f>+Africa!R65</f>
        <v>4.0322990127962273</v>
      </c>
      <c r="S11" s="628">
        <f>+Africa!S65</f>
        <v>4.2731496939575013</v>
      </c>
    </row>
    <row r="12" spans="1:309" s="635" customFormat="1" ht="15.75" customHeight="1" x14ac:dyDescent="0.2">
      <c r="A12" s="627" t="s">
        <v>58</v>
      </c>
      <c r="B12" s="628">
        <f>+LatAm!B65</f>
        <v>4.3775729024275929</v>
      </c>
      <c r="C12" s="628">
        <f>+LatAm!C65</f>
        <v>4.5225964758840549</v>
      </c>
      <c r="D12" s="628">
        <f>+LatAm!D65</f>
        <v>4.654214418137026</v>
      </c>
      <c r="E12" s="628">
        <f>+LatAm!E65</f>
        <v>4.8699509989767789</v>
      </c>
      <c r="F12" s="628">
        <f>+LatAm!F65</f>
        <v>5.1248959770721996</v>
      </c>
      <c r="G12" s="628">
        <f>+LatAm!G65</f>
        <v>5.1531927752463886</v>
      </c>
      <c r="H12" s="628">
        <f>+LatAm!H65</f>
        <v>5.3614732272461598</v>
      </c>
      <c r="I12" s="628">
        <f>+LatAm!I65</f>
        <v>5.6535989806755174</v>
      </c>
      <c r="J12" s="628">
        <f>+LatAm!J65</f>
        <v>5.8239187945557509</v>
      </c>
      <c r="K12" s="628">
        <f>+LatAm!K65</f>
        <v>5.8570877549747298</v>
      </c>
      <c r="L12" s="628">
        <f>+LatAm!L65</f>
        <v>6.0694803945423486</v>
      </c>
      <c r="M12" s="628">
        <f>+LatAm!M65</f>
        <v>6.0834714307978555</v>
      </c>
      <c r="N12" s="628">
        <f>+LatAm!N65</f>
        <v>6.1111337476382079</v>
      </c>
      <c r="O12" s="628">
        <f>+LatAm!O65</f>
        <v>6.2640783387502319</v>
      </c>
      <c r="P12" s="628">
        <f>+LatAm!P65</f>
        <v>6.5955887470627719</v>
      </c>
      <c r="Q12" s="628">
        <f>+LatAm!Q65</f>
        <v>6.8552034371404957</v>
      </c>
      <c r="R12" s="628">
        <f>+LatAm!R65</f>
        <v>7.2163801212386165</v>
      </c>
      <c r="S12" s="628">
        <f>+LatAm!S65</f>
        <v>7.594149831145609</v>
      </c>
    </row>
    <row r="13" spans="1:309" s="635" customFormat="1" ht="15.75" customHeight="1" x14ac:dyDescent="0.2">
      <c r="A13" s="627" t="s">
        <v>114</v>
      </c>
      <c r="B13" s="628">
        <f>+OHI!B65</f>
        <v>2.4124850396047548</v>
      </c>
      <c r="C13" s="628">
        <f>+OHI!C65</f>
        <v>2.4620821486583178</v>
      </c>
      <c r="D13" s="628">
        <f>+OHI!D65</f>
        <v>2.5321793345585157</v>
      </c>
      <c r="E13" s="628">
        <f>+OHI!E65</f>
        <v>2.6547014352988731</v>
      </c>
      <c r="F13" s="628">
        <f>+OHI!F65</f>
        <v>2.8155144852522587</v>
      </c>
      <c r="G13" s="628">
        <f>+OHI!G65</f>
        <v>2.9563926465049533</v>
      </c>
      <c r="H13" s="628">
        <f>+OHI!H65</f>
        <v>3.0861616191723855</v>
      </c>
      <c r="I13" s="628">
        <f>+OHI!I65</f>
        <v>3.2363379679465871</v>
      </c>
      <c r="J13" s="628">
        <f>+OHI!J65</f>
        <v>3.2405623572085203</v>
      </c>
      <c r="K13" s="628">
        <f>+OHI!K65</f>
        <v>3.456812654626416</v>
      </c>
      <c r="L13" s="628">
        <f>+OHI!L65</f>
        <v>3.6740414790557079</v>
      </c>
      <c r="M13" s="628">
        <f>+OHI!M65</f>
        <v>3.7656267596775814</v>
      </c>
      <c r="N13" s="628">
        <f>+OHI!N65</f>
        <v>3.9389892668788562</v>
      </c>
      <c r="O13" s="628">
        <f>+OHI!O65</f>
        <v>4.0505535430685278</v>
      </c>
      <c r="P13" s="628">
        <f>+OHI!P65</f>
        <v>4.2490336717975561</v>
      </c>
      <c r="Q13" s="628">
        <f>+OHI!Q65</f>
        <v>4.4204475938186176</v>
      </c>
      <c r="R13" s="628">
        <f>+OHI!R65</f>
        <v>4.6078505707589317</v>
      </c>
      <c r="S13" s="628">
        <f>+OHI!S65</f>
        <v>4.8115600014770834</v>
      </c>
    </row>
    <row r="14" spans="1:309" s="635" customFormat="1" ht="15.75" customHeight="1" x14ac:dyDescent="0.2">
      <c r="A14" s="627" t="s">
        <v>224</v>
      </c>
      <c r="B14" s="628">
        <f>+OthAsia!B65</f>
        <v>2.5256021532701229</v>
      </c>
      <c r="C14" s="628">
        <f>+OthAsia!C65</f>
        <v>2.6709975614217627</v>
      </c>
      <c r="D14" s="628">
        <f>+OthAsia!D65</f>
        <v>2.8453738734794407</v>
      </c>
      <c r="E14" s="628">
        <f>+OthAsia!E65</f>
        <v>3.030713932332838</v>
      </c>
      <c r="F14" s="628">
        <f>+OthAsia!F65</f>
        <v>3.2248219052137017</v>
      </c>
      <c r="G14" s="628">
        <f>+OthAsia!G65</f>
        <v>3.4587680202888174</v>
      </c>
      <c r="H14" s="628">
        <f>+OthAsia!H65</f>
        <v>3.6936674111233465</v>
      </c>
      <c r="I14" s="628">
        <f>+OthAsia!I65</f>
        <v>3.8173444237679703</v>
      </c>
      <c r="J14" s="628">
        <f>+OthAsia!J65</f>
        <v>3.6181898048145054</v>
      </c>
      <c r="K14" s="628">
        <f>+OthAsia!K65</f>
        <v>3.7447419529597457</v>
      </c>
      <c r="L14" s="628">
        <f>+OthAsia!L65</f>
        <v>3.9459382105796226</v>
      </c>
      <c r="M14" s="628">
        <f>+OthAsia!M65</f>
        <v>4.0823146077706367</v>
      </c>
      <c r="N14" s="628">
        <f>+OthAsia!N65</f>
        <v>4.2957986619802693</v>
      </c>
      <c r="O14" s="628">
        <f>+OthAsia!O65</f>
        <v>4.5405752077332702</v>
      </c>
      <c r="P14" s="628">
        <f>+OthAsia!P65</f>
        <v>4.8244369119140682</v>
      </c>
      <c r="Q14" s="628">
        <f>+OthAsia!Q65</f>
        <v>5.1060805499562294</v>
      </c>
      <c r="R14" s="628">
        <f>+OthAsia!R65</f>
        <v>5.4077599199466047</v>
      </c>
      <c r="S14" s="628">
        <f>+OthAsia!S65</f>
        <v>5.7434419287548062</v>
      </c>
    </row>
    <row r="15" spans="1:309" s="635" customFormat="1" ht="15.75" customHeight="1" x14ac:dyDescent="0.2">
      <c r="B15" s="638">
        <f t="shared" ref="B15:S15" si="2">SUM(B3:B14)</f>
        <v>49.681228737736234</v>
      </c>
      <c r="C15" s="638">
        <f t="shared" si="2"/>
        <v>50.462115694581712</v>
      </c>
      <c r="D15" s="638">
        <f t="shared" si="2"/>
        <v>51.392946250224327</v>
      </c>
      <c r="E15" s="638">
        <f t="shared" si="2"/>
        <v>52.248483138999688</v>
      </c>
      <c r="F15" s="638">
        <f t="shared" si="2"/>
        <v>53.700593862238982</v>
      </c>
      <c r="G15" s="638">
        <f t="shared" si="2"/>
        <v>55.764946253727445</v>
      </c>
      <c r="H15" s="638">
        <f t="shared" si="2"/>
        <v>57.862992528499149</v>
      </c>
      <c r="I15" s="638">
        <f t="shared" si="2"/>
        <v>60.098475351749421</v>
      </c>
      <c r="J15" s="638">
        <f t="shared" si="2"/>
        <v>61.560375667023067</v>
      </c>
      <c r="K15" s="638">
        <f t="shared" si="2"/>
        <v>63.874379348655296</v>
      </c>
      <c r="L15" s="638">
        <f t="shared" si="2"/>
        <v>66.954892230158308</v>
      </c>
      <c r="M15" s="638">
        <f t="shared" si="2"/>
        <v>68.487270305578832</v>
      </c>
      <c r="N15" s="638">
        <f t="shared" si="2"/>
        <v>70.300983565764355</v>
      </c>
      <c r="O15" s="638">
        <f t="shared" si="2"/>
        <v>72.878290774035534</v>
      </c>
      <c r="P15" s="638">
        <f t="shared" si="2"/>
        <v>76.556847197682075</v>
      </c>
      <c r="Q15" s="638">
        <f t="shared" si="2"/>
        <v>79.964953770013878</v>
      </c>
      <c r="R15" s="638">
        <f t="shared" si="2"/>
        <v>84.030738486014798</v>
      </c>
      <c r="S15" s="638">
        <f t="shared" si="2"/>
        <v>88.279891197125295</v>
      </c>
    </row>
    <row r="16" spans="1:309" s="635" customFormat="1" ht="15.75" customHeight="1" x14ac:dyDescent="0.2">
      <c r="A16" s="636" t="s">
        <v>1163</v>
      </c>
      <c r="B16" s="638"/>
      <c r="C16" s="638"/>
      <c r="D16" s="638"/>
      <c r="E16" s="638"/>
      <c r="F16" s="638"/>
      <c r="G16" s="638"/>
      <c r="H16" s="638"/>
      <c r="I16" s="638"/>
      <c r="J16" s="638"/>
      <c r="K16" s="638"/>
      <c r="L16" s="638"/>
      <c r="M16" s="638"/>
    </row>
    <row r="17" spans="1:19" s="635" customFormat="1" ht="15.75" customHeight="1" x14ac:dyDescent="0.2">
      <c r="A17" s="629" t="s">
        <v>104</v>
      </c>
      <c r="C17" s="639">
        <f t="shared" ref="C17:S17" si="3">+LN(C3/B3)</f>
        <v>-9.9282990390208358E-4</v>
      </c>
      <c r="D17" s="639">
        <f t="shared" si="3"/>
        <v>3.4911081087134588E-2</v>
      </c>
      <c r="E17" s="639">
        <f t="shared" si="3"/>
        <v>2.7128429553517418E-2</v>
      </c>
      <c r="F17" s="639">
        <f t="shared" si="3"/>
        <v>3.9371173463762912E-2</v>
      </c>
      <c r="G17" s="639">
        <f t="shared" si="3"/>
        <v>2.624580917443833E-2</v>
      </c>
      <c r="H17" s="639">
        <f t="shared" si="3"/>
        <v>3.7228924513977163E-2</v>
      </c>
      <c r="I17" s="639">
        <f t="shared" si="3"/>
        <v>4.3259972440040102E-2</v>
      </c>
      <c r="J17" s="639">
        <f t="shared" si="3"/>
        <v>4.3513506988117713E-2</v>
      </c>
      <c r="K17" s="639">
        <f t="shared" si="3"/>
        <v>4.7294228790217281E-2</v>
      </c>
      <c r="L17" s="639">
        <f t="shared" si="3"/>
        <v>3.9934366043539546E-2</v>
      </c>
      <c r="M17" s="639">
        <f t="shared" si="3"/>
        <v>9.1986435770276837E-3</v>
      </c>
      <c r="N17" s="639">
        <f t="shared" si="3"/>
        <v>1.6567345188314587E-2</v>
      </c>
      <c r="O17" s="639">
        <f t="shared" si="3"/>
        <v>2.7592850796386195E-2</v>
      </c>
      <c r="P17" s="639">
        <f t="shared" si="3"/>
        <v>3.8005777429888608E-2</v>
      </c>
      <c r="Q17" s="639">
        <f t="shared" si="3"/>
        <v>3.3883004940788539E-2</v>
      </c>
      <c r="R17" s="639">
        <f t="shared" si="3"/>
        <v>2.7513122025295361E-2</v>
      </c>
      <c r="S17" s="639">
        <f t="shared" si="3"/>
        <v>1.9840080494008819E-2</v>
      </c>
    </row>
    <row r="18" spans="1:19" s="635" customFormat="1" ht="15.75" customHeight="1" x14ac:dyDescent="0.2">
      <c r="A18" s="629" t="s">
        <v>105</v>
      </c>
      <c r="C18" s="639">
        <f t="shared" ref="C18:S18" si="4">+LN(C4/B4)</f>
        <v>2.4858316355464514E-2</v>
      </c>
      <c r="D18" s="639">
        <f t="shared" si="4"/>
        <v>1.7732762781309672E-2</v>
      </c>
      <c r="E18" s="639">
        <f t="shared" si="4"/>
        <v>2.4637208605229294E-3</v>
      </c>
      <c r="F18" s="639">
        <f t="shared" si="4"/>
        <v>2.3415353759839712E-2</v>
      </c>
      <c r="G18" s="639">
        <f t="shared" si="4"/>
        <v>2.8723211966677709E-2</v>
      </c>
      <c r="H18" s="639">
        <f t="shared" si="4"/>
        <v>2.2535549758687379E-2</v>
      </c>
      <c r="I18" s="639">
        <f t="shared" si="4"/>
        <v>3.2279025538535643E-2</v>
      </c>
      <c r="J18" s="639">
        <f t="shared" si="4"/>
        <v>2.9432833454449695E-2</v>
      </c>
      <c r="K18" s="639">
        <f t="shared" si="4"/>
        <v>2.6253608405287204E-2</v>
      </c>
      <c r="L18" s="639">
        <f t="shared" si="4"/>
        <v>4.0089289490905761E-2</v>
      </c>
      <c r="M18" s="639">
        <f t="shared" si="4"/>
        <v>1.696866185098482E-2</v>
      </c>
      <c r="N18" s="639">
        <f t="shared" si="4"/>
        <v>1.3422457845326216E-2</v>
      </c>
      <c r="O18" s="639">
        <f t="shared" si="4"/>
        <v>1.4161001439087153E-2</v>
      </c>
      <c r="P18" s="639">
        <f t="shared" si="4"/>
        <v>2.8971229432868371E-2</v>
      </c>
      <c r="Q18" s="639">
        <f t="shared" si="4"/>
        <v>2.3594158845209278E-2</v>
      </c>
      <c r="R18" s="639">
        <f t="shared" si="4"/>
        <v>3.4635924319677859E-2</v>
      </c>
      <c r="S18" s="639">
        <f t="shared" si="4"/>
        <v>3.1137996132977235E-2</v>
      </c>
    </row>
    <row r="19" spans="1:19" s="635" customFormat="1" ht="15.75" customHeight="1" x14ac:dyDescent="0.2">
      <c r="A19" s="629" t="s">
        <v>51</v>
      </c>
      <c r="C19" s="639">
        <f t="shared" ref="C19:S19" si="5">+LN(C5/B5)</f>
        <v>3.460954661917133E-2</v>
      </c>
      <c r="D19" s="639">
        <f t="shared" si="5"/>
        <v>9.2812003743257838E-3</v>
      </c>
      <c r="E19" s="639">
        <f t="shared" si="5"/>
        <v>-4.6438756319779886E-3</v>
      </c>
      <c r="F19" s="639">
        <f t="shared" si="5"/>
        <v>1.0611064574282887E-2</v>
      </c>
      <c r="G19" s="639">
        <f t="shared" si="5"/>
        <v>2.5670936672120538E-2</v>
      </c>
      <c r="H19" s="639">
        <f t="shared" si="5"/>
        <v>3.1059165000409533E-2</v>
      </c>
      <c r="I19" s="639">
        <f t="shared" si="5"/>
        <v>9.4549869233079946E-3</v>
      </c>
      <c r="J19" s="639">
        <f t="shared" si="5"/>
        <v>-1.3178985168160686E-2</v>
      </c>
      <c r="K19" s="639">
        <f t="shared" si="5"/>
        <v>-2.8364904216259656E-3</v>
      </c>
      <c r="L19" s="639">
        <f t="shared" si="5"/>
        <v>2.722199614549092E-2</v>
      </c>
      <c r="M19" s="639">
        <f t="shared" si="5"/>
        <v>3.4913633268613465E-3</v>
      </c>
      <c r="N19" s="639">
        <f t="shared" si="5"/>
        <v>1.1830380657870634E-4</v>
      </c>
      <c r="O19" s="639">
        <f t="shared" si="5"/>
        <v>1.5235829021318266E-2</v>
      </c>
      <c r="P19" s="639">
        <f t="shared" si="5"/>
        <v>2.1842943647197285E-2</v>
      </c>
      <c r="Q19" s="639">
        <f t="shared" si="5"/>
        <v>1.7456029166695485E-2</v>
      </c>
      <c r="R19" s="639">
        <f t="shared" si="5"/>
        <v>1.3689493219003162E-2</v>
      </c>
      <c r="S19" s="639">
        <f t="shared" si="5"/>
        <v>1.4641846659798742E-2</v>
      </c>
    </row>
    <row r="20" spans="1:19" s="635" customFormat="1" ht="15.75" customHeight="1" x14ac:dyDescent="0.2">
      <c r="A20" s="629" t="s">
        <v>52</v>
      </c>
      <c r="C20" s="639">
        <f t="shared" ref="C20:S20" si="6">+LN(C6/B6)</f>
        <v>-5.1709090840612523E-2</v>
      </c>
      <c r="D20" s="639">
        <f t="shared" si="6"/>
        <v>-0.15677737757517021</v>
      </c>
      <c r="E20" s="639">
        <f t="shared" si="6"/>
        <v>-9.0686757976229715E-2</v>
      </c>
      <c r="F20" s="639">
        <f t="shared" si="6"/>
        <v>-0.13442893058509617</v>
      </c>
      <c r="G20" s="639">
        <f t="shared" si="6"/>
        <v>-4.2511879874355125E-2</v>
      </c>
      <c r="H20" s="639">
        <f t="shared" si="6"/>
        <v>-3.8108862617139277E-2</v>
      </c>
      <c r="I20" s="639">
        <f t="shared" si="6"/>
        <v>1.3702186525371415E-2</v>
      </c>
      <c r="J20" s="639">
        <f t="shared" si="6"/>
        <v>-5.4714814672861919E-2</v>
      </c>
      <c r="K20" s="639">
        <f t="shared" si="6"/>
        <v>6.2418377980458351E-2</v>
      </c>
      <c r="L20" s="639">
        <f t="shared" si="6"/>
        <v>9.5294391704305495E-2</v>
      </c>
      <c r="M20" s="639">
        <f t="shared" si="6"/>
        <v>4.9505721962399989E-2</v>
      </c>
      <c r="N20" s="639">
        <f t="shared" si="6"/>
        <v>4.5731701983875689E-2</v>
      </c>
      <c r="O20" s="639">
        <f t="shared" si="6"/>
        <v>7.0477034818632961E-2</v>
      </c>
      <c r="P20" s="639">
        <f t="shared" si="6"/>
        <v>6.9698952728673977E-2</v>
      </c>
      <c r="Q20" s="639">
        <f t="shared" si="6"/>
        <v>6.1752783443649248E-2</v>
      </c>
      <c r="R20" s="639">
        <f t="shared" si="6"/>
        <v>7.8873683931259056E-2</v>
      </c>
      <c r="S20" s="639">
        <f t="shared" si="6"/>
        <v>8.1535192958754971E-2</v>
      </c>
    </row>
    <row r="21" spans="1:19" s="635" customFormat="1" ht="15.75" customHeight="1" x14ac:dyDescent="0.2">
      <c r="A21" s="629" t="s">
        <v>53</v>
      </c>
      <c r="C21" s="639">
        <f t="shared" ref="C21:S21" si="7">+LN(C7/B7)</f>
        <v>-9.5971359662963981E-2</v>
      </c>
      <c r="D21" s="639">
        <f t="shared" si="7"/>
        <v>-0.11549103360899936</v>
      </c>
      <c r="E21" s="639">
        <f t="shared" si="7"/>
        <v>-9.9122430512571344E-2</v>
      </c>
      <c r="F21" s="639">
        <f t="shared" si="7"/>
        <v>-0.13038956932246915</v>
      </c>
      <c r="G21" s="639">
        <f t="shared" si="7"/>
        <v>0.15838622842297484</v>
      </c>
      <c r="H21" s="639">
        <f t="shared" si="7"/>
        <v>1.4808892622821157E-3</v>
      </c>
      <c r="I21" s="639">
        <f t="shared" si="7"/>
        <v>4.6812680261067727E-3</v>
      </c>
      <c r="J21" s="639">
        <f t="shared" si="7"/>
        <v>1.2259468657837265E-2</v>
      </c>
      <c r="K21" s="639">
        <f t="shared" si="7"/>
        <v>4.2152467520750053E-3</v>
      </c>
      <c r="L21" s="639">
        <f t="shared" si="7"/>
        <v>5.1998987134898214E-2</v>
      </c>
      <c r="M21" s="639">
        <f t="shared" si="7"/>
        <v>6.473737998783563E-2</v>
      </c>
      <c r="N21" s="639">
        <f t="shared" si="7"/>
        <v>5.755611963073208E-2</v>
      </c>
      <c r="O21" s="639">
        <f t="shared" si="7"/>
        <v>6.4625144831842382E-2</v>
      </c>
      <c r="P21" s="639">
        <f t="shared" si="7"/>
        <v>8.7808826736018239E-2</v>
      </c>
      <c r="Q21" s="639">
        <f t="shared" si="7"/>
        <v>6.1409261311803257E-2</v>
      </c>
      <c r="R21" s="639">
        <f t="shared" si="7"/>
        <v>8.3217687042201005E-2</v>
      </c>
      <c r="S21" s="639">
        <f t="shared" si="7"/>
        <v>8.236600898944027E-2</v>
      </c>
    </row>
    <row r="22" spans="1:19" s="635" customFormat="1" ht="15.75" customHeight="1" x14ac:dyDescent="0.2">
      <c r="A22" s="629" t="s">
        <v>54</v>
      </c>
      <c r="C22" s="639">
        <f t="shared" ref="C22:S22" si="8">+LN(C8/B8)</f>
        <v>8.5883181798000793E-2</v>
      </c>
      <c r="D22" s="639">
        <f t="shared" si="8"/>
        <v>0.13287522310260985</v>
      </c>
      <c r="E22" s="639">
        <f t="shared" si="8"/>
        <v>0.12931688044087394</v>
      </c>
      <c r="F22" s="639">
        <f t="shared" si="8"/>
        <v>0.12166043513108991</v>
      </c>
      <c r="G22" s="639">
        <f t="shared" si="8"/>
        <v>0.10284283377648473</v>
      </c>
      <c r="H22" s="639">
        <f t="shared" si="8"/>
        <v>9.3998731260857102E-2</v>
      </c>
      <c r="I22" s="639">
        <f t="shared" si="8"/>
        <v>8.7198704106896105E-2</v>
      </c>
      <c r="J22" s="639">
        <f t="shared" si="8"/>
        <v>7.4210846089262442E-2</v>
      </c>
      <c r="K22" s="639">
        <f t="shared" si="8"/>
        <v>7.3404672185696088E-2</v>
      </c>
      <c r="L22" s="639">
        <f t="shared" si="8"/>
        <v>8.056668724867122E-2</v>
      </c>
      <c r="M22" s="639">
        <f t="shared" si="8"/>
        <v>7.8743469762836416E-2</v>
      </c>
      <c r="N22" s="639">
        <f t="shared" si="8"/>
        <v>8.6212583063966591E-2</v>
      </c>
      <c r="O22" s="639">
        <f t="shared" si="8"/>
        <v>9.4678305406198399E-2</v>
      </c>
      <c r="P22" s="639">
        <f t="shared" si="8"/>
        <v>9.5550079928879428E-2</v>
      </c>
      <c r="Q22" s="639">
        <f t="shared" si="8"/>
        <v>0.10645341667462777</v>
      </c>
      <c r="R22" s="639">
        <f t="shared" si="8"/>
        <v>0.11862801012662515</v>
      </c>
      <c r="S22" s="639">
        <f t="shared" si="8"/>
        <v>0.13170166841720893</v>
      </c>
    </row>
    <row r="23" spans="1:19" s="635" customFormat="1" ht="15.75" customHeight="1" x14ac:dyDescent="0.2">
      <c r="A23" s="629" t="s">
        <v>55</v>
      </c>
      <c r="C23" s="639">
        <f t="shared" ref="C23:S23" si="9">+LN(C9/B9)</f>
        <v>1.0827119274905988E-2</v>
      </c>
      <c r="D23" s="639">
        <f t="shared" si="9"/>
        <v>5.4516842142452983E-2</v>
      </c>
      <c r="E23" s="639">
        <f t="shared" si="9"/>
        <v>4.6349415273807405E-2</v>
      </c>
      <c r="F23" s="639">
        <f t="shared" si="9"/>
        <v>6.3963530876276264E-2</v>
      </c>
      <c r="G23" s="639">
        <f t="shared" si="9"/>
        <v>7.2151695940386923E-2</v>
      </c>
      <c r="H23" s="639">
        <f t="shared" si="9"/>
        <v>7.3502688690853968E-2</v>
      </c>
      <c r="I23" s="639">
        <f t="shared" si="9"/>
        <v>3.8827225373117905E-2</v>
      </c>
      <c r="J23" s="639">
        <f t="shared" si="9"/>
        <v>5.9001790259782284E-2</v>
      </c>
      <c r="K23" s="639">
        <f t="shared" si="9"/>
        <v>8.6286991885863848E-2</v>
      </c>
      <c r="L23" s="639">
        <f t="shared" si="9"/>
        <v>3.7613896520674116E-2</v>
      </c>
      <c r="M23" s="639">
        <f t="shared" si="9"/>
        <v>4.6138399131832965E-2</v>
      </c>
      <c r="N23" s="639">
        <f t="shared" si="9"/>
        <v>3.6594268080050486E-2</v>
      </c>
      <c r="O23" s="639">
        <f t="shared" si="9"/>
        <v>7.5729932202327502E-2</v>
      </c>
      <c r="P23" s="639">
        <f t="shared" si="9"/>
        <v>7.6888394275764646E-2</v>
      </c>
      <c r="Q23" s="639">
        <f t="shared" si="9"/>
        <v>7.520757097635139E-2</v>
      </c>
      <c r="R23" s="639">
        <f t="shared" si="9"/>
        <v>7.7733618456079637E-2</v>
      </c>
      <c r="S23" s="639">
        <f t="shared" si="9"/>
        <v>7.3647946540815287E-2</v>
      </c>
    </row>
    <row r="24" spans="1:19" s="635" customFormat="1" ht="15.75" customHeight="1" x14ac:dyDescent="0.2">
      <c r="A24" s="629" t="s">
        <v>56</v>
      </c>
      <c r="C24" s="639">
        <f t="shared" ref="C24:S24" si="10">+LN(C10/B10)</f>
        <v>5.9010874566461778E-2</v>
      </c>
      <c r="D24" s="639">
        <f t="shared" si="10"/>
        <v>8.5293789810898094E-2</v>
      </c>
      <c r="E24" s="639">
        <f t="shared" si="10"/>
        <v>1.8689017913870138E-2</v>
      </c>
      <c r="F24" s="639">
        <f t="shared" si="10"/>
        <v>1.393541448730057E-2</v>
      </c>
      <c r="G24" s="639">
        <f t="shared" si="10"/>
        <v>9.3646370911136895E-2</v>
      </c>
      <c r="H24" s="639">
        <f t="shared" si="10"/>
        <v>4.612560732861952E-2</v>
      </c>
      <c r="I24" s="639">
        <f t="shared" si="10"/>
        <v>3.1824814431788487E-2</v>
      </c>
      <c r="J24" s="639">
        <f t="shared" si="10"/>
        <v>3.9332515166064577E-2</v>
      </c>
      <c r="K24" s="639">
        <f t="shared" si="10"/>
        <v>1.092810618806582E-2</v>
      </c>
      <c r="L24" s="639">
        <f t="shared" si="10"/>
        <v>8.8561058008539667E-2</v>
      </c>
      <c r="M24" s="639">
        <f t="shared" si="10"/>
        <v>9.4186823154264413E-3</v>
      </c>
      <c r="N24" s="639">
        <f t="shared" si="10"/>
        <v>1.3132829832700629E-2</v>
      </c>
      <c r="O24" s="639">
        <f t="shared" si="10"/>
        <v>5.1552909421749893E-2</v>
      </c>
      <c r="P24" s="639">
        <f t="shared" si="10"/>
        <v>8.597156890079273E-2</v>
      </c>
      <c r="Q24" s="639">
        <f t="shared" si="10"/>
        <v>4.4750366425704902E-2</v>
      </c>
      <c r="R24" s="639">
        <f t="shared" si="10"/>
        <v>5.463681023213101E-2</v>
      </c>
      <c r="S24" s="639">
        <f t="shared" si="10"/>
        <v>4.9677731133201265E-2</v>
      </c>
    </row>
    <row r="25" spans="1:19" s="635" customFormat="1" ht="15.75" customHeight="1" x14ac:dyDescent="0.2">
      <c r="A25" s="629" t="s">
        <v>57</v>
      </c>
      <c r="C25" s="639">
        <f t="shared" ref="C25:S25" si="11">+LN(C11/B11)</f>
        <v>1.0127628038060195E-2</v>
      </c>
      <c r="D25" s="639">
        <f t="shared" si="11"/>
        <v>1.1875264718035895E-2</v>
      </c>
      <c r="E25" s="639">
        <f t="shared" si="11"/>
        <v>1.1324025840413702E-3</v>
      </c>
      <c r="F25" s="639">
        <f t="shared" si="11"/>
        <v>1.8954937574918899E-2</v>
      </c>
      <c r="G25" s="639">
        <f t="shared" si="11"/>
        <v>3.1939805141565365E-2</v>
      </c>
      <c r="H25" s="639">
        <f t="shared" si="11"/>
        <v>5.4383564960479913E-2</v>
      </c>
      <c r="I25" s="639">
        <f t="shared" si="11"/>
        <v>3.9502572716266601E-2</v>
      </c>
      <c r="J25" s="639">
        <f t="shared" si="11"/>
        <v>3.4910989583191346E-2</v>
      </c>
      <c r="K25" s="639">
        <f t="shared" si="11"/>
        <v>8.1418291623620354E-2</v>
      </c>
      <c r="L25" s="639">
        <f t="shared" si="11"/>
        <v>4.237345609256371E-2</v>
      </c>
      <c r="M25" s="639">
        <f t="shared" si="11"/>
        <v>3.7945559561422551E-2</v>
      </c>
      <c r="N25" s="639">
        <f t="shared" si="11"/>
        <v>4.6288947057702756E-2</v>
      </c>
      <c r="O25" s="639">
        <f t="shared" si="11"/>
        <v>4.6041940450400679E-2</v>
      </c>
      <c r="P25" s="639">
        <f t="shared" si="11"/>
        <v>5.617743928802657E-2</v>
      </c>
      <c r="Q25" s="639">
        <f t="shared" si="11"/>
        <v>5.5672200084637427E-2</v>
      </c>
      <c r="R25" s="639">
        <f t="shared" si="11"/>
        <v>5.7878351088310312E-2</v>
      </c>
      <c r="S25" s="639">
        <f t="shared" si="11"/>
        <v>5.8014500629100386E-2</v>
      </c>
    </row>
    <row r="26" spans="1:19" s="635" customFormat="1" ht="15.75" customHeight="1" x14ac:dyDescent="0.2">
      <c r="A26" s="629" t="s">
        <v>58</v>
      </c>
      <c r="C26" s="639">
        <f t="shared" ref="C26:S26" si="12">+LN(C12/B12)</f>
        <v>3.2591831548304848E-2</v>
      </c>
      <c r="D26" s="639">
        <f t="shared" si="12"/>
        <v>2.8686865131482935E-2</v>
      </c>
      <c r="E26" s="639">
        <f t="shared" si="12"/>
        <v>4.5310739617635751E-2</v>
      </c>
      <c r="F26" s="639">
        <f t="shared" si="12"/>
        <v>5.1026352429709473E-2</v>
      </c>
      <c r="G26" s="639">
        <f t="shared" si="12"/>
        <v>5.5062512787747925E-3</v>
      </c>
      <c r="H26" s="639">
        <f t="shared" si="12"/>
        <v>3.9622314205661945E-2</v>
      </c>
      <c r="I26" s="639">
        <f t="shared" si="12"/>
        <v>5.3053536951683147E-2</v>
      </c>
      <c r="J26" s="639">
        <f t="shared" si="12"/>
        <v>2.9681037456731486E-2</v>
      </c>
      <c r="K26" s="639">
        <f t="shared" si="12"/>
        <v>5.6791423628115931E-3</v>
      </c>
      <c r="L26" s="639">
        <f t="shared" si="12"/>
        <v>3.5620489272751396E-2</v>
      </c>
      <c r="M26" s="639">
        <f t="shared" si="12"/>
        <v>2.3024928655483324E-3</v>
      </c>
      <c r="N26" s="639">
        <f t="shared" si="12"/>
        <v>4.5368199925704591E-3</v>
      </c>
      <c r="O26" s="639">
        <f t="shared" si="12"/>
        <v>2.4719152748109666E-2</v>
      </c>
      <c r="P26" s="639">
        <f t="shared" si="12"/>
        <v>5.1569589118832658E-2</v>
      </c>
      <c r="Q26" s="639">
        <f t="shared" si="12"/>
        <v>3.8606935849049957E-2</v>
      </c>
      <c r="R26" s="639">
        <f t="shared" si="12"/>
        <v>5.1345469163786614E-2</v>
      </c>
      <c r="S26" s="639">
        <f t="shared" si="12"/>
        <v>5.1024732887719845E-2</v>
      </c>
    </row>
    <row r="27" spans="1:19" s="635" customFormat="1" ht="15.75" customHeight="1" x14ac:dyDescent="0.2">
      <c r="A27" s="629" t="s">
        <v>114</v>
      </c>
      <c r="C27" s="639">
        <f t="shared" ref="C27:S27" si="13">+LN(C13/B13)</f>
        <v>2.0350040830130468E-2</v>
      </c>
      <c r="D27" s="639">
        <f t="shared" si="13"/>
        <v>2.8072935166795248E-2</v>
      </c>
      <c r="E27" s="639">
        <f t="shared" si="13"/>
        <v>4.7251865613834654E-2</v>
      </c>
      <c r="F27" s="639">
        <f t="shared" si="13"/>
        <v>5.8812815900968471E-2</v>
      </c>
      <c r="G27" s="639">
        <f t="shared" si="13"/>
        <v>4.8824814088119124E-2</v>
      </c>
      <c r="H27" s="639">
        <f t="shared" si="13"/>
        <v>4.2958299692503941E-2</v>
      </c>
      <c r="I27" s="639">
        <f t="shared" si="13"/>
        <v>4.7514309471676057E-2</v>
      </c>
      <c r="J27" s="639">
        <f t="shared" si="13"/>
        <v>1.3044480071862966E-3</v>
      </c>
      <c r="K27" s="639">
        <f t="shared" si="13"/>
        <v>6.460008463817915E-2</v>
      </c>
      <c r="L27" s="639">
        <f t="shared" si="13"/>
        <v>6.0945310198094203E-2</v>
      </c>
      <c r="M27" s="639">
        <f t="shared" si="13"/>
        <v>2.4622040811982326E-2</v>
      </c>
      <c r="N27" s="639">
        <f t="shared" si="13"/>
        <v>4.5009841719907427E-2</v>
      </c>
      <c r="O27" s="639">
        <f t="shared" si="13"/>
        <v>2.7929389928775694E-2</v>
      </c>
      <c r="P27" s="639">
        <f t="shared" si="13"/>
        <v>4.7838036661963956E-2</v>
      </c>
      <c r="Q27" s="639">
        <f t="shared" si="13"/>
        <v>3.9549370790626419E-2</v>
      </c>
      <c r="R27" s="639">
        <f t="shared" si="13"/>
        <v>4.1520538114647912E-2</v>
      </c>
      <c r="S27" s="639">
        <f t="shared" si="13"/>
        <v>4.3259861520149573E-2</v>
      </c>
    </row>
    <row r="28" spans="1:19" s="635" customFormat="1" ht="15.75" customHeight="1" x14ac:dyDescent="0.2">
      <c r="A28" s="629" t="s">
        <v>224</v>
      </c>
      <c r="C28" s="639">
        <f t="shared" ref="C28:S28" si="14">+LN(C14/B14)</f>
        <v>5.5972510305230344E-2</v>
      </c>
      <c r="D28" s="639">
        <f t="shared" si="14"/>
        <v>6.324245202830947E-2</v>
      </c>
      <c r="E28" s="639">
        <f t="shared" si="14"/>
        <v>6.3103739826439312E-2</v>
      </c>
      <c r="F28" s="639">
        <f t="shared" si="14"/>
        <v>6.207951253441478E-2</v>
      </c>
      <c r="G28" s="639">
        <f t="shared" si="14"/>
        <v>7.0034736630302005E-2</v>
      </c>
      <c r="H28" s="639">
        <f t="shared" si="14"/>
        <v>6.5707380671929466E-2</v>
      </c>
      <c r="I28" s="639">
        <f t="shared" si="14"/>
        <v>3.2935161011239056E-2</v>
      </c>
      <c r="J28" s="639">
        <f t="shared" si="14"/>
        <v>-5.3581156996421977E-2</v>
      </c>
      <c r="K28" s="639">
        <f t="shared" si="14"/>
        <v>3.4378863328162958E-2</v>
      </c>
      <c r="L28" s="639">
        <f t="shared" si="14"/>
        <v>5.2334038551087925E-2</v>
      </c>
      <c r="M28" s="639">
        <f t="shared" si="14"/>
        <v>3.3977384655461441E-2</v>
      </c>
      <c r="N28" s="639">
        <f t="shared" si="14"/>
        <v>5.0973356331279543E-2</v>
      </c>
      <c r="O28" s="639">
        <f t="shared" si="14"/>
        <v>5.5416212050011744E-2</v>
      </c>
      <c r="P28" s="639">
        <f t="shared" si="14"/>
        <v>6.0640324020361139E-2</v>
      </c>
      <c r="Q28" s="639">
        <f t="shared" si="14"/>
        <v>5.6738068457711011E-2</v>
      </c>
      <c r="R28" s="639">
        <f t="shared" si="14"/>
        <v>5.7402850009790694E-2</v>
      </c>
      <c r="S28" s="639">
        <f t="shared" si="14"/>
        <v>6.02237255213992E-2</v>
      </c>
    </row>
    <row r="29" spans="1:19" s="635" customFormat="1" ht="15.75" customHeight="1" x14ac:dyDescent="0.2">
      <c r="A29" s="629" t="s">
        <v>255</v>
      </c>
      <c r="C29" s="639">
        <f t="shared" ref="C29:S29" si="15">+LN(C15/B15)</f>
        <v>1.5595700120994201E-2</v>
      </c>
      <c r="D29" s="639">
        <f t="shared" si="15"/>
        <v>1.8278060071390899E-2</v>
      </c>
      <c r="E29" s="639">
        <f t="shared" si="15"/>
        <v>1.650992903300344E-2</v>
      </c>
      <c r="F29" s="639">
        <f t="shared" si="15"/>
        <v>2.7413200749826123E-2</v>
      </c>
      <c r="G29" s="639">
        <f t="shared" si="15"/>
        <v>3.7721408305851585E-2</v>
      </c>
      <c r="H29" s="639">
        <f t="shared" si="15"/>
        <v>3.6932549724612344E-2</v>
      </c>
      <c r="I29" s="639">
        <f t="shared" si="15"/>
        <v>3.7906454324805647E-2</v>
      </c>
      <c r="J29" s="639">
        <f t="shared" si="15"/>
        <v>2.4033938709253452E-2</v>
      </c>
      <c r="K29" s="639">
        <f t="shared" si="15"/>
        <v>3.6899920416233807E-2</v>
      </c>
      <c r="L29" s="639">
        <f t="shared" si="15"/>
        <v>4.7100810538510396E-2</v>
      </c>
      <c r="M29" s="639">
        <f t="shared" si="15"/>
        <v>2.2628750683602261E-2</v>
      </c>
      <c r="N29" s="639">
        <f t="shared" si="15"/>
        <v>2.613789665323097E-2</v>
      </c>
      <c r="O29" s="639">
        <f t="shared" si="15"/>
        <v>3.6005010373246403E-2</v>
      </c>
      <c r="P29" s="639">
        <f t="shared" si="15"/>
        <v>4.9242765423072106E-2</v>
      </c>
      <c r="Q29" s="639">
        <f t="shared" si="15"/>
        <v>4.3554895321688984E-2</v>
      </c>
      <c r="R29" s="639">
        <f t="shared" si="15"/>
        <v>4.9594205448075621E-2</v>
      </c>
      <c r="S29" s="639">
        <f t="shared" si="15"/>
        <v>4.9329682649998256E-2</v>
      </c>
    </row>
    <row r="30" spans="1:19" s="635" customFormat="1" ht="15.75" customHeight="1" x14ac:dyDescent="0.2">
      <c r="A30" s="640" t="s">
        <v>1163</v>
      </c>
      <c r="B30" s="635" t="s">
        <v>1184</v>
      </c>
      <c r="C30" s="641" t="s">
        <v>1185</v>
      </c>
      <c r="D30" s="642" t="s">
        <v>1186</v>
      </c>
      <c r="E30" s="635" t="s">
        <v>1187</v>
      </c>
      <c r="F30" s="635" t="s">
        <v>1188</v>
      </c>
      <c r="M30" s="637"/>
    </row>
    <row r="31" spans="1:19" s="635" customFormat="1" ht="15.75" customHeight="1" x14ac:dyDescent="0.2">
      <c r="A31" s="629" t="s">
        <v>104</v>
      </c>
      <c r="B31" s="643">
        <f t="shared" ref="B31:B43" si="16">+AVERAGE(C17:G17)/10</f>
        <v>2.5332732674990233E-3</v>
      </c>
      <c r="C31" s="643">
        <f t="shared" ref="C31:C43" si="17">+AVERAGE(H17:L17)/10</f>
        <v>4.2246199755178364E-3</v>
      </c>
      <c r="D31" s="643">
        <f t="shared" ref="D31:D43" si="18">+AVERAGE(M17:Q17)/10</f>
        <v>2.5049524386481126E-3</v>
      </c>
      <c r="E31" s="644">
        <f t="shared" ref="E31:E43" si="19">+Q3</f>
        <v>16.033970961933566</v>
      </c>
      <c r="F31" s="645">
        <f t="shared" ref="F31:F43" si="20">+E31/B3</f>
        <v>1.5890594241951785</v>
      </c>
      <c r="M31" s="637"/>
    </row>
    <row r="32" spans="1:19" s="635" customFormat="1" ht="15.75" customHeight="1" x14ac:dyDescent="0.2">
      <c r="A32" s="629" t="s">
        <v>105</v>
      </c>
      <c r="B32" s="643">
        <f t="shared" si="16"/>
        <v>1.9438673144762907E-3</v>
      </c>
      <c r="C32" s="643">
        <f t="shared" si="17"/>
        <v>3.0118061329573137E-3</v>
      </c>
      <c r="D32" s="643">
        <f t="shared" si="18"/>
        <v>1.942350188269517E-3</v>
      </c>
      <c r="E32" s="644">
        <f t="shared" si="19"/>
        <v>19.953342203347084</v>
      </c>
      <c r="F32" s="645">
        <f t="shared" si="20"/>
        <v>1.4118503962382616</v>
      </c>
      <c r="M32" s="637"/>
    </row>
    <row r="33" spans="1:18" s="635" customFormat="1" ht="15.75" customHeight="1" x14ac:dyDescent="0.2">
      <c r="A33" s="629" t="s">
        <v>51</v>
      </c>
      <c r="B33" s="643">
        <f t="shared" si="16"/>
        <v>1.5105774521584508E-3</v>
      </c>
      <c r="C33" s="643">
        <f t="shared" si="17"/>
        <v>1.034413449588436E-3</v>
      </c>
      <c r="D33" s="643">
        <f t="shared" si="18"/>
        <v>1.1628893793730218E-3</v>
      </c>
      <c r="E33" s="644">
        <f t="shared" si="19"/>
        <v>4.8778549194449621</v>
      </c>
      <c r="F33" s="645">
        <f t="shared" si="20"/>
        <v>1.2036926185158787</v>
      </c>
      <c r="M33" s="637"/>
    </row>
    <row r="34" spans="1:18" s="635" customFormat="1" ht="15.75" customHeight="1" x14ac:dyDescent="0.2">
      <c r="A34" s="629" t="s">
        <v>52</v>
      </c>
      <c r="B34" s="643">
        <f t="shared" si="16"/>
        <v>-9.5222807370292737E-3</v>
      </c>
      <c r="C34" s="643">
        <f t="shared" si="17"/>
        <v>1.5718255784026812E-3</v>
      </c>
      <c r="D34" s="643">
        <f t="shared" si="18"/>
        <v>5.9433238987446381E-3</v>
      </c>
      <c r="E34" s="644">
        <f t="shared" si="19"/>
        <v>2.8735484523349597</v>
      </c>
      <c r="F34" s="645">
        <f t="shared" si="20"/>
        <v>0.90451484400941107</v>
      </c>
      <c r="M34" s="637"/>
    </row>
    <row r="35" spans="1:18" s="635" customFormat="1" ht="15.75" customHeight="1" x14ac:dyDescent="0.2">
      <c r="A35" s="629" t="s">
        <v>53</v>
      </c>
      <c r="B35" s="643">
        <f t="shared" si="16"/>
        <v>-5.6517632936805796E-3</v>
      </c>
      <c r="C35" s="643">
        <f t="shared" si="17"/>
        <v>1.4927171966639874E-3</v>
      </c>
      <c r="D35" s="643">
        <f t="shared" si="18"/>
        <v>6.7227346499646318E-3</v>
      </c>
      <c r="E35" s="644">
        <f t="shared" si="19"/>
        <v>2.1508045975780687</v>
      </c>
      <c r="F35" s="645">
        <f t="shared" si="20"/>
        <v>1.1367626338237886</v>
      </c>
      <c r="M35" s="637"/>
    </row>
    <row r="36" spans="1:18" s="635" customFormat="1" ht="15.75" customHeight="1" x14ac:dyDescent="0.2">
      <c r="A36" s="629" t="s">
        <v>54</v>
      </c>
      <c r="B36" s="643">
        <f t="shared" si="16"/>
        <v>1.1451571084981186E-2</v>
      </c>
      <c r="C36" s="643">
        <f t="shared" si="17"/>
        <v>8.1875928178276585E-3</v>
      </c>
      <c r="D36" s="643">
        <f t="shared" si="18"/>
        <v>9.2327570967301719E-3</v>
      </c>
      <c r="E36" s="644">
        <f t="shared" si="19"/>
        <v>6.8385239781568785</v>
      </c>
      <c r="F36" s="645">
        <f t="shared" si="20"/>
        <v>4.2359009729567996</v>
      </c>
      <c r="M36" s="637"/>
    </row>
    <row r="37" spans="1:18" s="635" customFormat="1" ht="15.75" customHeight="1" x14ac:dyDescent="0.2">
      <c r="A37" s="629" t="s">
        <v>55</v>
      </c>
      <c r="B37" s="643">
        <f t="shared" si="16"/>
        <v>4.9561720701565915E-3</v>
      </c>
      <c r="C37" s="643">
        <f t="shared" si="17"/>
        <v>5.904651854605843E-3</v>
      </c>
      <c r="D37" s="643">
        <f t="shared" si="18"/>
        <v>6.2111712933265398E-3</v>
      </c>
      <c r="E37" s="644">
        <f t="shared" si="19"/>
        <v>3.7029558504933306</v>
      </c>
      <c r="F37" s="645">
        <f t="shared" si="20"/>
        <v>2.348084198297451</v>
      </c>
      <c r="M37" s="637"/>
    </row>
    <row r="38" spans="1:18" s="635" customFormat="1" ht="15.75" customHeight="1" x14ac:dyDescent="0.2">
      <c r="A38" s="629" t="s">
        <v>56</v>
      </c>
      <c r="B38" s="643">
        <f t="shared" si="16"/>
        <v>5.4115093537933489E-3</v>
      </c>
      <c r="C38" s="643">
        <f t="shared" si="17"/>
        <v>4.3354420224615614E-3</v>
      </c>
      <c r="D38" s="643">
        <f t="shared" si="18"/>
        <v>4.0965271379274915E-3</v>
      </c>
      <c r="E38" s="644">
        <f t="shared" si="19"/>
        <v>3.3466795624902561</v>
      </c>
      <c r="F38" s="645">
        <f t="shared" si="20"/>
        <v>1.998054437216132</v>
      </c>
      <c r="M38" s="637"/>
    </row>
    <row r="39" spans="1:18" s="635" customFormat="1" ht="15.75" customHeight="1" x14ac:dyDescent="0.2">
      <c r="A39" s="629" t="s">
        <v>57</v>
      </c>
      <c r="B39" s="643">
        <f t="shared" si="16"/>
        <v>1.4806007611324345E-3</v>
      </c>
      <c r="C39" s="643">
        <f t="shared" si="17"/>
        <v>5.0517774995224385E-3</v>
      </c>
      <c r="D39" s="643">
        <f t="shared" si="18"/>
        <v>4.8425217288437994E-3</v>
      </c>
      <c r="E39" s="644">
        <f t="shared" si="19"/>
        <v>3.8055416633194148</v>
      </c>
      <c r="F39" s="645">
        <f t="shared" si="20"/>
        <v>1.7660492673069392</v>
      </c>
      <c r="M39" s="637"/>
    </row>
    <row r="40" spans="1:18" s="635" customFormat="1" ht="15.75" customHeight="1" x14ac:dyDescent="0.2">
      <c r="A40" s="629" t="s">
        <v>58</v>
      </c>
      <c r="B40" s="643">
        <f t="shared" si="16"/>
        <v>3.2624408001181563E-3</v>
      </c>
      <c r="C40" s="643">
        <f t="shared" si="17"/>
        <v>3.273130404992791E-3</v>
      </c>
      <c r="D40" s="643">
        <f t="shared" si="18"/>
        <v>2.4346998114822215E-3</v>
      </c>
      <c r="E40" s="644">
        <f t="shared" si="19"/>
        <v>6.8552034371404957</v>
      </c>
      <c r="F40" s="645">
        <f t="shared" si="20"/>
        <v>1.5659827009023488</v>
      </c>
      <c r="M40" s="637"/>
    </row>
    <row r="41" spans="1:18" s="635" customFormat="1" ht="15.75" customHeight="1" x14ac:dyDescent="0.2">
      <c r="A41" s="629" t="s">
        <v>114</v>
      </c>
      <c r="B41" s="643">
        <f t="shared" si="16"/>
        <v>4.0662494319969582E-3</v>
      </c>
      <c r="C41" s="643">
        <f t="shared" si="17"/>
        <v>4.346449040152793E-3</v>
      </c>
      <c r="D41" s="643">
        <f t="shared" si="18"/>
        <v>3.6989735982651166E-3</v>
      </c>
      <c r="E41" s="644">
        <f t="shared" si="19"/>
        <v>4.4204475938186176</v>
      </c>
      <c r="F41" s="645">
        <f t="shared" si="20"/>
        <v>1.8323212460388287</v>
      </c>
      <c r="M41" s="637"/>
    </row>
    <row r="42" spans="1:18" s="635" customFormat="1" ht="15.75" customHeight="1" x14ac:dyDescent="0.2">
      <c r="A42" s="629" t="s">
        <v>224</v>
      </c>
      <c r="B42" s="643">
        <f t="shared" si="16"/>
        <v>6.2886590264939184E-3</v>
      </c>
      <c r="C42" s="643">
        <f t="shared" si="17"/>
        <v>2.6354857313199485E-3</v>
      </c>
      <c r="D42" s="643">
        <f t="shared" si="18"/>
        <v>5.1549069102964969E-3</v>
      </c>
      <c r="E42" s="644">
        <f t="shared" si="19"/>
        <v>5.1060805499562294</v>
      </c>
      <c r="F42" s="645">
        <f t="shared" si="20"/>
        <v>2.0217279840947753</v>
      </c>
      <c r="M42" s="637"/>
    </row>
    <row r="43" spans="1:18" s="650" customFormat="1" ht="15.75" customHeight="1" x14ac:dyDescent="0.2">
      <c r="A43" s="632" t="s">
        <v>255</v>
      </c>
      <c r="B43" s="646">
        <f t="shared" si="16"/>
        <v>2.3103659656213251E-3</v>
      </c>
      <c r="C43" s="646">
        <f t="shared" si="17"/>
        <v>3.6574734742683126E-3</v>
      </c>
      <c r="D43" s="646">
        <f t="shared" si="18"/>
        <v>3.5513863690968144E-3</v>
      </c>
      <c r="E43" s="647">
        <f t="shared" si="19"/>
        <v>79.964953770013878</v>
      </c>
      <c r="F43" s="648">
        <f t="shared" si="20"/>
        <v>1.6095607093806663</v>
      </c>
      <c r="G43" s="649"/>
      <c r="H43" s="649"/>
      <c r="I43" s="649"/>
      <c r="J43" s="649"/>
      <c r="K43" s="649"/>
      <c r="L43" s="649"/>
      <c r="M43" s="649"/>
    </row>
    <row r="44" spans="1:18" s="635" customFormat="1" ht="15.75" customHeight="1" x14ac:dyDescent="0.2">
      <c r="M44" s="637"/>
    </row>
    <row r="45" spans="1:18" s="635" customFormat="1" ht="15.75" customHeight="1" x14ac:dyDescent="0.2">
      <c r="M45" s="637"/>
    </row>
    <row r="46" spans="1:18" s="635" customFormat="1" ht="15.75" customHeight="1" x14ac:dyDescent="0.2">
      <c r="A46" s="640" t="s">
        <v>779</v>
      </c>
      <c r="M46" s="637"/>
    </row>
    <row r="47" spans="1:18" s="635" customFormat="1" ht="15.75" customHeight="1" x14ac:dyDescent="0.2">
      <c r="A47" s="629" t="s">
        <v>104</v>
      </c>
      <c r="B47" s="630">
        <f>+US!B88</f>
        <v>27.923692977223421</v>
      </c>
      <c r="C47" s="630">
        <f>+US!C88</f>
        <v>24.610547967944818</v>
      </c>
      <c r="D47" s="630">
        <f>+US!D88</f>
        <v>23.715871722392777</v>
      </c>
      <c r="E47" s="630">
        <f>+US!E88</f>
        <v>23.067167474522776</v>
      </c>
      <c r="F47" s="630">
        <f>+US!F88</f>
        <v>23.019046505443633</v>
      </c>
      <c r="G47" s="630">
        <f>+US!G88</f>
        <v>23.049079482189875</v>
      </c>
      <c r="H47" s="630">
        <f>+US!H88</f>
        <v>23.536259210396992</v>
      </c>
      <c r="I47" s="630">
        <f>+US!I88</f>
        <v>24.173676822534713</v>
      </c>
      <c r="J47" s="630">
        <f>+US!J88</f>
        <v>24.825340681266105</v>
      </c>
      <c r="K47" s="630">
        <f>+US!K88</f>
        <v>25.614766599544144</v>
      </c>
      <c r="L47" s="630">
        <f>+US!L88</f>
        <v>26.388624512648047</v>
      </c>
      <c r="M47" s="630">
        <f>+US!M88</f>
        <v>25.992475306888569</v>
      </c>
      <c r="N47" s="630">
        <f>+US!N88</f>
        <v>26.235955890620108</v>
      </c>
      <c r="O47" s="630">
        <f>+US!O88</f>
        <v>26.775307077968765</v>
      </c>
      <c r="P47" s="630">
        <f>+US!P88</f>
        <v>27.611773687885268</v>
      </c>
      <c r="Q47" s="630">
        <f>+US!Q88</f>
        <v>28.357220007192289</v>
      </c>
      <c r="R47" s="630">
        <f>+US!R88</f>
        <v>28.937872255289136</v>
      </c>
    </row>
    <row r="48" spans="1:18" s="635" customFormat="1" ht="15.75" customHeight="1" x14ac:dyDescent="0.2">
      <c r="A48" s="629" t="s">
        <v>105</v>
      </c>
      <c r="B48" s="630">
        <f>+EU!B88</f>
        <v>23.801359962825604</v>
      </c>
      <c r="C48" s="630">
        <f>+EU!C88</f>
        <v>22.658822833527019</v>
      </c>
      <c r="D48" s="630">
        <f>+EU!D88</f>
        <v>22.619430055521214</v>
      </c>
      <c r="E48" s="630">
        <f>+EU!E88</f>
        <v>22.506568527047694</v>
      </c>
      <c r="F48" s="630">
        <f>+EU!F88</f>
        <v>23.078064501017305</v>
      </c>
      <c r="G48" s="630">
        <f>+EU!G88</f>
        <v>24.112643346327161</v>
      </c>
      <c r="H48" s="630">
        <f>+EU!H88</f>
        <v>25.207283587850092</v>
      </c>
      <c r="I48" s="630">
        <f>+EU!I88</f>
        <v>26.603753136633589</v>
      </c>
      <c r="J48" s="630">
        <f>+EU!J88</f>
        <v>27.991600883161823</v>
      </c>
      <c r="K48" s="630">
        <f>+EU!K88</f>
        <v>29.190236633315081</v>
      </c>
      <c r="L48" s="630">
        <f>+EU!L88</f>
        <v>30.465773495424109</v>
      </c>
      <c r="M48" s="630">
        <f>+EU!M88</f>
        <v>30.476212254813635</v>
      </c>
      <c r="N48" s="630">
        <f>+EU!N88</f>
        <v>30.752450691304759</v>
      </c>
      <c r="O48" s="630">
        <f>+EU!O88</f>
        <v>31.054119325342164</v>
      </c>
      <c r="P48" s="630">
        <f>+EU!P88</f>
        <v>31.826633597559052</v>
      </c>
      <c r="Q48" s="630">
        <f>+EU!Q88</f>
        <v>32.443444682540196</v>
      </c>
      <c r="R48" s="630">
        <f>+EU!R88</f>
        <v>33.439408894697685</v>
      </c>
    </row>
    <row r="49" spans="1:18" s="635" customFormat="1" ht="15.75" customHeight="1" x14ac:dyDescent="0.2">
      <c r="A49" s="629" t="s">
        <v>51</v>
      </c>
      <c r="B49" s="630">
        <f>+Japan!B88</f>
        <v>26.916943776904922</v>
      </c>
      <c r="C49" s="630">
        <f>+Japan!C88</f>
        <v>27.267960577501395</v>
      </c>
      <c r="D49" s="630">
        <f>+Japan!D88</f>
        <v>28.824568115031013</v>
      </c>
      <c r="E49" s="630">
        <f>+Japan!E88</f>
        <v>30.740415536618606</v>
      </c>
      <c r="F49" s="630">
        <f>+Japan!F88</f>
        <v>32.974302971871879</v>
      </c>
      <c r="G49" s="630">
        <f>+Japan!G88</f>
        <v>35.557965569481368</v>
      </c>
      <c r="H49" s="630">
        <f>+Japan!H88</f>
        <v>38.091478050850128</v>
      </c>
      <c r="I49" s="630">
        <f>+Japan!I88</f>
        <v>39.923095442805149</v>
      </c>
      <c r="J49" s="630">
        <f>+Japan!J88</f>
        <v>40.891738705777598</v>
      </c>
      <c r="K49" s="630">
        <f>+Japan!K88</f>
        <v>41.960725889369648</v>
      </c>
      <c r="L49" s="630">
        <f>+Japan!L88</f>
        <v>43.471588016293808</v>
      </c>
      <c r="M49" s="630">
        <f>+Japan!M88</f>
        <v>42.695600516054931</v>
      </c>
      <c r="N49" s="630">
        <f>+Japan!N88</f>
        <v>42.485341918151647</v>
      </c>
      <c r="O49" s="630">
        <f>+Japan!O88</f>
        <v>42.920084369208226</v>
      </c>
      <c r="P49" s="630">
        <f>+Japan!P88</f>
        <v>43.646703629698322</v>
      </c>
      <c r="Q49" s="630">
        <f>+Japan!Q88</f>
        <v>44.191334792916933</v>
      </c>
      <c r="R49" s="630">
        <f>+Japan!R88</f>
        <v>44.574553717304298</v>
      </c>
    </row>
    <row r="50" spans="1:18" s="635" customFormat="1" ht="15.75" customHeight="1" x14ac:dyDescent="0.2">
      <c r="A50" s="629" t="s">
        <v>52</v>
      </c>
      <c r="B50" s="630">
        <f>+Russia!B88</f>
        <v>17.950205316640236</v>
      </c>
      <c r="C50" s="630">
        <f>+Russia!C88</f>
        <v>17.733109941745358</v>
      </c>
      <c r="D50" s="630">
        <f>+Russia!D88</f>
        <v>15.881729265296949</v>
      </c>
      <c r="E50" s="630">
        <f>+Russia!E88</f>
        <v>15.301666669637051</v>
      </c>
      <c r="F50" s="630">
        <f>+Russia!F88</f>
        <v>14.043373904035676</v>
      </c>
      <c r="G50" s="630">
        <f>+Russia!G88</f>
        <v>14.111816342134203</v>
      </c>
      <c r="H50" s="630">
        <f>+Russia!H88</f>
        <v>14.248461777599355</v>
      </c>
      <c r="I50" s="630">
        <f>+Russia!I88</f>
        <v>15.146225085894276</v>
      </c>
      <c r="J50" s="630">
        <f>+Russia!J88</f>
        <v>15.029074626071216</v>
      </c>
      <c r="K50" s="630">
        <f>+Russia!K88</f>
        <v>16.585799830512883</v>
      </c>
      <c r="L50" s="630">
        <f>+Russia!L88</f>
        <v>18.395835060442483</v>
      </c>
      <c r="M50" s="630">
        <f>+Russia!M88</f>
        <v>18.923762723078724</v>
      </c>
      <c r="N50" s="630">
        <f>+Russia!N88</f>
        <v>19.638204975111286</v>
      </c>
      <c r="O50" s="630">
        <f>+Russia!O88</f>
        <v>20.890211882680564</v>
      </c>
      <c r="P50" s="630">
        <f>+Russia!P88</f>
        <v>22.204754933436739</v>
      </c>
      <c r="Q50" s="630">
        <f>+Russia!Q88</f>
        <v>23.415214811390335</v>
      </c>
      <c r="R50" s="630">
        <f>+Russia!R88</f>
        <v>25.118044236107629</v>
      </c>
    </row>
    <row r="51" spans="1:18" s="635" customFormat="1" ht="15.75" customHeight="1" x14ac:dyDescent="0.2">
      <c r="A51" s="629" t="s">
        <v>53</v>
      </c>
      <c r="B51" s="630">
        <f>+Eurasia!B88</f>
        <v>9.7669497340305487</v>
      </c>
      <c r="C51" s="630">
        <f>+Eurasia!C88</f>
        <v>8.4370421201988162</v>
      </c>
      <c r="D51" s="630">
        <f>+Eurasia!D88</f>
        <v>7.5192469248975176</v>
      </c>
      <c r="E51" s="630">
        <f>+Eurasia!E88</f>
        <v>6.910772983072337</v>
      </c>
      <c r="F51" s="630">
        <f>+Eurasia!F88</f>
        <v>6.1989369415616187</v>
      </c>
      <c r="G51" s="630">
        <f>+Eurasia!G88</f>
        <v>7.4857553353078385</v>
      </c>
      <c r="H51" s="630">
        <f>+Eurasia!H88</f>
        <v>7.7520077865074724</v>
      </c>
      <c r="I51" s="630">
        <f>+Eurasia!I88</f>
        <v>8.0493485289163349</v>
      </c>
      <c r="J51" s="630">
        <f>+Eurasia!J88</f>
        <v>8.416329784867937</v>
      </c>
      <c r="K51" s="630">
        <f>+Eurasia!K88</f>
        <v>8.6675241261839862</v>
      </c>
      <c r="L51" s="630">
        <f>+Eurasia!L88</f>
        <v>9.2114624735838113</v>
      </c>
      <c r="M51" s="630">
        <f>+Eurasia!M88</f>
        <v>9.7495008949767126</v>
      </c>
      <c r="N51" s="630">
        <f>+Eurasia!N88</f>
        <v>10.327098717425534</v>
      </c>
      <c r="O51" s="630">
        <f>+Eurasia!O88</f>
        <v>11.016517080452235</v>
      </c>
      <c r="P51" s="630">
        <f>+Eurasia!P88</f>
        <v>12.027596247304993</v>
      </c>
      <c r="Q51" s="630">
        <f>+Eurasia!Q88</f>
        <v>12.789341501811695</v>
      </c>
      <c r="R51" s="630">
        <f>+Eurasia!R88</f>
        <v>13.899168061342493</v>
      </c>
    </row>
    <row r="52" spans="1:18" s="635" customFormat="1" ht="15.75" customHeight="1" x14ac:dyDescent="0.2">
      <c r="A52" s="629" t="s">
        <v>54</v>
      </c>
      <c r="B52" s="630">
        <f>+China!B88</f>
        <v>0.79566170124862734</v>
      </c>
      <c r="C52" s="630">
        <f>+China!C88</f>
        <v>0.98020656842442555</v>
      </c>
      <c r="D52" s="630">
        <f>+China!D88</f>
        <v>1.0916078981810002</v>
      </c>
      <c r="E52" s="630">
        <f>+China!E88</f>
        <v>1.2464595194078631</v>
      </c>
      <c r="F52" s="630">
        <f>+China!F88</f>
        <v>1.4369774093799852</v>
      </c>
      <c r="G52" s="630">
        <f>+China!G88</f>
        <v>1.6448972934702786</v>
      </c>
      <c r="H52" s="630">
        <f>+China!H88</f>
        <v>1.8688920274758853</v>
      </c>
      <c r="I52" s="630">
        <f>+China!I88</f>
        <v>2.1083279493808535</v>
      </c>
      <c r="J52" s="630">
        <f>+China!J88</f>
        <v>2.3480251088607651</v>
      </c>
      <c r="K52" s="630">
        <f>+China!K88</f>
        <v>2.5924482080642322</v>
      </c>
      <c r="L52" s="630">
        <f>+China!L88</f>
        <v>2.8211834164553538</v>
      </c>
      <c r="M52" s="630">
        <f>+China!M88</f>
        <v>3.067962834943283</v>
      </c>
      <c r="N52" s="630">
        <f>+China!N88</f>
        <v>3.3388014283137593</v>
      </c>
      <c r="O52" s="630">
        <f>+China!O88</f>
        <v>3.6644407450519227</v>
      </c>
      <c r="P52" s="630">
        <f>+China!P88</f>
        <v>4.0253479174422981</v>
      </c>
      <c r="Q52" s="630">
        <f>+China!Q88</f>
        <v>4.470276658490441</v>
      </c>
      <c r="R52" s="630">
        <f>+China!R88</f>
        <v>5.025192919662846</v>
      </c>
    </row>
    <row r="53" spans="1:18" s="635" customFormat="1" ht="15.75" customHeight="1" x14ac:dyDescent="0.2">
      <c r="A53" s="629" t="s">
        <v>55</v>
      </c>
      <c r="B53" s="630">
        <f>+India!B88</f>
        <v>1.0159441739130284</v>
      </c>
      <c r="C53" s="630">
        <f>+India!C88</f>
        <v>0.9305228314999725</v>
      </c>
      <c r="D53" s="630">
        <f>+India!D88</f>
        <v>0.90667644608166575</v>
      </c>
      <c r="E53" s="630">
        <f>+India!E88</f>
        <v>0.90190719313715972</v>
      </c>
      <c r="F53" s="630">
        <f>+India!F88</f>
        <v>0.93540201336384432</v>
      </c>
      <c r="G53" s="630">
        <f>+India!G88</f>
        <v>1.0052664498444503</v>
      </c>
      <c r="H53" s="630">
        <f>+India!H88</f>
        <v>1.09426038789101</v>
      </c>
      <c r="I53" s="630">
        <f>+India!I88</f>
        <v>1.1498315016750698</v>
      </c>
      <c r="J53" s="630">
        <f>+India!J88</f>
        <v>1.2319380935716733</v>
      </c>
      <c r="K53" s="630">
        <f>+India!K88</f>
        <v>1.35554149349654</v>
      </c>
      <c r="L53" s="630">
        <f>+India!L88</f>
        <v>1.4204981804909482</v>
      </c>
      <c r="M53" s="630">
        <f>+India!M88</f>
        <v>1.4994632237682319</v>
      </c>
      <c r="N53" s="630">
        <f>+India!N88</f>
        <v>1.5727851947553511</v>
      </c>
      <c r="O53" s="630">
        <f>+India!O88</f>
        <v>1.7155343132381007</v>
      </c>
      <c r="P53" s="630">
        <f>+India!P88</f>
        <v>1.8734086424373082</v>
      </c>
      <c r="Q53" s="630">
        <f>+India!Q88</f>
        <v>2.042375807484472</v>
      </c>
      <c r="R53" s="630">
        <f>+India!R88</f>
        <v>2.2322140845341196</v>
      </c>
    </row>
    <row r="54" spans="1:18" s="635" customFormat="1" ht="15.75" customHeight="1" x14ac:dyDescent="0.2">
      <c r="A54" s="629" t="s">
        <v>56</v>
      </c>
      <c r="B54" s="630">
        <f>+MidEast!B88</f>
        <v>3.0150008392658547</v>
      </c>
      <c r="C54" s="630">
        <f>+MidEast!C88</f>
        <v>2.6682837225561822</v>
      </c>
      <c r="D54" s="630">
        <f>+MidEast!D88</f>
        <v>2.5277270289864187</v>
      </c>
      <c r="E54" s="630">
        <f>+MidEast!E88</f>
        <v>2.3120050363254974</v>
      </c>
      <c r="F54" s="630">
        <f>+MidEast!F88</f>
        <v>2.1666634887441822</v>
      </c>
      <c r="G54" s="630">
        <f>+MidEast!G88</f>
        <v>2.2683149647770979</v>
      </c>
      <c r="H54" s="630">
        <f>+MidEast!H88</f>
        <v>2.292014745198435</v>
      </c>
      <c r="I54" s="630">
        <f>+MidEast!I88</f>
        <v>2.2822717029833548</v>
      </c>
      <c r="J54" s="630">
        <f>+MidEast!J88</f>
        <v>2.2886335969481468</v>
      </c>
      <c r="K54" s="630">
        <f>+MidEast!K88</f>
        <v>2.2497053202499471</v>
      </c>
      <c r="L54" s="630">
        <f>+MidEast!L88</f>
        <v>2.4483512749406211</v>
      </c>
      <c r="M54" s="630">
        <f>+MidEast!M88</f>
        <v>2.4679861340113405</v>
      </c>
      <c r="N54" s="630">
        <f>+MidEast!N88</f>
        <v>2.5268507310456432</v>
      </c>
      <c r="O54" s="630">
        <f>+MidEast!O88</f>
        <v>2.6884507704323561</v>
      </c>
      <c r="P54" s="630">
        <f>+MidEast!P88</f>
        <v>2.9605501552238911</v>
      </c>
      <c r="Q54" s="630">
        <f>+MidEast!Q88</f>
        <v>3.1285321103615313</v>
      </c>
      <c r="R54" s="630">
        <f>+MidEast!R88</f>
        <v>3.3388925158997962</v>
      </c>
    </row>
    <row r="55" spans="1:18" s="635" customFormat="1" ht="15.75" customHeight="1" x14ac:dyDescent="0.2">
      <c r="A55" s="629" t="s">
        <v>57</v>
      </c>
      <c r="B55" s="630">
        <f>+Africa!B88</f>
        <v>1.9815597271453651</v>
      </c>
      <c r="C55" s="630">
        <f>+Africa!C88</f>
        <v>1.6019561901955108</v>
      </c>
      <c r="D55" s="630">
        <f>+Africa!D88</f>
        <v>1.3771115849305051</v>
      </c>
      <c r="E55" s="630">
        <f>+Africa!E88</f>
        <v>1.2045765063795786</v>
      </c>
      <c r="F55" s="630">
        <f>+Africa!F88</f>
        <v>1.1121903594672138</v>
      </c>
      <c r="G55" s="630">
        <f>+Africa!G88</f>
        <v>1.0885870853032977</v>
      </c>
      <c r="H55" s="630">
        <f>+Africa!H88</f>
        <v>1.1124181715161099</v>
      </c>
      <c r="I55" s="630">
        <f>+Africa!I88</f>
        <v>1.1193684818462428</v>
      </c>
      <c r="J55" s="630">
        <f>+Africa!J88</f>
        <v>1.1205618982320003</v>
      </c>
      <c r="K55" s="630">
        <f>+Africa!K88</f>
        <v>1.1879919099364729</v>
      </c>
      <c r="L55" s="630">
        <f>+Africa!L88</f>
        <v>1.2427410013731095</v>
      </c>
      <c r="M55" s="630">
        <f>+Africa!M88</f>
        <v>1.320847542009193</v>
      </c>
      <c r="N55" s="630">
        <f>+Africa!N88</f>
        <v>1.4135760709155221</v>
      </c>
      <c r="O55" s="630">
        <f>+Africa!O88</f>
        <v>1.5124408667487266</v>
      </c>
      <c r="P55" s="630">
        <f>+Africa!P88</f>
        <v>1.6347050856131866</v>
      </c>
      <c r="Q55" s="630">
        <f>+Africa!Q88</f>
        <v>1.7659605646648322</v>
      </c>
      <c r="R55" s="630">
        <f>+Africa!R88</f>
        <v>1.9119683897442612</v>
      </c>
    </row>
    <row r="56" spans="1:18" s="635" customFormat="1" ht="15.75" customHeight="1" x14ac:dyDescent="0.2">
      <c r="A56" s="629" t="s">
        <v>58</v>
      </c>
      <c r="B56" s="630">
        <f>+LatAm!B88</f>
        <v>6.0242743425992407</v>
      </c>
      <c r="C56" s="630">
        <f>+LatAm!C88</f>
        <v>5.5838778195152692</v>
      </c>
      <c r="D56" s="630">
        <f>+LatAm!D88</f>
        <v>5.3693292490954061</v>
      </c>
      <c r="E56" s="630">
        <f>+LatAm!E88</f>
        <v>5.3849793437433195</v>
      </c>
      <c r="F56" s="630">
        <f>+LatAm!F88</f>
        <v>5.5599888982692907</v>
      </c>
      <c r="G56" s="630">
        <f>+LatAm!G88</f>
        <v>5.6006923693019379</v>
      </c>
      <c r="H56" s="630">
        <f>+LatAm!H88</f>
        <v>5.8792696058373535</v>
      </c>
      <c r="I56" s="630">
        <f>+LatAm!I88</f>
        <v>6.2526518639046058</v>
      </c>
      <c r="J56" s="630">
        <f>+LatAm!J88</f>
        <v>6.4925283303054853</v>
      </c>
      <c r="K56" s="630">
        <f>+LatAm!K88</f>
        <v>6.5752849685642483</v>
      </c>
      <c r="L56" s="630">
        <f>+LatAm!L88</f>
        <v>6.863566944875525</v>
      </c>
      <c r="M56" s="630">
        <f>+LatAm!M88</f>
        <v>6.8544064615927134</v>
      </c>
      <c r="N56" s="630">
        <f>+LatAm!N88</f>
        <v>6.9363053797526337</v>
      </c>
      <c r="O56" s="630">
        <f>+LatAm!O88</f>
        <v>7.1622855554866121</v>
      </c>
      <c r="P56" s="630">
        <f>+LatAm!P88</f>
        <v>7.5968937985482912</v>
      </c>
      <c r="Q56" s="630">
        <f>+LatAm!Q88</f>
        <v>7.9540967555033548</v>
      </c>
      <c r="R56" s="630">
        <f>+LatAm!R88</f>
        <v>8.4348615530621007</v>
      </c>
    </row>
    <row r="57" spans="1:18" s="635" customFormat="1" ht="15.75" customHeight="1" x14ac:dyDescent="0.2">
      <c r="A57" s="629" t="s">
        <v>114</v>
      </c>
      <c r="B57" s="630">
        <f>+OHI!B88</f>
        <v>15.186008072524086</v>
      </c>
      <c r="C57" s="630">
        <f>+OHI!C88</f>
        <v>14.124587833798957</v>
      </c>
      <c r="D57" s="630">
        <f>+OHI!D88</f>
        <v>13.860062245095495</v>
      </c>
      <c r="E57" s="630">
        <f>+OHI!E88</f>
        <v>14.166307147926892</v>
      </c>
      <c r="F57" s="630">
        <f>+OHI!F88</f>
        <v>14.943108017739203</v>
      </c>
      <c r="G57" s="630">
        <f>+OHI!G88</f>
        <v>15.914808145063079</v>
      </c>
      <c r="H57" s="630">
        <f>+OHI!H88</f>
        <v>17.009473973004379</v>
      </c>
      <c r="I57" s="630">
        <f>+OHI!I88</f>
        <v>18.258848526213374</v>
      </c>
      <c r="J57" s="630">
        <f>+OHI!J88</f>
        <v>18.712242535042904</v>
      </c>
      <c r="K57" s="630">
        <f>+OHI!K88</f>
        <v>20.304257331972913</v>
      </c>
      <c r="L57" s="630">
        <f>+OHI!L88</f>
        <v>21.636927320596048</v>
      </c>
      <c r="M57" s="630">
        <f>+OHI!M88</f>
        <v>21.804480949439984</v>
      </c>
      <c r="N57" s="630">
        <f>+OHI!N88</f>
        <v>22.689492447862971</v>
      </c>
      <c r="O57" s="630">
        <f>+OHI!O88</f>
        <v>23.210573067427173</v>
      </c>
      <c r="P57" s="630">
        <f>+OHI!P88</f>
        <v>24.221060861372436</v>
      </c>
      <c r="Q57" s="630">
        <f>+OHI!Q88</f>
        <v>25.066906248651048</v>
      </c>
      <c r="R57" s="630">
        <f>+OHI!R88</f>
        <v>25.993477188434493</v>
      </c>
    </row>
    <row r="58" spans="1:18" s="635" customFormat="1" ht="15.75" customHeight="1" x14ac:dyDescent="0.2">
      <c r="A58" s="629" t="s">
        <v>224</v>
      </c>
      <c r="B58" s="630">
        <f>+OthAsia!B88</f>
        <v>2.0456429177152837</v>
      </c>
      <c r="C58" s="630">
        <f>+OthAsia!C88</f>
        <v>1.7819884507978854</v>
      </c>
      <c r="D58" s="630">
        <f>+OthAsia!D88</f>
        <v>1.7195751522433906</v>
      </c>
      <c r="E58" s="630">
        <f>+OthAsia!E88</f>
        <v>1.7014908447986654</v>
      </c>
      <c r="F58" s="630">
        <f>+OthAsia!F88</f>
        <v>1.7268772759185724</v>
      </c>
      <c r="G58" s="630">
        <f>+OthAsia!G88</f>
        <v>1.8194553710934505</v>
      </c>
      <c r="H58" s="630">
        <f>+OthAsia!H88</f>
        <v>1.9325453562505286</v>
      </c>
      <c r="I58" s="630">
        <f>+OthAsia!I88</f>
        <v>1.9852896620277698</v>
      </c>
      <c r="J58" s="630">
        <f>+OthAsia!J88</f>
        <v>1.8691424853090852</v>
      </c>
      <c r="K58" s="630">
        <f>+OthAsia!K88</f>
        <v>1.9262568479412403</v>
      </c>
      <c r="L58" s="630">
        <f>+OthAsia!L88</f>
        <v>2.0309369575144842</v>
      </c>
      <c r="M58" s="630">
        <f>+OthAsia!M88</f>
        <v>2.1388298830304615</v>
      </c>
      <c r="N58" s="630">
        <f>+OthAsia!N88</f>
        <v>2.2741186977415051</v>
      </c>
      <c r="O58" s="630">
        <f>+OthAsia!O88</f>
        <v>2.4287315941033825</v>
      </c>
      <c r="P58" s="630">
        <f>+OthAsia!P88</f>
        <v>2.6074423723178062</v>
      </c>
      <c r="Q58" s="630">
        <f>+OthAsia!Q88</f>
        <v>2.7884007257728762</v>
      </c>
      <c r="R58" s="630">
        <f>+OthAsia!R88</f>
        <v>2.9839007004850631</v>
      </c>
    </row>
    <row r="59" spans="1:18" s="635" customFormat="1" ht="15.75" customHeight="1" x14ac:dyDescent="0.2">
      <c r="B59" s="638">
        <f>+Global!B48/Global!B34*1000</f>
        <v>6.1796922123588516</v>
      </c>
      <c r="C59" s="638">
        <f>+Global!C48/Global!C34*1000</f>
        <v>5.5051071849156106</v>
      </c>
      <c r="D59" s="638">
        <f>+Global!D48/Global!D34*1000</f>
        <v>5.1555897507799475</v>
      </c>
      <c r="E59" s="638">
        <f>+Global!E48/Global!E34*1000</f>
        <v>4.9389392388370439</v>
      </c>
      <c r="F59" s="638">
        <f>+Global!F48/Global!F34*1000</f>
        <v>4.8676646584731902</v>
      </c>
      <c r="G59" s="638">
        <f>+Global!G48/Global!G34*1000</f>
        <v>4.9813852971933557</v>
      </c>
      <c r="H59" s="638">
        <f>+Global!H48/Global!H34*1000</f>
        <v>5.1597607047390586</v>
      </c>
      <c r="I59" s="638">
        <f>+Global!I48/Global!I34*1000</f>
        <v>5.3456826645218705</v>
      </c>
      <c r="J59" s="638">
        <f>+Global!J48/Global!J34*1000</f>
        <v>5.4568913083575161</v>
      </c>
      <c r="K59" s="638">
        <f>+Global!K48/Global!K34*1000</f>
        <v>5.6243112252119456</v>
      </c>
      <c r="L59" s="638">
        <f>+Global!L48/Global!L34*1000</f>
        <v>5.8913770258251699</v>
      </c>
      <c r="M59" s="638">
        <f>+Global!M48/Global!M34*1000</f>
        <v>6.0182274386035726</v>
      </c>
      <c r="N59" s="638">
        <f>+Global!N48/Global!N34*1000</f>
        <v>6.2308269215801539</v>
      </c>
      <c r="O59" s="638">
        <f>+Global!O48/Global!O34*1000</f>
        <v>6.5142413113574893</v>
      </c>
      <c r="P59" s="638">
        <f>+Global!P48/Global!P34*1000</f>
        <v>6.9007057207426694</v>
      </c>
      <c r="Q59" s="638">
        <f>+Global!Q48/Global!Q34*1000</f>
        <v>7.2681734435739394</v>
      </c>
      <c r="R59" s="638">
        <f>+Global!R48/Global!R34*1000</f>
        <v>7.7009718919702497</v>
      </c>
    </row>
    <row r="60" spans="1:18" s="635" customFormat="1" ht="15.75" customHeight="1" x14ac:dyDescent="0.2">
      <c r="A60" s="640" t="s">
        <v>779</v>
      </c>
      <c r="B60" s="638"/>
      <c r="C60" s="638"/>
      <c r="D60" s="638"/>
      <c r="E60" s="638"/>
      <c r="F60" s="638"/>
      <c r="G60" s="638"/>
      <c r="H60" s="638"/>
      <c r="I60" s="638"/>
      <c r="J60" s="638"/>
      <c r="K60" s="638"/>
      <c r="L60" s="638"/>
      <c r="M60" s="638"/>
    </row>
    <row r="61" spans="1:18" s="635" customFormat="1" ht="15.75" customHeight="1" x14ac:dyDescent="0.2">
      <c r="A61" s="629" t="s">
        <v>104</v>
      </c>
      <c r="C61" s="639">
        <f t="shared" ref="C61:R61" si="21">+LN(C47/B47)</f>
        <v>-0.12630040888159111</v>
      </c>
      <c r="D61" s="639">
        <f t="shared" si="21"/>
        <v>-3.7030613298731807E-2</v>
      </c>
      <c r="E61" s="639">
        <f t="shared" si="21"/>
        <v>-2.7734231881739558E-2</v>
      </c>
      <c r="F61" s="639">
        <f t="shared" si="21"/>
        <v>-2.0883028746105448E-3</v>
      </c>
      <c r="G61" s="639">
        <f t="shared" si="21"/>
        <v>1.3038507799967274E-3</v>
      </c>
      <c r="H61" s="639">
        <f t="shared" si="21"/>
        <v>2.0916344208112215E-2</v>
      </c>
      <c r="I61" s="639">
        <f t="shared" si="21"/>
        <v>2.6722129387442888E-2</v>
      </c>
      <c r="J61" s="639">
        <f t="shared" si="21"/>
        <v>2.6600626606903759E-2</v>
      </c>
      <c r="K61" s="639">
        <f t="shared" si="21"/>
        <v>3.1304072332416083E-2</v>
      </c>
      <c r="L61" s="639">
        <f t="shared" si="21"/>
        <v>2.9764022136887634E-2</v>
      </c>
      <c r="M61" s="639">
        <f t="shared" si="21"/>
        <v>-1.5125942759776464E-2</v>
      </c>
      <c r="N61" s="639">
        <f t="shared" si="21"/>
        <v>9.3237473156369439E-3</v>
      </c>
      <c r="O61" s="639">
        <f t="shared" si="21"/>
        <v>2.0349252923668019E-2</v>
      </c>
      <c r="P61" s="639">
        <f t="shared" si="21"/>
        <v>3.0762179557136667E-2</v>
      </c>
      <c r="Q61" s="639">
        <f t="shared" si="21"/>
        <v>2.6639407068003322E-2</v>
      </c>
      <c r="R61" s="639">
        <f t="shared" si="21"/>
        <v>2.0269524152488373E-2</v>
      </c>
    </row>
    <row r="62" spans="1:18" s="635" customFormat="1" ht="15.75" customHeight="1" x14ac:dyDescent="0.2">
      <c r="A62" s="629" t="s">
        <v>105</v>
      </c>
      <c r="C62" s="639">
        <f t="shared" ref="C62:R62" si="22">+LN(C48/B48)</f>
        <v>-4.9193415183791285E-2</v>
      </c>
      <c r="D62" s="639">
        <f t="shared" si="22"/>
        <v>-1.7400312702652442E-3</v>
      </c>
      <c r="E62" s="639">
        <f t="shared" si="22"/>
        <v>-5.0020727448316345E-3</v>
      </c>
      <c r="F62" s="639">
        <f t="shared" si="22"/>
        <v>2.5075376540991436E-2</v>
      </c>
      <c r="G62" s="639">
        <f t="shared" si="22"/>
        <v>4.3853745428879855E-2</v>
      </c>
      <c r="H62" s="639">
        <f t="shared" si="22"/>
        <v>4.4396660908677249E-2</v>
      </c>
      <c r="I62" s="639">
        <f t="shared" si="22"/>
        <v>5.3919317177022884E-2</v>
      </c>
      <c r="J62" s="639">
        <f t="shared" si="22"/>
        <v>5.0852195520356309E-2</v>
      </c>
      <c r="K62" s="639">
        <f t="shared" si="22"/>
        <v>4.1929794772910089E-2</v>
      </c>
      <c r="L62" s="639">
        <f t="shared" si="22"/>
        <v>4.2769581529438369E-2</v>
      </c>
      <c r="M62" s="639">
        <f t="shared" si="22"/>
        <v>3.4258022160288143E-4</v>
      </c>
      <c r="N62" s="639">
        <f t="shared" si="22"/>
        <v>9.0232351139593828E-3</v>
      </c>
      <c r="O62" s="639">
        <f t="shared" si="22"/>
        <v>9.7617787077038786E-3</v>
      </c>
      <c r="P62" s="639">
        <f t="shared" si="22"/>
        <v>2.4572006701470934E-2</v>
      </c>
      <c r="Q62" s="639">
        <f t="shared" si="22"/>
        <v>1.9194936113797082E-2</v>
      </c>
      <c r="R62" s="639">
        <f t="shared" si="22"/>
        <v>3.0236701588256299E-2</v>
      </c>
    </row>
    <row r="63" spans="1:18" s="635" customFormat="1" ht="15.75" customHeight="1" x14ac:dyDescent="0.2">
      <c r="A63" s="629" t="s">
        <v>51</v>
      </c>
      <c r="C63" s="639">
        <f t="shared" ref="C63:R63" si="23">+LN(C49/B49)</f>
        <v>1.2956439258410366E-2</v>
      </c>
      <c r="D63" s="639">
        <f t="shared" si="23"/>
        <v>5.5515675285802188E-2</v>
      </c>
      <c r="E63" s="639">
        <f t="shared" si="23"/>
        <v>6.4350172757997953E-2</v>
      </c>
      <c r="F63" s="639">
        <f t="shared" si="23"/>
        <v>7.0150304500698757E-2</v>
      </c>
      <c r="G63" s="639">
        <f t="shared" si="23"/>
        <v>7.543563750036289E-2</v>
      </c>
      <c r="H63" s="639">
        <f t="shared" si="23"/>
        <v>6.8826386105894977E-2</v>
      </c>
      <c r="I63" s="639">
        <f t="shared" si="23"/>
        <v>4.6964405681497512E-2</v>
      </c>
      <c r="J63" s="639">
        <f t="shared" si="23"/>
        <v>2.3973065423170035E-2</v>
      </c>
      <c r="K63" s="639">
        <f t="shared" si="23"/>
        <v>2.5806027921751219E-2</v>
      </c>
      <c r="L63" s="639">
        <f t="shared" si="23"/>
        <v>3.53734927146978E-2</v>
      </c>
      <c r="M63" s="639">
        <f t="shared" si="23"/>
        <v>-1.8011693133672096E-2</v>
      </c>
      <c r="N63" s="639">
        <f t="shared" si="23"/>
        <v>-4.936762118922868E-3</v>
      </c>
      <c r="O63" s="639">
        <f t="shared" si="23"/>
        <v>1.0180763095789962E-2</v>
      </c>
      <c r="P63" s="639">
        <f t="shared" si="23"/>
        <v>1.6787877721646194E-2</v>
      </c>
      <c r="Q63" s="639">
        <f t="shared" si="23"/>
        <v>1.2400963241123037E-2</v>
      </c>
      <c r="R63" s="639">
        <f t="shared" si="23"/>
        <v>8.6344272934156044E-3</v>
      </c>
    </row>
    <row r="64" spans="1:18" s="635" customFormat="1" ht="15.75" customHeight="1" x14ac:dyDescent="0.2">
      <c r="A64" s="629" t="s">
        <v>52</v>
      </c>
      <c r="C64" s="639">
        <f t="shared" ref="C64:R64" si="24">+LN(C50/B50)</f>
        <v>-1.2168042791665393E-2</v>
      </c>
      <c r="D64" s="639">
        <f t="shared" si="24"/>
        <v>-0.11026416464031562</v>
      </c>
      <c r="E64" s="639">
        <f t="shared" si="24"/>
        <v>-3.7207590568153183E-2</v>
      </c>
      <c r="F64" s="639">
        <f t="shared" si="24"/>
        <v>-8.5811078837758084E-2</v>
      </c>
      <c r="G64" s="639">
        <f t="shared" si="24"/>
        <v>4.8618085912824748E-3</v>
      </c>
      <c r="H64" s="639">
        <f t="shared" si="24"/>
        <v>9.6364705813082145E-3</v>
      </c>
      <c r="I64" s="639">
        <f t="shared" si="24"/>
        <v>6.1102376203153078E-2</v>
      </c>
      <c r="J64" s="639">
        <f t="shared" si="24"/>
        <v>-7.7646982485287449E-3</v>
      </c>
      <c r="K64" s="639">
        <f t="shared" si="24"/>
        <v>9.856026396389414E-2</v>
      </c>
      <c r="L64" s="639">
        <f t="shared" si="24"/>
        <v>0.10357738620692641</v>
      </c>
      <c r="M64" s="639">
        <f t="shared" si="24"/>
        <v>2.8294135695677201E-2</v>
      </c>
      <c r="N64" s="639">
        <f t="shared" si="24"/>
        <v>3.7058483092523839E-2</v>
      </c>
      <c r="O64" s="639">
        <f t="shared" si="24"/>
        <v>6.1803815927187589E-2</v>
      </c>
      <c r="P64" s="639">
        <f t="shared" si="24"/>
        <v>6.1025733837149092E-2</v>
      </c>
      <c r="Q64" s="639">
        <f t="shared" si="24"/>
        <v>5.307956455204986E-2</v>
      </c>
      <c r="R64" s="639">
        <f t="shared" si="24"/>
        <v>7.020046503960703E-2</v>
      </c>
    </row>
    <row r="65" spans="1:18" s="635" customFormat="1" ht="15.75" customHeight="1" x14ac:dyDescent="0.2">
      <c r="A65" s="629" t="s">
        <v>53</v>
      </c>
      <c r="C65" s="639">
        <f t="shared" ref="C65:R65" si="25">+LN(C51/B51)</f>
        <v>-0.14637242245102083</v>
      </c>
      <c r="D65" s="639">
        <f t="shared" si="25"/>
        <v>-0.11516579750908142</v>
      </c>
      <c r="E65" s="639">
        <f t="shared" si="25"/>
        <v>-8.4384494048239611E-2</v>
      </c>
      <c r="F65" s="639">
        <f t="shared" si="25"/>
        <v>-0.10870367962163859</v>
      </c>
      <c r="G65" s="639">
        <f t="shared" si="25"/>
        <v>0.18862410966950421</v>
      </c>
      <c r="H65" s="639">
        <f t="shared" si="25"/>
        <v>3.494995305841176E-2</v>
      </c>
      <c r="I65" s="639">
        <f t="shared" si="25"/>
        <v>3.7639281031301479E-2</v>
      </c>
      <c r="J65" s="639">
        <f t="shared" si="25"/>
        <v>4.4582680621279465E-2</v>
      </c>
      <c r="K65" s="639">
        <f t="shared" si="25"/>
        <v>2.9409341404011104E-2</v>
      </c>
      <c r="L65" s="639">
        <f t="shared" si="25"/>
        <v>6.0865447485198509E-2</v>
      </c>
      <c r="M65" s="639">
        <f t="shared" si="25"/>
        <v>5.6767463859511598E-2</v>
      </c>
      <c r="N65" s="639">
        <f t="shared" si="25"/>
        <v>5.7555290360971394E-2</v>
      </c>
      <c r="O65" s="639">
        <f t="shared" si="25"/>
        <v>6.4624315561962964E-2</v>
      </c>
      <c r="P65" s="639">
        <f t="shared" si="25"/>
        <v>8.7807997466041829E-2</v>
      </c>
      <c r="Q65" s="639">
        <f t="shared" si="25"/>
        <v>6.1408432041740374E-2</v>
      </c>
      <c r="R65" s="639">
        <f t="shared" si="25"/>
        <v>8.3216857772074951E-2</v>
      </c>
    </row>
    <row r="66" spans="1:18" s="635" customFormat="1" ht="15.75" customHeight="1" x14ac:dyDescent="0.2">
      <c r="A66" s="629" t="s">
        <v>54</v>
      </c>
      <c r="C66" s="639">
        <f t="shared" ref="C66:R66" si="26">+LN(C52/B52)</f>
        <v>0.20858923648374511</v>
      </c>
      <c r="D66" s="639">
        <f t="shared" si="26"/>
        <v>0.10764369066550179</v>
      </c>
      <c r="E66" s="639">
        <f t="shared" si="26"/>
        <v>0.13265540280660471</v>
      </c>
      <c r="F66" s="639">
        <f t="shared" si="26"/>
        <v>0.14223473824203486</v>
      </c>
      <c r="G66" s="639">
        <f t="shared" si="26"/>
        <v>0.13513606039644543</v>
      </c>
      <c r="H66" s="639">
        <f t="shared" si="26"/>
        <v>0.12766780990601806</v>
      </c>
      <c r="I66" s="639">
        <f t="shared" si="26"/>
        <v>0.12054943569506996</v>
      </c>
      <c r="J66" s="639">
        <f t="shared" si="26"/>
        <v>0.10767940334245166</v>
      </c>
      <c r="K66" s="639">
        <f t="shared" si="26"/>
        <v>9.9028087687678804E-2</v>
      </c>
      <c r="L66" s="639">
        <f t="shared" si="26"/>
        <v>8.4553764827382305E-2</v>
      </c>
      <c r="M66" s="639">
        <f t="shared" si="26"/>
        <v>8.385732151188531E-2</v>
      </c>
      <c r="N66" s="639">
        <f t="shared" si="26"/>
        <v>8.4598119128639487E-2</v>
      </c>
      <c r="O66" s="639">
        <f t="shared" si="26"/>
        <v>9.306384147074899E-2</v>
      </c>
      <c r="P66" s="639">
        <f t="shared" si="26"/>
        <v>9.3935615993330543E-2</v>
      </c>
      <c r="Q66" s="639">
        <f t="shared" si="26"/>
        <v>0.10483895273898958</v>
      </c>
      <c r="R66" s="639">
        <f t="shared" si="26"/>
        <v>0.11701354619092216</v>
      </c>
    </row>
    <row r="67" spans="1:18" s="635" customFormat="1" ht="15.75" customHeight="1" x14ac:dyDescent="0.2">
      <c r="A67" s="629" t="s">
        <v>55</v>
      </c>
      <c r="C67" s="639">
        <f t="shared" ref="C67:R67" si="27">+LN(C53/B53)</f>
        <v>-8.7827067103372333E-2</v>
      </c>
      <c r="D67" s="639">
        <f t="shared" si="27"/>
        <v>-2.5960955906173134E-2</v>
      </c>
      <c r="E67" s="639">
        <f t="shared" si="27"/>
        <v>-5.2740320060134264E-3</v>
      </c>
      <c r="F67" s="639">
        <f t="shared" si="27"/>
        <v>3.6464773021732837E-2</v>
      </c>
      <c r="G67" s="639">
        <f t="shared" si="27"/>
        <v>7.2031511878326418E-2</v>
      </c>
      <c r="H67" s="639">
        <f t="shared" si="27"/>
        <v>8.4826059609272836E-2</v>
      </c>
      <c r="I67" s="639">
        <f t="shared" si="27"/>
        <v>4.9536721153036103E-2</v>
      </c>
      <c r="J67" s="639">
        <f t="shared" si="27"/>
        <v>6.8973203767062077E-2</v>
      </c>
      <c r="K67" s="639">
        <f t="shared" si="27"/>
        <v>9.5612385574563877E-2</v>
      </c>
      <c r="L67" s="639">
        <f t="shared" si="27"/>
        <v>4.6806640718810112E-2</v>
      </c>
      <c r="M67" s="639">
        <f t="shared" si="27"/>
        <v>5.409955182519989E-2</v>
      </c>
      <c r="N67" s="639">
        <f t="shared" si="27"/>
        <v>4.7740863819283379E-2</v>
      </c>
      <c r="O67" s="639">
        <f t="shared" si="27"/>
        <v>8.6876527941502565E-2</v>
      </c>
      <c r="P67" s="639">
        <f t="shared" si="27"/>
        <v>8.8034990014891096E-2</v>
      </c>
      <c r="Q67" s="639">
        <f t="shared" si="27"/>
        <v>8.6354166715424993E-2</v>
      </c>
      <c r="R67" s="639">
        <f t="shared" si="27"/>
        <v>8.8880214195124999E-2</v>
      </c>
    </row>
    <row r="68" spans="1:18" s="635" customFormat="1" ht="15.75" customHeight="1" x14ac:dyDescent="0.2">
      <c r="A68" s="629" t="s">
        <v>56</v>
      </c>
      <c r="C68" s="639">
        <f t="shared" ref="C68:R68" si="28">+LN(C54/B54)</f>
        <v>-0.12216464335601893</v>
      </c>
      <c r="D68" s="639">
        <f t="shared" si="28"/>
        <v>-5.4114973772286433E-2</v>
      </c>
      <c r="E68" s="639">
        <f t="shared" si="28"/>
        <v>-8.920536226503574E-2</v>
      </c>
      <c r="F68" s="639">
        <f t="shared" si="28"/>
        <v>-6.4926707650284798E-2</v>
      </c>
      <c r="G68" s="639">
        <f t="shared" si="28"/>
        <v>4.5848828083050464E-2</v>
      </c>
      <c r="H68" s="639">
        <f t="shared" si="28"/>
        <v>1.0393982582447664E-2</v>
      </c>
      <c r="I68" s="639">
        <f t="shared" si="28"/>
        <v>-4.259924278606237E-3</v>
      </c>
      <c r="J68" s="639">
        <f t="shared" si="28"/>
        <v>2.7836490390303328E-3</v>
      </c>
      <c r="K68" s="639">
        <f t="shared" si="28"/>
        <v>-1.7155718063505781E-2</v>
      </c>
      <c r="L68" s="639">
        <f t="shared" si="28"/>
        <v>8.4615610159623239E-2</v>
      </c>
      <c r="M68" s="639">
        <f t="shared" si="28"/>
        <v>7.9876386965375759E-3</v>
      </c>
      <c r="N68" s="639">
        <f t="shared" si="28"/>
        <v>2.3571269314107472E-2</v>
      </c>
      <c r="O68" s="639">
        <f t="shared" si="28"/>
        <v>6.1991348903106522E-2</v>
      </c>
      <c r="P68" s="639">
        <f t="shared" si="28"/>
        <v>9.6410008382106449E-2</v>
      </c>
      <c r="Q68" s="639">
        <f t="shared" si="28"/>
        <v>5.5188805906970492E-2</v>
      </c>
      <c r="R68" s="639">
        <f t="shared" si="28"/>
        <v>6.5075249713371502E-2</v>
      </c>
    </row>
    <row r="69" spans="1:18" s="635" customFormat="1" ht="15.75" customHeight="1" x14ac:dyDescent="0.2">
      <c r="A69" s="629" t="s">
        <v>57</v>
      </c>
      <c r="C69" s="639">
        <f t="shared" ref="C69:R69" si="29">+LN(C55/B55)</f>
        <v>-0.21265877425576066</v>
      </c>
      <c r="D69" s="639">
        <f t="shared" si="29"/>
        <v>-0.15123725005681279</v>
      </c>
      <c r="E69" s="639">
        <f t="shared" si="29"/>
        <v>-0.13386019308854402</v>
      </c>
      <c r="F69" s="639">
        <f t="shared" si="29"/>
        <v>-7.9796690433873704E-2</v>
      </c>
      <c r="G69" s="639">
        <f t="shared" si="29"/>
        <v>-2.1450764384515427E-2</v>
      </c>
      <c r="H69" s="639">
        <f t="shared" si="29"/>
        <v>2.1655575295306796E-2</v>
      </c>
      <c r="I69" s="639">
        <f t="shared" si="29"/>
        <v>6.2284921266180966E-3</v>
      </c>
      <c r="J69" s="639">
        <f t="shared" si="29"/>
        <v>1.0655835639317196E-3</v>
      </c>
      <c r="K69" s="639">
        <f t="shared" si="29"/>
        <v>5.8434156749264304E-2</v>
      </c>
      <c r="L69" s="639">
        <f t="shared" si="29"/>
        <v>4.5055013968221987E-2</v>
      </c>
      <c r="M69" s="639">
        <f t="shared" si="29"/>
        <v>6.0954182766842467E-2</v>
      </c>
      <c r="N69" s="639">
        <f t="shared" si="29"/>
        <v>6.7849106283445176E-2</v>
      </c>
      <c r="O69" s="639">
        <f t="shared" si="29"/>
        <v>6.7602099676106253E-2</v>
      </c>
      <c r="P69" s="639">
        <f t="shared" si="29"/>
        <v>7.7737598513701045E-2</v>
      </c>
      <c r="Q69" s="639">
        <f t="shared" si="29"/>
        <v>7.7232359310279178E-2</v>
      </c>
      <c r="R69" s="639">
        <f t="shared" si="29"/>
        <v>7.9438510313933966E-2</v>
      </c>
    </row>
    <row r="70" spans="1:18" s="635" customFormat="1" ht="15.75" customHeight="1" x14ac:dyDescent="0.2">
      <c r="A70" s="629" t="s">
        <v>58</v>
      </c>
      <c r="C70" s="639">
        <f t="shared" ref="C70:R70" si="30">+LN(C56/B56)</f>
        <v>-7.5913546299354082E-2</v>
      </c>
      <c r="D70" s="639">
        <f t="shared" si="30"/>
        <v>-3.9180491100737222E-2</v>
      </c>
      <c r="E70" s="639">
        <f t="shared" si="30"/>
        <v>2.9104810523784353E-3</v>
      </c>
      <c r="F70" s="639">
        <f t="shared" si="30"/>
        <v>3.1982636833309243E-2</v>
      </c>
      <c r="G70" s="639">
        <f t="shared" si="30"/>
        <v>7.2941159276379139E-3</v>
      </c>
      <c r="H70" s="639">
        <f t="shared" si="30"/>
        <v>4.8542310026696116E-2</v>
      </c>
      <c r="I70" s="639">
        <f t="shared" si="30"/>
        <v>6.1573134483333694E-2</v>
      </c>
      <c r="J70" s="639">
        <f t="shared" si="30"/>
        <v>3.7646356104631011E-2</v>
      </c>
      <c r="K70" s="639">
        <f t="shared" si="30"/>
        <v>1.2665890262485794E-2</v>
      </c>
      <c r="L70" s="639">
        <f t="shared" si="30"/>
        <v>4.2909351062690289E-2</v>
      </c>
      <c r="M70" s="639">
        <f t="shared" si="30"/>
        <v>-1.3355448903416484E-3</v>
      </c>
      <c r="N70" s="639">
        <f t="shared" si="30"/>
        <v>1.1877542208250281E-2</v>
      </c>
      <c r="O70" s="639">
        <f t="shared" si="30"/>
        <v>3.2059874963768151E-2</v>
      </c>
      <c r="P70" s="639">
        <f t="shared" si="30"/>
        <v>5.8910311334472207E-2</v>
      </c>
      <c r="Q70" s="639">
        <f t="shared" si="30"/>
        <v>4.5947658064670188E-2</v>
      </c>
      <c r="R70" s="639">
        <f t="shared" si="30"/>
        <v>5.8686191379395049E-2</v>
      </c>
    </row>
    <row r="71" spans="1:18" s="635" customFormat="1" ht="15.75" customHeight="1" x14ac:dyDescent="0.2">
      <c r="A71" s="629" t="s">
        <v>114</v>
      </c>
      <c r="C71" s="639">
        <f t="shared" ref="C71:R71" si="31">+LN(C57/B57)</f>
        <v>-7.2457385668897298E-2</v>
      </c>
      <c r="D71" s="639">
        <f t="shared" si="31"/>
        <v>-1.8905611958920692E-2</v>
      </c>
      <c r="E71" s="639">
        <f t="shared" si="31"/>
        <v>2.1854924407040194E-2</v>
      </c>
      <c r="F71" s="639">
        <f t="shared" si="31"/>
        <v>5.3383782237774687E-2</v>
      </c>
      <c r="G71" s="639">
        <f t="shared" si="31"/>
        <v>6.2999814301160251E-2</v>
      </c>
      <c r="H71" s="639">
        <f t="shared" si="31"/>
        <v>6.652047567029451E-2</v>
      </c>
      <c r="I71" s="639">
        <f t="shared" si="31"/>
        <v>7.0879331921698596E-2</v>
      </c>
      <c r="J71" s="639">
        <f t="shared" si="31"/>
        <v>2.4528177390976087E-2</v>
      </c>
      <c r="K71" s="639">
        <f t="shared" si="31"/>
        <v>8.1652594177506713E-2</v>
      </c>
      <c r="L71" s="639">
        <f t="shared" si="31"/>
        <v>6.3570868320075913E-2</v>
      </c>
      <c r="M71" s="639">
        <f t="shared" si="31"/>
        <v>7.7140436460369664E-3</v>
      </c>
      <c r="N71" s="639">
        <f t="shared" si="31"/>
        <v>3.9786432750038229E-2</v>
      </c>
      <c r="O71" s="639">
        <f t="shared" si="31"/>
        <v>2.2705980958865103E-2</v>
      </c>
      <c r="P71" s="639">
        <f t="shared" si="31"/>
        <v>4.2614627692019291E-2</v>
      </c>
      <c r="Q71" s="639">
        <f t="shared" si="31"/>
        <v>3.4325961820648773E-2</v>
      </c>
      <c r="R71" s="639">
        <f t="shared" si="31"/>
        <v>3.6297129144647666E-2</v>
      </c>
    </row>
    <row r="72" spans="1:18" s="635" customFormat="1" ht="15.75" customHeight="1" x14ac:dyDescent="0.2">
      <c r="A72" s="629" t="s">
        <v>224</v>
      </c>
      <c r="C72" s="639">
        <f t="shared" ref="C72:R72" si="32">+LN(C58/B58)</f>
        <v>-0.13798227728306278</v>
      </c>
      <c r="D72" s="639">
        <f t="shared" si="32"/>
        <v>-3.5652592188814378E-2</v>
      </c>
      <c r="E72" s="639">
        <f t="shared" si="32"/>
        <v>-1.0572421525623567E-2</v>
      </c>
      <c r="F72" s="639">
        <f t="shared" si="32"/>
        <v>1.4809900355773561E-2</v>
      </c>
      <c r="G72" s="639">
        <f t="shared" si="32"/>
        <v>5.2222475018323118E-2</v>
      </c>
      <c r="H72" s="639">
        <f t="shared" si="32"/>
        <v>6.030076179654717E-2</v>
      </c>
      <c r="I72" s="639">
        <f t="shared" si="32"/>
        <v>2.6926857497778886E-2</v>
      </c>
      <c r="J72" s="639">
        <f t="shared" si="32"/>
        <v>-6.0285067259834776E-2</v>
      </c>
      <c r="K72" s="639">
        <f t="shared" si="32"/>
        <v>3.0098901021427947E-2</v>
      </c>
      <c r="L72" s="639">
        <f t="shared" si="32"/>
        <v>5.291857928614966E-2</v>
      </c>
      <c r="M72" s="639">
        <f t="shared" si="32"/>
        <v>5.176165386684297E-2</v>
      </c>
      <c r="N72" s="639">
        <f t="shared" si="32"/>
        <v>6.13336958791438E-2</v>
      </c>
      <c r="O72" s="639">
        <f t="shared" si="32"/>
        <v>6.5776551597824945E-2</v>
      </c>
      <c r="P72" s="639">
        <f t="shared" si="32"/>
        <v>7.1000663568130812E-2</v>
      </c>
      <c r="Q72" s="639">
        <f t="shared" si="32"/>
        <v>6.7098408005434859E-2</v>
      </c>
      <c r="R72" s="639">
        <f t="shared" si="32"/>
        <v>6.7763189557487835E-2</v>
      </c>
    </row>
    <row r="73" spans="1:18" s="635" customFormat="1" ht="15.75" customHeight="1" x14ac:dyDescent="0.2">
      <c r="A73" s="629" t="s">
        <v>255</v>
      </c>
      <c r="C73" s="639">
        <f t="shared" ref="C73:R73" si="33">+LN(C59/B59)</f>
        <v>-0.11559222595277195</v>
      </c>
      <c r="D73" s="639">
        <f t="shared" si="33"/>
        <v>-6.559472588276688E-2</v>
      </c>
      <c r="E73" s="639">
        <f t="shared" si="33"/>
        <v>-4.2930935406472998E-2</v>
      </c>
      <c r="F73" s="639">
        <f t="shared" si="33"/>
        <v>-1.4536293329490784E-2</v>
      </c>
      <c r="G73" s="639">
        <f t="shared" si="33"/>
        <v>2.3093738648632178E-2</v>
      </c>
      <c r="H73" s="639">
        <f t="shared" si="33"/>
        <v>3.5182178886496725E-2</v>
      </c>
      <c r="I73" s="639">
        <f t="shared" si="33"/>
        <v>3.5399053163823142E-2</v>
      </c>
      <c r="J73" s="639">
        <f t="shared" si="33"/>
        <v>2.0590013636268587E-2</v>
      </c>
      <c r="K73" s="639">
        <f t="shared" si="33"/>
        <v>3.0219221574164266E-2</v>
      </c>
      <c r="L73" s="639">
        <f t="shared" si="33"/>
        <v>4.639126905963982E-2</v>
      </c>
      <c r="M73" s="639">
        <f t="shared" si="33"/>
        <v>2.1303009747037163E-2</v>
      </c>
      <c r="N73" s="639">
        <f t="shared" si="33"/>
        <v>3.4716285638596127E-2</v>
      </c>
      <c r="O73" s="639">
        <f t="shared" si="33"/>
        <v>4.4481695015739807E-2</v>
      </c>
      <c r="P73" s="639">
        <f t="shared" si="33"/>
        <v>5.7632933538826363E-2</v>
      </c>
      <c r="Q73" s="639">
        <f t="shared" si="33"/>
        <v>5.188132951056177E-2</v>
      </c>
      <c r="R73" s="639">
        <f t="shared" si="33"/>
        <v>5.7841526378791017E-2</v>
      </c>
    </row>
    <row r="74" spans="1:18" s="635" customFormat="1" ht="15.75" customHeight="1" x14ac:dyDescent="0.2">
      <c r="A74" s="640" t="s">
        <v>779</v>
      </c>
      <c r="B74" s="635" t="s">
        <v>1184</v>
      </c>
      <c r="C74" s="641" t="s">
        <v>1185</v>
      </c>
      <c r="D74" s="642" t="s">
        <v>1186</v>
      </c>
      <c r="E74" s="635" t="s">
        <v>1187</v>
      </c>
      <c r="F74" s="635" t="s">
        <v>1188</v>
      </c>
      <c r="M74" s="637"/>
    </row>
    <row r="75" spans="1:18" s="635" customFormat="1" ht="15.75" customHeight="1" x14ac:dyDescent="0.2">
      <c r="A75" s="629" t="s">
        <v>104</v>
      </c>
      <c r="B75" s="643">
        <f t="shared" ref="B75:B87" si="34">+AVERAGE(C61:G61)/10</f>
        <v>-3.8369941231335262E-3</v>
      </c>
      <c r="C75" s="643">
        <f t="shared" ref="C75:C87" si="35">+AVERAGE(H61:L61)/10</f>
        <v>2.7061438934352514E-3</v>
      </c>
      <c r="D75" s="643">
        <f t="shared" ref="D75:D87" si="36">+AVERAGE(M61:Q61)/10</f>
        <v>1.4389728820933697E-3</v>
      </c>
      <c r="E75" s="645">
        <f t="shared" ref="E75:E87" si="37">+Q47</f>
        <v>28.357220007192289</v>
      </c>
      <c r="F75" s="645">
        <f t="shared" ref="F75:F87" si="38">+E75/B47</f>
        <v>1.0155254188735883</v>
      </c>
      <c r="M75" s="637"/>
    </row>
    <row r="76" spans="1:18" s="635" customFormat="1" ht="15.75" customHeight="1" x14ac:dyDescent="0.2">
      <c r="A76" s="629" t="s">
        <v>105</v>
      </c>
      <c r="B76" s="643">
        <f t="shared" si="34"/>
        <v>2.5987205541966248E-4</v>
      </c>
      <c r="C76" s="643">
        <f t="shared" si="35"/>
        <v>4.6773509981680988E-3</v>
      </c>
      <c r="D76" s="643">
        <f t="shared" si="36"/>
        <v>1.2578907371706832E-3</v>
      </c>
      <c r="E76" s="645">
        <f t="shared" si="37"/>
        <v>32.443444682540196</v>
      </c>
      <c r="F76" s="645">
        <f t="shared" si="38"/>
        <v>1.3630920557990098</v>
      </c>
      <c r="M76" s="637"/>
    </row>
    <row r="77" spans="1:18" s="635" customFormat="1" ht="15.75" customHeight="1" x14ac:dyDescent="0.2">
      <c r="A77" s="629" t="s">
        <v>51</v>
      </c>
      <c r="B77" s="643">
        <f t="shared" si="34"/>
        <v>5.5681645860654423E-3</v>
      </c>
      <c r="C77" s="643">
        <f t="shared" si="35"/>
        <v>4.0188675569402307E-3</v>
      </c>
      <c r="D77" s="643">
        <f t="shared" si="36"/>
        <v>3.2842297611928456E-4</v>
      </c>
      <c r="E77" s="645">
        <f t="shared" si="37"/>
        <v>44.191334792916933</v>
      </c>
      <c r="F77" s="645">
        <f t="shared" si="38"/>
        <v>1.6417664337818938</v>
      </c>
      <c r="M77" s="637"/>
    </row>
    <row r="78" spans="1:18" s="635" customFormat="1" ht="15.75" customHeight="1" x14ac:dyDescent="0.2">
      <c r="A78" s="629" t="s">
        <v>52</v>
      </c>
      <c r="B78" s="643">
        <f t="shared" si="34"/>
        <v>-4.8117813649321967E-3</v>
      </c>
      <c r="C78" s="643">
        <f t="shared" si="35"/>
        <v>5.3022359741350623E-3</v>
      </c>
      <c r="D78" s="643">
        <f t="shared" si="36"/>
        <v>4.8252346620917524E-3</v>
      </c>
      <c r="E78" s="645">
        <f t="shared" si="37"/>
        <v>23.415214811390335</v>
      </c>
      <c r="F78" s="645">
        <f t="shared" si="38"/>
        <v>1.304453871047587</v>
      </c>
      <c r="M78" s="637"/>
    </row>
    <row r="79" spans="1:18" s="635" customFormat="1" ht="15.75" customHeight="1" x14ac:dyDescent="0.2">
      <c r="A79" s="629" t="s">
        <v>53</v>
      </c>
      <c r="B79" s="643">
        <f t="shared" si="34"/>
        <v>-5.3200456792095244E-3</v>
      </c>
      <c r="C79" s="643">
        <f t="shared" si="35"/>
        <v>4.1489340720040468E-3</v>
      </c>
      <c r="D79" s="643">
        <f t="shared" si="36"/>
        <v>6.5632699858045622E-3</v>
      </c>
      <c r="E79" s="645">
        <f t="shared" si="37"/>
        <v>12.789341501811695</v>
      </c>
      <c r="F79" s="645">
        <f t="shared" si="38"/>
        <v>1.3094509391453466</v>
      </c>
      <c r="M79" s="637"/>
    </row>
    <row r="80" spans="1:18" s="635" customFormat="1" ht="15.75" customHeight="1" x14ac:dyDescent="0.2">
      <c r="A80" s="629" t="s">
        <v>54</v>
      </c>
      <c r="B80" s="643">
        <f t="shared" si="34"/>
        <v>1.4525182571886638E-2</v>
      </c>
      <c r="C80" s="643">
        <f t="shared" si="35"/>
        <v>1.0789570029172016E-2</v>
      </c>
      <c r="D80" s="643">
        <f t="shared" si="36"/>
        <v>9.2058770168718784E-3</v>
      </c>
      <c r="E80" s="645">
        <f t="shared" si="37"/>
        <v>4.470276658490441</v>
      </c>
      <c r="F80" s="645">
        <f t="shared" si="38"/>
        <v>5.6183132246723222</v>
      </c>
      <c r="M80" s="637"/>
    </row>
    <row r="81" spans="1:18" s="635" customFormat="1" ht="15.75" customHeight="1" x14ac:dyDescent="0.2">
      <c r="A81" s="629" t="s">
        <v>55</v>
      </c>
      <c r="B81" s="643">
        <f t="shared" si="34"/>
        <v>-2.1131540230999251E-4</v>
      </c>
      <c r="C81" s="643">
        <f t="shared" si="35"/>
        <v>6.9151002164549004E-3</v>
      </c>
      <c r="D81" s="643">
        <f t="shared" si="36"/>
        <v>7.262122006326038E-3</v>
      </c>
      <c r="E81" s="645">
        <f t="shared" si="37"/>
        <v>2.042375807484472</v>
      </c>
      <c r="F81" s="645">
        <f t="shared" si="38"/>
        <v>2.0103228700234794</v>
      </c>
      <c r="M81" s="637"/>
    </row>
    <row r="82" spans="1:18" s="635" customFormat="1" ht="15.75" customHeight="1" x14ac:dyDescent="0.2">
      <c r="A82" s="629" t="s">
        <v>56</v>
      </c>
      <c r="B82" s="643">
        <f t="shared" si="34"/>
        <v>-5.6912571792115084E-3</v>
      </c>
      <c r="C82" s="643">
        <f t="shared" si="35"/>
        <v>1.5275519887797844E-3</v>
      </c>
      <c r="D82" s="643">
        <f t="shared" si="36"/>
        <v>4.9029814240565701E-3</v>
      </c>
      <c r="E82" s="645">
        <f t="shared" si="37"/>
        <v>3.1285321103615313</v>
      </c>
      <c r="F82" s="645">
        <f t="shared" si="38"/>
        <v>1.0376554691518167</v>
      </c>
      <c r="M82" s="637"/>
    </row>
    <row r="83" spans="1:18" s="635" customFormat="1" ht="15.75" customHeight="1" x14ac:dyDescent="0.2">
      <c r="A83" s="629" t="s">
        <v>57</v>
      </c>
      <c r="B83" s="643">
        <f t="shared" si="34"/>
        <v>-1.1980073444390131E-2</v>
      </c>
      <c r="C83" s="643">
        <f t="shared" si="35"/>
        <v>2.6487764340668582E-3</v>
      </c>
      <c r="D83" s="643">
        <f t="shared" si="36"/>
        <v>7.0275069310074822E-3</v>
      </c>
      <c r="E83" s="645">
        <f t="shared" si="37"/>
        <v>1.7659605646648322</v>
      </c>
      <c r="F83" s="645">
        <f t="shared" si="38"/>
        <v>0.89119724249183996</v>
      </c>
      <c r="M83" s="637"/>
    </row>
    <row r="84" spans="1:18" s="635" customFormat="1" ht="15.75" customHeight="1" x14ac:dyDescent="0.2">
      <c r="A84" s="629" t="s">
        <v>58</v>
      </c>
      <c r="B84" s="643">
        <f t="shared" si="34"/>
        <v>-1.4581360717353139E-3</v>
      </c>
      <c r="C84" s="643">
        <f t="shared" si="35"/>
        <v>4.0667408387967379E-3</v>
      </c>
      <c r="D84" s="643">
        <f t="shared" si="36"/>
        <v>2.9491968336163837E-3</v>
      </c>
      <c r="E84" s="645">
        <f t="shared" si="37"/>
        <v>7.9540967555033548</v>
      </c>
      <c r="F84" s="645">
        <f t="shared" si="38"/>
        <v>1.3203410573880787</v>
      </c>
      <c r="M84" s="637"/>
    </row>
    <row r="85" spans="1:18" s="635" customFormat="1" ht="15.75" customHeight="1" x14ac:dyDescent="0.2">
      <c r="A85" s="629" t="s">
        <v>114</v>
      </c>
      <c r="B85" s="643">
        <f t="shared" si="34"/>
        <v>9.3751046636314267E-4</v>
      </c>
      <c r="C85" s="643">
        <f t="shared" si="35"/>
        <v>6.1430289496110365E-3</v>
      </c>
      <c r="D85" s="643">
        <f t="shared" si="36"/>
        <v>2.9429409373521675E-3</v>
      </c>
      <c r="E85" s="645">
        <f t="shared" si="37"/>
        <v>25.066906248651048</v>
      </c>
      <c r="F85" s="645">
        <f t="shared" si="38"/>
        <v>1.6506580352742197</v>
      </c>
      <c r="M85" s="637"/>
    </row>
    <row r="86" spans="1:18" s="635" customFormat="1" ht="15.75" customHeight="1" x14ac:dyDescent="0.2">
      <c r="A86" s="629" t="s">
        <v>224</v>
      </c>
      <c r="B86" s="643">
        <f t="shared" si="34"/>
        <v>-2.3434983124680812E-3</v>
      </c>
      <c r="C86" s="643">
        <f t="shared" si="35"/>
        <v>2.1992006468413779E-3</v>
      </c>
      <c r="D86" s="643">
        <f t="shared" si="36"/>
        <v>6.3394194583475481E-3</v>
      </c>
      <c r="E86" s="645">
        <f t="shared" si="37"/>
        <v>2.7884007257728762</v>
      </c>
      <c r="F86" s="645">
        <f t="shared" si="38"/>
        <v>1.363092601169688</v>
      </c>
      <c r="M86" s="637"/>
    </row>
    <row r="87" spans="1:18" s="635" customFormat="1" ht="15.75" customHeight="1" x14ac:dyDescent="0.2">
      <c r="A87" s="632" t="s">
        <v>255</v>
      </c>
      <c r="B87" s="646">
        <f t="shared" si="34"/>
        <v>-4.3112088384574089E-3</v>
      </c>
      <c r="C87" s="646">
        <f t="shared" si="35"/>
        <v>3.3556347264078511E-3</v>
      </c>
      <c r="D87" s="646">
        <f t="shared" si="36"/>
        <v>4.2003050690152238E-3</v>
      </c>
      <c r="E87" s="648">
        <f t="shared" si="37"/>
        <v>7.2681734435739394</v>
      </c>
      <c r="F87" s="648">
        <f t="shared" si="38"/>
        <v>1.1761384214311223</v>
      </c>
      <c r="G87" s="638"/>
      <c r="H87" s="638"/>
      <c r="I87" s="638"/>
      <c r="J87" s="638"/>
      <c r="K87" s="638"/>
      <c r="L87" s="638"/>
      <c r="M87" s="638"/>
    </row>
    <row r="88" spans="1:18" s="635" customFormat="1" ht="15.75" customHeight="1" x14ac:dyDescent="0.2">
      <c r="M88" s="637"/>
    </row>
    <row r="89" spans="1:18" s="635" customFormat="1" ht="15.75" customHeight="1" x14ac:dyDescent="0.2">
      <c r="C89" s="641"/>
      <c r="D89" s="642"/>
      <c r="M89" s="637"/>
    </row>
    <row r="90" spans="1:18" s="635" customFormat="1" ht="15.75" customHeight="1" x14ac:dyDescent="0.2">
      <c r="A90" s="640" t="s">
        <v>1194</v>
      </c>
      <c r="M90" s="637"/>
    </row>
    <row r="91" spans="1:18" s="635" customFormat="1" ht="15.75" customHeight="1" x14ac:dyDescent="0.2">
      <c r="A91" s="629" t="s">
        <v>104</v>
      </c>
      <c r="B91" s="630">
        <f>+US!B40</f>
        <v>0.13406572306752593</v>
      </c>
      <c r="C91" s="630">
        <f>+US!C40</f>
        <v>0.10165770907136498</v>
      </c>
      <c r="D91" s="630">
        <f>+US!D40</f>
        <v>8.6645951038746574E-2</v>
      </c>
      <c r="E91" s="630">
        <f>+US!E40</f>
        <v>7.4853083591441605E-2</v>
      </c>
      <c r="F91" s="630">
        <f>+US!F40</f>
        <v>6.5454459411258201E-2</v>
      </c>
      <c r="G91" s="630">
        <f>+US!G40</f>
        <v>5.78642187865748E-2</v>
      </c>
      <c r="H91" s="630">
        <f>+US!H40</f>
        <v>5.1659253531568673E-2</v>
      </c>
      <c r="I91" s="630">
        <f>+US!I40</f>
        <v>4.6529310740738704E-2</v>
      </c>
      <c r="J91" s="630">
        <f>+US!J40</f>
        <v>4.2243658829573996E-2</v>
      </c>
      <c r="K91" s="630">
        <f>+US!K40</f>
        <v>3.8628443312433966E-2</v>
      </c>
      <c r="L91" s="630">
        <f>+US!L40</f>
        <v>3.5551062348952236E-2</v>
      </c>
      <c r="M91" s="630">
        <f>+US!M40</f>
        <v>3.2909227301059482E-2</v>
      </c>
      <c r="N91" s="630">
        <f>+US!N40</f>
        <v>3.0623197915775058E-2</v>
      </c>
      <c r="O91" s="630">
        <f>+US!O40</f>
        <v>2.863019956593213E-2</v>
      </c>
      <c r="P91" s="630">
        <f>+US!P40</f>
        <v>2.6880360554124828E-2</v>
      </c>
      <c r="Q91" s="630">
        <f>+US!Q40</f>
        <v>2.5333721769992389E-2</v>
      </c>
      <c r="R91" s="630">
        <f>+US!R40</f>
        <v>2.395801191092297E-2</v>
      </c>
    </row>
    <row r="92" spans="1:18" s="635" customFormat="1" ht="15.75" customHeight="1" x14ac:dyDescent="0.2">
      <c r="A92" s="629" t="s">
        <v>105</v>
      </c>
      <c r="B92" s="630">
        <f>+EU!B40</f>
        <v>8.794762981562193E-2</v>
      </c>
      <c r="C92" s="630">
        <f>+EU!C40</f>
        <v>6.068842228201772E-2</v>
      </c>
      <c r="D92" s="630">
        <f>+EU!D40</f>
        <v>5.3151049527481418E-2</v>
      </c>
      <c r="E92" s="630">
        <f>+EU!E40</f>
        <v>4.705345370167522E-2</v>
      </c>
      <c r="F92" s="630">
        <f>+EU!F40</f>
        <v>4.2060793823593817E-2</v>
      </c>
      <c r="G92" s="630">
        <f>+EU!G40</f>
        <v>3.7927052418198791E-2</v>
      </c>
      <c r="H92" s="630">
        <f>+EU!H40</f>
        <v>3.4468931417614965E-2</v>
      </c>
      <c r="I92" s="630">
        <f>+EU!I40</f>
        <v>3.154808039844454E-2</v>
      </c>
      <c r="J92" s="630">
        <f>+EU!J40</f>
        <v>2.905880896256436E-2</v>
      </c>
      <c r="K92" s="630">
        <f>+EU!K40</f>
        <v>2.6919467046968293E-2</v>
      </c>
      <c r="L92" s="630">
        <f>+EU!L40</f>
        <v>2.5066315640554237E-2</v>
      </c>
      <c r="M92" s="630">
        <f>+EU!M40</f>
        <v>2.3449112481380228E-2</v>
      </c>
      <c r="N92" s="630">
        <f>+EU!N40</f>
        <v>2.2027894553771025E-2</v>
      </c>
      <c r="O92" s="630">
        <f>+EU!O40</f>
        <v>2.0770606293381542E-2</v>
      </c>
      <c r="P92" s="630">
        <f>+EU!P40</f>
        <v>1.9651332499913899E-2</v>
      </c>
      <c r="Q92" s="630">
        <f>+EU!Q40</f>
        <v>1.8648968480536862E-2</v>
      </c>
      <c r="R92" s="630">
        <f>+EU!R40</f>
        <v>1.774620967967969E-2</v>
      </c>
    </row>
    <row r="93" spans="1:18" s="635" customFormat="1" ht="15.75" customHeight="1" x14ac:dyDescent="0.2">
      <c r="A93" s="629" t="s">
        <v>51</v>
      </c>
      <c r="B93" s="630">
        <f>+Japan!B40</f>
        <v>9.559142074854636E-2</v>
      </c>
      <c r="C93" s="630">
        <f>+Japan!C40</f>
        <v>8.6339616777958164E-2</v>
      </c>
      <c r="D93" s="630">
        <f>+Japan!D40</f>
        <v>7.3580887542374657E-2</v>
      </c>
      <c r="E93" s="630">
        <f>+Japan!E40</f>
        <v>6.3559240746687506E-2</v>
      </c>
      <c r="F93" s="630">
        <f>+Japan!F40</f>
        <v>5.5573183400809731E-2</v>
      </c>
      <c r="G93" s="630">
        <f>+Japan!G40</f>
        <v>4.912442229489828E-2</v>
      </c>
      <c r="H93" s="630">
        <f>+Japan!H40</f>
        <v>4.3853138712285217E-2</v>
      </c>
      <c r="I93" s="630">
        <f>+Japan!I40</f>
        <v>3.9495521298304512E-2</v>
      </c>
      <c r="J93" s="630">
        <f>+Japan!J40</f>
        <v>3.5855399451103255E-2</v>
      </c>
      <c r="K93" s="630">
        <f>+Japan!K40</f>
        <v>3.2784976163292186E-2</v>
      </c>
      <c r="L93" s="630">
        <f>+Japan!L40</f>
        <v>3.0171535458661029E-2</v>
      </c>
      <c r="M93" s="630">
        <f>+Japan!M40</f>
        <v>2.7928136750742807E-2</v>
      </c>
      <c r="N93" s="630">
        <f>+Japan!N40</f>
        <v>2.5987010451178572E-2</v>
      </c>
      <c r="O93" s="630">
        <f>+Japan!O40</f>
        <v>2.4294810043539939E-2</v>
      </c>
      <c r="P93" s="630">
        <f>+Japan!P40</f>
        <v>2.2809157261839706E-2</v>
      </c>
      <c r="Q93" s="630">
        <f>+Japan!Q40</f>
        <v>2.1496099414696029E-2</v>
      </c>
      <c r="R93" s="630">
        <f>+Japan!R40</f>
        <v>2.0328217834391434E-2</v>
      </c>
    </row>
    <row r="94" spans="1:18" s="651" customFormat="1" ht="15.75" customHeight="1" x14ac:dyDescent="0.2">
      <c r="A94" s="633" t="s">
        <v>52</v>
      </c>
      <c r="B94" s="631">
        <f>+Russia!B40</f>
        <v>0.25397360434546151</v>
      </c>
      <c r="C94" s="631">
        <f>+Russia!C40</f>
        <v>0.18838181464850626</v>
      </c>
      <c r="D94" s="631">
        <f>+Russia!D40</f>
        <v>0.16085731965082903</v>
      </c>
      <c r="E94" s="631">
        <f>+Russia!E40</f>
        <v>0.13919279583808034</v>
      </c>
      <c r="F94" s="631">
        <f>+Russia!F40</f>
        <v>0.12189597327848567</v>
      </c>
      <c r="G94" s="631">
        <f>+Russia!G40</f>
        <v>0.1079043527815262</v>
      </c>
      <c r="H94" s="631">
        <f>+Russia!H40</f>
        <v>9.6449031784778413E-2</v>
      </c>
      <c r="I94" s="631">
        <f>+Russia!I40</f>
        <v>8.6965130580039227E-2</v>
      </c>
      <c r="J94" s="631">
        <f>+Russia!J40</f>
        <v>7.9031817616648389E-2</v>
      </c>
      <c r="K94" s="631">
        <f>+Russia!K40</f>
        <v>7.23314829422331E-2</v>
      </c>
      <c r="L94" s="631">
        <f>+Russia!L40</f>
        <v>6.6621513070983282E-2</v>
      </c>
      <c r="M94" s="631">
        <f>+Russia!M40</f>
        <v>6.1714493106379748E-2</v>
      </c>
      <c r="N94" s="631">
        <f>+Russia!N40</f>
        <v>5.7464130135414321E-2</v>
      </c>
      <c r="O94" s="631">
        <f>+Russia!O40</f>
        <v>5.3755116122401476E-2</v>
      </c>
      <c r="P94" s="631">
        <f>+Russia!P40</f>
        <v>5.0495739743868846E-2</v>
      </c>
      <c r="Q94" s="631">
        <f>+Russia!Q40</f>
        <v>4.7612440578133547E-2</v>
      </c>
      <c r="R94" s="631">
        <f>+Russia!R40</f>
        <v>4.5045752031289001E-2</v>
      </c>
    </row>
    <row r="95" spans="1:18" s="635" customFormat="1" ht="15.75" customHeight="1" x14ac:dyDescent="0.2">
      <c r="A95" s="629" t="s">
        <v>53</v>
      </c>
      <c r="B95" s="630">
        <f>+Eurasia!B40</f>
        <v>0.3179179349538665</v>
      </c>
      <c r="C95" s="630">
        <f>+Eurasia!C40</f>
        <v>0.21356174233851372</v>
      </c>
      <c r="D95" s="630">
        <f>+Eurasia!D40</f>
        <v>0.17164354097857659</v>
      </c>
      <c r="E95" s="630">
        <f>+Eurasia!E40</f>
        <v>0.14064857556992161</v>
      </c>
      <c r="F95" s="630">
        <f>+Eurasia!F40</f>
        <v>0.11727533642687157</v>
      </c>
      <c r="G95" s="630">
        <f>+Eurasia!G40</f>
        <v>9.9331081872470056E-2</v>
      </c>
      <c r="H95" s="630">
        <f>+Eurasia!H40</f>
        <v>8.5327704003581556E-2</v>
      </c>
      <c r="I95" s="630">
        <f>+Eurasia!I40</f>
        <v>7.4235002643490325E-2</v>
      </c>
      <c r="J95" s="630">
        <f>+Eurasia!J40</f>
        <v>6.5326560649480031E-2</v>
      </c>
      <c r="K95" s="630">
        <f>+Eurasia!K40</f>
        <v>5.8081392033113369E-2</v>
      </c>
      <c r="L95" s="630">
        <f>+Eurasia!L40</f>
        <v>5.2119924840818038E-2</v>
      </c>
      <c r="M95" s="630">
        <f>+Eurasia!M40</f>
        <v>4.7161556766492051E-2</v>
      </c>
      <c r="N95" s="630">
        <f>+Eurasia!N40</f>
        <v>4.2996025584018605E-2</v>
      </c>
      <c r="O95" s="630">
        <f>+Eurasia!O40</f>
        <v>3.9463785203734177E-2</v>
      </c>
      <c r="P95" s="630">
        <f>+Eurasia!P40</f>
        <v>3.6442350923124478E-2</v>
      </c>
      <c r="Q95" s="630">
        <f>+Eurasia!Q40</f>
        <v>3.3836663479681776E-2</v>
      </c>
      <c r="R95" s="630">
        <f>+Eurasia!R40</f>
        <v>3.1572198716300057E-2</v>
      </c>
    </row>
    <row r="96" spans="1:18" s="635" customFormat="1" ht="15.75" customHeight="1" x14ac:dyDescent="0.2">
      <c r="A96" s="629" t="s">
        <v>54</v>
      </c>
      <c r="B96" s="630">
        <f>+China!B40</f>
        <v>0.30014462246061224</v>
      </c>
      <c r="C96" s="630">
        <f>+China!C40</f>
        <v>0.23814211665669149</v>
      </c>
      <c r="D96" s="630">
        <f>+China!D40</f>
        <v>0.18992217154839328</v>
      </c>
      <c r="E96" s="630">
        <f>+China!E40</f>
        <v>0.15454517235406051</v>
      </c>
      <c r="F96" s="630">
        <f>+China!F40</f>
        <v>0.12805646393420247</v>
      </c>
      <c r="G96" s="630">
        <f>+China!G40</f>
        <v>0.10785175712361218</v>
      </c>
      <c r="H96" s="630">
        <f>+China!H40</f>
        <v>9.2177438737846437E-2</v>
      </c>
      <c r="I96" s="630">
        <f>+China!I40</f>
        <v>7.9828243011163272E-2</v>
      </c>
      <c r="J96" s="630">
        <f>+China!J40</f>
        <v>6.995996366806663E-2</v>
      </c>
      <c r="K96" s="630">
        <f>+China!K40</f>
        <v>6.1970862860056937E-2</v>
      </c>
      <c r="L96" s="630">
        <f>+China!L40</f>
        <v>5.5425035256260385E-2</v>
      </c>
      <c r="M96" s="630">
        <f>+China!M40</f>
        <v>5.000193753700985E-2</v>
      </c>
      <c r="N96" s="630">
        <f>+China!N40</f>
        <v>4.5462557852500182E-2</v>
      </c>
      <c r="O96" s="630">
        <f>+China!O40</f>
        <v>4.162636237642476E-2</v>
      </c>
      <c r="P96" s="630">
        <f>+China!P40</f>
        <v>3.835534194914509E-2</v>
      </c>
      <c r="Q96" s="630">
        <f>+China!Q40</f>
        <v>3.5542811741488489E-2</v>
      </c>
      <c r="R96" s="630">
        <f>+China!R40</f>
        <v>3.3105440815451768E-2</v>
      </c>
    </row>
    <row r="97" spans="1:18" s="635" customFormat="1" ht="15.75" customHeight="1" x14ac:dyDescent="0.2">
      <c r="A97" s="629" t="s">
        <v>55</v>
      </c>
      <c r="B97" s="630">
        <f>+India!B40</f>
        <v>0.16598916703912928</v>
      </c>
      <c r="C97" s="630">
        <f>+India!C40</f>
        <v>0.15714839403469111</v>
      </c>
      <c r="D97" s="630">
        <f>+India!D40</f>
        <v>0.12850651350587861</v>
      </c>
      <c r="E97" s="630">
        <f>+India!E40</f>
        <v>0.10695302666644414</v>
      </c>
      <c r="F97" s="630">
        <f>+India!F40</f>
        <v>9.043748728364763E-2</v>
      </c>
      <c r="G97" s="630">
        <f>+India!G40</f>
        <v>7.7571576643707202E-2</v>
      </c>
      <c r="H97" s="630">
        <f>+India!H40</f>
        <v>6.7396229490646289E-2</v>
      </c>
      <c r="I97" s="630">
        <f>+India!I40</f>
        <v>5.9236521505285682E-2</v>
      </c>
      <c r="J97" s="630">
        <f>+India!J40</f>
        <v>5.260928075650817E-2</v>
      </c>
      <c r="K97" s="630">
        <f>+India!K40</f>
        <v>4.7163080432878278E-2</v>
      </c>
      <c r="L97" s="630">
        <f>+India!L40</f>
        <v>4.2638532166084347E-2</v>
      </c>
      <c r="M97" s="630">
        <f>+India!M40</f>
        <v>3.884155280583422E-2</v>
      </c>
      <c r="N97" s="630">
        <f>+India!N40</f>
        <v>3.5625072094161901E-2</v>
      </c>
      <c r="O97" s="630">
        <f>+India!O40</f>
        <v>3.287632514825288E-2</v>
      </c>
      <c r="P97" s="630">
        <f>+India!P40</f>
        <v>3.050789860869978E-2</v>
      </c>
      <c r="Q97" s="630">
        <f>+India!Q40</f>
        <v>2.8451337196444982E-2</v>
      </c>
      <c r="R97" s="630">
        <f>+India!R40</f>
        <v>2.6652521121345921E-2</v>
      </c>
    </row>
    <row r="98" spans="1:18" s="635" customFormat="1" ht="15.75" customHeight="1" x14ac:dyDescent="0.2">
      <c r="A98" s="629" t="s">
        <v>56</v>
      </c>
      <c r="B98" s="630">
        <f>+MidEast!B40</f>
        <v>0.16944179563838435</v>
      </c>
      <c r="C98" s="630">
        <f>+MidEast!C40</f>
        <v>0.13998959824965901</v>
      </c>
      <c r="D98" s="630">
        <f>+MidEast!D40</f>
        <v>0.11915180308513418</v>
      </c>
      <c r="E98" s="630">
        <f>+MidEast!E40</f>
        <v>0.10280618633433226</v>
      </c>
      <c r="F98" s="630">
        <f>+MidEast!F40</f>
        <v>8.9796679989943243E-2</v>
      </c>
      <c r="G98" s="630">
        <f>+MidEast!G40</f>
        <v>7.9303338706585388E-2</v>
      </c>
      <c r="H98" s="630">
        <f>+MidEast!H40</f>
        <v>7.0734910444898103E-2</v>
      </c>
      <c r="I98" s="630">
        <f>+MidEast!I40</f>
        <v>6.3658466797200539E-2</v>
      </c>
      <c r="J98" s="630">
        <f>+MidEast!J40</f>
        <v>5.7752470658512266E-2</v>
      </c>
      <c r="K98" s="630">
        <f>+MidEast!K40</f>
        <v>5.2774944614499053E-2</v>
      </c>
      <c r="L98" s="630">
        <f>+MidEast!L40</f>
        <v>4.8541539538747985E-2</v>
      </c>
      <c r="M98" s="630">
        <f>+MidEast!M40</f>
        <v>4.4910200514440293E-2</v>
      </c>
      <c r="N98" s="630">
        <f>+MidEast!N40</f>
        <v>4.1770296779371517E-2</v>
      </c>
      <c r="O98" s="630">
        <f>+MidEast!O40</f>
        <v>3.9034815852863357E-2</v>
      </c>
      <c r="P98" s="630">
        <f>+MidEast!P40</f>
        <v>3.663468952394177E-2</v>
      </c>
      <c r="Q98" s="630">
        <f>+MidEast!Q40</f>
        <v>3.451462199937147E-2</v>
      </c>
      <c r="R98" s="630">
        <f>+MidEast!R40</f>
        <v>3.2629989249793448E-2</v>
      </c>
    </row>
    <row r="99" spans="1:18" s="635" customFormat="1" ht="15.75" customHeight="1" x14ac:dyDescent="0.2">
      <c r="A99" s="629" t="s">
        <v>57</v>
      </c>
      <c r="B99" s="630">
        <f>+Africa!B40</f>
        <v>0.14715313300736829</v>
      </c>
      <c r="C99" s="630">
        <f>+Africa!C40</f>
        <v>9.9316126627593565E-2</v>
      </c>
      <c r="D99" s="630">
        <f>+Africa!D40</f>
        <v>8.1184736573527705E-2</v>
      </c>
      <c r="E99" s="630">
        <f>+Africa!E40</f>
        <v>6.754571460403104E-2</v>
      </c>
      <c r="F99" s="630">
        <f>+Africa!F40</f>
        <v>5.709829470956089E-2</v>
      </c>
      <c r="G99" s="630">
        <f>+Africa!G40</f>
        <v>4.8962119000703748E-2</v>
      </c>
      <c r="H99" s="630">
        <f>+Africa!H40</f>
        <v>4.2529260320145208E-2</v>
      </c>
      <c r="I99" s="630">
        <f>+Africa!I40</f>
        <v>3.7372052915500699E-2</v>
      </c>
      <c r="J99" s="630">
        <f>+Africa!J40</f>
        <v>3.3184435327519198E-2</v>
      </c>
      <c r="K99" s="630">
        <f>+Africa!K40</f>
        <v>2.9743866625900721E-2</v>
      </c>
      <c r="L99" s="630">
        <f>+Africa!L40</f>
        <v>2.6886135467575626E-2</v>
      </c>
      <c r="M99" s="630">
        <f>+Africa!M40</f>
        <v>2.4488405500304657E-2</v>
      </c>
      <c r="N99" s="630">
        <f>+Africa!N40</f>
        <v>2.2457617719442484E-2</v>
      </c>
      <c r="O99" s="630">
        <f>+Africa!O40</f>
        <v>2.0722436035991203E-2</v>
      </c>
      <c r="P99" s="630">
        <f>+Africa!P40</f>
        <v>1.9227573588726374E-2</v>
      </c>
      <c r="Q99" s="630">
        <f>+Africa!Q40</f>
        <v>1.7929742521096317E-2</v>
      </c>
      <c r="R99" s="630">
        <f>+Africa!R40</f>
        <v>1.6794726292298431E-2</v>
      </c>
    </row>
    <row r="100" spans="1:18" s="635" customFormat="1" ht="15.75" customHeight="1" x14ac:dyDescent="0.2">
      <c r="A100" s="629" t="s">
        <v>58</v>
      </c>
      <c r="B100" s="630">
        <f>+LatAm!B40</f>
        <v>9.0440834978974038E-2</v>
      </c>
      <c r="C100" s="630">
        <f>+LatAm!C40</f>
        <v>7.4879062282080397E-2</v>
      </c>
      <c r="D100" s="630">
        <f>+LatAm!D40</f>
        <v>6.5279612870730058E-2</v>
      </c>
      <c r="E100" s="630">
        <f>+LatAm!E40</f>
        <v>5.7552910334604995E-2</v>
      </c>
      <c r="F100" s="630">
        <f>+LatAm!F40</f>
        <v>5.1255715620480549E-2</v>
      </c>
      <c r="G100" s="630">
        <f>+LatAm!G40</f>
        <v>4.6064257532457173E-2</v>
      </c>
      <c r="H100" s="630">
        <f>+LatAm!H40</f>
        <v>4.1738605598961684E-2</v>
      </c>
      <c r="I100" s="630">
        <f>+LatAm!I40</f>
        <v>3.809856993643191E-2</v>
      </c>
      <c r="J100" s="630">
        <f>+LatAm!J40</f>
        <v>3.5007137678586757E-2</v>
      </c>
      <c r="K100" s="630">
        <f>+LatAm!K40</f>
        <v>3.2358918768842483E-2</v>
      </c>
      <c r="L100" s="630">
        <f>+LatAm!L40</f>
        <v>3.007197314567174E-2</v>
      </c>
      <c r="M100" s="630">
        <f>+LatAm!M40</f>
        <v>2.8081953730937519E-2</v>
      </c>
      <c r="N100" s="630">
        <f>+LatAm!N40</f>
        <v>2.6337857181851283E-2</v>
      </c>
      <c r="O100" s="630">
        <f>+LatAm!O40</f>
        <v>2.4798905243757049E-2</v>
      </c>
      <c r="P100" s="630">
        <f>+LatAm!P40</f>
        <v>2.3432230818281049E-2</v>
      </c>
      <c r="Q100" s="630">
        <f>+LatAm!Q40</f>
        <v>2.2211143361156239E-2</v>
      </c>
      <c r="R100" s="630">
        <f>+LatAm!R40</f>
        <v>2.1113815867305073E-2</v>
      </c>
    </row>
    <row r="101" spans="1:18" s="635" customFormat="1" ht="15.75" customHeight="1" x14ac:dyDescent="0.2">
      <c r="A101" s="629" t="s">
        <v>114</v>
      </c>
      <c r="B101" s="630">
        <f>+OHI!B40</f>
        <v>0.14101281781866939</v>
      </c>
      <c r="C101" s="630">
        <f>+OHI!C40</f>
        <v>0.11182495351274545</v>
      </c>
      <c r="D101" s="630">
        <f>+OHI!D40</f>
        <v>9.4286728998316235E-2</v>
      </c>
      <c r="E101" s="630">
        <f>+OHI!E40</f>
        <v>8.0665065730546173E-2</v>
      </c>
      <c r="F101" s="630">
        <f>+OHI!F40</f>
        <v>6.9921572399459272E-2</v>
      </c>
      <c r="G101" s="630">
        <f>+OHI!G40</f>
        <v>6.1327967913743647E-2</v>
      </c>
      <c r="H101" s="630">
        <f>+OHI!H40</f>
        <v>5.4364511272764357E-2</v>
      </c>
      <c r="I101" s="630">
        <f>+OHI!I40</f>
        <v>4.8654271479281599E-2</v>
      </c>
      <c r="J101" s="630">
        <f>+OHI!J40</f>
        <v>4.3919781939366548E-2</v>
      </c>
      <c r="K101" s="630">
        <f>+OHI!K40</f>
        <v>3.9953949834766481E-2</v>
      </c>
      <c r="L101" s="630">
        <f>+OHI!L40</f>
        <v>3.6600209735515046E-2</v>
      </c>
      <c r="M101" s="630">
        <f>+OHI!M40</f>
        <v>3.3738774734958225E-2</v>
      </c>
      <c r="N101" s="630">
        <f>+OHI!N40</f>
        <v>3.1276974040458719E-2</v>
      </c>
      <c r="O101" s="630">
        <f>+OHI!O40</f>
        <v>2.914237042688524E-2</v>
      </c>
      <c r="P101" s="630">
        <f>+OHI!P40</f>
        <v>2.7277795429731713E-2</v>
      </c>
      <c r="Q101" s="630">
        <f>+OHI!Q40</f>
        <v>2.5637725090111314E-2</v>
      </c>
      <c r="R101" s="630">
        <f>+OHI!R40</f>
        <v>2.4185604493852576E-2</v>
      </c>
    </row>
    <row r="102" spans="1:18" s="635" customFormat="1" ht="15.75" customHeight="1" x14ac:dyDescent="0.2">
      <c r="A102" s="629" t="s">
        <v>224</v>
      </c>
      <c r="B102" s="630">
        <f>+OthAsia!B40</f>
        <v>0.13895604299311176</v>
      </c>
      <c r="C102" s="630">
        <f>+OthAsia!C40</f>
        <v>0.15092143928481719</v>
      </c>
      <c r="D102" s="630">
        <f>+OthAsia!D40</f>
        <v>0.12682884376516307</v>
      </c>
      <c r="E102" s="630">
        <f>+OthAsia!E40</f>
        <v>0.10818142118400435</v>
      </c>
      <c r="F102" s="630">
        <f>+OthAsia!F40</f>
        <v>9.3520782210481726E-2</v>
      </c>
      <c r="G102" s="630">
        <f>+OthAsia!G40</f>
        <v>8.182806806371698E-2</v>
      </c>
      <c r="H102" s="630">
        <f>+OthAsia!H40</f>
        <v>7.2378788910387945E-2</v>
      </c>
      <c r="I102" s="630">
        <f>+OthAsia!I40</f>
        <v>6.4649279405325152E-2</v>
      </c>
      <c r="J102" s="630">
        <f>+OthAsia!J40</f>
        <v>5.825525279809781E-2</v>
      </c>
      <c r="K102" s="630">
        <f>+OthAsia!K40</f>
        <v>5.2910713430024479E-2</v>
      </c>
      <c r="L102" s="630">
        <f>+OthAsia!L40</f>
        <v>4.8400021532613594E-2</v>
      </c>
      <c r="M102" s="630">
        <f>+OthAsia!M40</f>
        <v>4.4558602582114248E-2</v>
      </c>
      <c r="N102" s="630">
        <f>+OthAsia!N40</f>
        <v>4.1259430849219562E-2</v>
      </c>
      <c r="O102" s="630">
        <f>+OthAsia!O40</f>
        <v>3.8403428673470449E-2</v>
      </c>
      <c r="P102" s="630">
        <f>+OthAsia!P40</f>
        <v>3.591255915826902E-2</v>
      </c>
      <c r="Q102" s="630">
        <f>+OthAsia!Q40</f>
        <v>3.3724796448376108E-2</v>
      </c>
      <c r="R102" s="630">
        <f>+OthAsia!R40</f>
        <v>3.1790421439326616E-2</v>
      </c>
    </row>
    <row r="103" spans="1:18" s="635" customFormat="1" ht="15.75" customHeight="1" x14ac:dyDescent="0.2">
      <c r="B103" s="638">
        <f>+Global!B56/Global!B39</f>
        <v>0.13733648347751126</v>
      </c>
      <c r="C103" s="638">
        <f>+Global!C56/Global!C39</f>
        <v>0.10604392172760706</v>
      </c>
      <c r="D103" s="638">
        <f>+Global!D56/Global!D39</f>
        <v>8.9246961765395594E-2</v>
      </c>
      <c r="E103" s="638">
        <f>+Global!E56/Global!E39</f>
        <v>7.662882188343613E-2</v>
      </c>
      <c r="F103" s="638">
        <f>+Global!F56/Global!F39</f>
        <v>6.6400256402661881E-2</v>
      </c>
      <c r="G103" s="638">
        <f>+Global!G56/Global!G39</f>
        <v>5.8755423217022026E-2</v>
      </c>
      <c r="H103" s="638">
        <f>+Global!H56/Global!H39</f>
        <v>5.2314067731813574E-2</v>
      </c>
      <c r="I103" s="638">
        <f>+Global!I56/Global!I39</f>
        <v>4.6975889863325175E-2</v>
      </c>
      <c r="J103" s="638">
        <f>+Global!J56/Global!J39</f>
        <v>4.2414248198199243E-2</v>
      </c>
      <c r="K103" s="638">
        <f>+Global!K56/Global!K39</f>
        <v>3.8775313242063632E-2</v>
      </c>
      <c r="L103" s="638">
        <f>+Global!L56/Global!L39</f>
        <v>3.5730546011668154E-2</v>
      </c>
      <c r="M103" s="638">
        <f>+Global!M56/Global!M39</f>
        <v>3.312349032932254E-2</v>
      </c>
      <c r="N103" s="638">
        <f>+Global!N56/Global!N39</f>
        <v>3.0888186894044913E-2</v>
      </c>
      <c r="O103" s="638">
        <f>+Global!O56/Global!O39</f>
        <v>2.8981913120008508E-2</v>
      </c>
      <c r="P103" s="638">
        <f>+Global!P56/Global!P39</f>
        <v>2.728652468662825E-2</v>
      </c>
      <c r="Q103" s="638">
        <f>+Global!Q56/Global!Q39</f>
        <v>2.5784745310951592E-2</v>
      </c>
      <c r="R103" s="638">
        <f>+Global!R56/Global!R39</f>
        <v>2.4459578172192582E-2</v>
      </c>
    </row>
    <row r="104" spans="1:18" s="635" customFormat="1" ht="15.75" customHeight="1" x14ac:dyDescent="0.2">
      <c r="A104" s="640" t="s">
        <v>1194</v>
      </c>
      <c r="B104" s="638"/>
      <c r="C104" s="638"/>
      <c r="D104" s="638"/>
      <c r="E104" s="638"/>
      <c r="F104" s="638"/>
      <c r="G104" s="638"/>
      <c r="H104" s="638"/>
      <c r="I104" s="638"/>
      <c r="J104" s="638"/>
      <c r="K104" s="638"/>
      <c r="L104" s="638"/>
      <c r="M104" s="638"/>
    </row>
    <row r="105" spans="1:18" s="635" customFormat="1" ht="15.75" customHeight="1" x14ac:dyDescent="0.2">
      <c r="A105" s="629" t="s">
        <v>104</v>
      </c>
      <c r="C105" s="639">
        <f t="shared" ref="C105:R105" si="39">+LN(C91/B91)</f>
        <v>-0.27671877379983617</v>
      </c>
      <c r="D105" s="639">
        <f t="shared" si="39"/>
        <v>-0.15978108926280202</v>
      </c>
      <c r="E105" s="639">
        <f t="shared" si="39"/>
        <v>-0.14630298033652181</v>
      </c>
      <c r="F105" s="639">
        <f t="shared" si="39"/>
        <v>-0.13417268230286955</v>
      </c>
      <c r="G105" s="639">
        <f t="shared" si="39"/>
        <v>-0.12325541407258267</v>
      </c>
      <c r="H105" s="639">
        <f t="shared" si="39"/>
        <v>-0.11342987266532442</v>
      </c>
      <c r="I105" s="639">
        <f t="shared" si="39"/>
        <v>-0.10458688539879198</v>
      </c>
      <c r="J105" s="639">
        <f t="shared" si="39"/>
        <v>-9.662819685891276E-2</v>
      </c>
      <c r="K105" s="639">
        <f t="shared" si="39"/>
        <v>-8.946537717302154E-2</v>
      </c>
      <c r="L105" s="639">
        <f t="shared" si="39"/>
        <v>-8.3018839455719237E-2</v>
      </c>
      <c r="M105" s="639">
        <f t="shared" si="39"/>
        <v>-7.7216955510147456E-2</v>
      </c>
      <c r="N105" s="639">
        <f t="shared" si="39"/>
        <v>-7.199525995913264E-2</v>
      </c>
      <c r="O105" s="639">
        <f t="shared" si="39"/>
        <v>-6.7295733963219459E-2</v>
      </c>
      <c r="P105" s="639">
        <f t="shared" si="39"/>
        <v>-6.3066160566897497E-2</v>
      </c>
      <c r="Q105" s="639">
        <f t="shared" si="39"/>
        <v>-5.9259544510207672E-2</v>
      </c>
      <c r="R105" s="639">
        <f t="shared" si="39"/>
        <v>-5.5833590059186977E-2</v>
      </c>
    </row>
    <row r="106" spans="1:18" s="635" customFormat="1" ht="15.75" customHeight="1" x14ac:dyDescent="0.2">
      <c r="A106" s="629" t="s">
        <v>105</v>
      </c>
      <c r="C106" s="639">
        <f t="shared" ref="C106:R106" si="40">+LN(C92/B92)</f>
        <v>-0.37098857842690441</v>
      </c>
      <c r="D106" s="639">
        <f t="shared" si="40"/>
        <v>-0.1326150920561463</v>
      </c>
      <c r="E106" s="639">
        <f t="shared" si="40"/>
        <v>-0.12185358285053177</v>
      </c>
      <c r="F106" s="639">
        <f t="shared" si="40"/>
        <v>-0.11216822456547856</v>
      </c>
      <c r="G106" s="639">
        <f t="shared" si="40"/>
        <v>-0.10345140210893071</v>
      </c>
      <c r="H106" s="639">
        <f t="shared" si="40"/>
        <v>-9.560626189803742E-2</v>
      </c>
      <c r="I106" s="639">
        <f t="shared" si="40"/>
        <v>-8.8545635708233733E-2</v>
      </c>
      <c r="J106" s="639">
        <f t="shared" si="40"/>
        <v>-8.219107213741049E-2</v>
      </c>
      <c r="K106" s="639">
        <f t="shared" si="40"/>
        <v>-7.647196492366938E-2</v>
      </c>
      <c r="L106" s="639">
        <f t="shared" si="40"/>
        <v>-7.1324768431302407E-2</v>
      </c>
      <c r="M106" s="639">
        <f t="shared" si="40"/>
        <v>-6.6692291588172262E-2</v>
      </c>
      <c r="N106" s="639">
        <f t="shared" si="40"/>
        <v>-6.2523062429354931E-2</v>
      </c>
      <c r="O106" s="639">
        <f t="shared" si="40"/>
        <v>-5.8770756186419512E-2</v>
      </c>
      <c r="P106" s="639">
        <f t="shared" si="40"/>
        <v>-5.5393680567777673E-2</v>
      </c>
      <c r="Q106" s="639">
        <f t="shared" si="40"/>
        <v>-5.2354312510999763E-2</v>
      </c>
      <c r="R106" s="639">
        <f t="shared" si="40"/>
        <v>-4.9618881259899786E-2</v>
      </c>
    </row>
    <row r="107" spans="1:18" s="635" customFormat="1" ht="15.75" customHeight="1" x14ac:dyDescent="0.2">
      <c r="A107" s="629" t="s">
        <v>51</v>
      </c>
      <c r="C107" s="639">
        <f t="shared" ref="C107:R107" si="41">+LN(C93/B93)</f>
        <v>-0.10179452331151312</v>
      </c>
      <c r="D107" s="639">
        <f t="shared" si="41"/>
        <v>-0.15990323971354667</v>
      </c>
      <c r="E107" s="639">
        <f t="shared" si="41"/>
        <v>-0.14641291574219212</v>
      </c>
      <c r="F107" s="639">
        <f t="shared" si="41"/>
        <v>-0.13427162416797275</v>
      </c>
      <c r="G107" s="639">
        <f t="shared" si="41"/>
        <v>-0.12334446175117561</v>
      </c>
      <c r="H107" s="639">
        <f t="shared" si="41"/>
        <v>-0.11351001557605798</v>
      </c>
      <c r="I107" s="639">
        <f t="shared" si="41"/>
        <v>-0.10465901401845222</v>
      </c>
      <c r="J107" s="639">
        <f t="shared" si="41"/>
        <v>-9.6693112616607069E-2</v>
      </c>
      <c r="K107" s="639">
        <f t="shared" si="41"/>
        <v>-8.9523801354946309E-2</v>
      </c>
      <c r="L107" s="639">
        <f t="shared" si="41"/>
        <v>-8.3071421219451602E-2</v>
      </c>
      <c r="M107" s="639">
        <f t="shared" si="41"/>
        <v>-7.726427909750648E-2</v>
      </c>
      <c r="N107" s="639">
        <f t="shared" si="41"/>
        <v>-7.2037851187755783E-2</v>
      </c>
      <c r="O107" s="639">
        <f t="shared" si="41"/>
        <v>-6.7334066068980278E-2</v>
      </c>
      <c r="P107" s="639">
        <f t="shared" si="41"/>
        <v>-6.3100659462082181E-2</v>
      </c>
      <c r="Q107" s="639">
        <f t="shared" si="41"/>
        <v>-5.9290593515873895E-2</v>
      </c>
      <c r="R107" s="639">
        <f t="shared" si="41"/>
        <v>-5.5861534164286533E-2</v>
      </c>
    </row>
    <row r="108" spans="1:18" s="635" customFormat="1" ht="15.75" customHeight="1" x14ac:dyDescent="0.2">
      <c r="A108" s="629" t="s">
        <v>52</v>
      </c>
      <c r="C108" s="639">
        <f t="shared" ref="C108:R108" si="42">+LN(C94/B94)</f>
        <v>-0.29875950945557089</v>
      </c>
      <c r="D108" s="639">
        <f t="shared" si="42"/>
        <v>-0.15795307354679328</v>
      </c>
      <c r="E108" s="639">
        <f t="shared" si="42"/>
        <v>-0.14465776619211412</v>
      </c>
      <c r="F108" s="639">
        <f t="shared" si="42"/>
        <v>-0.13269198957290251</v>
      </c>
      <c r="G108" s="639">
        <f t="shared" si="42"/>
        <v>-0.12192279061561229</v>
      </c>
      <c r="H108" s="639">
        <f t="shared" si="42"/>
        <v>-0.11223051155405107</v>
      </c>
      <c r="I108" s="639">
        <f t="shared" si="42"/>
        <v>-0.10350746039864611</v>
      </c>
      <c r="J108" s="639">
        <f t="shared" si="42"/>
        <v>-9.5656714358781453E-2</v>
      </c>
      <c r="K108" s="639">
        <f t="shared" si="42"/>
        <v>-8.8591042922903249E-2</v>
      </c>
      <c r="L108" s="639">
        <f t="shared" si="42"/>
        <v>-8.2231938630612789E-2</v>
      </c>
      <c r="M108" s="639">
        <f t="shared" si="42"/>
        <v>-7.6508744767551637E-2</v>
      </c>
      <c r="N108" s="639">
        <f t="shared" si="42"/>
        <v>-7.1357870290796516E-2</v>
      </c>
      <c r="O108" s="639">
        <f t="shared" si="42"/>
        <v>-6.6722083261716761E-2</v>
      </c>
      <c r="P108" s="639">
        <f t="shared" si="42"/>
        <v>-6.2549874935545063E-2</v>
      </c>
      <c r="Q108" s="639">
        <f t="shared" si="42"/>
        <v>-5.8794887441990594E-2</v>
      </c>
      <c r="R108" s="639">
        <f t="shared" si="42"/>
        <v>-5.5415398697791531E-2</v>
      </c>
    </row>
    <row r="109" spans="1:18" s="635" customFormat="1" ht="15.75" customHeight="1" x14ac:dyDescent="0.2">
      <c r="A109" s="629" t="s">
        <v>53</v>
      </c>
      <c r="C109" s="639">
        <f t="shared" ref="C109:R109" si="43">+LN(C95/B95)</f>
        <v>-0.39786730115052427</v>
      </c>
      <c r="D109" s="639">
        <f t="shared" si="43"/>
        <v>-0.2185060919671418</v>
      </c>
      <c r="E109" s="639">
        <f t="shared" si="43"/>
        <v>-0.19915548277042772</v>
      </c>
      <c r="F109" s="639">
        <f t="shared" si="43"/>
        <v>-0.1817399344933848</v>
      </c>
      <c r="G109" s="639">
        <f t="shared" si="43"/>
        <v>-0.16606594104404632</v>
      </c>
      <c r="H109" s="639">
        <f t="shared" si="43"/>
        <v>-0.15195934693964169</v>
      </c>
      <c r="I109" s="639">
        <f t="shared" si="43"/>
        <v>-0.13926341224567754</v>
      </c>
      <c r="J109" s="639">
        <f t="shared" si="43"/>
        <v>-0.12783707102110983</v>
      </c>
      <c r="K109" s="639">
        <f t="shared" si="43"/>
        <v>-0.1175533639189988</v>
      </c>
      <c r="L109" s="639">
        <f t="shared" si="43"/>
        <v>-0.10829802752709898</v>
      </c>
      <c r="M109" s="639">
        <f t="shared" si="43"/>
        <v>-9.9968224774388992E-2</v>
      </c>
      <c r="N109" s="639">
        <f t="shared" si="43"/>
        <v>-9.2471402296950111E-2</v>
      </c>
      <c r="O109" s="639">
        <f t="shared" si="43"/>
        <v>-8.5724262067255072E-2</v>
      </c>
      <c r="P109" s="639">
        <f t="shared" si="43"/>
        <v>-7.9651835860529693E-2</v>
      </c>
      <c r="Q109" s="639">
        <f t="shared" si="43"/>
        <v>-7.4186652274476683E-2</v>
      </c>
      <c r="R109" s="639">
        <f t="shared" si="43"/>
        <v>-6.9267987047028967E-2</v>
      </c>
    </row>
    <row r="110" spans="1:18" s="635" customFormat="1" ht="15.75" customHeight="1" x14ac:dyDescent="0.2">
      <c r="A110" s="629" t="s">
        <v>54</v>
      </c>
      <c r="C110" s="639">
        <f t="shared" ref="C110:R110" si="44">+LN(C96/B96)</f>
        <v>-0.23139680909351493</v>
      </c>
      <c r="D110" s="639">
        <f t="shared" si="44"/>
        <v>-0.22625325945825214</v>
      </c>
      <c r="E110" s="639">
        <f t="shared" si="44"/>
        <v>-0.20612793351242714</v>
      </c>
      <c r="F110" s="639">
        <f t="shared" si="44"/>
        <v>-0.18801514016118409</v>
      </c>
      <c r="G110" s="639">
        <f t="shared" si="44"/>
        <v>-0.17171362614506588</v>
      </c>
      <c r="H110" s="639">
        <f t="shared" si="44"/>
        <v>-0.15704226353055922</v>
      </c>
      <c r="I110" s="639">
        <f t="shared" si="44"/>
        <v>-0.14383803717750329</v>
      </c>
      <c r="J110" s="639">
        <f t="shared" si="44"/>
        <v>-0.13195423345975285</v>
      </c>
      <c r="K110" s="639">
        <f t="shared" si="44"/>
        <v>-0.12125881011377768</v>
      </c>
      <c r="L110" s="639">
        <f t="shared" si="44"/>
        <v>-0.11163292910239994</v>
      </c>
      <c r="M110" s="639">
        <f t="shared" si="44"/>
        <v>-0.10296963619215993</v>
      </c>
      <c r="N110" s="639">
        <f t="shared" si="44"/>
        <v>-9.51726725729439E-2</v>
      </c>
      <c r="O110" s="639">
        <f t="shared" si="44"/>
        <v>-8.8155405315649624E-2</v>
      </c>
      <c r="P110" s="639">
        <f t="shared" si="44"/>
        <v>-8.1839864784084532E-2</v>
      </c>
      <c r="Q110" s="639">
        <f t="shared" si="44"/>
        <v>-7.615587830567605E-2</v>
      </c>
      <c r="R110" s="639">
        <f t="shared" si="44"/>
        <v>-7.1040290475108639E-2</v>
      </c>
    </row>
    <row r="111" spans="1:18" s="635" customFormat="1" ht="15.75" customHeight="1" x14ac:dyDescent="0.2">
      <c r="A111" s="629" t="s">
        <v>55</v>
      </c>
      <c r="C111" s="639">
        <f t="shared" ref="C111:R111" si="45">+LN(C97/B97)</f>
        <v>-5.47319835500341E-2</v>
      </c>
      <c r="D111" s="639">
        <f t="shared" si="45"/>
        <v>-0.2012109520642911</v>
      </c>
      <c r="E111" s="639">
        <f t="shared" si="45"/>
        <v>-0.18358985685786203</v>
      </c>
      <c r="F111" s="639">
        <f t="shared" si="45"/>
        <v>-0.16773087117207583</v>
      </c>
      <c r="G111" s="639">
        <f t="shared" si="45"/>
        <v>-0.15345778405486835</v>
      </c>
      <c r="H111" s="639">
        <f t="shared" si="45"/>
        <v>-0.14061200564938137</v>
      </c>
      <c r="I111" s="639">
        <f t="shared" si="45"/>
        <v>-0.12905080508444328</v>
      </c>
      <c r="J111" s="639">
        <f t="shared" si="45"/>
        <v>-0.11864572457599899</v>
      </c>
      <c r="K111" s="639">
        <f t="shared" si="45"/>
        <v>-0.10928115211839912</v>
      </c>
      <c r="L111" s="639">
        <f t="shared" si="45"/>
        <v>-0.10085303690655922</v>
      </c>
      <c r="M111" s="639">
        <f t="shared" si="45"/>
        <v>-9.3267733215903245E-2</v>
      </c>
      <c r="N111" s="639">
        <f t="shared" si="45"/>
        <v>-8.6440959894312788E-2</v>
      </c>
      <c r="O111" s="639">
        <f t="shared" si="45"/>
        <v>-8.0296863904881666E-2</v>
      </c>
      <c r="P111" s="639">
        <f t="shared" si="45"/>
        <v>-7.4767177514393449E-2</v>
      </c>
      <c r="Q111" s="639">
        <f t="shared" si="45"/>
        <v>-6.979045976295406E-2</v>
      </c>
      <c r="R111" s="639">
        <f t="shared" si="45"/>
        <v>-6.5311413786658667E-2</v>
      </c>
    </row>
    <row r="112" spans="1:18" s="635" customFormat="1" ht="15.75" customHeight="1" x14ac:dyDescent="0.2">
      <c r="A112" s="629" t="s">
        <v>56</v>
      </c>
      <c r="C112" s="639">
        <f t="shared" ref="C112:R112" si="46">+LN(C98/B98)</f>
        <v>-0.19094135765271372</v>
      </c>
      <c r="D112" s="639">
        <f t="shared" si="46"/>
        <v>-0.16116978530125142</v>
      </c>
      <c r="E112" s="639">
        <f t="shared" si="46"/>
        <v>-0.14755280677112617</v>
      </c>
      <c r="F112" s="639">
        <f t="shared" si="46"/>
        <v>-0.13529752609401358</v>
      </c>
      <c r="G112" s="639">
        <f t="shared" si="46"/>
        <v>-0.12426777348461227</v>
      </c>
      <c r="H112" s="639">
        <f t="shared" si="46"/>
        <v>-0.11434099613615108</v>
      </c>
      <c r="I112" s="639">
        <f t="shared" si="46"/>
        <v>-0.10540689652253589</v>
      </c>
      <c r="J112" s="639">
        <f t="shared" si="46"/>
        <v>-9.7366206870282385E-2</v>
      </c>
      <c r="K112" s="639">
        <f t="shared" si="46"/>
        <v>-9.0129586183254104E-2</v>
      </c>
      <c r="L112" s="639">
        <f t="shared" si="46"/>
        <v>-8.3616627564928658E-2</v>
      </c>
      <c r="M112" s="639">
        <f t="shared" si="46"/>
        <v>-7.77549648084358E-2</v>
      </c>
      <c r="N112" s="639">
        <f t="shared" si="46"/>
        <v>-7.2479468327592222E-2</v>
      </c>
      <c r="O112" s="639">
        <f t="shared" si="46"/>
        <v>-6.7731521494832969E-2</v>
      </c>
      <c r="P112" s="639">
        <f t="shared" si="46"/>
        <v>-6.3458369345349694E-2</v>
      </c>
      <c r="Q112" s="639">
        <f t="shared" si="46"/>
        <v>-5.9612532410814587E-2</v>
      </c>
      <c r="R112" s="639">
        <f t="shared" si="46"/>
        <v>-5.615127916973333E-2</v>
      </c>
    </row>
    <row r="113" spans="1:18" s="635" customFormat="1" ht="15.75" customHeight="1" x14ac:dyDescent="0.2">
      <c r="A113" s="629" t="s">
        <v>57</v>
      </c>
      <c r="C113" s="639">
        <f t="shared" ref="C113:R113" si="47">+LN(C99/B99)</f>
        <v>-0.39316580473956564</v>
      </c>
      <c r="D113" s="639">
        <f t="shared" si="47"/>
        <v>-0.20158070469675785</v>
      </c>
      <c r="E113" s="639">
        <f t="shared" si="47"/>
        <v>-0.18392263422708191</v>
      </c>
      <c r="F113" s="639">
        <f t="shared" si="47"/>
        <v>-0.16803037080437394</v>
      </c>
      <c r="G113" s="639">
        <f t="shared" si="47"/>
        <v>-0.1537273337239366</v>
      </c>
      <c r="H113" s="639">
        <f t="shared" si="47"/>
        <v>-0.14085460035154293</v>
      </c>
      <c r="I113" s="639">
        <f t="shared" si="47"/>
        <v>-0.12926914031638864</v>
      </c>
      <c r="J113" s="639">
        <f t="shared" si="47"/>
        <v>-0.11884222628474969</v>
      </c>
      <c r="K113" s="639">
        <f t="shared" si="47"/>
        <v>-0.10945800365627477</v>
      </c>
      <c r="L113" s="639">
        <f t="shared" si="47"/>
        <v>-0.10101220329064722</v>
      </c>
      <c r="M113" s="639">
        <f t="shared" si="47"/>
        <v>-9.3410982961582525E-2</v>
      </c>
      <c r="N113" s="639">
        <f t="shared" si="47"/>
        <v>-8.656988466542434E-2</v>
      </c>
      <c r="O113" s="639">
        <f t="shared" si="47"/>
        <v>-8.0412896198881867E-2</v>
      </c>
      <c r="P113" s="639">
        <f t="shared" si="47"/>
        <v>-7.4871606578993791E-2</v>
      </c>
      <c r="Q113" s="639">
        <f t="shared" si="47"/>
        <v>-6.9884445921094232E-2</v>
      </c>
      <c r="R113" s="639">
        <f t="shared" si="47"/>
        <v>-6.539600132898471E-2</v>
      </c>
    </row>
    <row r="114" spans="1:18" s="635" customFormat="1" ht="15.75" customHeight="1" x14ac:dyDescent="0.2">
      <c r="A114" s="629" t="s">
        <v>58</v>
      </c>
      <c r="C114" s="639">
        <f t="shared" ref="C114:R114" si="48">+LN(C100/B100)</f>
        <v>-0.18882157062646854</v>
      </c>
      <c r="D114" s="639">
        <f t="shared" si="48"/>
        <v>-0.13719452879941574</v>
      </c>
      <c r="E114" s="639">
        <f t="shared" si="48"/>
        <v>-0.12597507591947427</v>
      </c>
      <c r="F114" s="639">
        <f t="shared" si="48"/>
        <v>-0.11587756832752708</v>
      </c>
      <c r="G114" s="639">
        <f t="shared" si="48"/>
        <v>-0.10678981149477419</v>
      </c>
      <c r="H114" s="639">
        <f t="shared" si="48"/>
        <v>-9.8610830345296774E-2</v>
      </c>
      <c r="I114" s="639">
        <f t="shared" si="48"/>
        <v>-9.124974731076696E-2</v>
      </c>
      <c r="J114" s="639">
        <f t="shared" si="48"/>
        <v>-8.4624772579690408E-2</v>
      </c>
      <c r="K114" s="639">
        <f t="shared" si="48"/>
        <v>-7.8662295321721393E-2</v>
      </c>
      <c r="L114" s="639">
        <f t="shared" si="48"/>
        <v>-7.3296065789549267E-2</v>
      </c>
      <c r="M114" s="639">
        <f t="shared" si="48"/>
        <v>-6.8466459210594341E-2</v>
      </c>
      <c r="N114" s="639">
        <f t="shared" si="48"/>
        <v>-6.411981328953488E-2</v>
      </c>
      <c r="O114" s="639">
        <f t="shared" si="48"/>
        <v>-6.0207831960581375E-2</v>
      </c>
      <c r="P114" s="639">
        <f t="shared" si="48"/>
        <v>-5.6687048764523199E-2</v>
      </c>
      <c r="Q114" s="639">
        <f t="shared" si="48"/>
        <v>-5.351834388807096E-2</v>
      </c>
      <c r="R114" s="639">
        <f t="shared" si="48"/>
        <v>-5.0666509499263775E-2</v>
      </c>
    </row>
    <row r="115" spans="1:18" s="635" customFormat="1" ht="15.75" customHeight="1" x14ac:dyDescent="0.2">
      <c r="A115" s="629" t="s">
        <v>114</v>
      </c>
      <c r="C115" s="639">
        <f t="shared" ref="C115:R115" si="49">+LN(C101/B101)</f>
        <v>-0.23191605915730815</v>
      </c>
      <c r="D115" s="639">
        <f t="shared" si="49"/>
        <v>-0.17059428559389808</v>
      </c>
      <c r="E115" s="639">
        <f t="shared" si="49"/>
        <v>-0.15603485703450823</v>
      </c>
      <c r="F115" s="639">
        <f t="shared" si="49"/>
        <v>-0.14293137133105749</v>
      </c>
      <c r="G115" s="639">
        <f t="shared" si="49"/>
        <v>-0.13113823419795173</v>
      </c>
      <c r="H115" s="639">
        <f t="shared" si="49"/>
        <v>-0.12052441077815657</v>
      </c>
      <c r="I115" s="639">
        <f t="shared" si="49"/>
        <v>-0.11097196970034089</v>
      </c>
      <c r="J115" s="639">
        <f t="shared" si="49"/>
        <v>-0.1023747727303068</v>
      </c>
      <c r="K115" s="639">
        <f t="shared" si="49"/>
        <v>-9.4637295457276074E-2</v>
      </c>
      <c r="L115" s="639">
        <f t="shared" si="49"/>
        <v>-8.7673565911548498E-2</v>
      </c>
      <c r="M115" s="639">
        <f t="shared" si="49"/>
        <v>-8.1406209320393774E-2</v>
      </c>
      <c r="N115" s="639">
        <f t="shared" si="49"/>
        <v>-7.5765588388354441E-2</v>
      </c>
      <c r="O115" s="639">
        <f t="shared" si="49"/>
        <v>-7.0689029549518889E-2</v>
      </c>
      <c r="P115" s="639">
        <f t="shared" si="49"/>
        <v>-6.6120126594566925E-2</v>
      </c>
      <c r="Q115" s="639">
        <f t="shared" si="49"/>
        <v>-6.2008113935110271E-2</v>
      </c>
      <c r="R115" s="639">
        <f t="shared" si="49"/>
        <v>-5.8307302541599396E-2</v>
      </c>
    </row>
    <row r="116" spans="1:18" s="635" customFormat="1" ht="15.75" customHeight="1" x14ac:dyDescent="0.2">
      <c r="A116" s="629" t="s">
        <v>224</v>
      </c>
      <c r="C116" s="639">
        <f t="shared" ref="C116:R116" si="50">+LN(C102/B102)</f>
        <v>8.2601786133289654E-2</v>
      </c>
      <c r="D116" s="639">
        <f t="shared" si="50"/>
        <v>-0.17392094116734921</v>
      </c>
      <c r="E116" s="639">
        <f t="shared" si="50"/>
        <v>-0.1590288470506144</v>
      </c>
      <c r="F116" s="639">
        <f t="shared" si="50"/>
        <v>-0.14562596234555297</v>
      </c>
      <c r="G116" s="639">
        <f t="shared" si="50"/>
        <v>-0.13356336611099762</v>
      </c>
      <c r="H116" s="639">
        <f t="shared" si="50"/>
        <v>-0.12270702949989788</v>
      </c>
      <c r="I116" s="639">
        <f t="shared" si="50"/>
        <v>-0.11293632654990822</v>
      </c>
      <c r="J116" s="639">
        <f t="shared" si="50"/>
        <v>-0.10414269389491733</v>
      </c>
      <c r="K116" s="639">
        <f t="shared" si="50"/>
        <v>-9.6228424505425569E-2</v>
      </c>
      <c r="L116" s="639">
        <f t="shared" si="50"/>
        <v>-8.9105582054883031E-2</v>
      </c>
      <c r="M116" s="639">
        <f t="shared" si="50"/>
        <v>-8.2695023849394741E-2</v>
      </c>
      <c r="N116" s="639">
        <f t="shared" si="50"/>
        <v>-7.6925521464455138E-2</v>
      </c>
      <c r="O116" s="639">
        <f t="shared" si="50"/>
        <v>-7.1732969318009571E-2</v>
      </c>
      <c r="P116" s="639">
        <f t="shared" si="50"/>
        <v>-6.7059672386208732E-2</v>
      </c>
      <c r="Q116" s="639">
        <f t="shared" si="50"/>
        <v>-6.2853705147587716E-2</v>
      </c>
      <c r="R116" s="639">
        <f t="shared" si="50"/>
        <v>-5.9068334632829185E-2</v>
      </c>
    </row>
    <row r="117" spans="1:18" s="635" customFormat="1" ht="15.75" customHeight="1" x14ac:dyDescent="0.2">
      <c r="A117" s="629" t="s">
        <v>255</v>
      </c>
      <c r="C117" s="639">
        <f t="shared" ref="C117:R117" si="51">+LN(C103/B103)</f>
        <v>-0.25858063415020904</v>
      </c>
      <c r="D117" s="639">
        <f t="shared" si="51"/>
        <v>-0.17244598597517555</v>
      </c>
      <c r="E117" s="639">
        <f t="shared" si="51"/>
        <v>-0.15243410746248987</v>
      </c>
      <c r="F117" s="639">
        <f t="shared" si="51"/>
        <v>-0.14327235281271056</v>
      </c>
      <c r="G117" s="639">
        <f t="shared" si="51"/>
        <v>-0.12231745911987829</v>
      </c>
      <c r="H117" s="639">
        <f t="shared" si="51"/>
        <v>-0.1161181424512522</v>
      </c>
      <c r="I117" s="639">
        <f t="shared" si="51"/>
        <v>-0.10763082793108593</v>
      </c>
      <c r="J117" s="639">
        <f t="shared" si="51"/>
        <v>-0.10215014025992111</v>
      </c>
      <c r="K117" s="639">
        <f t="shared" si="51"/>
        <v>-8.9700560714442545E-2</v>
      </c>
      <c r="L117" s="639">
        <f t="shared" si="51"/>
        <v>-8.1777833962865268E-2</v>
      </c>
      <c r="M117" s="639">
        <f t="shared" si="51"/>
        <v>-7.5763245217390834E-2</v>
      </c>
      <c r="N117" s="639">
        <f t="shared" si="51"/>
        <v>-6.9868898659583706E-2</v>
      </c>
      <c r="O117" s="639">
        <f t="shared" si="51"/>
        <v>-6.3701859747576195E-2</v>
      </c>
      <c r="P117" s="639">
        <f t="shared" si="51"/>
        <v>-6.0278970789488295E-2</v>
      </c>
      <c r="Q117" s="639">
        <f t="shared" si="51"/>
        <v>-5.6609929064403597E-2</v>
      </c>
      <c r="R117" s="639">
        <f t="shared" si="51"/>
        <v>-5.2761165550235252E-2</v>
      </c>
    </row>
    <row r="118" spans="1:18" s="635" customFormat="1" ht="15.75" customHeight="1" x14ac:dyDescent="0.2">
      <c r="A118" s="640" t="s">
        <v>1194</v>
      </c>
      <c r="B118" s="635" t="s">
        <v>1184</v>
      </c>
      <c r="C118" s="641" t="s">
        <v>1185</v>
      </c>
      <c r="D118" s="642" t="s">
        <v>1186</v>
      </c>
      <c r="E118" s="635" t="s">
        <v>1187</v>
      </c>
      <c r="F118" s="635" t="s">
        <v>1188</v>
      </c>
      <c r="G118" s="635" t="s">
        <v>1189</v>
      </c>
      <c r="M118" s="637"/>
    </row>
    <row r="119" spans="1:18" s="635" customFormat="1" ht="15.75" customHeight="1" x14ac:dyDescent="0.2">
      <c r="A119" s="629" t="s">
        <v>104</v>
      </c>
      <c r="B119" s="643">
        <f t="shared" ref="B119:B131" si="52">+AVERAGE(C105:G105)/10</f>
        <v>-1.6804618795492245E-2</v>
      </c>
      <c r="C119" s="643">
        <f t="shared" ref="C119:C131" si="53">+AVERAGE(H105:L105)/10</f>
        <v>-9.7425834310353992E-3</v>
      </c>
      <c r="D119" s="643">
        <f t="shared" ref="D119:D131" si="54">+AVERAGE(M105:Q105)/10</f>
        <v>-6.7766730901920955E-3</v>
      </c>
      <c r="E119" s="652">
        <f t="shared" ref="E119:E131" si="55">+Q91</f>
        <v>2.5333721769992389E-2</v>
      </c>
      <c r="F119" s="652">
        <f t="shared" ref="F119:F131" si="56">+E119/B91</f>
        <v>0.1889649433899846</v>
      </c>
      <c r="G119" s="653">
        <f t="shared" ref="G119:G131" si="57">+AVERAGE(B119:D119)</f>
        <v>-1.1107958438906579E-2</v>
      </c>
      <c r="M119" s="637"/>
    </row>
    <row r="120" spans="1:18" s="635" customFormat="1" ht="15.75" customHeight="1" x14ac:dyDescent="0.2">
      <c r="A120" s="629" t="s">
        <v>105</v>
      </c>
      <c r="B120" s="643">
        <f t="shared" si="52"/>
        <v>-1.6821537600159836E-2</v>
      </c>
      <c r="C120" s="643">
        <f t="shared" si="53"/>
        <v>-8.2827940619730686E-3</v>
      </c>
      <c r="D120" s="643">
        <f t="shared" si="54"/>
        <v>-5.9146820656544828E-3</v>
      </c>
      <c r="E120" s="652">
        <f t="shared" si="55"/>
        <v>1.8648968480536862E-2</v>
      </c>
      <c r="F120" s="652">
        <f t="shared" si="56"/>
        <v>0.21204628845181556</v>
      </c>
      <c r="G120" s="653">
        <f t="shared" si="57"/>
        <v>-1.0339671242595796E-2</v>
      </c>
      <c r="M120" s="637"/>
    </row>
    <row r="121" spans="1:18" s="635" customFormat="1" ht="15.75" customHeight="1" x14ac:dyDescent="0.2">
      <c r="A121" s="629" t="s">
        <v>51</v>
      </c>
      <c r="B121" s="643">
        <f t="shared" si="52"/>
        <v>-1.3314535293728006E-2</v>
      </c>
      <c r="C121" s="643">
        <f t="shared" si="53"/>
        <v>-9.7491472957103049E-3</v>
      </c>
      <c r="D121" s="643">
        <f t="shared" si="54"/>
        <v>-6.7805489866439722E-3</v>
      </c>
      <c r="E121" s="652">
        <f t="shared" si="55"/>
        <v>2.1496099414696029E-2</v>
      </c>
      <c r="F121" s="652">
        <f t="shared" si="56"/>
        <v>0.22487477690327054</v>
      </c>
      <c r="G121" s="653">
        <f t="shared" si="57"/>
        <v>-9.9480771920274283E-3</v>
      </c>
      <c r="M121" s="637"/>
    </row>
    <row r="122" spans="1:18" s="635" customFormat="1" ht="15.75" customHeight="1" x14ac:dyDescent="0.2">
      <c r="A122" s="629" t="s">
        <v>52</v>
      </c>
      <c r="B122" s="643">
        <f t="shared" si="52"/>
        <v>-1.7119702587659862E-2</v>
      </c>
      <c r="C122" s="643">
        <f t="shared" si="53"/>
        <v>-9.6443533572998924E-3</v>
      </c>
      <c r="D122" s="643">
        <f t="shared" si="54"/>
        <v>-6.7186692139520107E-3</v>
      </c>
      <c r="E122" s="652">
        <f t="shared" si="55"/>
        <v>4.7612440578133547E-2</v>
      </c>
      <c r="F122" s="652">
        <f t="shared" si="56"/>
        <v>0.18747003532449721</v>
      </c>
      <c r="G122" s="653">
        <f t="shared" si="57"/>
        <v>-1.1160908386303922E-2</v>
      </c>
      <c r="M122" s="637"/>
    </row>
    <row r="123" spans="1:18" s="635" customFormat="1" ht="15.75" customHeight="1" x14ac:dyDescent="0.2">
      <c r="A123" s="629" t="s">
        <v>53</v>
      </c>
      <c r="B123" s="643">
        <f t="shared" si="52"/>
        <v>-2.3266695028510496E-2</v>
      </c>
      <c r="C123" s="643">
        <f t="shared" si="53"/>
        <v>-1.2898224433050536E-2</v>
      </c>
      <c r="D123" s="643">
        <f t="shared" si="54"/>
        <v>-8.640047545472011E-3</v>
      </c>
      <c r="E123" s="652">
        <f t="shared" si="55"/>
        <v>3.3836663479681776E-2</v>
      </c>
      <c r="F123" s="652">
        <f t="shared" si="56"/>
        <v>0.10643206865505044</v>
      </c>
      <c r="G123" s="653">
        <f t="shared" si="57"/>
        <v>-1.4934989002344348E-2</v>
      </c>
      <c r="M123" s="637"/>
    </row>
    <row r="124" spans="1:18" s="635" customFormat="1" ht="15.75" customHeight="1" x14ac:dyDescent="0.2">
      <c r="A124" s="629" t="s">
        <v>54</v>
      </c>
      <c r="B124" s="643">
        <f t="shared" si="52"/>
        <v>-2.0470135367408878E-2</v>
      </c>
      <c r="C124" s="643">
        <f t="shared" si="53"/>
        <v>-1.3314525467679861E-2</v>
      </c>
      <c r="D124" s="643">
        <f t="shared" si="54"/>
        <v>-8.8858691434102813E-3</v>
      </c>
      <c r="E124" s="652">
        <f t="shared" si="55"/>
        <v>3.5542811741488489E-2</v>
      </c>
      <c r="F124" s="652">
        <f t="shared" si="56"/>
        <v>0.11841895233739444</v>
      </c>
      <c r="G124" s="653">
        <f t="shared" si="57"/>
        <v>-1.4223509992833007E-2</v>
      </c>
      <c r="M124" s="637"/>
    </row>
    <row r="125" spans="1:18" s="635" customFormat="1" ht="15.75" customHeight="1" x14ac:dyDescent="0.2">
      <c r="A125" s="629" t="s">
        <v>55</v>
      </c>
      <c r="B125" s="643">
        <f t="shared" si="52"/>
        <v>-1.5214428953982628E-2</v>
      </c>
      <c r="C125" s="643">
        <f t="shared" si="53"/>
        <v>-1.196885448669564E-2</v>
      </c>
      <c r="D125" s="643">
        <f t="shared" si="54"/>
        <v>-8.0912638858489042E-3</v>
      </c>
      <c r="E125" s="652">
        <f t="shared" si="55"/>
        <v>2.8451337196444982E-2</v>
      </c>
      <c r="F125" s="652">
        <f t="shared" si="56"/>
        <v>0.17140478323948716</v>
      </c>
      <c r="G125" s="653">
        <f t="shared" si="57"/>
        <v>-1.1758182442175724E-2</v>
      </c>
      <c r="M125" s="637"/>
    </row>
    <row r="126" spans="1:18" s="635" customFormat="1" ht="15.75" customHeight="1" x14ac:dyDescent="0.2">
      <c r="A126" s="629" t="s">
        <v>56</v>
      </c>
      <c r="B126" s="643">
        <f t="shared" si="52"/>
        <v>-1.5184584986074343E-2</v>
      </c>
      <c r="C126" s="643">
        <f t="shared" si="53"/>
        <v>-9.8172062655430426E-3</v>
      </c>
      <c r="D126" s="643">
        <f t="shared" si="54"/>
        <v>-6.820737127740506E-3</v>
      </c>
      <c r="E126" s="652">
        <f t="shared" si="55"/>
        <v>3.451462199937147E-2</v>
      </c>
      <c r="F126" s="652">
        <f t="shared" si="56"/>
        <v>0.20369603538097025</v>
      </c>
      <c r="G126" s="653">
        <f t="shared" si="57"/>
        <v>-1.0607509459785966E-2</v>
      </c>
      <c r="M126" s="637"/>
    </row>
    <row r="127" spans="1:18" s="635" customFormat="1" ht="15.75" customHeight="1" x14ac:dyDescent="0.2">
      <c r="A127" s="629" t="s">
        <v>57</v>
      </c>
      <c r="B127" s="643">
        <f t="shared" si="52"/>
        <v>-2.200853696383432E-2</v>
      </c>
      <c r="C127" s="643">
        <f t="shared" si="53"/>
        <v>-1.1988723477992066E-2</v>
      </c>
      <c r="D127" s="643">
        <f t="shared" si="54"/>
        <v>-8.1029963265195348E-3</v>
      </c>
      <c r="E127" s="652">
        <f t="shared" si="55"/>
        <v>1.7929742521096317E-2</v>
      </c>
      <c r="F127" s="652">
        <f t="shared" si="56"/>
        <v>0.12184410997350993</v>
      </c>
      <c r="G127" s="653">
        <f t="shared" si="57"/>
        <v>-1.4033418922781973E-2</v>
      </c>
      <c r="M127" s="637"/>
    </row>
    <row r="128" spans="1:18" s="635" customFormat="1" ht="15.75" customHeight="1" x14ac:dyDescent="0.2">
      <c r="A128" s="629" t="s">
        <v>58</v>
      </c>
      <c r="B128" s="643">
        <f t="shared" si="52"/>
        <v>-1.3493171103353196E-2</v>
      </c>
      <c r="C128" s="643">
        <f t="shared" si="53"/>
        <v>-8.5288742269404964E-3</v>
      </c>
      <c r="D128" s="643">
        <f t="shared" si="54"/>
        <v>-6.059989942266095E-3</v>
      </c>
      <c r="E128" s="652">
        <f t="shared" si="55"/>
        <v>2.2211143361156239E-2</v>
      </c>
      <c r="F128" s="652">
        <f t="shared" si="56"/>
        <v>0.24558755308174623</v>
      </c>
      <c r="G128" s="653">
        <f t="shared" si="57"/>
        <v>-9.3606784241865946E-3</v>
      </c>
      <c r="M128" s="637"/>
    </row>
    <row r="129" spans="1:18" s="635" customFormat="1" ht="15.75" customHeight="1" x14ac:dyDescent="0.2">
      <c r="A129" s="629" t="s">
        <v>114</v>
      </c>
      <c r="B129" s="643">
        <f t="shared" si="52"/>
        <v>-1.6652296146294474E-2</v>
      </c>
      <c r="C129" s="643">
        <f t="shared" si="53"/>
        <v>-1.0323640291552576E-2</v>
      </c>
      <c r="D129" s="643">
        <f t="shared" si="54"/>
        <v>-7.119781355758888E-3</v>
      </c>
      <c r="E129" s="652">
        <f t="shared" si="55"/>
        <v>2.5637725090111314E-2</v>
      </c>
      <c r="F129" s="652">
        <f t="shared" si="56"/>
        <v>0.1818113096858987</v>
      </c>
      <c r="G129" s="653">
        <f t="shared" si="57"/>
        <v>-1.1365239264535311E-2</v>
      </c>
      <c r="M129" s="637"/>
    </row>
    <row r="130" spans="1:18" s="635" customFormat="1" ht="15.75" customHeight="1" x14ac:dyDescent="0.2">
      <c r="A130" s="629" t="s">
        <v>224</v>
      </c>
      <c r="B130" s="643">
        <f t="shared" si="52"/>
        <v>-1.059074661082449E-2</v>
      </c>
      <c r="C130" s="643">
        <f t="shared" si="53"/>
        <v>-1.050240113010064E-2</v>
      </c>
      <c r="D130" s="643">
        <f t="shared" si="54"/>
        <v>-7.2253378433131173E-3</v>
      </c>
      <c r="E130" s="652">
        <f t="shared" si="55"/>
        <v>3.3724796448376108E-2</v>
      </c>
      <c r="F130" s="652">
        <f t="shared" si="56"/>
        <v>0.24270118608694041</v>
      </c>
      <c r="G130" s="653">
        <f t="shared" si="57"/>
        <v>-9.4394951947460812E-3</v>
      </c>
      <c r="M130" s="637"/>
    </row>
    <row r="131" spans="1:18" s="635" customFormat="1" ht="15.75" customHeight="1" x14ac:dyDescent="0.2">
      <c r="A131" s="629" t="s">
        <v>255</v>
      </c>
      <c r="B131" s="643">
        <f t="shared" si="52"/>
        <v>-1.6981010790409264E-2</v>
      </c>
      <c r="C131" s="643">
        <f t="shared" si="53"/>
        <v>-9.9475501063913414E-3</v>
      </c>
      <c r="D131" s="643">
        <f t="shared" si="54"/>
        <v>-6.5244580695688528E-3</v>
      </c>
      <c r="E131" s="652">
        <f t="shared" si="55"/>
        <v>2.5784745310951592E-2</v>
      </c>
      <c r="F131" s="652">
        <f t="shared" si="56"/>
        <v>0.18774869326819354</v>
      </c>
      <c r="G131" s="653">
        <f t="shared" si="57"/>
        <v>-1.1151006322123153E-2</v>
      </c>
      <c r="H131" s="638"/>
      <c r="I131" s="638"/>
      <c r="J131" s="638"/>
      <c r="K131" s="638"/>
      <c r="L131" s="638"/>
      <c r="M131" s="638"/>
    </row>
    <row r="132" spans="1:18" s="635" customFormat="1" ht="15.75" customHeight="1" x14ac:dyDescent="0.2">
      <c r="M132" s="637"/>
    </row>
    <row r="133" spans="1:18" s="635" customFormat="1" ht="15.75" customHeight="1" x14ac:dyDescent="0.2">
      <c r="M133" s="637"/>
    </row>
    <row r="134" spans="1:18" s="635" customFormat="1" ht="15.75" customHeight="1" x14ac:dyDescent="0.2">
      <c r="A134" s="640" t="s">
        <v>1195</v>
      </c>
      <c r="M134" s="637"/>
    </row>
    <row r="135" spans="1:18" s="635" customFormat="1" ht="15.75" customHeight="1" x14ac:dyDescent="0.2">
      <c r="A135" s="629" t="s">
        <v>104</v>
      </c>
      <c r="B135" s="630">
        <f>+US!B71</f>
        <v>1.3531593612572181</v>
      </c>
      <c r="C135" s="630">
        <f>+US!C71</f>
        <v>1.0249346945718352</v>
      </c>
      <c r="D135" s="630">
        <f>+US!D71</f>
        <v>0.90434403659634821</v>
      </c>
      <c r="E135" s="630">
        <f>+US!E71</f>
        <v>0.80274829064954667</v>
      </c>
      <c r="F135" s="630">
        <f>+US!F71</f>
        <v>0.73022605431524468</v>
      </c>
      <c r="G135" s="630">
        <f>+US!G71</f>
        <v>0.6628673166969884</v>
      </c>
      <c r="H135" s="630">
        <f>+US!H71</f>
        <v>0.61410385665851286</v>
      </c>
      <c r="I135" s="630">
        <f>+US!I71</f>
        <v>0.57771221533232253</v>
      </c>
      <c r="J135" s="630">
        <f>+US!J71</f>
        <v>0.54799911392480138</v>
      </c>
      <c r="K135" s="630">
        <f>+US!K71</f>
        <v>0.52511976515499892</v>
      </c>
      <c r="L135" s="630">
        <f>+US!L71</f>
        <v>0.50298313129183059</v>
      </c>
      <c r="M135" s="631">
        <f>+US!M71</f>
        <v>0.4700430831526497</v>
      </c>
      <c r="N135" s="630">
        <f>+US!N71</f>
        <v>0.44480351833586473</v>
      </c>
      <c r="O135" s="630">
        <f>+US!O71</f>
        <v>0.42747736343326487</v>
      </c>
      <c r="P135" s="630">
        <f>+US!P71</f>
        <v>0.41680690054393893</v>
      </c>
      <c r="Q135" s="630">
        <f>+US!Q71</f>
        <v>0.40650186865782678</v>
      </c>
      <c r="R135" s="630">
        <f>+US!R71</f>
        <v>0.39511956780907359</v>
      </c>
    </row>
    <row r="136" spans="1:18" s="635" customFormat="1" ht="15.75" customHeight="1" x14ac:dyDescent="0.2">
      <c r="A136" s="629" t="s">
        <v>105</v>
      </c>
      <c r="B136" s="630">
        <f>+EU!B71</f>
        <v>1.2435466666162149</v>
      </c>
      <c r="C136" s="630">
        <f>+EU!C71</f>
        <v>0.88056397828851396</v>
      </c>
      <c r="D136" s="630">
        <f>+EU!D71</f>
        <v>0.78487216872798093</v>
      </c>
      <c r="E136" s="630">
        <f>+EU!E71</f>
        <v>0.69669523858310478</v>
      </c>
      <c r="F136" s="630">
        <f>+EU!F71</f>
        <v>0.63773965785851561</v>
      </c>
      <c r="G136" s="630">
        <f>+EU!G71</f>
        <v>0.59210975688709544</v>
      </c>
      <c r="H136" s="630">
        <f>+EU!H71</f>
        <v>0.55039969365744013</v>
      </c>
      <c r="I136" s="630">
        <f>+EU!I71</f>
        <v>0.52054770135412154</v>
      </c>
      <c r="J136" s="630">
        <f>+EU!J71</f>
        <v>0.49410251269869415</v>
      </c>
      <c r="K136" s="630">
        <f>+EU!K71</f>
        <v>0.46978788953534301</v>
      </c>
      <c r="L136" s="630">
        <f>+EU!L71</f>
        <v>0.45546058751248247</v>
      </c>
      <c r="M136" s="631">
        <f>+EU!M71</f>
        <v>0.43362075831590657</v>
      </c>
      <c r="N136" s="630">
        <f>+EU!N71</f>
        <v>0.41304468742561667</v>
      </c>
      <c r="O136" s="630">
        <f>+EU!O71</f>
        <v>0.39510347811751312</v>
      </c>
      <c r="P136" s="630">
        <f>+EU!P71</f>
        <v>0.38479422051331114</v>
      </c>
      <c r="Q136" s="630">
        <f>+EU!Q71</f>
        <v>0.37411418243505939</v>
      </c>
      <c r="R136" s="630">
        <f>+EU!R71</f>
        <v>0.36860867152778309</v>
      </c>
    </row>
    <row r="137" spans="1:18" s="635" customFormat="1" ht="15.75" customHeight="1" x14ac:dyDescent="0.2">
      <c r="A137" s="629" t="s">
        <v>51</v>
      </c>
      <c r="B137" s="630">
        <f>+Japan!B71</f>
        <v>0.38756902268862453</v>
      </c>
      <c r="C137" s="630">
        <f>+Japan!C71</f>
        <v>0.3623888225610658</v>
      </c>
      <c r="D137" s="630">
        <f>+Japan!D71</f>
        <v>0.31161582077807776</v>
      </c>
      <c r="E137" s="630">
        <f>+Japan!E71</f>
        <v>0.26793549515532844</v>
      </c>
      <c r="F137" s="630">
        <f>+Japan!F71</f>
        <v>0.23680591729129</v>
      </c>
      <c r="G137" s="630">
        <f>+Japan!G71</f>
        <v>0.21483209737160114</v>
      </c>
      <c r="H137" s="630">
        <f>+Japan!H71</f>
        <v>0.19778780697615256</v>
      </c>
      <c r="I137" s="630">
        <f>+Japan!I71</f>
        <v>0.17988007449484822</v>
      </c>
      <c r="J137" s="630">
        <f>+Japan!J71</f>
        <v>0.16122526746022373</v>
      </c>
      <c r="K137" s="630">
        <f>+Japan!K71</f>
        <v>0.14692521045042015</v>
      </c>
      <c r="L137" s="630">
        <f>+Japan!L71</f>
        <v>0.13894985546468303</v>
      </c>
      <c r="M137" s="631">
        <f>+Japan!M71</f>
        <v>0.12911350602008742</v>
      </c>
      <c r="N137" s="630">
        <f>+Japan!N71</f>
        <v>0.12018868746978692</v>
      </c>
      <c r="O137" s="630">
        <f>+Japan!O71</f>
        <v>0.11408600595192554</v>
      </c>
      <c r="P137" s="630">
        <f>+Japan!P71</f>
        <v>0.10944986194984077</v>
      </c>
      <c r="Q137" s="630">
        <f>+Japan!Q71</f>
        <v>0.10500868335786298</v>
      </c>
      <c r="R137" s="630">
        <f>+Japan!R71</f>
        <v>0.10066522335314299</v>
      </c>
    </row>
    <row r="138" spans="1:18" s="635" customFormat="1" ht="15.75" customHeight="1" x14ac:dyDescent="0.2">
      <c r="A138" s="629" t="s">
        <v>52</v>
      </c>
      <c r="B138" s="630">
        <f>+Russia!B71</f>
        <v>0.80689093434140557</v>
      </c>
      <c r="C138" s="630">
        <f>+Russia!C71</f>
        <v>0.56828748614327362</v>
      </c>
      <c r="D138" s="630">
        <f>+Russia!D71</f>
        <v>0.41473621871269523</v>
      </c>
      <c r="E138" s="630">
        <f>+Russia!E71</f>
        <v>0.32776451972306964</v>
      </c>
      <c r="F138" s="630">
        <f>+Russia!F71</f>
        <v>0.25095147589457284</v>
      </c>
      <c r="G138" s="630">
        <f>+Russia!G71</f>
        <v>0.21293850319041679</v>
      </c>
      <c r="H138" s="630">
        <f>+Russia!H71</f>
        <v>0.18318261078490614</v>
      </c>
      <c r="I138" s="630">
        <f>+Russia!I71</f>
        <v>0.16747973824286308</v>
      </c>
      <c r="J138" s="630">
        <f>+Russia!J71</f>
        <v>0.14413261876654945</v>
      </c>
      <c r="K138" s="630">
        <f>+Russia!K71</f>
        <v>0.14035305444474158</v>
      </c>
      <c r="L138" s="630">
        <f>+Russia!L71</f>
        <v>0.14219840800114228</v>
      </c>
      <c r="M138" s="631">
        <f>+Russia!M71</f>
        <v>0.1384404536990787</v>
      </c>
      <c r="N138" s="630">
        <f>+Russia!N71</f>
        <v>0.13496212142970643</v>
      </c>
      <c r="O138" s="630">
        <f>+Russia!O71</f>
        <v>0.13546491988857742</v>
      </c>
      <c r="P138" s="630">
        <f>+Russia!P71</f>
        <v>0.13641078122154379</v>
      </c>
      <c r="Q138" s="630">
        <f>+Russia!Q71</f>
        <v>0.13685104725280009</v>
      </c>
      <c r="R138" s="630">
        <f>+Russia!R71</f>
        <v>0.14008808327977532</v>
      </c>
    </row>
    <row r="139" spans="1:18" s="635" customFormat="1" ht="15.75" customHeight="1" x14ac:dyDescent="0.2">
      <c r="A139" s="629" t="s">
        <v>53</v>
      </c>
      <c r="B139" s="630">
        <f>+Eurasia!B71</f>
        <v>0.60159511876272098</v>
      </c>
      <c r="C139" s="630">
        <f>+Eurasia!C71</f>
        <v>0.36711252194952565</v>
      </c>
      <c r="D139" s="630">
        <f>+Eurasia!D71</f>
        <v>0.26279858823898428</v>
      </c>
      <c r="E139" s="630">
        <f>+Eurasia!E71</f>
        <v>0.19502195576715431</v>
      </c>
      <c r="F139" s="630">
        <f>+Eurasia!F71</f>
        <v>0.14274849122857375</v>
      </c>
      <c r="G139" s="630">
        <f>+Eurasia!G71</f>
        <v>0.1416857922743901</v>
      </c>
      <c r="H139" s="630">
        <f>+Eurasia!H71</f>
        <v>0.12186782245638256</v>
      </c>
      <c r="I139" s="630">
        <f>+Eurasia!I71</f>
        <v>0.1065452585451777</v>
      </c>
      <c r="J139" s="630">
        <f>+Eurasia!J71</f>
        <v>9.4942775357885756E-2</v>
      </c>
      <c r="K139" s="630">
        <f>+Eurasia!K71</f>
        <v>8.4731681586393881E-2</v>
      </c>
      <c r="L139" s="630">
        <f>+Eurasia!L71</f>
        <v>8.0093618951304429E-2</v>
      </c>
      <c r="M139" s="631">
        <f>+Eurasia!M71</f>
        <v>7.734078590741722E-2</v>
      </c>
      <c r="N139" s="630">
        <f>+Eurasia!N71</f>
        <v>7.470275403693831E-2</v>
      </c>
      <c r="O139" s="630">
        <f>+Eurasia!O71</f>
        <v>7.3140582525637751E-2</v>
      </c>
      <c r="P139" s="630">
        <f>+Eurasia!P71</f>
        <v>7.3724161679032771E-2</v>
      </c>
      <c r="Q139" s="630">
        <f>+Eurasia!Q71</f>
        <v>7.2810507080932424E-2</v>
      </c>
      <c r="R139" s="630">
        <f>+Eurasia!R71</f>
        <v>7.3827130679714123E-2</v>
      </c>
    </row>
    <row r="140" spans="1:18" s="635" customFormat="1" ht="15.75" customHeight="1" x14ac:dyDescent="0.2">
      <c r="A140" s="629" t="s">
        <v>54</v>
      </c>
      <c r="B140" s="630">
        <f>+China!B71</f>
        <v>0.48490804268827326</v>
      </c>
      <c r="C140" s="630">
        <f>+China!C71</f>
        <v>0.42036998311694618</v>
      </c>
      <c r="D140" s="630">
        <f>+China!D71</f>
        <v>0.38293478291362321</v>
      </c>
      <c r="E140" s="630">
        <f>+China!E71</f>
        <v>0.35486277236465741</v>
      </c>
      <c r="F140" s="630">
        <f>+China!F71</f>
        <v>0.33236894449457705</v>
      </c>
      <c r="G140" s="630">
        <f>+China!G71</f>
        <v>0.31058672089805961</v>
      </c>
      <c r="H140" s="630">
        <f>+China!H71</f>
        <v>0.29178364449996097</v>
      </c>
      <c r="I140" s="630">
        <f>+China!I71</f>
        <v>0.27602949053667636</v>
      </c>
      <c r="J140" s="630">
        <f>+China!J71</f>
        <v>0.26088309641801505</v>
      </c>
      <c r="K140" s="630">
        <f>+China!K71</f>
        <v>0.24879316229458809</v>
      </c>
      <c r="L140" s="630">
        <f>+China!L71</f>
        <v>0.24140171106479738</v>
      </c>
      <c r="M140" s="631">
        <f>+China!M71</f>
        <v>0.23593165071699002</v>
      </c>
      <c r="N140" s="630">
        <f>+China!N71</f>
        <v>0.23410194289183833</v>
      </c>
      <c r="O140" s="630">
        <f>+China!O71</f>
        <v>0.23586065067811124</v>
      </c>
      <c r="P140" s="630">
        <f>+China!P71</f>
        <v>0.2393023195903034</v>
      </c>
      <c r="Q140" s="630">
        <f>+China!Q71</f>
        <v>0.24701868868606586</v>
      </c>
      <c r="R140" s="630">
        <f>+China!R71</f>
        <v>0.25934319030263631</v>
      </c>
    </row>
    <row r="141" spans="1:18" s="635" customFormat="1" ht="15.75" customHeight="1" x14ac:dyDescent="0.2">
      <c r="A141" s="629" t="s">
        <v>55</v>
      </c>
      <c r="B141" s="630">
        <f>+India!B71</f>
        <v>0.26272072224848791</v>
      </c>
      <c r="C141" s="630">
        <f>+India!C71</f>
        <v>0.25135402819392283</v>
      </c>
      <c r="D141" s="630">
        <f>+India!D71</f>
        <v>0.21680863863852845</v>
      </c>
      <c r="E141" s="630">
        <f>+India!E71</f>
        <v>0.18901541956840245</v>
      </c>
      <c r="F141" s="630">
        <f>+India!F71</f>
        <v>0.17046892275931622</v>
      </c>
      <c r="G141" s="630">
        <f>+India!G71</f>
        <v>0.15729102344717191</v>
      </c>
      <c r="H141" s="630">
        <f>+India!H71</f>
        <v>0.14697403075640958</v>
      </c>
      <c r="I141" s="630">
        <f>+India!I71</f>
        <v>0.1344098204544949</v>
      </c>
      <c r="J141" s="630">
        <f>+India!J71</f>
        <v>0.12675340213327232</v>
      </c>
      <c r="K141" s="630">
        <f>+India!K71</f>
        <v>0.1236818183724122</v>
      </c>
      <c r="L141" s="630">
        <f>+India!L71</f>
        <v>0.11610999979162299</v>
      </c>
      <c r="M141" s="631">
        <f>+India!M71</f>
        <v>0.11087134673514568</v>
      </c>
      <c r="N141" s="630">
        <f>+India!N71</f>
        <v>0.10555703127149317</v>
      </c>
      <c r="O141" s="630">
        <f>+India!O71</f>
        <v>0.10506818872961207</v>
      </c>
      <c r="P141" s="630">
        <f>+India!P71</f>
        <v>0.10522248650416635</v>
      </c>
      <c r="Q141" s="630">
        <f>+India!Q71</f>
        <v>0.10590321602654931</v>
      </c>
      <c r="R141" s="630">
        <f>+India!R71</f>
        <v>0.10720302855134099</v>
      </c>
    </row>
    <row r="142" spans="1:18" s="635" customFormat="1" ht="15.75" customHeight="1" x14ac:dyDescent="0.2">
      <c r="A142" s="629" t="s">
        <v>56</v>
      </c>
      <c r="B142" s="630">
        <f>+MidEast!B71</f>
        <v>0.28449498821855751</v>
      </c>
      <c r="C142" s="630">
        <f>+MidEast!C71</f>
        <v>0.24935212857970179</v>
      </c>
      <c r="D142" s="630">
        <f>+MidEast!D71</f>
        <v>0.23095079835798871</v>
      </c>
      <c r="E142" s="630">
        <f>+MidEast!E71</f>
        <v>0.20304875267350367</v>
      </c>
      <c r="F142" s="630">
        <f>+MidEast!F71</f>
        <v>0.17991778440811218</v>
      </c>
      <c r="G142" s="630">
        <f>+MidEast!G71</f>
        <v>0.17461230000933545</v>
      </c>
      <c r="H142" s="630">
        <f>+MidEast!H71</f>
        <v>0.16302424458255019</v>
      </c>
      <c r="I142" s="630">
        <f>+MidEast!I71</f>
        <v>0.15156626933925038</v>
      </c>
      <c r="J142" s="630">
        <f>+MidEast!J71</f>
        <v>0.14313840215194143</v>
      </c>
      <c r="K142" s="630">
        <f>+MidEast!K71</f>
        <v>0.13209889408985873</v>
      </c>
      <c r="L142" s="630">
        <f>+MidEast!L71</f>
        <v>0.13276871991342631</v>
      </c>
      <c r="M142" s="631">
        <f>+MidEast!M71</f>
        <v>0.12409851578824685</v>
      </c>
      <c r="N142" s="630">
        <f>+MidEast!N71</f>
        <v>0.11701909919961498</v>
      </c>
      <c r="O142" s="630">
        <f>+MidEast!O71</f>
        <v>0.11514210290582977</v>
      </c>
      <c r="P142" s="630">
        <f>+MidEast!P71</f>
        <v>0.11771458644026501</v>
      </c>
      <c r="Q142" s="630">
        <f>+MidEast!Q71</f>
        <v>0.11607818880807422</v>
      </c>
      <c r="R142" s="630">
        <f>+MidEast!R71</f>
        <v>0.11589183842136773</v>
      </c>
    </row>
    <row r="143" spans="1:18" s="635" customFormat="1" ht="15.75" customHeight="1" x14ac:dyDescent="0.2">
      <c r="A143" s="629" t="s">
        <v>57</v>
      </c>
      <c r="B143" s="630">
        <f>+Africa!B71</f>
        <v>0.31807172352011859</v>
      </c>
      <c r="C143" s="630">
        <f>+Africa!C71</f>
        <v>0.21697436312026022</v>
      </c>
      <c r="D143" s="630">
        <f>+Africa!D71</f>
        <v>0.17931968356943587</v>
      </c>
      <c r="E143" s="630">
        <f>+Africa!E71</f>
        <v>0.14939361872932533</v>
      </c>
      <c r="F143" s="630">
        <f>+Africa!F71</f>
        <v>0.12877974987173721</v>
      </c>
      <c r="G143" s="630">
        <f>+Africa!G71</f>
        <v>0.11412136780386117</v>
      </c>
      <c r="H143" s="630">
        <f>+Africa!H71</f>
        <v>0.10461859527269125</v>
      </c>
      <c r="I143" s="630">
        <f>+Africa!I71</f>
        <v>9.5730017764819583E-2</v>
      </c>
      <c r="J143" s="630">
        <f>+Africa!J71</f>
        <v>8.81229218740186E-2</v>
      </c>
      <c r="K143" s="630">
        <f>+Africa!K71</f>
        <v>8.5583983610361153E-2</v>
      </c>
      <c r="L143" s="630">
        <f>+Africa!L71</f>
        <v>8.0732437951381256E-2</v>
      </c>
      <c r="M143" s="631">
        <f>+Africa!M71</f>
        <v>7.6459866434152035E-2</v>
      </c>
      <c r="N143" s="630">
        <f>+Africa!N71</f>
        <v>7.3504785965189112E-2</v>
      </c>
      <c r="O143" s="630">
        <f>+Africa!O71</f>
        <v>7.1030981095897741E-2</v>
      </c>
      <c r="P143" s="630">
        <f>+Africa!P71</f>
        <v>6.9687065398632134E-2</v>
      </c>
      <c r="Q143" s="630">
        <f>+Africa!Q71</f>
        <v>6.8784063449813609E-2</v>
      </c>
      <c r="R143" s="630">
        <f>+Africa!R71</f>
        <v>6.8269928687182499E-2</v>
      </c>
    </row>
    <row r="144" spans="1:18" s="635" customFormat="1" ht="15.75" customHeight="1" x14ac:dyDescent="0.2">
      <c r="A144" s="629" t="s">
        <v>58</v>
      </c>
      <c r="B144" s="630">
        <f>+LatAm!B71</f>
        <v>0.39622122051011505</v>
      </c>
      <c r="C144" s="630">
        <f>+LatAm!C71</f>
        <v>0.33886881765913685</v>
      </c>
      <c r="D144" s="630">
        <f>+LatAm!D71</f>
        <v>0.3039021992449546</v>
      </c>
      <c r="E144" s="630">
        <f>+LatAm!E71</f>
        <v>0.2803538334236863</v>
      </c>
      <c r="F144" s="630">
        <f>+LatAm!F71</f>
        <v>0.26279068371821307</v>
      </c>
      <c r="G144" s="630">
        <f>+LatAm!G71</f>
        <v>0.23754829211639275</v>
      </c>
      <c r="H144" s="630">
        <f>+LatAm!H71</f>
        <v>0.22388062645006696</v>
      </c>
      <c r="I144" s="630">
        <f>+LatAm!I71</f>
        <v>0.21555594764944666</v>
      </c>
      <c r="J144" s="630">
        <f>+LatAm!J71</f>
        <v>0.20410933918004595</v>
      </c>
      <c r="K144" s="630">
        <f>+LatAm!K71</f>
        <v>0.18963102815391331</v>
      </c>
      <c r="L144" s="630">
        <f>+LatAm!L71</f>
        <v>0.18262229431947666</v>
      </c>
      <c r="M144" s="631">
        <f>+LatAm!M71</f>
        <v>0.1709906054535581</v>
      </c>
      <c r="N144" s="630">
        <f>+LatAm!N71</f>
        <v>0.16114539844521525</v>
      </c>
      <c r="O144" s="630">
        <f>+LatAm!O71</f>
        <v>0.15552084042084255</v>
      </c>
      <c r="P144" s="630">
        <f>+LatAm!P71</f>
        <v>0.15468551477906353</v>
      </c>
      <c r="Q144" s="630">
        <f>+LatAm!Q71</f>
        <v>0.15245782311923514</v>
      </c>
      <c r="R144" s="630">
        <f>+LatAm!R71</f>
        <v>0.15254594170370681</v>
      </c>
    </row>
    <row r="145" spans="1:18" s="635" customFormat="1" ht="15.75" customHeight="1" x14ac:dyDescent="0.2">
      <c r="A145" s="629" t="s">
        <v>114</v>
      </c>
      <c r="B145" s="630">
        <f>+OHI!B71</f>
        <v>0.34033529692301251</v>
      </c>
      <c r="C145" s="630">
        <f>+OHI!C71</f>
        <v>0.27581559498477043</v>
      </c>
      <c r="D145" s="630">
        <f>+OHI!D71</f>
        <v>0.23915711361147821</v>
      </c>
      <c r="E145" s="630">
        <f>+OHI!E71</f>
        <v>0.21456976214660378</v>
      </c>
      <c r="F145" s="630">
        <f>+OHI!F71</f>
        <v>0.19734421907434549</v>
      </c>
      <c r="G145" s="630">
        <f>+OHI!G71</f>
        <v>0.18185921672301247</v>
      </c>
      <c r="H145" s="630">
        <f>+OHI!H71</f>
        <v>0.16831072703376512</v>
      </c>
      <c r="I145" s="630">
        <f>+OHI!I71</f>
        <v>0.15805841151597019</v>
      </c>
      <c r="J145" s="630">
        <f>+OHI!J71</f>
        <v>0.14296972682679959</v>
      </c>
      <c r="K145" s="630">
        <f>+OHI!K71</f>
        <v>0.13871961040872122</v>
      </c>
      <c r="L145" s="630">
        <f>+OHI!L71</f>
        <v>0.13511613081483118</v>
      </c>
      <c r="M145" s="631">
        <f>+OHI!M71</f>
        <v>0.12774901897803409</v>
      </c>
      <c r="N145" s="630">
        <f>+OHI!N71</f>
        <v>0.12395251689460306</v>
      </c>
      <c r="O145" s="630">
        <f>+OHI!O71</f>
        <v>0.11880559561726957</v>
      </c>
      <c r="P145" s="630">
        <f>+OHI!P71</f>
        <v>0.11666635455867309</v>
      </c>
      <c r="Q145" s="630">
        <f>+OHI!Q71</f>
        <v>0.11415984845238324</v>
      </c>
      <c r="R145" s="630">
        <f>+OHI!R71</f>
        <v>0.11229334670360908</v>
      </c>
    </row>
    <row r="146" spans="1:18" s="635" customFormat="1" ht="15.75" customHeight="1" x14ac:dyDescent="0.2">
      <c r="A146" s="629" t="s">
        <v>224</v>
      </c>
      <c r="B146" s="630">
        <f>+OthAsia!B71</f>
        <v>0.35157696853612941</v>
      </c>
      <c r="C146" s="630">
        <f>+OthAsia!C71</f>
        <v>0.40376188066653579</v>
      </c>
      <c r="D146" s="630">
        <f>+OthAsia!D71</f>
        <v>0.36121413398474445</v>
      </c>
      <c r="E146" s="630">
        <f>+OthAsia!E71</f>
        <v>0.32818867927761619</v>
      </c>
      <c r="F146" s="630">
        <f>+OthAsia!F71</f>
        <v>0.30197494392528174</v>
      </c>
      <c r="G146" s="630">
        <f>+OthAsia!G71</f>
        <v>0.28353951167130881</v>
      </c>
      <c r="H146" s="630">
        <f>+OthAsia!H71</f>
        <v>0.26771725151902076</v>
      </c>
      <c r="I146" s="630">
        <f>+OthAsia!I71</f>
        <v>0.24727068558622986</v>
      </c>
      <c r="J146" s="630">
        <f>+OthAsia!J71</f>
        <v>0.21133119888731833</v>
      </c>
      <c r="K146" s="630">
        <f>+OthAsia!K71</f>
        <v>0.19847092554655679</v>
      </c>
      <c r="L146" s="630">
        <f>+OthAsia!L71</f>
        <v>0.1913197772789646</v>
      </c>
      <c r="M146" s="631">
        <f>+OthAsia!M71</f>
        <v>0.18233959060688495</v>
      </c>
      <c r="N146" s="630">
        <f>+OthAsia!N71</f>
        <v>0.17775877896809938</v>
      </c>
      <c r="O146" s="630">
        <f>+OthAsia!O71</f>
        <v>0.17488146304435287</v>
      </c>
      <c r="P146" s="630">
        <f>+OthAsia!P71</f>
        <v>0.17369760554864894</v>
      </c>
      <c r="Q146" s="630">
        <f>+OthAsia!Q71</f>
        <v>0.17276289619486201</v>
      </c>
      <c r="R146" s="630">
        <f>+OthAsia!R71</f>
        <v>0.17246003817305069</v>
      </c>
    </row>
    <row r="147" spans="1:18" s="635" customFormat="1" ht="15.75" customHeight="1" x14ac:dyDescent="0.2">
      <c r="B147" s="638">
        <f t="shared" ref="B147:R147" si="58">SUM(B135:B146)</f>
        <v>6.8310900663108773</v>
      </c>
      <c r="C147" s="638">
        <f t="shared" si="58"/>
        <v>5.3597842998354883</v>
      </c>
      <c r="D147" s="638">
        <f t="shared" si="58"/>
        <v>4.5926541833748402</v>
      </c>
      <c r="E147" s="638">
        <f t="shared" si="58"/>
        <v>4.0095983380619993</v>
      </c>
      <c r="F147" s="638">
        <f t="shared" si="58"/>
        <v>3.5721168448397802</v>
      </c>
      <c r="G147" s="638">
        <f t="shared" si="58"/>
        <v>3.2839918990896342</v>
      </c>
      <c r="H147" s="638">
        <f t="shared" si="58"/>
        <v>3.0336509106478595</v>
      </c>
      <c r="I147" s="638">
        <f t="shared" si="58"/>
        <v>2.8307856308162207</v>
      </c>
      <c r="J147" s="638">
        <f t="shared" si="58"/>
        <v>2.6197103756795661</v>
      </c>
      <c r="K147" s="638">
        <f t="shared" si="58"/>
        <v>2.4838970236483089</v>
      </c>
      <c r="L147" s="638">
        <f t="shared" si="58"/>
        <v>2.3997566723559434</v>
      </c>
      <c r="M147" s="651">
        <f t="shared" si="58"/>
        <v>2.2769991818081512</v>
      </c>
      <c r="N147" s="638">
        <f t="shared" si="58"/>
        <v>2.180741322333966</v>
      </c>
      <c r="O147" s="638">
        <f t="shared" si="58"/>
        <v>2.1215821724088344</v>
      </c>
      <c r="P147" s="638">
        <f t="shared" si="58"/>
        <v>2.09816185872742</v>
      </c>
      <c r="Q147" s="638">
        <f t="shared" si="58"/>
        <v>2.0724510135214649</v>
      </c>
      <c r="R147" s="638">
        <f t="shared" si="58"/>
        <v>2.066315989192383</v>
      </c>
    </row>
    <row r="148" spans="1:18" s="635" customFormat="1" ht="15.75" customHeight="1" x14ac:dyDescent="0.2">
      <c r="A148" s="640" t="s">
        <v>1195</v>
      </c>
      <c r="B148" s="638"/>
      <c r="C148" s="638"/>
      <c r="D148" s="638"/>
      <c r="E148" s="638"/>
      <c r="F148" s="638"/>
      <c r="G148" s="638"/>
      <c r="H148" s="638"/>
      <c r="I148" s="638"/>
      <c r="J148" s="638"/>
      <c r="K148" s="638"/>
      <c r="L148" s="638"/>
      <c r="M148" s="638"/>
    </row>
    <row r="149" spans="1:18" s="635" customFormat="1" ht="15.75" customHeight="1" x14ac:dyDescent="0.2">
      <c r="A149" s="629" t="s">
        <v>104</v>
      </c>
      <c r="C149" s="639">
        <f t="shared" ref="C149:R149" si="59">+LN(C135/B135)</f>
        <v>-0.27781322793921787</v>
      </c>
      <c r="D149" s="639">
        <f t="shared" si="59"/>
        <v>-0.12517431748056471</v>
      </c>
      <c r="E149" s="639">
        <f t="shared" si="59"/>
        <v>-0.11916865585037209</v>
      </c>
      <c r="F149" s="639">
        <f t="shared" si="59"/>
        <v>-9.4687053946844901E-2</v>
      </c>
      <c r="G149" s="639">
        <f t="shared" si="59"/>
        <v>-9.6779305139663041E-2</v>
      </c>
      <c r="H149" s="639">
        <f t="shared" si="59"/>
        <v>-7.6410783016893066E-2</v>
      </c>
      <c r="I149" s="639">
        <f t="shared" si="59"/>
        <v>-6.1088214164181504E-2</v>
      </c>
      <c r="J149" s="639">
        <f t="shared" si="59"/>
        <v>-5.2802177310247514E-2</v>
      </c>
      <c r="K149" s="639">
        <f t="shared" si="59"/>
        <v>-4.264730934112685E-2</v>
      </c>
      <c r="L149" s="639">
        <f t="shared" si="59"/>
        <v>-4.3069727341792187E-2</v>
      </c>
      <c r="M149" s="639">
        <f t="shared" si="59"/>
        <v>-6.7732276553003637E-2</v>
      </c>
      <c r="N149" s="639">
        <f t="shared" si="59"/>
        <v>-5.519170395239803E-2</v>
      </c>
      <c r="O149" s="639">
        <f t="shared" si="59"/>
        <v>-3.9731316891281815E-2</v>
      </c>
      <c r="P149" s="639">
        <f t="shared" si="59"/>
        <v>-2.5278289631921847E-2</v>
      </c>
      <c r="Q149" s="639">
        <f t="shared" si="59"/>
        <v>-2.5034520388116287E-2</v>
      </c>
      <c r="R149" s="639">
        <f t="shared" si="59"/>
        <v>-2.8400103511695248E-2</v>
      </c>
    </row>
    <row r="150" spans="1:18" s="635" customFormat="1" ht="15.75" customHeight="1" x14ac:dyDescent="0.2">
      <c r="A150" s="629" t="s">
        <v>105</v>
      </c>
      <c r="C150" s="639">
        <f t="shared" ref="C150:R150" si="60">+LN(C136/B136)</f>
        <v>-0.34516020436784872</v>
      </c>
      <c r="D150" s="639">
        <f t="shared" si="60"/>
        <v>-0.11504172447489075</v>
      </c>
      <c r="E150" s="639">
        <f t="shared" si="60"/>
        <v>-0.11917279436739917</v>
      </c>
      <c r="F150" s="639">
        <f t="shared" si="60"/>
        <v>-8.8417927487161097E-2</v>
      </c>
      <c r="G150" s="639">
        <f t="shared" si="60"/>
        <v>-7.4238122436206672E-2</v>
      </c>
      <c r="H150" s="639">
        <f t="shared" si="60"/>
        <v>-7.3047287809349867E-2</v>
      </c>
      <c r="I150" s="639">
        <f t="shared" si="60"/>
        <v>-5.5763200928564086E-2</v>
      </c>
      <c r="J150" s="639">
        <f t="shared" si="60"/>
        <v>-5.2138517864786092E-2</v>
      </c>
      <c r="K150" s="639">
        <f t="shared" si="60"/>
        <v>-5.0461717266791134E-2</v>
      </c>
      <c r="L150" s="639">
        <f t="shared" si="60"/>
        <v>-3.0972106789133935E-2</v>
      </c>
      <c r="M150" s="639">
        <f t="shared" si="60"/>
        <v>-4.9138863863718331E-2</v>
      </c>
      <c r="N150" s="639">
        <f t="shared" si="60"/>
        <v>-4.8614534217609008E-2</v>
      </c>
      <c r="O150" s="639">
        <f t="shared" si="60"/>
        <v>-4.4408088595941135E-2</v>
      </c>
      <c r="P150" s="639">
        <f t="shared" si="60"/>
        <v>-2.6439001288043239E-2</v>
      </c>
      <c r="Q150" s="639">
        <f t="shared" si="60"/>
        <v>-2.814764777442667E-2</v>
      </c>
      <c r="R150" s="639">
        <f t="shared" si="60"/>
        <v>-1.4825480912004946E-2</v>
      </c>
    </row>
    <row r="151" spans="1:18" s="635" customFormat="1" ht="15.75" customHeight="1" x14ac:dyDescent="0.2">
      <c r="A151" s="629" t="s">
        <v>51</v>
      </c>
      <c r="C151" s="639">
        <f t="shared" ref="C151:R151" si="61">+LN(C137/B137)</f>
        <v>-6.7176225128281294E-2</v>
      </c>
      <c r="D151" s="639">
        <f t="shared" si="61"/>
        <v>-0.15094664544753716</v>
      </c>
      <c r="E151" s="639">
        <f t="shared" si="61"/>
        <v>-0.1510248236014575</v>
      </c>
      <c r="F151" s="639">
        <f t="shared" si="61"/>
        <v>-0.12350537056268124</v>
      </c>
      <c r="G151" s="639">
        <f t="shared" si="61"/>
        <v>-9.7384110683251118E-2</v>
      </c>
      <c r="H151" s="639">
        <f t="shared" si="61"/>
        <v>-8.2662006481364778E-2</v>
      </c>
      <c r="I151" s="639">
        <f t="shared" si="61"/>
        <v>-9.490439805543692E-2</v>
      </c>
      <c r="J151" s="639">
        <f t="shared" si="61"/>
        <v>-0.10948781221846281</v>
      </c>
      <c r="K151" s="639">
        <f t="shared" si="61"/>
        <v>-9.2878878956318245E-2</v>
      </c>
      <c r="L151" s="639">
        <f t="shared" si="61"/>
        <v>-5.581056887262266E-2</v>
      </c>
      <c r="M151" s="639">
        <f t="shared" si="61"/>
        <v>-7.3421206878834563E-2</v>
      </c>
      <c r="N151" s="639">
        <f t="shared" si="61"/>
        <v>-7.1629005668518334E-2</v>
      </c>
      <c r="O151" s="639">
        <f t="shared" si="61"/>
        <v>-5.2110301320166648E-2</v>
      </c>
      <c r="P151" s="639">
        <f t="shared" si="61"/>
        <v>-4.1486039463767492E-2</v>
      </c>
      <c r="Q151" s="639">
        <f t="shared" si="61"/>
        <v>-4.1423517275596088E-2</v>
      </c>
      <c r="R151" s="639">
        <f t="shared" si="61"/>
        <v>-4.2242654332076385E-2</v>
      </c>
    </row>
    <row r="152" spans="1:18" s="635" customFormat="1" ht="15.75" customHeight="1" x14ac:dyDescent="0.2">
      <c r="A152" s="629" t="s">
        <v>52</v>
      </c>
      <c r="C152" s="639">
        <f t="shared" ref="C152:R152" si="62">+LN(C138/B138)</f>
        <v>-0.35056108136852537</v>
      </c>
      <c r="D152" s="639">
        <f t="shared" si="62"/>
        <v>-0.31498472767247065</v>
      </c>
      <c r="E152" s="639">
        <f t="shared" si="62"/>
        <v>-0.23534727770335515</v>
      </c>
      <c r="F152" s="639">
        <f t="shared" si="62"/>
        <v>-0.26703582556382488</v>
      </c>
      <c r="G152" s="639">
        <f t="shared" si="62"/>
        <v>-0.16425619070662276</v>
      </c>
      <c r="H152" s="639">
        <f t="shared" si="62"/>
        <v>-0.15051987816809992</v>
      </c>
      <c r="I152" s="639">
        <f t="shared" si="62"/>
        <v>-8.9621150204615696E-2</v>
      </c>
      <c r="J152" s="639">
        <f t="shared" si="62"/>
        <v>-0.1501285388281636</v>
      </c>
      <c r="K152" s="639">
        <f t="shared" si="62"/>
        <v>-2.6572773779882573E-2</v>
      </c>
      <c r="L152" s="639">
        <f t="shared" si="62"/>
        <v>1.3062256189324146E-2</v>
      </c>
      <c r="M152" s="639">
        <f t="shared" si="62"/>
        <v>-2.6783025828074285E-2</v>
      </c>
      <c r="N152" s="639">
        <f t="shared" si="62"/>
        <v>-2.5446138921372156E-2</v>
      </c>
      <c r="O152" s="639">
        <f t="shared" si="62"/>
        <v>3.7185559239704923E-3</v>
      </c>
      <c r="P152" s="639">
        <f t="shared" si="62"/>
        <v>6.9580705097030396E-3</v>
      </c>
      <c r="Q152" s="639">
        <f t="shared" si="62"/>
        <v>3.2223045177111266E-3</v>
      </c>
      <c r="R152" s="639">
        <f t="shared" si="62"/>
        <v>2.3378303034141575E-2</v>
      </c>
    </row>
    <row r="153" spans="1:18" s="635" customFormat="1" ht="15.75" customHeight="1" x14ac:dyDescent="0.2">
      <c r="A153" s="629" t="s">
        <v>53</v>
      </c>
      <c r="C153" s="639">
        <f t="shared" ref="C153:R153" si="63">+LN(C139/B139)</f>
        <v>-0.49391625846382542</v>
      </c>
      <c r="D153" s="639">
        <f t="shared" si="63"/>
        <v>-0.33428048578186353</v>
      </c>
      <c r="E153" s="639">
        <f t="shared" si="63"/>
        <v>-0.29827576869498074</v>
      </c>
      <c r="F153" s="639">
        <f t="shared" si="63"/>
        <v>-0.31202786674998395</v>
      </c>
      <c r="G153" s="639">
        <f t="shared" si="63"/>
        <v>-7.4724037194243082E-3</v>
      </c>
      <c r="H153" s="639">
        <f t="shared" si="63"/>
        <v>-0.15067484051566951</v>
      </c>
      <c r="I153" s="639">
        <f t="shared" si="63"/>
        <v>-0.1343671771743378</v>
      </c>
      <c r="J153" s="639">
        <f t="shared" si="63"/>
        <v>-0.1152955122916222</v>
      </c>
      <c r="K153" s="639">
        <f t="shared" si="63"/>
        <v>-0.11378476902791547</v>
      </c>
      <c r="L153" s="639">
        <f t="shared" si="63"/>
        <v>-5.6293389052592485E-2</v>
      </c>
      <c r="M153" s="639">
        <f t="shared" si="63"/>
        <v>-3.4974739524299955E-2</v>
      </c>
      <c r="N153" s="639">
        <f t="shared" si="63"/>
        <v>-3.4704488423889943E-2</v>
      </c>
      <c r="O153" s="639">
        <f t="shared" si="63"/>
        <v>-2.1133582205196681E-2</v>
      </c>
      <c r="P153" s="639">
        <f t="shared" si="63"/>
        <v>7.9472064998429293E-3</v>
      </c>
      <c r="Q153" s="639">
        <f t="shared" si="63"/>
        <v>-1.24703108950419E-2</v>
      </c>
      <c r="R153" s="639">
        <f t="shared" si="63"/>
        <v>1.3866015612371337E-2</v>
      </c>
    </row>
    <row r="154" spans="1:18" s="635" customFormat="1" ht="15.75" customHeight="1" x14ac:dyDescent="0.2">
      <c r="A154" s="629" t="s">
        <v>54</v>
      </c>
      <c r="C154" s="639">
        <f t="shared" ref="C154:R154" si="64">+LN(C140/B140)</f>
        <v>-0.14282403457083093</v>
      </c>
      <c r="D154" s="639">
        <f t="shared" si="64"/>
        <v>-9.3270540602661892E-2</v>
      </c>
      <c r="E154" s="639">
        <f t="shared" si="64"/>
        <v>-7.6133537058701267E-2</v>
      </c>
      <c r="F154" s="639">
        <f t="shared" si="64"/>
        <v>-6.548552752220875E-2</v>
      </c>
      <c r="G154" s="639">
        <f t="shared" si="64"/>
        <v>-6.7782473765819196E-2</v>
      </c>
      <c r="H154" s="639">
        <f t="shared" si="64"/>
        <v>-6.2450572595105024E-2</v>
      </c>
      <c r="I154" s="639">
        <f t="shared" si="64"/>
        <v>-5.5504874361013486E-2</v>
      </c>
      <c r="J154" s="639">
        <f t="shared" si="64"/>
        <v>-5.6435309241434299E-2</v>
      </c>
      <c r="K154" s="639">
        <f t="shared" si="64"/>
        <v>-4.7450522789678901E-2</v>
      </c>
      <c r="L154" s="639">
        <f t="shared" si="64"/>
        <v>-3.0159481020795232E-2</v>
      </c>
      <c r="M154" s="639">
        <f t="shared" si="64"/>
        <v>-2.2920249254841138E-2</v>
      </c>
      <c r="N154" s="639">
        <f t="shared" si="64"/>
        <v>-7.7854736006939358E-3</v>
      </c>
      <c r="O154" s="639">
        <f t="shared" si="64"/>
        <v>7.4844935329614537E-3</v>
      </c>
      <c r="P154" s="639">
        <f t="shared" si="64"/>
        <v>1.4486520693666998E-2</v>
      </c>
      <c r="Q154" s="639">
        <f t="shared" si="64"/>
        <v>3.1736308363451184E-2</v>
      </c>
      <c r="R154" s="639">
        <f t="shared" si="64"/>
        <v>4.8688247204700386E-2</v>
      </c>
    </row>
    <row r="155" spans="1:18" s="635" customFormat="1" ht="15.75" customHeight="1" x14ac:dyDescent="0.2">
      <c r="A155" s="629" t="s">
        <v>55</v>
      </c>
      <c r="C155" s="639">
        <f t="shared" ref="C155:R155" si="65">+LN(C141/B141)</f>
        <v>-4.4229159134879209E-2</v>
      </c>
      <c r="D155" s="639">
        <f t="shared" si="65"/>
        <v>-0.14784730135386381</v>
      </c>
      <c r="E155" s="639">
        <f t="shared" si="65"/>
        <v>-0.13718651814056113</v>
      </c>
      <c r="F155" s="639">
        <f t="shared" si="65"/>
        <v>-0.10327558784596838</v>
      </c>
      <c r="G155" s="639">
        <f t="shared" si="65"/>
        <v>-8.0455266919464918E-2</v>
      </c>
      <c r="H155" s="639">
        <f t="shared" si="65"/>
        <v>-6.7841832333106394E-2</v>
      </c>
      <c r="I155" s="639">
        <f t="shared" si="65"/>
        <v>-8.9362415373729326E-2</v>
      </c>
      <c r="J155" s="639">
        <f t="shared" si="65"/>
        <v>-5.8650010878282983E-2</v>
      </c>
      <c r="K155" s="639">
        <f t="shared" si="65"/>
        <v>-2.4531196433283019E-2</v>
      </c>
      <c r="L155" s="639">
        <f t="shared" si="65"/>
        <v>-6.3174271121669984E-2</v>
      </c>
      <c r="M155" s="639">
        <f t="shared" si="65"/>
        <v>-4.6167525158529357E-2</v>
      </c>
      <c r="N155" s="639">
        <f t="shared" si="65"/>
        <v>-4.9119103058314947E-2</v>
      </c>
      <c r="O155" s="639">
        <f t="shared" si="65"/>
        <v>-4.641831777025914E-3</v>
      </c>
      <c r="P155" s="639">
        <f t="shared" si="65"/>
        <v>1.4674716515358764E-3</v>
      </c>
      <c r="Q155" s="639">
        <f t="shared" si="65"/>
        <v>6.4485931669742884E-3</v>
      </c>
      <c r="R155" s="639">
        <f t="shared" si="65"/>
        <v>1.2198878980497985E-2</v>
      </c>
    </row>
    <row r="156" spans="1:18" s="635" customFormat="1" ht="15.75" customHeight="1" x14ac:dyDescent="0.2">
      <c r="A156" s="629" t="s">
        <v>56</v>
      </c>
      <c r="C156" s="639">
        <f t="shared" ref="C156:R156" si="66">+LN(C142/B142)</f>
        <v>-0.13184956883829302</v>
      </c>
      <c r="D156" s="639">
        <f t="shared" si="66"/>
        <v>-7.6661374755375364E-2</v>
      </c>
      <c r="E156" s="639">
        <f t="shared" si="66"/>
        <v>-0.12875858255308112</v>
      </c>
      <c r="F156" s="639">
        <f t="shared" si="66"/>
        <v>-0.1209461179025946</v>
      </c>
      <c r="G156" s="639">
        <f t="shared" si="66"/>
        <v>-2.9931905545281391E-2</v>
      </c>
      <c r="H156" s="639">
        <f t="shared" si="66"/>
        <v>-6.8669158196760074E-2</v>
      </c>
      <c r="I156" s="639">
        <f t="shared" si="66"/>
        <v>-7.2875978826574719E-2</v>
      </c>
      <c r="J156" s="639">
        <f t="shared" si="66"/>
        <v>-5.7210941275623414E-2</v>
      </c>
      <c r="K156" s="639">
        <f t="shared" si="66"/>
        <v>-8.0261169685796371E-2</v>
      </c>
      <c r="L156" s="639">
        <f t="shared" si="66"/>
        <v>5.0578267488300922E-3</v>
      </c>
      <c r="M156" s="639">
        <f t="shared" si="66"/>
        <v>-6.7532934142757475E-2</v>
      </c>
      <c r="N156" s="639">
        <f t="shared" si="66"/>
        <v>-5.8738569836683518E-2</v>
      </c>
      <c r="O156" s="639">
        <f t="shared" si="66"/>
        <v>-1.6170119513526891E-2</v>
      </c>
      <c r="P156" s="639">
        <f t="shared" si="66"/>
        <v>2.2095892577670841E-2</v>
      </c>
      <c r="Q156" s="639">
        <f t="shared" si="66"/>
        <v>-1.3998930070513503E-2</v>
      </c>
      <c r="R156" s="639">
        <f t="shared" si="66"/>
        <v>-1.6066767678515727E-3</v>
      </c>
    </row>
    <row r="157" spans="1:18" s="635" customFormat="1" ht="15.75" customHeight="1" x14ac:dyDescent="0.2">
      <c r="A157" s="629" t="s">
        <v>57</v>
      </c>
      <c r="C157" s="639">
        <f t="shared" ref="C157:R157" si="67">+LN(C143/B143)</f>
        <v>-0.38249769875116885</v>
      </c>
      <c r="D157" s="639">
        <f t="shared" si="67"/>
        <v>-0.19060904958637553</v>
      </c>
      <c r="E157" s="639">
        <f t="shared" si="67"/>
        <v>-0.18258559554039686</v>
      </c>
      <c r="F157" s="639">
        <f t="shared" si="67"/>
        <v>-0.14848097931445195</v>
      </c>
      <c r="G157" s="639">
        <f t="shared" si="67"/>
        <v>-0.12084106788046685</v>
      </c>
      <c r="H157" s="639">
        <f t="shared" si="67"/>
        <v>-8.6941201032231533E-2</v>
      </c>
      <c r="I157" s="639">
        <f t="shared" si="67"/>
        <v>-8.8789396373866666E-2</v>
      </c>
      <c r="J157" s="639">
        <f t="shared" si="67"/>
        <v>-8.2799235247407219E-2</v>
      </c>
      <c r="K157" s="639">
        <f t="shared" si="67"/>
        <v>-2.9234520997625624E-2</v>
      </c>
      <c r="L157" s="639">
        <f t="shared" si="67"/>
        <v>-5.8357706506428138E-2</v>
      </c>
      <c r="M157" s="639">
        <f t="shared" si="67"/>
        <v>-5.4374470384362501E-2</v>
      </c>
      <c r="N157" s="639">
        <f t="shared" si="67"/>
        <v>-3.9415462123015672E-2</v>
      </c>
      <c r="O157" s="639">
        <f t="shared" si="67"/>
        <v>-3.4234383941354238E-2</v>
      </c>
      <c r="P157" s="639">
        <f t="shared" si="67"/>
        <v>-1.9101410127370239E-2</v>
      </c>
      <c r="Q157" s="639">
        <f t="shared" si="67"/>
        <v>-1.304264299912016E-2</v>
      </c>
      <c r="R157" s="639">
        <f t="shared" si="67"/>
        <v>-7.5026953443888527E-3</v>
      </c>
    </row>
    <row r="158" spans="1:18" s="635" customFormat="1" ht="15.75" customHeight="1" x14ac:dyDescent="0.2">
      <c r="A158" s="629" t="s">
        <v>58</v>
      </c>
      <c r="C158" s="639">
        <f t="shared" ref="C158:R158" si="68">+LN(C144/B144)</f>
        <v>-0.15635962899468273</v>
      </c>
      <c r="D158" s="639">
        <f t="shared" si="68"/>
        <v>-0.10890712729620682</v>
      </c>
      <c r="E158" s="639">
        <f t="shared" si="68"/>
        <v>-8.0653440452528286E-2</v>
      </c>
      <c r="F158" s="639">
        <f t="shared" si="68"/>
        <v>-6.4694660283760141E-2</v>
      </c>
      <c r="G158" s="639">
        <f t="shared" si="68"/>
        <v>-0.10098689786737589</v>
      </c>
      <c r="H158" s="639">
        <f t="shared" si="68"/>
        <v>-5.9257945861469187E-2</v>
      </c>
      <c r="I158" s="639">
        <f t="shared" si="68"/>
        <v>-3.789249845855977E-2</v>
      </c>
      <c r="J158" s="639">
        <f t="shared" si="68"/>
        <v>-5.4564667078820996E-2</v>
      </c>
      <c r="K158" s="639">
        <f t="shared" si="68"/>
        <v>-7.357559960052619E-2</v>
      </c>
      <c r="L158" s="639">
        <f t="shared" si="68"/>
        <v>-3.7660172570419335E-2</v>
      </c>
      <c r="M158" s="639">
        <f t="shared" si="68"/>
        <v>-6.5811438336628197E-2</v>
      </c>
      <c r="N158" s="639">
        <f t="shared" si="68"/>
        <v>-5.9301562753688669E-2</v>
      </c>
      <c r="O158" s="639">
        <f t="shared" si="68"/>
        <v>-3.5527308733564467E-2</v>
      </c>
      <c r="P158" s="639">
        <f t="shared" si="68"/>
        <v>-5.3856257089828332E-3</v>
      </c>
      <c r="Q158" s="639">
        <f t="shared" si="68"/>
        <v>-1.4506130844070202E-2</v>
      </c>
      <c r="R158" s="639">
        <f t="shared" si="68"/>
        <v>5.7781966707546066E-4</v>
      </c>
    </row>
    <row r="159" spans="1:18" s="635" customFormat="1" ht="15.75" customHeight="1" x14ac:dyDescent="0.2">
      <c r="A159" s="629" t="s">
        <v>114</v>
      </c>
      <c r="C159" s="639">
        <f t="shared" ref="C159:R159" si="69">+LN(C145/B145)</f>
        <v>-0.21019879078426237</v>
      </c>
      <c r="D159" s="639">
        <f t="shared" si="69"/>
        <v>-0.14261179322290976</v>
      </c>
      <c r="E159" s="639">
        <f t="shared" si="69"/>
        <v>-0.10848579813553867</v>
      </c>
      <c r="F159" s="639">
        <f t="shared" si="69"/>
        <v>-8.3685408021977326E-2</v>
      </c>
      <c r="G159" s="639">
        <f t="shared" si="69"/>
        <v>-8.1716655666830437E-2</v>
      </c>
      <c r="H159" s="639">
        <f t="shared" si="69"/>
        <v>-7.7421016515708194E-2</v>
      </c>
      <c r="I159" s="639">
        <f t="shared" si="69"/>
        <v>-6.2847178893621555E-2</v>
      </c>
      <c r="J159" s="639">
        <f t="shared" si="69"/>
        <v>-0.10033175051004795</v>
      </c>
      <c r="K159" s="639">
        <f t="shared" si="69"/>
        <v>-3.0178202780321423E-2</v>
      </c>
      <c r="L159" s="639">
        <f t="shared" si="69"/>
        <v>-2.6320067643817443E-2</v>
      </c>
      <c r="M159" s="639">
        <f t="shared" si="69"/>
        <v>-5.6067087090442488E-2</v>
      </c>
      <c r="N159" s="639">
        <f t="shared" si="69"/>
        <v>-3.0168985821763705E-2</v>
      </c>
      <c r="O159" s="639">
        <f t="shared" si="69"/>
        <v>-4.2410057025167064E-2</v>
      </c>
      <c r="P159" s="639">
        <f t="shared" si="69"/>
        <v>-1.8170316374389893E-2</v>
      </c>
      <c r="Q159" s="639">
        <f t="shared" si="69"/>
        <v>-2.1718544934596726E-2</v>
      </c>
      <c r="R159" s="639">
        <f t="shared" si="69"/>
        <v>-1.6485031414622053E-2</v>
      </c>
    </row>
    <row r="160" spans="1:18" s="635" customFormat="1" ht="15.75" customHeight="1" x14ac:dyDescent="0.2">
      <c r="A160" s="629" t="s">
        <v>224</v>
      </c>
      <c r="C160" s="639">
        <f t="shared" ref="C160:R160" si="70">+LN(C146/B146)</f>
        <v>0.13839664097019488</v>
      </c>
      <c r="D160" s="639">
        <f t="shared" si="70"/>
        <v>-0.11135434849286802</v>
      </c>
      <c r="E160" s="639">
        <f t="shared" si="70"/>
        <v>-9.5882266714428593E-2</v>
      </c>
      <c r="F160" s="639">
        <f t="shared" si="70"/>
        <v>-8.3244637898030854E-2</v>
      </c>
      <c r="G160" s="639">
        <f t="shared" si="70"/>
        <v>-6.2992562366868815E-2</v>
      </c>
      <c r="H160" s="639">
        <f t="shared" si="70"/>
        <v>-5.7420092503442717E-2</v>
      </c>
      <c r="I160" s="639">
        <f t="shared" si="70"/>
        <v>-7.9447762290575569E-2</v>
      </c>
      <c r="J160" s="639">
        <f t="shared" si="70"/>
        <v>-0.15705706382135812</v>
      </c>
      <c r="K160" s="639">
        <f t="shared" si="70"/>
        <v>-6.2783947214685026E-2</v>
      </c>
      <c r="L160" s="639">
        <f t="shared" si="70"/>
        <v>-3.6696363918076409E-2</v>
      </c>
      <c r="M160" s="639">
        <f t="shared" si="70"/>
        <v>-4.8075423747191176E-2</v>
      </c>
      <c r="N160" s="639">
        <f t="shared" si="70"/>
        <v>-2.5443374059491979E-2</v>
      </c>
      <c r="O160" s="639">
        <f t="shared" si="70"/>
        <v>-1.6319066493030471E-2</v>
      </c>
      <c r="P160" s="639">
        <f t="shared" si="70"/>
        <v>-6.7925022131835626E-3</v>
      </c>
      <c r="Q160" s="639">
        <f t="shared" si="70"/>
        <v>-5.3957759506420688E-3</v>
      </c>
      <c r="R160" s="639">
        <f t="shared" si="70"/>
        <v>-1.7545653510043818E-3</v>
      </c>
    </row>
    <row r="161" spans="1:18" s="635" customFormat="1" ht="15.75" customHeight="1" x14ac:dyDescent="0.2">
      <c r="A161" s="629" t="s">
        <v>255</v>
      </c>
      <c r="C161" s="639">
        <f t="shared" ref="C161:R161" si="71">+LN(C147/B147)</f>
        <v>-0.24256052889575297</v>
      </c>
      <c r="D161" s="639">
        <f t="shared" si="71"/>
        <v>-0.15446562129803373</v>
      </c>
      <c r="E161" s="639">
        <f t="shared" si="71"/>
        <v>-0.13576703917711569</v>
      </c>
      <c r="F161" s="639">
        <f t="shared" si="71"/>
        <v>-0.11553269742922537</v>
      </c>
      <c r="G161" s="639">
        <f t="shared" si="71"/>
        <v>-8.4098648994912373E-2</v>
      </c>
      <c r="H161" s="639">
        <f t="shared" si="71"/>
        <v>-7.9292909613217999E-2</v>
      </c>
      <c r="I161" s="639">
        <f t="shared" si="71"/>
        <v>-6.9212534001018872E-2</v>
      </c>
      <c r="J161" s="639">
        <f t="shared" si="71"/>
        <v>-7.7490513162572536E-2</v>
      </c>
      <c r="K161" s="639">
        <f t="shared" si="71"/>
        <v>-5.3235060675108498E-2</v>
      </c>
      <c r="L161" s="639">
        <f t="shared" si="71"/>
        <v>-3.446136165816318E-2</v>
      </c>
      <c r="M161" s="639">
        <f t="shared" si="71"/>
        <v>-5.2508917942919765E-2</v>
      </c>
      <c r="N161" s="639">
        <f t="shared" si="71"/>
        <v>-4.3193552641143766E-2</v>
      </c>
      <c r="O161" s="639">
        <f t="shared" si="71"/>
        <v>-2.7502757036722357E-2</v>
      </c>
      <c r="P161" s="639">
        <f t="shared" si="71"/>
        <v>-1.1100462016746245E-2</v>
      </c>
      <c r="Q161" s="639">
        <f t="shared" si="71"/>
        <v>-1.2329684729158087E-2</v>
      </c>
      <c r="R161" s="639">
        <f t="shared" si="71"/>
        <v>-2.9646649925324895E-3</v>
      </c>
    </row>
    <row r="162" spans="1:18" s="635" customFormat="1" ht="15.75" customHeight="1" x14ac:dyDescent="0.2">
      <c r="A162" s="640" t="s">
        <v>1195</v>
      </c>
      <c r="B162" s="635" t="s">
        <v>1184</v>
      </c>
      <c r="C162" s="641" t="s">
        <v>1185</v>
      </c>
      <c r="D162" s="642" t="s">
        <v>1186</v>
      </c>
      <c r="E162" s="635" t="s">
        <v>1187</v>
      </c>
      <c r="F162" s="635" t="s">
        <v>1188</v>
      </c>
      <c r="G162" s="635" t="s">
        <v>1189</v>
      </c>
      <c r="M162" s="637"/>
    </row>
    <row r="163" spans="1:18" s="635" customFormat="1" ht="15.75" customHeight="1" x14ac:dyDescent="0.2">
      <c r="A163" s="629" t="s">
        <v>104</v>
      </c>
      <c r="B163" s="643">
        <f t="shared" ref="B163:B175" si="72">+AVERAGE(C149:G149)/10</f>
        <v>-1.4272451207133252E-2</v>
      </c>
      <c r="C163" s="643">
        <f t="shared" ref="C163:C175" si="73">+AVERAGE(H149:L149)/10</f>
        <v>-5.5203642234848216E-3</v>
      </c>
      <c r="D163" s="643">
        <f t="shared" ref="D163:D175" si="74">+AVERAGE(M149:Q149)/10</f>
        <v>-4.2593621483344325E-3</v>
      </c>
      <c r="E163" s="652">
        <f t="shared" ref="E163:E175" si="75">+Q135</f>
        <v>0.40650186865782678</v>
      </c>
      <c r="F163" s="654">
        <f t="shared" ref="F163:F175" si="76">+E163/B135</f>
        <v>0.30040945678426711</v>
      </c>
      <c r="G163" s="653">
        <f t="shared" ref="G163:G175" si="77">+AVERAGE(B163:D163)</f>
        <v>-8.0173925263175017E-3</v>
      </c>
      <c r="M163" s="637"/>
    </row>
    <row r="164" spans="1:18" s="635" customFormat="1" ht="15.75" customHeight="1" x14ac:dyDescent="0.2">
      <c r="A164" s="629" t="s">
        <v>105</v>
      </c>
      <c r="B164" s="643">
        <f t="shared" si="72"/>
        <v>-1.4840615462670129E-2</v>
      </c>
      <c r="C164" s="643">
        <f t="shared" si="73"/>
        <v>-5.2476566131725022E-3</v>
      </c>
      <c r="D164" s="643">
        <f t="shared" si="74"/>
        <v>-3.934962714794767E-3</v>
      </c>
      <c r="E164" s="652">
        <f t="shared" si="75"/>
        <v>0.37411418243505939</v>
      </c>
      <c r="F164" s="654">
        <f t="shared" si="76"/>
        <v>0.30084450586245592</v>
      </c>
      <c r="G164" s="653">
        <f t="shared" si="77"/>
        <v>-8.0077449302124667E-3</v>
      </c>
      <c r="M164" s="637"/>
    </row>
    <row r="165" spans="1:18" s="635" customFormat="1" ht="15.75" customHeight="1" x14ac:dyDescent="0.2">
      <c r="A165" s="629" t="s">
        <v>51</v>
      </c>
      <c r="B165" s="643">
        <f t="shared" si="72"/>
        <v>-1.1800743508464166E-2</v>
      </c>
      <c r="C165" s="643">
        <f t="shared" si="73"/>
        <v>-8.7148732916841089E-3</v>
      </c>
      <c r="D165" s="643">
        <f t="shared" si="74"/>
        <v>-5.6014014121376614E-3</v>
      </c>
      <c r="E165" s="652">
        <f t="shared" si="75"/>
        <v>0.10500868335786298</v>
      </c>
      <c r="F165" s="654">
        <f t="shared" si="76"/>
        <v>0.270941889600469</v>
      </c>
      <c r="G165" s="653">
        <f t="shared" si="77"/>
        <v>-8.7056727374286453E-3</v>
      </c>
      <c r="M165" s="637"/>
    </row>
    <row r="166" spans="1:18" s="635" customFormat="1" ht="15.75" customHeight="1" x14ac:dyDescent="0.2">
      <c r="A166" s="629" t="s">
        <v>52</v>
      </c>
      <c r="B166" s="643">
        <f t="shared" si="72"/>
        <v>-2.6643702060295971E-2</v>
      </c>
      <c r="C166" s="643">
        <f t="shared" si="73"/>
        <v>-8.075601695828754E-3</v>
      </c>
      <c r="D166" s="643">
        <f t="shared" si="74"/>
        <v>-7.6660467596123571E-4</v>
      </c>
      <c r="E166" s="652">
        <f t="shared" si="75"/>
        <v>0.13685104725280009</v>
      </c>
      <c r="F166" s="654">
        <f t="shared" si="76"/>
        <v>0.16960290595469338</v>
      </c>
      <c r="G166" s="653">
        <f t="shared" si="77"/>
        <v>-1.1828636144028654E-2</v>
      </c>
      <c r="M166" s="637"/>
    </row>
    <row r="167" spans="1:18" s="635" customFormat="1" ht="15.75" customHeight="1" x14ac:dyDescent="0.2">
      <c r="A167" s="629" t="s">
        <v>53</v>
      </c>
      <c r="B167" s="643">
        <f t="shared" si="72"/>
        <v>-2.8919455668201553E-2</v>
      </c>
      <c r="C167" s="643">
        <f t="shared" si="73"/>
        <v>-1.1408313761242749E-2</v>
      </c>
      <c r="D167" s="643">
        <f t="shared" si="74"/>
        <v>-1.9067182909717109E-3</v>
      </c>
      <c r="E167" s="652">
        <f t="shared" si="75"/>
        <v>7.2810507080932424E-2</v>
      </c>
      <c r="F167" s="654">
        <f t="shared" si="76"/>
        <v>0.1210290855262908</v>
      </c>
      <c r="G167" s="653">
        <f t="shared" si="77"/>
        <v>-1.4078162573472004E-2</v>
      </c>
      <c r="M167" s="637"/>
    </row>
    <row r="168" spans="1:18" s="635" customFormat="1" ht="15.75" customHeight="1" x14ac:dyDescent="0.2">
      <c r="A168" s="629" t="s">
        <v>54</v>
      </c>
      <c r="B168" s="643">
        <f t="shared" si="72"/>
        <v>-8.9099222704044391E-3</v>
      </c>
      <c r="C168" s="643">
        <f t="shared" si="73"/>
        <v>-5.0400152001605393E-3</v>
      </c>
      <c r="D168" s="643">
        <f t="shared" si="74"/>
        <v>4.6003199469089125E-4</v>
      </c>
      <c r="E168" s="652">
        <f t="shared" si="75"/>
        <v>0.24701868868606586</v>
      </c>
      <c r="F168" s="654">
        <f t="shared" si="76"/>
        <v>0.50941347006047422</v>
      </c>
      <c r="G168" s="653">
        <f t="shared" si="77"/>
        <v>-4.4966351586246955E-3</v>
      </c>
      <c r="M168" s="637"/>
    </row>
    <row r="169" spans="1:18" s="635" customFormat="1" ht="15.75" customHeight="1" x14ac:dyDescent="0.2">
      <c r="A169" s="629" t="s">
        <v>55</v>
      </c>
      <c r="B169" s="643">
        <f t="shared" si="72"/>
        <v>-1.0259876667894749E-2</v>
      </c>
      <c r="C169" s="643">
        <f t="shared" si="73"/>
        <v>-6.0711945228014343E-3</v>
      </c>
      <c r="D169" s="643">
        <f t="shared" si="74"/>
        <v>-1.8402479035072011E-3</v>
      </c>
      <c r="E169" s="652">
        <f t="shared" si="75"/>
        <v>0.10590321602654931</v>
      </c>
      <c r="F169" s="654">
        <f t="shared" si="76"/>
        <v>0.40310187609176623</v>
      </c>
      <c r="G169" s="653">
        <f t="shared" si="77"/>
        <v>-6.0571063647344619E-3</v>
      </c>
      <c r="M169" s="637"/>
    </row>
    <row r="170" spans="1:18" s="635" customFormat="1" ht="15.75" customHeight="1" x14ac:dyDescent="0.2">
      <c r="A170" s="629" t="s">
        <v>56</v>
      </c>
      <c r="B170" s="643">
        <f t="shared" si="72"/>
        <v>-9.7629509918925102E-3</v>
      </c>
      <c r="C170" s="643">
        <f t="shared" si="73"/>
        <v>-5.4791884247184898E-3</v>
      </c>
      <c r="D170" s="643">
        <f t="shared" si="74"/>
        <v>-2.686893219716211E-3</v>
      </c>
      <c r="E170" s="652">
        <f t="shared" si="75"/>
        <v>0.11607818880807422</v>
      </c>
      <c r="F170" s="654">
        <f t="shared" si="76"/>
        <v>0.40801488115811552</v>
      </c>
      <c r="G170" s="653">
        <f t="shared" si="77"/>
        <v>-5.9763442121090705E-3</v>
      </c>
      <c r="M170" s="637"/>
    </row>
    <row r="171" spans="1:18" s="635" customFormat="1" ht="15.75" customHeight="1" x14ac:dyDescent="0.2">
      <c r="A171" s="629" t="s">
        <v>57</v>
      </c>
      <c r="B171" s="643">
        <f t="shared" si="72"/>
        <v>-2.05002878214572E-2</v>
      </c>
      <c r="C171" s="643">
        <f t="shared" si="73"/>
        <v>-6.922441203151183E-3</v>
      </c>
      <c r="D171" s="643">
        <f t="shared" si="74"/>
        <v>-3.2033673915044568E-3</v>
      </c>
      <c r="E171" s="652">
        <f t="shared" si="75"/>
        <v>6.8784063449813609E-2</v>
      </c>
      <c r="F171" s="654">
        <f t="shared" si="76"/>
        <v>0.21625331132417655</v>
      </c>
      <c r="G171" s="653">
        <f t="shared" si="77"/>
        <v>-1.0208698805370947E-2</v>
      </c>
      <c r="M171" s="637"/>
    </row>
    <row r="172" spans="1:18" s="635" customFormat="1" ht="15.75" customHeight="1" x14ac:dyDescent="0.2">
      <c r="A172" s="629" t="s">
        <v>58</v>
      </c>
      <c r="B172" s="643">
        <f t="shared" si="72"/>
        <v>-1.0232035097891076E-2</v>
      </c>
      <c r="C172" s="643">
        <f t="shared" si="73"/>
        <v>-5.2590176713959089E-3</v>
      </c>
      <c r="D172" s="643">
        <f t="shared" si="74"/>
        <v>-3.6106413275386871E-3</v>
      </c>
      <c r="E172" s="652">
        <f t="shared" si="75"/>
        <v>0.15245782311923514</v>
      </c>
      <c r="F172" s="654">
        <f t="shared" si="76"/>
        <v>0.38477955048180734</v>
      </c>
      <c r="G172" s="653">
        <f t="shared" si="77"/>
        <v>-6.3672313656085574E-3</v>
      </c>
      <c r="M172" s="637"/>
    </row>
    <row r="173" spans="1:18" s="635" customFormat="1" ht="15.75" customHeight="1" x14ac:dyDescent="0.2">
      <c r="A173" s="629" t="s">
        <v>114</v>
      </c>
      <c r="B173" s="643">
        <f t="shared" si="72"/>
        <v>-1.253396891663037E-2</v>
      </c>
      <c r="C173" s="643">
        <f t="shared" si="73"/>
        <v>-5.9419643268703321E-3</v>
      </c>
      <c r="D173" s="643">
        <f t="shared" si="74"/>
        <v>-3.3706998249271982E-3</v>
      </c>
      <c r="E173" s="652">
        <f t="shared" si="75"/>
        <v>0.11415984845238324</v>
      </c>
      <c r="F173" s="654">
        <f t="shared" si="76"/>
        <v>0.33543346659752254</v>
      </c>
      <c r="G173" s="653">
        <f t="shared" si="77"/>
        <v>-7.2822110228092998E-3</v>
      </c>
      <c r="M173" s="637"/>
    </row>
    <row r="174" spans="1:18" s="635" customFormat="1" ht="15.75" customHeight="1" x14ac:dyDescent="0.2">
      <c r="A174" s="629" t="s">
        <v>224</v>
      </c>
      <c r="B174" s="643">
        <f t="shared" si="72"/>
        <v>-4.3015434900400282E-3</v>
      </c>
      <c r="C174" s="643">
        <f t="shared" si="73"/>
        <v>-7.8681045949627569E-3</v>
      </c>
      <c r="D174" s="643">
        <f t="shared" si="74"/>
        <v>-2.0405228492707851E-3</v>
      </c>
      <c r="E174" s="652">
        <f t="shared" si="75"/>
        <v>0.17276289619486201</v>
      </c>
      <c r="F174" s="654">
        <f t="shared" si="76"/>
        <v>0.49139423698372392</v>
      </c>
      <c r="G174" s="653">
        <f t="shared" si="77"/>
        <v>-4.7367236447578565E-3</v>
      </c>
      <c r="M174" s="637"/>
    </row>
    <row r="175" spans="1:18" s="635" customFormat="1" ht="15.75" customHeight="1" x14ac:dyDescent="0.2">
      <c r="A175" s="629" t="s">
        <v>255</v>
      </c>
      <c r="B175" s="643">
        <f t="shared" si="72"/>
        <v>-1.4648490715900802E-2</v>
      </c>
      <c r="C175" s="643">
        <f t="shared" si="73"/>
        <v>-6.2738475822016219E-3</v>
      </c>
      <c r="D175" s="643">
        <f t="shared" si="74"/>
        <v>-2.9327074873338041E-3</v>
      </c>
      <c r="E175" s="652">
        <f t="shared" si="75"/>
        <v>2.0724510135214649</v>
      </c>
      <c r="F175" s="654">
        <f t="shared" si="76"/>
        <v>0.30338511034164856</v>
      </c>
      <c r="G175" s="653">
        <f t="shared" si="77"/>
        <v>-7.9516819284787422E-3</v>
      </c>
      <c r="H175" s="638"/>
      <c r="I175" s="638"/>
      <c r="J175" s="638"/>
      <c r="K175" s="638"/>
      <c r="L175" s="638"/>
      <c r="M175" s="638"/>
    </row>
    <row r="176" spans="1:18" s="635" customFormat="1" ht="15.75" customHeight="1" x14ac:dyDescent="0.2">
      <c r="M176" s="637"/>
    </row>
    <row r="177" spans="1:18" s="635" customFormat="1" ht="15.75" customHeight="1" x14ac:dyDescent="0.2">
      <c r="A177" s="640" t="s">
        <v>1109</v>
      </c>
      <c r="M177" s="637"/>
    </row>
    <row r="178" spans="1:18" s="635" customFormat="1" ht="15.75" customHeight="1" x14ac:dyDescent="0.2">
      <c r="A178" s="629" t="s">
        <v>104</v>
      </c>
      <c r="B178" s="630">
        <f>+US!B56</f>
        <v>296.842578</v>
      </c>
      <c r="C178" s="630">
        <f>+US!C56</f>
        <v>325.86437638060806</v>
      </c>
      <c r="D178" s="630">
        <f>+US!D56</f>
        <v>351.75615200154499</v>
      </c>
      <c r="E178" s="630">
        <f>+US!E56</f>
        <v>372.61088410817069</v>
      </c>
      <c r="F178" s="630">
        <f>+US!F56</f>
        <v>389.05183333766468</v>
      </c>
      <c r="G178" s="630">
        <f>+US!G56</f>
        <v>398.75208457544323</v>
      </c>
      <c r="H178" s="630">
        <f>+US!H56</f>
        <v>404.15409826279222</v>
      </c>
      <c r="I178" s="630">
        <f>+US!I56</f>
        <v>409.62929464436934</v>
      </c>
      <c r="J178" s="630">
        <f>+US!J56</f>
        <v>415.17866514800949</v>
      </c>
      <c r="K178" s="630">
        <f>+US!K56</f>
        <v>420.80321463271696</v>
      </c>
      <c r="L178" s="630">
        <f>+US!L56</f>
        <v>425.18113453181383</v>
      </c>
      <c r="M178" s="630">
        <f>+US!M56</f>
        <v>428.2721572408945</v>
      </c>
      <c r="N178" s="630">
        <f>+US!N56</f>
        <v>431.38565136418453</v>
      </c>
      <c r="O178" s="630">
        <f>+US!O56</f>
        <v>434.52178026653235</v>
      </c>
      <c r="P178" s="630">
        <f>+US!P56</f>
        <v>437.68070850043199</v>
      </c>
      <c r="Q178" s="630">
        <f>+US!Q56</f>
        <v>440.86260181465695</v>
      </c>
      <c r="R178" s="630">
        <f>+US!R56</f>
        <v>444.06762716295719</v>
      </c>
    </row>
    <row r="179" spans="1:18" s="635" customFormat="1" ht="15.75" customHeight="1" x14ac:dyDescent="0.2">
      <c r="A179" s="629" t="s">
        <v>105</v>
      </c>
      <c r="B179" s="630">
        <f>+EU!B56</f>
        <v>490.08019258719162</v>
      </c>
      <c r="C179" s="630">
        <f>+EU!C56</f>
        <v>511.84722130982959</v>
      </c>
      <c r="D179" s="630">
        <f>+EU!D56</f>
        <v>524.06020897325209</v>
      </c>
      <c r="E179" s="630">
        <f>+EU!E56</f>
        <v>529.14964196619053</v>
      </c>
      <c r="F179" s="630">
        <f>+EU!F56</f>
        <v>529.14413690075742</v>
      </c>
      <c r="G179" s="630">
        <f>+EU!G56</f>
        <v>521.00265388596563</v>
      </c>
      <c r="H179" s="630">
        <f>+EU!H56</f>
        <v>508.73902001306698</v>
      </c>
      <c r="I179" s="630">
        <f>+EU!I56</f>
        <v>496.76405398983616</v>
      </c>
      <c r="J179" s="630">
        <f>+EU!J56</f>
        <v>485.07096100094395</v>
      </c>
      <c r="K179" s="630">
        <f>+EU!K56</f>
        <v>473.65310617099004</v>
      </c>
      <c r="L179" s="630">
        <f>+EU!L56</f>
        <v>469.07601347157805</v>
      </c>
      <c r="M179" s="630">
        <f>+EU!M56</f>
        <v>471.14412904799462</v>
      </c>
      <c r="N179" s="630">
        <f>+EU!N56</f>
        <v>473.22136276713132</v>
      </c>
      <c r="O179" s="630">
        <f>+EU!O56</f>
        <v>475.3077548300908</v>
      </c>
      <c r="P179" s="630">
        <f>+EU!P56</f>
        <v>477.40334561521894</v>
      </c>
      <c r="Q179" s="630">
        <f>+EU!Q56</f>
        <v>479.50817567888629</v>
      </c>
      <c r="R179" s="630">
        <f>+EU!R56</f>
        <v>481.6222857562729</v>
      </c>
    </row>
    <row r="180" spans="1:18" s="635" customFormat="1" ht="15.75" customHeight="1" x14ac:dyDescent="0.2">
      <c r="A180" s="629" t="s">
        <v>51</v>
      </c>
      <c r="B180" s="630">
        <f>+Japan!B56</f>
        <v>127.773</v>
      </c>
      <c r="C180" s="630">
        <f>+Japan!C56</f>
        <v>126.11078504342912</v>
      </c>
      <c r="D180" s="630">
        <f>+Japan!D56</f>
        <v>121.1000791610762</v>
      </c>
      <c r="E180" s="630">
        <f>+Japan!E56</f>
        <v>114.02213127603983</v>
      </c>
      <c r="F180" s="630">
        <f>+Japan!F56</f>
        <v>106.00881152460984</v>
      </c>
      <c r="G180" s="630">
        <f>+Japan!G56</f>
        <v>99.905242120466625</v>
      </c>
      <c r="H180" s="630">
        <f>+Japan!H56</f>
        <v>95.999250914928439</v>
      </c>
      <c r="I180" s="630">
        <f>+Japan!I56</f>
        <v>92.245972089380729</v>
      </c>
      <c r="J180" s="630">
        <f>+Japan!J56</f>
        <v>88.639435054087073</v>
      </c>
      <c r="K180" s="630">
        <f>+Japan!K56</f>
        <v>85.173902651216196</v>
      </c>
      <c r="L180" s="630">
        <f>+Japan!L56</f>
        <v>83.70357831228803</v>
      </c>
      <c r="M180" s="630">
        <f>+Japan!M56</f>
        <v>84.127776690940138</v>
      </c>
      <c r="N180" s="630">
        <f>+Japan!N56</f>
        <v>84.554124849423388</v>
      </c>
      <c r="O180" s="630">
        <f>+Japan!O56</f>
        <v>84.98263368253032</v>
      </c>
      <c r="P180" s="630">
        <f>+Japan!P56</f>
        <v>85.413314140266763</v>
      </c>
      <c r="Q180" s="630">
        <f>+Japan!Q56</f>
        <v>85.846177228131722</v>
      </c>
      <c r="R180" s="630">
        <f>+Japan!R56</f>
        <v>86.281234007398567</v>
      </c>
    </row>
    <row r="181" spans="1:18" s="635" customFormat="1" ht="15.75" customHeight="1" x14ac:dyDescent="0.2">
      <c r="A181" s="629" t="s">
        <v>52</v>
      </c>
      <c r="B181" s="630">
        <f>+Russia!B56</f>
        <v>143.15</v>
      </c>
      <c r="C181" s="630">
        <f>+Russia!C56</f>
        <v>137.96372459314105</v>
      </c>
      <c r="D181" s="630">
        <f>+Russia!D56</f>
        <v>132.32651218830762</v>
      </c>
      <c r="E181" s="630">
        <f>+Russia!E56</f>
        <v>125.36948417964659</v>
      </c>
      <c r="F181" s="630">
        <f>+Russia!F56</f>
        <v>119.08136271565274</v>
      </c>
      <c r="G181" s="630">
        <f>+Russia!G56</f>
        <v>113.28947562516088</v>
      </c>
      <c r="H181" s="630">
        <f>+Russia!H56</f>
        <v>107.90661026901763</v>
      </c>
      <c r="I181" s="630">
        <f>+Russia!I56</f>
        <v>102.77950776535891</v>
      </c>
      <c r="J181" s="630">
        <f>+Russia!J56</f>
        <v>97.896015732064228</v>
      </c>
      <c r="K181" s="630">
        <f>+Russia!K56</f>
        <v>93.244559198430593</v>
      </c>
      <c r="L181" s="630">
        <f>+Russia!L56</f>
        <v>91.397876887626765</v>
      </c>
      <c r="M181" s="630">
        <f>+Russia!M56</f>
        <v>92.194038330465446</v>
      </c>
      <c r="N181" s="630">
        <f>+Russia!N56</f>
        <v>92.997135088047187</v>
      </c>
      <c r="O181" s="630">
        <f>+Russia!O56</f>
        <v>93.807227573484198</v>
      </c>
      <c r="P181" s="630">
        <f>+Russia!P56</f>
        <v>94.624376726143709</v>
      </c>
      <c r="Q181" s="630">
        <f>+Russia!Q56</f>
        <v>95.448644016232123</v>
      </c>
      <c r="R181" s="630">
        <f>+Russia!R56</f>
        <v>96.280091449419132</v>
      </c>
    </row>
    <row r="182" spans="1:18" s="635" customFormat="1" ht="15.75" customHeight="1" x14ac:dyDescent="0.2">
      <c r="A182" s="629" t="s">
        <v>53</v>
      </c>
      <c r="B182" s="630">
        <f>+Eurasia!B56</f>
        <v>155.94246849385479</v>
      </c>
      <c r="C182" s="630">
        <f>+Eurasia!C56</f>
        <v>157.7308776678519</v>
      </c>
      <c r="D182" s="630">
        <f>+Eurasia!D56</f>
        <v>159.22861094864402</v>
      </c>
      <c r="E182" s="630">
        <f>+Eurasia!E56</f>
        <v>157.78711196871717</v>
      </c>
      <c r="F182" s="630">
        <f>+Eurasia!F56</f>
        <v>154.93737936993875</v>
      </c>
      <c r="G182" s="630">
        <f>+Eurasia!G56</f>
        <v>150.41724029517886</v>
      </c>
      <c r="H182" s="630">
        <f>+Eurasia!H56</f>
        <v>145.53831861087627</v>
      </c>
      <c r="I182" s="630">
        <f>+Eurasia!I56</f>
        <v>140.81764924362753</v>
      </c>
      <c r="J182" s="630">
        <f>+Eurasia!J56</f>
        <v>136.25009913381959</v>
      </c>
      <c r="K182" s="630">
        <f>+Eurasia!K56</f>
        <v>131.83070171735417</v>
      </c>
      <c r="L182" s="630">
        <f>+Eurasia!L56</f>
        <v>129.67510617919314</v>
      </c>
      <c r="M182" s="630">
        <f>+Eurasia!M56</f>
        <v>129.67521371498509</v>
      </c>
      <c r="N182" s="630">
        <f>+Eurasia!N56</f>
        <v>129.6753212508662</v>
      </c>
      <c r="O182" s="630">
        <f>+Eurasia!O56</f>
        <v>129.67542878683651</v>
      </c>
      <c r="P182" s="630">
        <f>+Eurasia!P56</f>
        <v>129.67553632289597</v>
      </c>
      <c r="Q182" s="630">
        <f>+Eurasia!Q56</f>
        <v>129.67564385904461</v>
      </c>
      <c r="R182" s="630">
        <f>+Eurasia!R56</f>
        <v>129.67575139528245</v>
      </c>
    </row>
    <row r="183" spans="1:18" s="635" customFormat="1" ht="15.75" customHeight="1" x14ac:dyDescent="0.2">
      <c r="A183" s="629" t="s">
        <v>54</v>
      </c>
      <c r="B183" s="630">
        <f>+China!B56</f>
        <v>1304.5</v>
      </c>
      <c r="C183" s="630">
        <f>+China!C56</f>
        <v>1387.7502211844821</v>
      </c>
      <c r="D183" s="630">
        <f>+China!D56</f>
        <v>1444.5546171355679</v>
      </c>
      <c r="E183" s="630">
        <f>+China!E56</f>
        <v>1453.7111970786125</v>
      </c>
      <c r="F183" s="630">
        <f>+China!F56</f>
        <v>1431.7795428930247</v>
      </c>
      <c r="G183" s="630">
        <f>+China!G56</f>
        <v>1385.4481804592529</v>
      </c>
      <c r="H183" s="630">
        <f>+China!H56</f>
        <v>1340.1411957953853</v>
      </c>
      <c r="I183" s="630">
        <f>+China!I56</f>
        <v>1296.3158420494287</v>
      </c>
      <c r="J183" s="630">
        <f>+China!J56</f>
        <v>1253.9236668647941</v>
      </c>
      <c r="K183" s="630">
        <f>+China!K56</f>
        <v>1212.9178023758952</v>
      </c>
      <c r="L183" s="630">
        <f>+China!L56</f>
        <v>1193.8838632508532</v>
      </c>
      <c r="M183" s="630">
        <f>+China!M56</f>
        <v>1195.812902455109</v>
      </c>
      <c r="N183" s="630">
        <f>+China!N56</f>
        <v>1197.7450585389593</v>
      </c>
      <c r="O183" s="630">
        <f>+China!O56</f>
        <v>1199.6803365385581</v>
      </c>
      <c r="P183" s="630">
        <f>+China!P56</f>
        <v>1201.6187414981966</v>
      </c>
      <c r="Q183" s="630">
        <f>+China!Q56</f>
        <v>1203.5602784703162</v>
      </c>
      <c r="R183" s="630">
        <f>+China!R56</f>
        <v>1205.5049525155223</v>
      </c>
    </row>
    <row r="184" spans="1:18" s="635" customFormat="1" ht="15.75" customHeight="1" x14ac:dyDescent="0.2">
      <c r="A184" s="629" t="s">
        <v>55</v>
      </c>
      <c r="B184" s="630">
        <f>+India!B56</f>
        <v>1094.5830000000001</v>
      </c>
      <c r="C184" s="630">
        <f>+India!C56</f>
        <v>1252.9435777035217</v>
      </c>
      <c r="D184" s="630">
        <f>+India!D56</f>
        <v>1385.6545708417875</v>
      </c>
      <c r="E184" s="630">
        <f>+India!E56</f>
        <v>1479.1825173993338</v>
      </c>
      <c r="F184" s="630">
        <f>+India!F56</f>
        <v>1543.0528292632882</v>
      </c>
      <c r="G184" s="630">
        <f>+India!G56</f>
        <v>1554.7444927218087</v>
      </c>
      <c r="H184" s="630">
        <f>+India!H56</f>
        <v>1539.6147111605594</v>
      </c>
      <c r="I184" s="630">
        <f>+India!I56</f>
        <v>1524.6321629814913</v>
      </c>
      <c r="J184" s="630">
        <f>+India!J56</f>
        <v>1509.7954154032559</v>
      </c>
      <c r="K184" s="630">
        <f>+India!K56</f>
        <v>1495.1030495874188</v>
      </c>
      <c r="L184" s="630">
        <f>+India!L56</f>
        <v>1479.5416228087806</v>
      </c>
      <c r="M184" s="630">
        <f>+India!M56</f>
        <v>1463.1413439062758</v>
      </c>
      <c r="N184" s="630">
        <f>+India!N56</f>
        <v>1446.9228572182876</v>
      </c>
      <c r="O184" s="630">
        <f>+India!O56</f>
        <v>1430.8841476321795</v>
      </c>
      <c r="P184" s="630">
        <f>+India!P56</f>
        <v>1415.0232223722394</v>
      </c>
      <c r="Q184" s="630">
        <f>+India!Q56</f>
        <v>1399.3381107520811</v>
      </c>
      <c r="R184" s="630">
        <f>+India!R56</f>
        <v>1383.8268639297912</v>
      </c>
    </row>
    <row r="185" spans="1:18" s="635" customFormat="1" ht="15.75" customHeight="1" x14ac:dyDescent="0.2">
      <c r="A185" s="629" t="s">
        <v>56</v>
      </c>
      <c r="B185" s="630">
        <f>+MidEast!B56</f>
        <v>412.76900131562951</v>
      </c>
      <c r="C185" s="630">
        <f>+MidEast!C56</f>
        <v>499.31653842438431</v>
      </c>
      <c r="D185" s="630">
        <f>+MidEast!D56</f>
        <v>582.45526247535781</v>
      </c>
      <c r="E185" s="630">
        <f>+MidEast!E56</f>
        <v>655.97279000116657</v>
      </c>
      <c r="F185" s="630">
        <f>+MidEast!F56</f>
        <v>718.79049213951976</v>
      </c>
      <c r="G185" s="630">
        <f>+MidEast!G56</f>
        <v>757.22635740042631</v>
      </c>
      <c r="H185" s="630">
        <f>+MidEast!H56</f>
        <v>783.94458908937531</v>
      </c>
      <c r="I185" s="630">
        <f>+MidEast!I56</f>
        <v>811.60555592958758</v>
      </c>
      <c r="J185" s="630">
        <f>+MidEast!J56</f>
        <v>840.24252170796979</v>
      </c>
      <c r="K185" s="630">
        <f>+MidEast!K56</f>
        <v>869.88992390217095</v>
      </c>
      <c r="L185" s="630">
        <f>+MidEast!L56</f>
        <v>880.49611539260263</v>
      </c>
      <c r="M185" s="630">
        <f>+MidEast!M56</f>
        <v>871.35291338015509</v>
      </c>
      <c r="N185" s="630">
        <f>+MidEast!N56</f>
        <v>862.3046557309807</v>
      </c>
      <c r="O185" s="630">
        <f>+MidEast!O56</f>
        <v>853.35035652875547</v>
      </c>
      <c r="P185" s="630">
        <f>+MidEast!P56</f>
        <v>844.48904009505657</v>
      </c>
      <c r="Q185" s="630">
        <f>+MidEast!Q56</f>
        <v>835.71974088305024</v>
      </c>
      <c r="R185" s="630">
        <f>+MidEast!R56</f>
        <v>827.04150337228396</v>
      </c>
    </row>
    <row r="186" spans="1:18" s="635" customFormat="1" ht="15.75" customHeight="1" x14ac:dyDescent="0.2">
      <c r="A186" s="629" t="s">
        <v>57</v>
      </c>
      <c r="B186" s="630">
        <f>+Africa!B56</f>
        <v>763.50611154103387</v>
      </c>
      <c r="C186" s="630">
        <f>+Africa!C56</f>
        <v>946.29363600988199</v>
      </c>
      <c r="D186" s="630">
        <f>+Africa!D56</f>
        <v>1137.6991088911184</v>
      </c>
      <c r="E186" s="630">
        <f>+Africa!E56</f>
        <v>1325.5728111834637</v>
      </c>
      <c r="F186" s="630">
        <f>+Africa!F56</f>
        <v>1503.1748556643358</v>
      </c>
      <c r="G186" s="630">
        <f>+Africa!G56</f>
        <v>1611.4417457695624</v>
      </c>
      <c r="H186" s="630">
        <f>+Africa!H56</f>
        <v>1668.2449350273391</v>
      </c>
      <c r="I186" s="630">
        <f>+Africa!I56</f>
        <v>1727.0504320435723</v>
      </c>
      <c r="J186" s="630">
        <f>+Africa!J56</f>
        <v>1787.9288180023811</v>
      </c>
      <c r="K186" s="630">
        <f>+Africa!K56</f>
        <v>1850.9531620688315</v>
      </c>
      <c r="L186" s="630">
        <f>+Africa!L56</f>
        <v>1863.1005860693215</v>
      </c>
      <c r="M186" s="630">
        <f>+Africa!M56</f>
        <v>1823.3617677448246</v>
      </c>
      <c r="N186" s="630">
        <f>+Africa!N56</f>
        <v>1784.4705545864874</v>
      </c>
      <c r="O186" s="630">
        <f>+Africa!O56</f>
        <v>1746.4088676843676</v>
      </c>
      <c r="P186" s="630">
        <f>+Africa!P56</f>
        <v>1709.1590137408311</v>
      </c>
      <c r="Q186" s="630">
        <f>+Africa!Q56</f>
        <v>1672.7036768456733</v>
      </c>
      <c r="R186" s="630">
        <f>+Africa!R56</f>
        <v>1637.0259104266706</v>
      </c>
    </row>
    <row r="187" spans="1:18" s="635" customFormat="1" ht="15.75" customHeight="1" x14ac:dyDescent="0.2">
      <c r="A187" s="629" t="s">
        <v>58</v>
      </c>
      <c r="B187" s="630">
        <f>+LatAm!B56</f>
        <v>555.38007856447791</v>
      </c>
      <c r="C187" s="630">
        <f>+LatAm!C56</f>
        <v>617.24666775945695</v>
      </c>
      <c r="D187" s="630">
        <f>+LatAm!D56</f>
        <v>668.20790232089644</v>
      </c>
      <c r="E187" s="630">
        <f>+LatAm!E56</f>
        <v>704.76915491453906</v>
      </c>
      <c r="F187" s="630">
        <f>+LatAm!F56</f>
        <v>724.34366223780523</v>
      </c>
      <c r="G187" s="630">
        <f>+LatAm!G56</f>
        <v>724.37497469952905</v>
      </c>
      <c r="H187" s="630">
        <f>+LatAm!H56</f>
        <v>717.60011089517116</v>
      </c>
      <c r="I187" s="630">
        <f>+LatAm!I56</f>
        <v>710.88861037802053</v>
      </c>
      <c r="J187" s="630">
        <f>+LatAm!J56</f>
        <v>704.2398805300877</v>
      </c>
      <c r="K187" s="630">
        <f>+LatAm!K56</f>
        <v>697.6533342759634</v>
      </c>
      <c r="L187" s="630">
        <f>+LatAm!L56</f>
        <v>691.83923244645564</v>
      </c>
      <c r="M187" s="630">
        <f>+LatAm!M56</f>
        <v>686.77922759032924</v>
      </c>
      <c r="N187" s="630">
        <f>+LatAm!N56</f>
        <v>681.75623082501829</v>
      </c>
      <c r="O187" s="630">
        <f>+LatAm!O56</f>
        <v>676.7699714790856</v>
      </c>
      <c r="P187" s="630">
        <f>+LatAm!P56</f>
        <v>671.82018086074322</v>
      </c>
      <c r="Q187" s="630">
        <f>+LatAm!Q56</f>
        <v>666.90659224337298</v>
      </c>
      <c r="R187" s="630">
        <f>+LatAm!R56</f>
        <v>662.02894085115395</v>
      </c>
    </row>
    <row r="188" spans="1:18" s="635" customFormat="1" ht="15.75" customHeight="1" x14ac:dyDescent="0.2">
      <c r="A188" s="629" t="s">
        <v>114</v>
      </c>
      <c r="B188" s="630">
        <f>+OHI!B56</f>
        <v>129.169624</v>
      </c>
      <c r="C188" s="630">
        <f>+OHI!C56</f>
        <v>138.9149347636984</v>
      </c>
      <c r="D188" s="630">
        <f>+OHI!D56</f>
        <v>146.53148576729271</v>
      </c>
      <c r="E188" s="630">
        <f>+OHI!E56</f>
        <v>151.22321883689457</v>
      </c>
      <c r="F188" s="630">
        <f>+OHI!F56</f>
        <v>152.6260626118586</v>
      </c>
      <c r="G188" s="630">
        <f>+OHI!G56</f>
        <v>150.59003919774131</v>
      </c>
      <c r="H188" s="630">
        <f>+OHI!H56</f>
        <v>146.77893634951542</v>
      </c>
      <c r="I188" s="630">
        <f>+OHI!I56</f>
        <v>143.06428413638557</v>
      </c>
      <c r="J188" s="630">
        <f>+OHI!J56</f>
        <v>139.443641604806</v>
      </c>
      <c r="K188" s="630">
        <f>+OHI!K56</f>
        <v>135.91462957639931</v>
      </c>
      <c r="L188" s="630">
        <f>+OHI!L56</f>
        <v>134.53466436875334</v>
      </c>
      <c r="M188" s="630">
        <f>+OHI!M56</f>
        <v>135.23923246311676</v>
      </c>
      <c r="N188" s="630">
        <f>+OHI!N56</f>
        <v>135.94749043325996</v>
      </c>
      <c r="O188" s="630">
        <f>+OHI!O56</f>
        <v>136.65945760333824</v>
      </c>
      <c r="P188" s="630">
        <f>+OHI!P56</f>
        <v>137.37515339870893</v>
      </c>
      <c r="Q188" s="630">
        <f>+OHI!Q56</f>
        <v>138.09459734646143</v>
      </c>
      <c r="R188" s="630">
        <f>+OHI!R56</f>
        <v>138.81780907594992</v>
      </c>
    </row>
    <row r="189" spans="1:18" s="635" customFormat="1" ht="15.75" customHeight="1" x14ac:dyDescent="0.2">
      <c r="A189" s="629" t="s">
        <v>224</v>
      </c>
      <c r="B189" s="630">
        <f>+OthAsia!B56</f>
        <v>937.19556697899202</v>
      </c>
      <c r="C189" s="630">
        <f>+OthAsia!C56</f>
        <v>1081.0130680798486</v>
      </c>
      <c r="D189" s="630">
        <f>+OthAsia!D56</f>
        <v>1214.6557543238846</v>
      </c>
      <c r="E189" s="630">
        <f>+OthAsia!E56</f>
        <v>1328.2043822189544</v>
      </c>
      <c r="F189" s="630">
        <f>+OthAsia!F56</f>
        <v>1416.5926818179369</v>
      </c>
      <c r="G189" s="630">
        <f>+OthAsia!G56</f>
        <v>1455.148901943053</v>
      </c>
      <c r="H189" s="630">
        <f>+OthAsia!H56</f>
        <v>1466.0562767158233</v>
      </c>
      <c r="I189" s="630">
        <f>+OthAsia!I56</f>
        <v>1477.0454100112265</v>
      </c>
      <c r="J189" s="630">
        <f>+OthAsia!J56</f>
        <v>1488.1169146674717</v>
      </c>
      <c r="K189" s="630">
        <f>+OthAsia!K56</f>
        <v>1499.2714081164261</v>
      </c>
      <c r="L189" s="630">
        <f>+OthAsia!L56</f>
        <v>1497.1045923920378</v>
      </c>
      <c r="M189" s="630">
        <f>+OthAsia!M56</f>
        <v>1481.6741508046164</v>
      </c>
      <c r="N189" s="630">
        <f>+OthAsia!N56</f>
        <v>1466.4027485580618</v>
      </c>
      <c r="O189" s="630">
        <f>+OthAsia!O56</f>
        <v>1451.2887464567748</v>
      </c>
      <c r="P189" s="630">
        <f>+OthAsia!P56</f>
        <v>1436.3305222001095</v>
      </c>
      <c r="Q189" s="630">
        <f>+OthAsia!Q56</f>
        <v>1421.5264702082393</v>
      </c>
      <c r="R189" s="630">
        <f>+OthAsia!R56</f>
        <v>1406.8750014498175</v>
      </c>
    </row>
    <row r="190" spans="1:18" s="635" customFormat="1" ht="15.75" customHeight="1" x14ac:dyDescent="0.2">
      <c r="B190" s="638">
        <f t="shared" ref="B190:R190" si="78">SUM(B178:B189)</f>
        <v>6410.8916214811798</v>
      </c>
      <c r="C190" s="638">
        <f t="shared" si="78"/>
        <v>7182.9956289201327</v>
      </c>
      <c r="D190" s="638">
        <f t="shared" si="78"/>
        <v>7868.2302650287293</v>
      </c>
      <c r="E190" s="638">
        <f t="shared" si="78"/>
        <v>8397.5753251317292</v>
      </c>
      <c r="F190" s="638">
        <f t="shared" si="78"/>
        <v>8788.5836504763902</v>
      </c>
      <c r="G190" s="638">
        <f t="shared" si="78"/>
        <v>8922.3413886935887</v>
      </c>
      <c r="H190" s="638">
        <f t="shared" si="78"/>
        <v>8924.7180531038521</v>
      </c>
      <c r="I190" s="638">
        <f t="shared" si="78"/>
        <v>8932.8387752622839</v>
      </c>
      <c r="J190" s="638">
        <f t="shared" si="78"/>
        <v>8946.7260348496911</v>
      </c>
      <c r="K190" s="638">
        <f t="shared" si="78"/>
        <v>8966.4087942738133</v>
      </c>
      <c r="L190" s="638">
        <f t="shared" si="78"/>
        <v>8939.5343861113051</v>
      </c>
      <c r="M190" s="638">
        <f t="shared" si="78"/>
        <v>8862.7748533697068</v>
      </c>
      <c r="N190" s="638">
        <f t="shared" si="78"/>
        <v>8787.3831912107071</v>
      </c>
      <c r="O190" s="638">
        <f t="shared" si="78"/>
        <v>8713.3367090625325</v>
      </c>
      <c r="P190" s="638">
        <f t="shared" si="78"/>
        <v>8640.6131554708427</v>
      </c>
      <c r="Q190" s="638">
        <f t="shared" si="78"/>
        <v>8569.190709346145</v>
      </c>
      <c r="R190" s="638">
        <f t="shared" si="78"/>
        <v>8499.0479713925215</v>
      </c>
    </row>
    <row r="191" spans="1:18" s="635" customFormat="1" ht="15.75" customHeight="1" x14ac:dyDescent="0.2">
      <c r="A191" s="640" t="s">
        <v>1109</v>
      </c>
      <c r="B191" s="638"/>
      <c r="C191" s="638"/>
      <c r="D191" s="638"/>
      <c r="E191" s="638"/>
      <c r="F191" s="638"/>
      <c r="G191" s="638"/>
      <c r="H191" s="638"/>
      <c r="I191" s="638"/>
      <c r="J191" s="638"/>
      <c r="K191" s="638"/>
      <c r="L191" s="638"/>
      <c r="M191" s="638"/>
    </row>
    <row r="192" spans="1:18" s="635" customFormat="1" ht="15.75" customHeight="1" x14ac:dyDescent="0.2">
      <c r="A192" s="629" t="s">
        <v>104</v>
      </c>
      <c r="C192" s="639">
        <f t="shared" ref="C192:R192" si="79">+LN(C178/B178)</f>
        <v>9.3279313555020352E-2</v>
      </c>
      <c r="D192" s="639">
        <f t="shared" si="79"/>
        <v>7.645691410772508E-2</v>
      </c>
      <c r="E192" s="639">
        <f t="shared" si="79"/>
        <v>5.7596483440908827E-2</v>
      </c>
      <c r="F192" s="639">
        <f t="shared" si="79"/>
        <v>4.3177913415189215E-2</v>
      </c>
      <c r="G192" s="639">
        <f t="shared" si="79"/>
        <v>2.4627299464364743E-2</v>
      </c>
      <c r="H192" s="639">
        <f t="shared" si="79"/>
        <v>1.3456354717457319E-2</v>
      </c>
      <c r="I192" s="639">
        <f t="shared" si="79"/>
        <v>1.3456354717457319E-2</v>
      </c>
      <c r="J192" s="639">
        <f t="shared" si="79"/>
        <v>1.3456354717457319E-2</v>
      </c>
      <c r="K192" s="639">
        <f t="shared" si="79"/>
        <v>1.3456354717457319E-2</v>
      </c>
      <c r="L192" s="639">
        <f t="shared" si="79"/>
        <v>1.03499762952242E-2</v>
      </c>
      <c r="M192" s="639">
        <f t="shared" si="79"/>
        <v>7.2435978729910831E-3</v>
      </c>
      <c r="N192" s="639">
        <f t="shared" si="79"/>
        <v>7.2435978729910831E-3</v>
      </c>
      <c r="O192" s="639">
        <f t="shared" si="79"/>
        <v>7.2435978729910831E-3</v>
      </c>
      <c r="P192" s="639">
        <f t="shared" si="79"/>
        <v>7.2435978729910831E-3</v>
      </c>
      <c r="Q192" s="639">
        <f t="shared" si="79"/>
        <v>7.2435978729910831E-3</v>
      </c>
      <c r="R192" s="639">
        <f t="shared" si="79"/>
        <v>7.2435978729910831E-3</v>
      </c>
    </row>
    <row r="193" spans="1:18" s="635" customFormat="1" ht="15.75" customHeight="1" x14ac:dyDescent="0.2">
      <c r="A193" s="629" t="s">
        <v>105</v>
      </c>
      <c r="C193" s="639">
        <f t="shared" ref="C193:R193" si="80">+LN(C179/B179)</f>
        <v>4.3457148576045657E-2</v>
      </c>
      <c r="D193" s="639">
        <f t="shared" si="80"/>
        <v>2.3580395709591803E-2</v>
      </c>
      <c r="E193" s="639">
        <f t="shared" si="80"/>
        <v>9.6646885779169776E-3</v>
      </c>
      <c r="F193" s="639">
        <f t="shared" si="80"/>
        <v>-1.0403662089125843E-5</v>
      </c>
      <c r="G193" s="639">
        <f t="shared" si="80"/>
        <v>-1.5505729685358164E-2</v>
      </c>
      <c r="H193" s="639">
        <f t="shared" si="80"/>
        <v>-2.3819981331415465E-2</v>
      </c>
      <c r="I193" s="639">
        <f t="shared" si="80"/>
        <v>-2.3819981331415465E-2</v>
      </c>
      <c r="J193" s="639">
        <f t="shared" si="80"/>
        <v>-2.3819981331415465E-2</v>
      </c>
      <c r="K193" s="639">
        <f t="shared" si="80"/>
        <v>-2.3819981331415465E-2</v>
      </c>
      <c r="L193" s="639">
        <f t="shared" si="80"/>
        <v>-9.7103792999541395E-3</v>
      </c>
      <c r="M193" s="639">
        <f t="shared" si="80"/>
        <v>4.3992227315072883E-3</v>
      </c>
      <c r="N193" s="639">
        <f t="shared" si="80"/>
        <v>4.3992227315072883E-3</v>
      </c>
      <c r="O193" s="639">
        <f t="shared" si="80"/>
        <v>4.3992227315072883E-3</v>
      </c>
      <c r="P193" s="639">
        <f t="shared" si="80"/>
        <v>4.3992227315072883E-3</v>
      </c>
      <c r="Q193" s="639">
        <f t="shared" si="80"/>
        <v>4.3992227315072883E-3</v>
      </c>
      <c r="R193" s="639">
        <f t="shared" si="80"/>
        <v>4.3992227315072883E-3</v>
      </c>
    </row>
    <row r="194" spans="1:18" s="635" customFormat="1" ht="15.75" customHeight="1" x14ac:dyDescent="0.2">
      <c r="A194" s="629" t="s">
        <v>51</v>
      </c>
      <c r="C194" s="639">
        <f t="shared" ref="C194:R194" si="81">+LN(C180/B180)</f>
        <v>-1.3094485000426948E-2</v>
      </c>
      <c r="D194" s="639">
        <f t="shared" si="81"/>
        <v>-4.0543462774860511E-2</v>
      </c>
      <c r="E194" s="639">
        <f t="shared" si="81"/>
        <v>-6.0224740689090499E-2</v>
      </c>
      <c r="F194" s="639">
        <f t="shared" si="81"/>
        <v>-7.2870345305458911E-2</v>
      </c>
      <c r="G194" s="639">
        <f t="shared" si="81"/>
        <v>-5.9300060291662224E-2</v>
      </c>
      <c r="H194" s="639">
        <f t="shared" si="81"/>
        <v>-3.9881769488259666E-2</v>
      </c>
      <c r="I194" s="639">
        <f t="shared" si="81"/>
        <v>-3.9881769488259666E-2</v>
      </c>
      <c r="J194" s="639">
        <f t="shared" si="81"/>
        <v>-3.9881769488259666E-2</v>
      </c>
      <c r="K194" s="639">
        <f t="shared" si="81"/>
        <v>-3.9881769488259666E-2</v>
      </c>
      <c r="L194" s="639">
        <f t="shared" si="81"/>
        <v>-1.7413351781274782E-2</v>
      </c>
      <c r="M194" s="639">
        <f t="shared" si="81"/>
        <v>5.055065925709791E-3</v>
      </c>
      <c r="N194" s="639">
        <f t="shared" si="81"/>
        <v>5.055065925709791E-3</v>
      </c>
      <c r="O194" s="639">
        <f t="shared" si="81"/>
        <v>5.055065925709791E-3</v>
      </c>
      <c r="P194" s="639">
        <f t="shared" si="81"/>
        <v>5.055065925709791E-3</v>
      </c>
      <c r="Q194" s="639">
        <f t="shared" si="81"/>
        <v>5.055065925709791E-3</v>
      </c>
      <c r="R194" s="639">
        <f t="shared" si="81"/>
        <v>5.055065925709791E-3</v>
      </c>
    </row>
    <row r="195" spans="1:18" s="635" customFormat="1" ht="15.75" customHeight="1" x14ac:dyDescent="0.2">
      <c r="A195" s="629" t="s">
        <v>52</v>
      </c>
      <c r="C195" s="639">
        <f t="shared" ref="C195:R195" si="82">+LN(C181/B181)</f>
        <v>-3.6902246209143202E-2</v>
      </c>
      <c r="D195" s="639">
        <f t="shared" si="82"/>
        <v>-4.1718339820915183E-2</v>
      </c>
      <c r="E195" s="639">
        <f t="shared" si="82"/>
        <v>-5.4007194778846031E-2</v>
      </c>
      <c r="F195" s="639">
        <f t="shared" si="82"/>
        <v>-5.1458270954325779E-2</v>
      </c>
      <c r="G195" s="639">
        <f t="shared" si="82"/>
        <v>-4.9860705512785979E-2</v>
      </c>
      <c r="H195" s="639">
        <f t="shared" si="82"/>
        <v>-4.8680140960981923E-2</v>
      </c>
      <c r="I195" s="639">
        <f t="shared" si="82"/>
        <v>-4.8680140960981923E-2</v>
      </c>
      <c r="J195" s="639">
        <f t="shared" si="82"/>
        <v>-4.8680140960981805E-2</v>
      </c>
      <c r="K195" s="639">
        <f t="shared" si="82"/>
        <v>-4.8680140960981923E-2</v>
      </c>
      <c r="L195" s="639">
        <f t="shared" si="82"/>
        <v>-2.0003461034451431E-2</v>
      </c>
      <c r="M195" s="639">
        <f t="shared" si="82"/>
        <v>8.6732188920793304E-3</v>
      </c>
      <c r="N195" s="639">
        <f t="shared" si="82"/>
        <v>8.6732188920793304E-3</v>
      </c>
      <c r="O195" s="639">
        <f t="shared" si="82"/>
        <v>8.6732188920793304E-3</v>
      </c>
      <c r="P195" s="639">
        <f t="shared" si="82"/>
        <v>8.6732188920793304E-3</v>
      </c>
      <c r="Q195" s="639">
        <f t="shared" si="82"/>
        <v>8.6732188920793304E-3</v>
      </c>
      <c r="R195" s="639">
        <f t="shared" si="82"/>
        <v>8.6732188920793304E-3</v>
      </c>
    </row>
    <row r="196" spans="1:18" s="635" customFormat="1" ht="15.75" customHeight="1" x14ac:dyDescent="0.2">
      <c r="A196" s="629" t="s">
        <v>53</v>
      </c>
      <c r="C196" s="639">
        <f t="shared" ref="C196:R196" si="83">+LN(C182/B182)</f>
        <v>1.1403127329362234E-2</v>
      </c>
      <c r="D196" s="639">
        <f t="shared" si="83"/>
        <v>9.4506994247554547E-3</v>
      </c>
      <c r="E196" s="639">
        <f t="shared" si="83"/>
        <v>-9.0942424029197694E-3</v>
      </c>
      <c r="F196" s="639">
        <f t="shared" si="83"/>
        <v>-1.8225700651584489E-2</v>
      </c>
      <c r="G196" s="639">
        <f t="shared" si="83"/>
        <v>-2.9607996654239823E-2</v>
      </c>
      <c r="H196" s="639">
        <f t="shared" si="83"/>
        <v>-3.2973624479236872E-2</v>
      </c>
      <c r="I196" s="639">
        <f t="shared" si="83"/>
        <v>-3.297362447923699E-2</v>
      </c>
      <c r="J196" s="639">
        <f t="shared" si="83"/>
        <v>-3.2973624479236872E-2</v>
      </c>
      <c r="K196" s="639">
        <f t="shared" si="83"/>
        <v>-3.297362447923699E-2</v>
      </c>
      <c r="L196" s="639">
        <f t="shared" si="83"/>
        <v>-1.6486397604340588E-2</v>
      </c>
      <c r="M196" s="639">
        <f t="shared" si="83"/>
        <v>8.2927055566009676E-7</v>
      </c>
      <c r="N196" s="639">
        <f t="shared" si="83"/>
        <v>8.2927055566009676E-7</v>
      </c>
      <c r="O196" s="639">
        <f t="shared" si="83"/>
        <v>8.2927055566009676E-7</v>
      </c>
      <c r="P196" s="639">
        <f t="shared" si="83"/>
        <v>8.2927055566009676E-7</v>
      </c>
      <c r="Q196" s="639">
        <f t="shared" si="83"/>
        <v>8.2927055566009676E-7</v>
      </c>
      <c r="R196" s="639">
        <f t="shared" si="83"/>
        <v>8.2927055566009676E-7</v>
      </c>
    </row>
    <row r="197" spans="1:18" s="635" customFormat="1" ht="15.75" customHeight="1" x14ac:dyDescent="0.2">
      <c r="A197" s="629" t="s">
        <v>54</v>
      </c>
      <c r="C197" s="639">
        <f t="shared" ref="C197:R197" si="84">+LN(C183/B183)</f>
        <v>6.1864064376996403E-2</v>
      </c>
      <c r="D197" s="639">
        <f t="shared" si="84"/>
        <v>4.0117160646553865E-2</v>
      </c>
      <c r="E197" s="639">
        <f t="shared" si="84"/>
        <v>6.3186822708878035E-3</v>
      </c>
      <c r="F197" s="639">
        <f t="shared" si="84"/>
        <v>-1.5201626695921917E-2</v>
      </c>
      <c r="G197" s="639">
        <f t="shared" si="84"/>
        <v>-3.2894422900293076E-2</v>
      </c>
      <c r="H197" s="639">
        <f t="shared" si="84"/>
        <v>-3.3248704884521148E-2</v>
      </c>
      <c r="I197" s="639">
        <f t="shared" si="84"/>
        <v>-3.3248704884521148E-2</v>
      </c>
      <c r="J197" s="639">
        <f t="shared" si="84"/>
        <v>-3.3248704884521148E-2</v>
      </c>
      <c r="K197" s="639">
        <f t="shared" si="84"/>
        <v>-3.3248704884521037E-2</v>
      </c>
      <c r="L197" s="639">
        <f t="shared" si="84"/>
        <v>-1.5817120474196061E-2</v>
      </c>
      <c r="M197" s="639">
        <f t="shared" si="84"/>
        <v>1.6144639361290413E-3</v>
      </c>
      <c r="N197" s="639">
        <f t="shared" si="84"/>
        <v>1.6144639361290413E-3</v>
      </c>
      <c r="O197" s="639">
        <f t="shared" si="84"/>
        <v>1.6144639361290413E-3</v>
      </c>
      <c r="P197" s="639">
        <f t="shared" si="84"/>
        <v>1.6144639361290413E-3</v>
      </c>
      <c r="Q197" s="639">
        <f t="shared" si="84"/>
        <v>1.6144639361290413E-3</v>
      </c>
      <c r="R197" s="639">
        <f t="shared" si="84"/>
        <v>1.6144639361290413E-3</v>
      </c>
    </row>
    <row r="198" spans="1:18" s="635" customFormat="1" ht="15.75" customHeight="1" x14ac:dyDescent="0.2">
      <c r="A198" s="629" t="s">
        <v>55</v>
      </c>
      <c r="C198" s="639">
        <f t="shared" ref="C198:R198" si="85">+LN(C184/B184)</f>
        <v>0.13512217631474144</v>
      </c>
      <c r="D198" s="639">
        <f t="shared" si="85"/>
        <v>0.10067699718421139</v>
      </c>
      <c r="E198" s="639">
        <f t="shared" si="85"/>
        <v>6.5316939745763331E-2</v>
      </c>
      <c r="F198" s="639">
        <f t="shared" si="85"/>
        <v>4.2273228749606762E-2</v>
      </c>
      <c r="G198" s="639">
        <f t="shared" si="85"/>
        <v>7.5484079541995458E-3</v>
      </c>
      <c r="H198" s="639">
        <f t="shared" si="85"/>
        <v>-9.7790212027658047E-3</v>
      </c>
      <c r="I198" s="639">
        <f t="shared" si="85"/>
        <v>-9.7790212027658047E-3</v>
      </c>
      <c r="J198" s="639">
        <f t="shared" si="85"/>
        <v>-9.7790212027658047E-3</v>
      </c>
      <c r="K198" s="639">
        <f t="shared" si="85"/>
        <v>-9.7790212027658047E-3</v>
      </c>
      <c r="L198" s="639">
        <f t="shared" si="85"/>
        <v>-1.0462808470786377E-2</v>
      </c>
      <c r="M198" s="639">
        <f t="shared" si="85"/>
        <v>-1.114659573880694E-2</v>
      </c>
      <c r="N198" s="639">
        <f t="shared" si="85"/>
        <v>-1.114659573880694E-2</v>
      </c>
      <c r="O198" s="639">
        <f t="shared" si="85"/>
        <v>-1.114659573880694E-2</v>
      </c>
      <c r="P198" s="639">
        <f t="shared" si="85"/>
        <v>-1.114659573880694E-2</v>
      </c>
      <c r="Q198" s="639">
        <f t="shared" si="85"/>
        <v>-1.114659573880694E-2</v>
      </c>
      <c r="R198" s="639">
        <f t="shared" si="85"/>
        <v>-1.114659573880694E-2</v>
      </c>
    </row>
    <row r="199" spans="1:18" s="635" customFormat="1" ht="15.75" customHeight="1" x14ac:dyDescent="0.2">
      <c r="A199" s="629" t="s">
        <v>56</v>
      </c>
      <c r="C199" s="639">
        <f t="shared" ref="C199:R199" si="86">+LN(C185/B185)</f>
        <v>0.19035212254373904</v>
      </c>
      <c r="D199" s="639">
        <f t="shared" si="86"/>
        <v>0.15401213969369185</v>
      </c>
      <c r="E199" s="639">
        <f t="shared" si="86"/>
        <v>0.11886692955409536</v>
      </c>
      <c r="F199" s="639">
        <f t="shared" si="86"/>
        <v>9.1450617987396274E-2</v>
      </c>
      <c r="G199" s="639">
        <f t="shared" si="86"/>
        <v>5.2092300348727152E-2</v>
      </c>
      <c r="H199" s="639">
        <f t="shared" si="86"/>
        <v>3.4676112907547997E-2</v>
      </c>
      <c r="I199" s="639">
        <f t="shared" si="86"/>
        <v>3.4676112907547997E-2</v>
      </c>
      <c r="J199" s="639">
        <f t="shared" si="86"/>
        <v>3.4676112907547997E-2</v>
      </c>
      <c r="K199" s="639">
        <f t="shared" si="86"/>
        <v>3.4676112907547997E-2</v>
      </c>
      <c r="L199" s="639">
        <f t="shared" si="86"/>
        <v>1.2118836713273608E-2</v>
      </c>
      <c r="M199" s="639">
        <f t="shared" si="86"/>
        <v>-1.0438439481000872E-2</v>
      </c>
      <c r="N199" s="639">
        <f t="shared" si="86"/>
        <v>-1.0438439481000872E-2</v>
      </c>
      <c r="O199" s="639">
        <f t="shared" si="86"/>
        <v>-1.0438439481000872E-2</v>
      </c>
      <c r="P199" s="639">
        <f t="shared" si="86"/>
        <v>-1.0438439481000872E-2</v>
      </c>
      <c r="Q199" s="639">
        <f t="shared" si="86"/>
        <v>-1.0438439481000872E-2</v>
      </c>
      <c r="R199" s="639">
        <f t="shared" si="86"/>
        <v>-1.0438439481000983E-2</v>
      </c>
    </row>
    <row r="200" spans="1:18" s="635" customFormat="1" ht="15.75" customHeight="1" x14ac:dyDescent="0.2">
      <c r="A200" s="629" t="s">
        <v>57</v>
      </c>
      <c r="C200" s="639">
        <f t="shared" ref="C200:R200" si="87">+LN(C186/B186)</f>
        <v>0.21463178909745043</v>
      </c>
      <c r="D200" s="639">
        <f t="shared" si="87"/>
        <v>0.18421025792865878</v>
      </c>
      <c r="E200" s="639">
        <f t="shared" si="87"/>
        <v>0.15283677903762274</v>
      </c>
      <c r="F200" s="639">
        <f t="shared" si="87"/>
        <v>0.12573476542533846</v>
      </c>
      <c r="G200" s="639">
        <f t="shared" si="87"/>
        <v>6.9549830775917587E-2</v>
      </c>
      <c r="H200" s="639">
        <f t="shared" si="87"/>
        <v>3.4642864150270188E-2</v>
      </c>
      <c r="I200" s="639">
        <f t="shared" si="87"/>
        <v>3.4642864150270188E-2</v>
      </c>
      <c r="J200" s="639">
        <f t="shared" si="87"/>
        <v>3.4642864150270188E-2</v>
      </c>
      <c r="K200" s="639">
        <f t="shared" si="87"/>
        <v>3.4642864150270188E-2</v>
      </c>
      <c r="L200" s="639">
        <f t="shared" si="87"/>
        <v>6.5413524623984497E-3</v>
      </c>
      <c r="M200" s="639">
        <f t="shared" si="87"/>
        <v>-2.1560159225473219E-2</v>
      </c>
      <c r="N200" s="639">
        <f t="shared" si="87"/>
        <v>-2.1560159225473219E-2</v>
      </c>
      <c r="O200" s="639">
        <f t="shared" si="87"/>
        <v>-2.1560159225473219E-2</v>
      </c>
      <c r="P200" s="639">
        <f t="shared" si="87"/>
        <v>-2.1560159225473219E-2</v>
      </c>
      <c r="Q200" s="639">
        <f t="shared" si="87"/>
        <v>-2.1560159225473219E-2</v>
      </c>
      <c r="R200" s="639">
        <f t="shared" si="87"/>
        <v>-2.1560159225473219E-2</v>
      </c>
    </row>
    <row r="201" spans="1:18" s="635" customFormat="1" ht="15.75" customHeight="1" x14ac:dyDescent="0.2">
      <c r="A201" s="629" t="s">
        <v>58</v>
      </c>
      <c r="C201" s="639">
        <f t="shared" ref="C201:R201" si="88">+LN(C187/B187)</f>
        <v>0.10561602408186886</v>
      </c>
      <c r="D201" s="639">
        <f t="shared" si="88"/>
        <v>7.9330626449506725E-2</v>
      </c>
      <c r="E201" s="639">
        <f t="shared" si="88"/>
        <v>5.3270953220981666E-2</v>
      </c>
      <c r="F201" s="639">
        <f t="shared" si="88"/>
        <v>2.7395642009361929E-2</v>
      </c>
      <c r="G201" s="639">
        <f t="shared" si="88"/>
        <v>4.3227802735927343E-5</v>
      </c>
      <c r="H201" s="639">
        <f t="shared" si="88"/>
        <v>-9.3967138859383289E-3</v>
      </c>
      <c r="I201" s="639">
        <f t="shared" si="88"/>
        <v>-9.3967138859383289E-3</v>
      </c>
      <c r="J201" s="639">
        <f t="shared" si="88"/>
        <v>-9.3967138859384416E-3</v>
      </c>
      <c r="K201" s="639">
        <f t="shared" si="88"/>
        <v>-9.3967138859382179E-3</v>
      </c>
      <c r="L201" s="639">
        <f t="shared" si="88"/>
        <v>-8.368718050717731E-3</v>
      </c>
      <c r="M201" s="639">
        <f t="shared" si="88"/>
        <v>-7.3407222154971332E-3</v>
      </c>
      <c r="N201" s="639">
        <f t="shared" si="88"/>
        <v>-7.3407222154970213E-3</v>
      </c>
      <c r="O201" s="639">
        <f t="shared" si="88"/>
        <v>-7.3407222154971332E-3</v>
      </c>
      <c r="P201" s="639">
        <f t="shared" si="88"/>
        <v>-7.3407222154970213E-3</v>
      </c>
      <c r="Q201" s="639">
        <f t="shared" si="88"/>
        <v>-7.3407222154971332E-3</v>
      </c>
      <c r="R201" s="639">
        <f t="shared" si="88"/>
        <v>-7.3407222154972451E-3</v>
      </c>
    </row>
    <row r="202" spans="1:18" s="635" customFormat="1" ht="15.75" customHeight="1" x14ac:dyDescent="0.2">
      <c r="A202" s="629" t="s">
        <v>114</v>
      </c>
      <c r="C202" s="639">
        <f t="shared" ref="C202:R202" si="89">+LN(C188/B188)</f>
        <v>7.2735310330082181E-2</v>
      </c>
      <c r="D202" s="639">
        <f t="shared" si="89"/>
        <v>5.3378559601259278E-2</v>
      </c>
      <c r="E202" s="639">
        <f t="shared" si="89"/>
        <v>3.1516690413397441E-2</v>
      </c>
      <c r="F202" s="639">
        <f t="shared" si="89"/>
        <v>9.2338789546880032E-3</v>
      </c>
      <c r="G202" s="639">
        <f t="shared" si="89"/>
        <v>-1.3429722253347509E-2</v>
      </c>
      <c r="H202" s="639">
        <f t="shared" si="89"/>
        <v>-2.5633551865262665E-2</v>
      </c>
      <c r="I202" s="639">
        <f t="shared" si="89"/>
        <v>-2.5633551865262436E-2</v>
      </c>
      <c r="J202" s="639">
        <f t="shared" si="89"/>
        <v>-2.563355186526255E-2</v>
      </c>
      <c r="K202" s="639">
        <f t="shared" si="89"/>
        <v>-2.563355186526255E-2</v>
      </c>
      <c r="L202" s="639">
        <f t="shared" si="89"/>
        <v>-1.0205071447542156E-2</v>
      </c>
      <c r="M202" s="639">
        <f t="shared" si="89"/>
        <v>5.2234089701781875E-3</v>
      </c>
      <c r="N202" s="639">
        <f t="shared" si="89"/>
        <v>5.2234089701781875E-3</v>
      </c>
      <c r="O202" s="639">
        <f t="shared" si="89"/>
        <v>5.2234089701781875E-3</v>
      </c>
      <c r="P202" s="639">
        <f t="shared" si="89"/>
        <v>5.2234089701781875E-3</v>
      </c>
      <c r="Q202" s="639">
        <f t="shared" si="89"/>
        <v>5.2234089701781875E-3</v>
      </c>
      <c r="R202" s="639">
        <f t="shared" si="89"/>
        <v>5.2234089701781875E-3</v>
      </c>
    </row>
    <row r="203" spans="1:18" s="635" customFormat="1" ht="15.75" customHeight="1" x14ac:dyDescent="0.2">
      <c r="A203" s="629" t="s">
        <v>224</v>
      </c>
      <c r="C203" s="639">
        <f t="shared" ref="C203:R203" si="90">+LN(C189/B189)</f>
        <v>0.14276192989357461</v>
      </c>
      <c r="D203" s="639">
        <f t="shared" si="90"/>
        <v>0.11656207940794015</v>
      </c>
      <c r="E203" s="639">
        <f t="shared" si="90"/>
        <v>8.9367234613343796E-2</v>
      </c>
      <c r="F203" s="639">
        <f t="shared" si="90"/>
        <v>6.4426526819549343E-2</v>
      </c>
      <c r="G203" s="639">
        <f t="shared" si="90"/>
        <v>2.685376518709982E-2</v>
      </c>
      <c r="H203" s="639">
        <f t="shared" si="90"/>
        <v>7.4677571723251908E-3</v>
      </c>
      <c r="I203" s="639">
        <f t="shared" si="90"/>
        <v>7.4677571723251908E-3</v>
      </c>
      <c r="J203" s="639">
        <f t="shared" si="90"/>
        <v>7.4677571723251908E-3</v>
      </c>
      <c r="K203" s="639">
        <f t="shared" si="90"/>
        <v>7.4677571723251908E-3</v>
      </c>
      <c r="L203" s="639">
        <f t="shared" si="90"/>
        <v>-1.4462911875713534E-3</v>
      </c>
      <c r="M203" s="639">
        <f t="shared" si="90"/>
        <v>-1.0360339547467692E-2</v>
      </c>
      <c r="N203" s="639">
        <f t="shared" si="90"/>
        <v>-1.0360339547467692E-2</v>
      </c>
      <c r="O203" s="639">
        <f t="shared" si="90"/>
        <v>-1.0360339547467918E-2</v>
      </c>
      <c r="P203" s="639">
        <f t="shared" si="90"/>
        <v>-1.0360339547467805E-2</v>
      </c>
      <c r="Q203" s="639">
        <f t="shared" si="90"/>
        <v>-1.0360339547467805E-2</v>
      </c>
      <c r="R203" s="639">
        <f t="shared" si="90"/>
        <v>-1.0360339547467805E-2</v>
      </c>
    </row>
    <row r="204" spans="1:18" s="635" customFormat="1" ht="15.75" customHeight="1" x14ac:dyDescent="0.2">
      <c r="A204" s="629" t="s">
        <v>255</v>
      </c>
      <c r="C204" s="639">
        <f t="shared" ref="C204:R204" si="91">+LN(C190/B190)</f>
        <v>0.11371815478696164</v>
      </c>
      <c r="D204" s="639">
        <f t="shared" si="91"/>
        <v>9.1116651555213868E-2</v>
      </c>
      <c r="E204" s="639">
        <f t="shared" si="91"/>
        <v>6.5109846294837612E-2</v>
      </c>
      <c r="F204" s="639">
        <f t="shared" si="91"/>
        <v>4.5510554388700435E-2</v>
      </c>
      <c r="G204" s="639">
        <f t="shared" si="91"/>
        <v>1.5104832869803237E-2</v>
      </c>
      <c r="H204" s="639">
        <f t="shared" si="91"/>
        <v>2.6633680826385937E-4</v>
      </c>
      <c r="I204" s="639">
        <f t="shared" si="91"/>
        <v>9.0949986006088072E-4</v>
      </c>
      <c r="J204" s="639">
        <f t="shared" si="91"/>
        <v>1.5534228631997706E-3</v>
      </c>
      <c r="K204" s="639">
        <f t="shared" si="91"/>
        <v>2.1975793218921686E-3</v>
      </c>
      <c r="L204" s="639">
        <f t="shared" si="91"/>
        <v>-3.0017327845696566E-3</v>
      </c>
      <c r="M204" s="639">
        <f t="shared" si="91"/>
        <v>-8.6236012871391942E-3</v>
      </c>
      <c r="N204" s="639">
        <f t="shared" si="91"/>
        <v>-8.5429400106714175E-3</v>
      </c>
      <c r="O204" s="639">
        <f t="shared" si="91"/>
        <v>-8.4621574918421136E-3</v>
      </c>
      <c r="P204" s="639">
        <f t="shared" si="91"/>
        <v>-8.3812595826872199E-3</v>
      </c>
      <c r="Q204" s="639">
        <f t="shared" si="91"/>
        <v>-8.3002521974719096E-3</v>
      </c>
      <c r="R204" s="639">
        <f t="shared" si="91"/>
        <v>-8.2191413109938792E-3</v>
      </c>
    </row>
    <row r="205" spans="1:18" s="635" customFormat="1" ht="15.75" customHeight="1" x14ac:dyDescent="0.2">
      <c r="A205" s="640" t="s">
        <v>1109</v>
      </c>
      <c r="B205" s="635" t="s">
        <v>1184</v>
      </c>
      <c r="C205" s="641" t="s">
        <v>1185</v>
      </c>
      <c r="D205" s="642" t="s">
        <v>1186</v>
      </c>
      <c r="E205" s="635" t="s">
        <v>1187</v>
      </c>
      <c r="F205" s="635" t="s">
        <v>1188</v>
      </c>
      <c r="G205" s="635" t="s">
        <v>1189</v>
      </c>
      <c r="M205" s="637"/>
    </row>
    <row r="206" spans="1:18" s="635" customFormat="1" ht="15.75" customHeight="1" x14ac:dyDescent="0.2">
      <c r="A206" s="629" t="s">
        <v>104</v>
      </c>
      <c r="B206" s="643">
        <f t="shared" ref="B206:B218" si="92">+AVERAGE(C192:G192)/10</f>
        <v>5.9027584796641653E-3</v>
      </c>
      <c r="C206" s="643">
        <f t="shared" ref="C206:C218" si="93">+AVERAGE(H192:L192)/10</f>
        <v>1.2835079033010695E-3</v>
      </c>
      <c r="D206" s="643">
        <f t="shared" ref="D206:D218" si="94">+AVERAGE(M192:Q192)/10</f>
        <v>7.2435978729910844E-4</v>
      </c>
      <c r="E206" s="652">
        <f t="shared" ref="E206:E218" si="95">+Q178</f>
        <v>440.86260181465695</v>
      </c>
      <c r="F206" s="654">
        <f t="shared" ref="F206:F218" si="96">+E206/B178</f>
        <v>1.4851730664280141</v>
      </c>
      <c r="G206" s="653">
        <f t="shared" ref="G206:G218" si="97">+AVERAGE(B206:D206)</f>
        <v>2.6368753900881145E-3</v>
      </c>
      <c r="M206" s="637"/>
    </row>
    <row r="207" spans="1:18" s="635" customFormat="1" ht="15.75" customHeight="1" x14ac:dyDescent="0.2">
      <c r="A207" s="629" t="s">
        <v>105</v>
      </c>
      <c r="B207" s="643">
        <f t="shared" si="92"/>
        <v>1.2237219903221432E-3</v>
      </c>
      <c r="C207" s="643">
        <f t="shared" si="93"/>
        <v>-2.0998060925123199E-3</v>
      </c>
      <c r="D207" s="643">
        <f t="shared" si="94"/>
        <v>4.3992227315072885E-4</v>
      </c>
      <c r="E207" s="652">
        <f t="shared" si="95"/>
        <v>479.50817567888629</v>
      </c>
      <c r="F207" s="654">
        <f t="shared" si="96"/>
        <v>0.97842798572924483</v>
      </c>
      <c r="G207" s="653">
        <f t="shared" si="97"/>
        <v>-1.4538727634648264E-4</v>
      </c>
      <c r="M207" s="637"/>
    </row>
    <row r="208" spans="1:18" s="635" customFormat="1" ht="15.75" customHeight="1" x14ac:dyDescent="0.2">
      <c r="A208" s="629" t="s">
        <v>51</v>
      </c>
      <c r="B208" s="643">
        <f t="shared" si="92"/>
        <v>-4.920661881229982E-3</v>
      </c>
      <c r="C208" s="643">
        <f t="shared" si="93"/>
        <v>-3.538808594686269E-3</v>
      </c>
      <c r="D208" s="643">
        <f t="shared" si="94"/>
        <v>5.0550659257097912E-4</v>
      </c>
      <c r="E208" s="652">
        <f t="shared" si="95"/>
        <v>85.846177228131722</v>
      </c>
      <c r="F208" s="654">
        <f t="shared" si="96"/>
        <v>0.67186476977242238</v>
      </c>
      <c r="G208" s="653">
        <f t="shared" si="97"/>
        <v>-2.6513212944484239E-3</v>
      </c>
      <c r="M208" s="637"/>
    </row>
    <row r="209" spans="1:13" s="635" customFormat="1" ht="15.75" customHeight="1" x14ac:dyDescent="0.2">
      <c r="A209" s="629" t="s">
        <v>52</v>
      </c>
      <c r="B209" s="643">
        <f t="shared" si="92"/>
        <v>-4.6789351455203236E-3</v>
      </c>
      <c r="C209" s="643">
        <f t="shared" si="93"/>
        <v>-4.2944804975675807E-3</v>
      </c>
      <c r="D209" s="643">
        <f t="shared" si="94"/>
        <v>8.6732188920793309E-4</v>
      </c>
      <c r="E209" s="652">
        <f t="shared" si="95"/>
        <v>95.448644016232123</v>
      </c>
      <c r="F209" s="654">
        <f t="shared" si="96"/>
        <v>0.66677362218813918</v>
      </c>
      <c r="G209" s="653">
        <f t="shared" si="97"/>
        <v>-2.7020312512933235E-3</v>
      </c>
      <c r="M209" s="637"/>
    </row>
    <row r="210" spans="1:13" s="635" customFormat="1" ht="15.75" customHeight="1" x14ac:dyDescent="0.2">
      <c r="A210" s="629" t="s">
        <v>53</v>
      </c>
      <c r="B210" s="643">
        <f t="shared" si="92"/>
        <v>-7.2148225909252788E-4</v>
      </c>
      <c r="C210" s="643">
        <f t="shared" si="93"/>
        <v>-2.9676179104257665E-3</v>
      </c>
      <c r="D210" s="643">
        <f t="shared" si="94"/>
        <v>8.2927055566009663E-8</v>
      </c>
      <c r="E210" s="652">
        <f t="shared" si="95"/>
        <v>129.67564385904461</v>
      </c>
      <c r="F210" s="654">
        <f t="shared" si="96"/>
        <v>0.83156080002770205</v>
      </c>
      <c r="G210" s="653">
        <f t="shared" si="97"/>
        <v>-1.2296724141542426E-3</v>
      </c>
      <c r="M210" s="637"/>
    </row>
    <row r="211" spans="1:13" s="635" customFormat="1" ht="15.75" customHeight="1" x14ac:dyDescent="0.2">
      <c r="A211" s="629" t="s">
        <v>54</v>
      </c>
      <c r="B211" s="643">
        <f t="shared" si="92"/>
        <v>1.2040771539644616E-3</v>
      </c>
      <c r="C211" s="643">
        <f t="shared" si="93"/>
        <v>-2.9762388002456111E-3</v>
      </c>
      <c r="D211" s="643">
        <f t="shared" si="94"/>
        <v>1.6144639361290414E-4</v>
      </c>
      <c r="E211" s="652">
        <f t="shared" si="95"/>
        <v>1203.5602784703162</v>
      </c>
      <c r="F211" s="654">
        <f t="shared" si="96"/>
        <v>0.92262190760468854</v>
      </c>
      <c r="G211" s="653">
        <f t="shared" si="97"/>
        <v>-5.3690508422274841E-4</v>
      </c>
      <c r="M211" s="637"/>
    </row>
    <row r="212" spans="1:13" s="635" customFormat="1" ht="15.75" customHeight="1" x14ac:dyDescent="0.2">
      <c r="A212" s="629" t="s">
        <v>55</v>
      </c>
      <c r="B212" s="643">
        <f t="shared" si="92"/>
        <v>7.0187549989704483E-3</v>
      </c>
      <c r="C212" s="643">
        <f t="shared" si="93"/>
        <v>-9.9157786563699199E-4</v>
      </c>
      <c r="D212" s="643">
        <f t="shared" si="94"/>
        <v>-1.1146595738806939E-3</v>
      </c>
      <c r="E212" s="652">
        <f t="shared" si="95"/>
        <v>1399.3381107520811</v>
      </c>
      <c r="F212" s="654">
        <f t="shared" si="96"/>
        <v>1.2784211985313869</v>
      </c>
      <c r="G212" s="653">
        <f t="shared" si="97"/>
        <v>1.6375058531509206E-3</v>
      </c>
      <c r="M212" s="637"/>
    </row>
    <row r="213" spans="1:13" s="635" customFormat="1" ht="15.75" customHeight="1" x14ac:dyDescent="0.2">
      <c r="A213" s="629" t="s">
        <v>56</v>
      </c>
      <c r="B213" s="643">
        <f t="shared" si="92"/>
        <v>1.2135482202552995E-2</v>
      </c>
      <c r="C213" s="643">
        <f t="shared" si="93"/>
        <v>3.0164657668693118E-3</v>
      </c>
      <c r="D213" s="643">
        <f t="shared" si="94"/>
        <v>-1.0438439481000872E-3</v>
      </c>
      <c r="E213" s="652">
        <f t="shared" si="95"/>
        <v>835.71974088305024</v>
      </c>
      <c r="F213" s="654">
        <f t="shared" si="96"/>
        <v>2.0246669159247395</v>
      </c>
      <c r="G213" s="653">
        <f t="shared" si="97"/>
        <v>4.7027013404407399E-3</v>
      </c>
      <c r="M213" s="637"/>
    </row>
    <row r="214" spans="1:13" s="635" customFormat="1" ht="15.75" customHeight="1" x14ac:dyDescent="0.2">
      <c r="A214" s="629" t="s">
        <v>57</v>
      </c>
      <c r="B214" s="643">
        <f t="shared" si="92"/>
        <v>1.4939268445299761E-2</v>
      </c>
      <c r="C214" s="643">
        <f t="shared" si="93"/>
        <v>2.9022561812695842E-3</v>
      </c>
      <c r="D214" s="643">
        <f t="shared" si="94"/>
        <v>-2.1560159225473218E-3</v>
      </c>
      <c r="E214" s="652">
        <f t="shared" si="95"/>
        <v>1672.7036768456733</v>
      </c>
      <c r="F214" s="654">
        <f t="shared" si="96"/>
        <v>2.1908189752005351</v>
      </c>
      <c r="G214" s="653">
        <f t="shared" si="97"/>
        <v>5.2285029013406752E-3</v>
      </c>
      <c r="M214" s="637"/>
    </row>
    <row r="215" spans="1:13" s="635" customFormat="1" ht="15.75" customHeight="1" x14ac:dyDescent="0.2">
      <c r="A215" s="629" t="s">
        <v>58</v>
      </c>
      <c r="B215" s="643">
        <f t="shared" si="92"/>
        <v>5.3131294712891021E-3</v>
      </c>
      <c r="C215" s="643">
        <f t="shared" si="93"/>
        <v>-9.19111471889421E-4</v>
      </c>
      <c r="D215" s="643">
        <f t="shared" si="94"/>
        <v>-7.3407222154970881E-4</v>
      </c>
      <c r="E215" s="652">
        <f t="shared" si="95"/>
        <v>666.90659224337298</v>
      </c>
      <c r="F215" s="654">
        <f t="shared" si="96"/>
        <v>1.2008111525482943</v>
      </c>
      <c r="G215" s="653">
        <f t="shared" si="97"/>
        <v>1.2199819259499907E-3</v>
      </c>
      <c r="M215" s="637"/>
    </row>
    <row r="216" spans="1:13" s="635" customFormat="1" ht="15.75" customHeight="1" x14ac:dyDescent="0.2">
      <c r="A216" s="629" t="s">
        <v>114</v>
      </c>
      <c r="B216" s="643">
        <f t="shared" si="92"/>
        <v>3.0686943409215877E-3</v>
      </c>
      <c r="C216" s="643">
        <f t="shared" si="93"/>
        <v>-2.2547855781718468E-3</v>
      </c>
      <c r="D216" s="643">
        <f t="shared" si="94"/>
        <v>5.2234089701781879E-4</v>
      </c>
      <c r="E216" s="652">
        <f t="shared" si="95"/>
        <v>138.09459734646143</v>
      </c>
      <c r="F216" s="654">
        <f t="shared" si="96"/>
        <v>1.0690949858804375</v>
      </c>
      <c r="G216" s="653">
        <f t="shared" si="97"/>
        <v>4.4541655325585321E-4</v>
      </c>
      <c r="M216" s="637"/>
    </row>
    <row r="217" spans="1:13" s="635" customFormat="1" ht="15.75" customHeight="1" x14ac:dyDescent="0.2">
      <c r="A217" s="629" t="s">
        <v>224</v>
      </c>
      <c r="B217" s="643">
        <f t="shared" si="92"/>
        <v>8.7994307184301544E-3</v>
      </c>
      <c r="C217" s="643">
        <f t="shared" si="93"/>
        <v>5.6849475003458816E-4</v>
      </c>
      <c r="D217" s="643">
        <f t="shared" si="94"/>
        <v>-1.0360339547467782E-3</v>
      </c>
      <c r="E217" s="652">
        <f t="shared" si="95"/>
        <v>1421.5264702082393</v>
      </c>
      <c r="F217" s="654">
        <f t="shared" si="96"/>
        <v>1.5167874457520816</v>
      </c>
      <c r="G217" s="653">
        <f t="shared" si="97"/>
        <v>2.7772971712393211E-3</v>
      </c>
      <c r="M217" s="637"/>
    </row>
    <row r="218" spans="1:13" s="635" customFormat="1" ht="15.75" customHeight="1" x14ac:dyDescent="0.2">
      <c r="A218" s="629" t="s">
        <v>255</v>
      </c>
      <c r="B218" s="643">
        <f t="shared" si="92"/>
        <v>6.6112007979103353E-3</v>
      </c>
      <c r="C218" s="643">
        <f t="shared" si="93"/>
        <v>3.8502121376940438E-5</v>
      </c>
      <c r="D218" s="643">
        <f t="shared" si="94"/>
        <v>-8.4620421139623703E-4</v>
      </c>
      <c r="E218" s="652">
        <f t="shared" si="95"/>
        <v>8569.190709346145</v>
      </c>
      <c r="F218" s="654">
        <f t="shared" si="96"/>
        <v>1.3366612969455112</v>
      </c>
      <c r="G218" s="653">
        <f t="shared" si="97"/>
        <v>1.9344995692970131E-3</v>
      </c>
      <c r="H218" s="638"/>
      <c r="I218" s="638"/>
      <c r="J218" s="638"/>
      <c r="K218" s="638"/>
      <c r="L218" s="638"/>
      <c r="M218" s="6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85" zoomScaleNormal="85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J72" sqref="J72"/>
    </sheetView>
  </sheetViews>
  <sheetFormatPr baseColWidth="10" defaultColWidth="8.83203125" defaultRowHeight="13" x14ac:dyDescent="0.15"/>
  <cols>
    <col min="1" max="1" width="47.83203125" style="19" customWidth="1"/>
    <col min="2" max="2" width="14.5" style="19" customWidth="1"/>
    <col min="3" max="3" width="13.1640625" style="19" bestFit="1" customWidth="1"/>
    <col min="4" max="4" width="14.6640625" style="19" customWidth="1"/>
    <col min="5" max="8" width="12.5" style="19" bestFit="1" customWidth="1"/>
    <col min="9" max="11" width="11.33203125" style="19" bestFit="1" customWidth="1"/>
    <col min="12" max="12" width="12.5" style="19" bestFit="1" customWidth="1"/>
    <col min="13" max="13" width="12.5" style="430" bestFit="1" customWidth="1"/>
    <col min="14" max="17" width="12.5" style="19" bestFit="1" customWidth="1"/>
    <col min="18" max="23" width="13.1640625" style="19" bestFit="1" customWidth="1"/>
    <col min="24" max="28" width="14.33203125" style="19" bestFit="1" customWidth="1"/>
    <col min="29" max="34" width="16.1640625" style="19" bestFit="1" customWidth="1"/>
    <col min="35" max="38" width="17.33203125" style="19" bestFit="1" customWidth="1"/>
    <col min="39" max="60" width="12.5" style="19" bestFit="1" customWidth="1"/>
    <col min="61" max="61" width="13" style="19" customWidth="1"/>
    <col min="62" max="128" width="12.5" style="19" bestFit="1" customWidth="1"/>
    <col min="129" max="221" width="9.33203125" style="19" bestFit="1" customWidth="1"/>
    <col min="222" max="16384" width="8.83203125" style="19"/>
  </cols>
  <sheetData>
    <row r="1" spans="1:128" s="60" customFormat="1" ht="15" x14ac:dyDescent="0.2">
      <c r="A1" s="64" t="s">
        <v>106</v>
      </c>
      <c r="M1" s="428"/>
    </row>
    <row r="2" spans="1:128" s="60" customFormat="1" ht="16" x14ac:dyDescent="0.2">
      <c r="A2" s="24"/>
      <c r="M2" s="428"/>
    </row>
    <row r="3" spans="1:128" s="65" customFormat="1" ht="16.5" customHeight="1" x14ac:dyDescent="0.2">
      <c r="A3" s="27"/>
      <c r="B3" s="65">
        <v>1</v>
      </c>
      <c r="C3" s="65">
        <v>2</v>
      </c>
      <c r="D3" s="65">
        <v>3</v>
      </c>
      <c r="E3" s="65">
        <v>4</v>
      </c>
      <c r="F3" s="65">
        <v>5</v>
      </c>
      <c r="G3" s="65">
        <v>6</v>
      </c>
      <c r="H3" s="65">
        <v>7</v>
      </c>
      <c r="I3" s="65">
        <v>8</v>
      </c>
      <c r="J3" s="65">
        <v>9</v>
      </c>
      <c r="K3" s="65">
        <v>10</v>
      </c>
      <c r="L3" s="65">
        <v>11</v>
      </c>
      <c r="M3" s="428">
        <v>12</v>
      </c>
      <c r="N3" s="65">
        <v>13</v>
      </c>
      <c r="O3" s="65">
        <v>14</v>
      </c>
      <c r="P3" s="65">
        <v>15</v>
      </c>
      <c r="Q3" s="65">
        <v>16</v>
      </c>
      <c r="R3" s="65">
        <v>17</v>
      </c>
      <c r="S3" s="65">
        <v>18</v>
      </c>
      <c r="T3" s="65">
        <v>19</v>
      </c>
      <c r="U3" s="65">
        <v>20</v>
      </c>
      <c r="V3" s="65">
        <v>21</v>
      </c>
      <c r="W3" s="65">
        <v>22</v>
      </c>
      <c r="X3" s="65">
        <v>23</v>
      </c>
      <c r="Y3" s="65">
        <v>24</v>
      </c>
      <c r="Z3" s="65">
        <v>25</v>
      </c>
      <c r="AA3" s="65">
        <v>26</v>
      </c>
      <c r="AB3" s="65">
        <v>27</v>
      </c>
      <c r="AC3" s="65">
        <v>28</v>
      </c>
      <c r="AD3" s="65">
        <v>29</v>
      </c>
      <c r="AE3" s="65">
        <v>30</v>
      </c>
      <c r="AF3" s="65">
        <v>31</v>
      </c>
      <c r="AG3" s="65">
        <v>32</v>
      </c>
      <c r="AH3" s="65">
        <v>33</v>
      </c>
      <c r="AI3" s="65">
        <v>34</v>
      </c>
      <c r="AJ3" s="65">
        <v>35</v>
      </c>
      <c r="AK3" s="65">
        <v>36</v>
      </c>
      <c r="AL3" s="65">
        <v>37</v>
      </c>
      <c r="AM3" s="65">
        <v>38</v>
      </c>
      <c r="AN3" s="65">
        <v>39</v>
      </c>
      <c r="AO3" s="65">
        <f t="shared" ref="AO3:BT3" si="0">+AN3+1</f>
        <v>40</v>
      </c>
      <c r="AP3" s="65">
        <f t="shared" si="0"/>
        <v>41</v>
      </c>
      <c r="AQ3" s="65">
        <f t="shared" si="0"/>
        <v>42</v>
      </c>
      <c r="AR3" s="65">
        <f t="shared" si="0"/>
        <v>43</v>
      </c>
      <c r="AS3" s="65">
        <f t="shared" si="0"/>
        <v>44</v>
      </c>
      <c r="AT3" s="65">
        <f t="shared" si="0"/>
        <v>45</v>
      </c>
      <c r="AU3" s="65">
        <f t="shared" si="0"/>
        <v>46</v>
      </c>
      <c r="AV3" s="65">
        <f t="shared" si="0"/>
        <v>47</v>
      </c>
      <c r="AW3" s="65">
        <f t="shared" si="0"/>
        <v>48</v>
      </c>
      <c r="AX3" s="65">
        <f t="shared" si="0"/>
        <v>49</v>
      </c>
      <c r="AY3" s="65">
        <f t="shared" si="0"/>
        <v>50</v>
      </c>
      <c r="AZ3" s="65">
        <f t="shared" si="0"/>
        <v>51</v>
      </c>
      <c r="BA3" s="65">
        <f t="shared" si="0"/>
        <v>52</v>
      </c>
      <c r="BB3" s="65">
        <f t="shared" si="0"/>
        <v>53</v>
      </c>
      <c r="BC3" s="65">
        <f t="shared" si="0"/>
        <v>54</v>
      </c>
      <c r="BD3" s="65">
        <f t="shared" si="0"/>
        <v>55</v>
      </c>
      <c r="BE3" s="65">
        <f t="shared" si="0"/>
        <v>56</v>
      </c>
      <c r="BF3" s="65">
        <f t="shared" si="0"/>
        <v>57</v>
      </c>
      <c r="BG3" s="65">
        <f t="shared" si="0"/>
        <v>58</v>
      </c>
      <c r="BH3" s="65">
        <f t="shared" si="0"/>
        <v>59</v>
      </c>
      <c r="BI3" s="65">
        <f t="shared" si="0"/>
        <v>60</v>
      </c>
      <c r="BJ3" s="65">
        <f t="shared" si="0"/>
        <v>61</v>
      </c>
      <c r="BK3" s="65">
        <f t="shared" si="0"/>
        <v>62</v>
      </c>
      <c r="BL3" s="65">
        <f t="shared" si="0"/>
        <v>63</v>
      </c>
      <c r="BM3" s="65">
        <f t="shared" si="0"/>
        <v>64</v>
      </c>
      <c r="BN3" s="65">
        <f t="shared" si="0"/>
        <v>65</v>
      </c>
      <c r="BO3" s="65">
        <f t="shared" si="0"/>
        <v>66</v>
      </c>
      <c r="BP3" s="65">
        <f t="shared" si="0"/>
        <v>67</v>
      </c>
      <c r="BQ3" s="65">
        <f t="shared" si="0"/>
        <v>68</v>
      </c>
      <c r="BR3" s="65">
        <f t="shared" si="0"/>
        <v>69</v>
      </c>
      <c r="BS3" s="65">
        <f t="shared" si="0"/>
        <v>70</v>
      </c>
      <c r="BT3" s="65">
        <f t="shared" si="0"/>
        <v>71</v>
      </c>
      <c r="BU3" s="65">
        <f t="shared" ref="BU3:CZ3" si="1">+BT3+1</f>
        <v>72</v>
      </c>
      <c r="BV3" s="65">
        <f t="shared" si="1"/>
        <v>73</v>
      </c>
      <c r="BW3" s="65">
        <f t="shared" si="1"/>
        <v>74</v>
      </c>
      <c r="BX3" s="65">
        <f t="shared" si="1"/>
        <v>75</v>
      </c>
      <c r="BY3" s="65">
        <f t="shared" si="1"/>
        <v>76</v>
      </c>
      <c r="BZ3" s="65">
        <f t="shared" si="1"/>
        <v>77</v>
      </c>
      <c r="CA3" s="65">
        <f t="shared" si="1"/>
        <v>78</v>
      </c>
      <c r="CB3" s="65">
        <f t="shared" si="1"/>
        <v>79</v>
      </c>
      <c r="CC3" s="65">
        <f t="shared" si="1"/>
        <v>80</v>
      </c>
      <c r="CD3" s="65">
        <f t="shared" si="1"/>
        <v>81</v>
      </c>
      <c r="CE3" s="65">
        <f t="shared" si="1"/>
        <v>82</v>
      </c>
      <c r="CF3" s="65">
        <f t="shared" si="1"/>
        <v>83</v>
      </c>
      <c r="CG3" s="65">
        <f t="shared" si="1"/>
        <v>84</v>
      </c>
      <c r="CH3" s="65">
        <f t="shared" si="1"/>
        <v>85</v>
      </c>
      <c r="CI3" s="65">
        <f t="shared" si="1"/>
        <v>86</v>
      </c>
      <c r="CJ3" s="65">
        <f t="shared" si="1"/>
        <v>87</v>
      </c>
      <c r="CK3" s="65">
        <f t="shared" si="1"/>
        <v>88</v>
      </c>
      <c r="CL3" s="65">
        <f t="shared" si="1"/>
        <v>89</v>
      </c>
      <c r="CM3" s="65">
        <f t="shared" si="1"/>
        <v>90</v>
      </c>
      <c r="CN3" s="65">
        <f t="shared" si="1"/>
        <v>91</v>
      </c>
      <c r="CO3" s="65">
        <f t="shared" si="1"/>
        <v>92</v>
      </c>
      <c r="CP3" s="65">
        <f t="shared" si="1"/>
        <v>93</v>
      </c>
      <c r="CQ3" s="65">
        <f t="shared" si="1"/>
        <v>94</v>
      </c>
      <c r="CR3" s="65">
        <f t="shared" si="1"/>
        <v>95</v>
      </c>
      <c r="CS3" s="65">
        <f t="shared" si="1"/>
        <v>96</v>
      </c>
      <c r="CT3" s="65">
        <f t="shared" si="1"/>
        <v>97</v>
      </c>
      <c r="CU3" s="65">
        <f t="shared" si="1"/>
        <v>98</v>
      </c>
      <c r="CV3" s="65">
        <f t="shared" si="1"/>
        <v>99</v>
      </c>
      <c r="CW3" s="65">
        <f t="shared" si="1"/>
        <v>100</v>
      </c>
      <c r="CX3" s="65">
        <f t="shared" si="1"/>
        <v>101</v>
      </c>
      <c r="CY3" s="65">
        <f t="shared" si="1"/>
        <v>102</v>
      </c>
      <c r="CZ3" s="65">
        <f t="shared" si="1"/>
        <v>103</v>
      </c>
      <c r="DA3" s="65">
        <f t="shared" ref="DA3:DX3" si="2">+CZ3+1</f>
        <v>104</v>
      </c>
      <c r="DB3" s="65">
        <f t="shared" si="2"/>
        <v>105</v>
      </c>
      <c r="DC3" s="65">
        <f t="shared" si="2"/>
        <v>106</v>
      </c>
      <c r="DD3" s="65">
        <f t="shared" si="2"/>
        <v>107</v>
      </c>
      <c r="DE3" s="65">
        <f t="shared" si="2"/>
        <v>108</v>
      </c>
      <c r="DF3" s="65">
        <f t="shared" si="2"/>
        <v>109</v>
      </c>
      <c r="DG3" s="65">
        <f t="shared" si="2"/>
        <v>110</v>
      </c>
      <c r="DH3" s="65">
        <f t="shared" si="2"/>
        <v>111</v>
      </c>
      <c r="DI3" s="65">
        <f t="shared" si="2"/>
        <v>112</v>
      </c>
      <c r="DJ3" s="65">
        <f t="shared" si="2"/>
        <v>113</v>
      </c>
      <c r="DK3" s="65">
        <f t="shared" si="2"/>
        <v>114</v>
      </c>
      <c r="DL3" s="65">
        <f t="shared" si="2"/>
        <v>115</v>
      </c>
      <c r="DM3" s="65">
        <f t="shared" si="2"/>
        <v>116</v>
      </c>
      <c r="DN3" s="65">
        <f t="shared" si="2"/>
        <v>117</v>
      </c>
      <c r="DO3" s="65">
        <f t="shared" si="2"/>
        <v>118</v>
      </c>
      <c r="DP3" s="65">
        <f t="shared" si="2"/>
        <v>119</v>
      </c>
      <c r="DQ3" s="65">
        <f t="shared" si="2"/>
        <v>120</v>
      </c>
      <c r="DR3" s="65">
        <f t="shared" si="2"/>
        <v>121</v>
      </c>
      <c r="DS3" s="65">
        <f t="shared" si="2"/>
        <v>122</v>
      </c>
      <c r="DT3" s="65">
        <f t="shared" si="2"/>
        <v>123</v>
      </c>
      <c r="DU3" s="65">
        <f t="shared" si="2"/>
        <v>124</v>
      </c>
      <c r="DV3" s="65">
        <f t="shared" si="2"/>
        <v>125</v>
      </c>
      <c r="DW3" s="65">
        <f t="shared" si="2"/>
        <v>126</v>
      </c>
      <c r="DX3" s="65">
        <f t="shared" si="2"/>
        <v>127</v>
      </c>
    </row>
    <row r="4" spans="1:128" s="66" customFormat="1" ht="17.25" customHeight="1" x14ac:dyDescent="0.2">
      <c r="A4" s="27"/>
      <c r="B4" s="66">
        <v>1990</v>
      </c>
      <c r="C4" s="66">
        <f>B4+1</f>
        <v>1991</v>
      </c>
      <c r="D4" s="66">
        <f t="shared" ref="D4:AK4" si="3">C4+1</f>
        <v>1992</v>
      </c>
      <c r="E4" s="66">
        <f t="shared" si="3"/>
        <v>1993</v>
      </c>
      <c r="F4" s="66">
        <f t="shared" si="3"/>
        <v>1994</v>
      </c>
      <c r="G4" s="66">
        <f t="shared" si="3"/>
        <v>1995</v>
      </c>
      <c r="H4" s="66">
        <f t="shared" si="3"/>
        <v>1996</v>
      </c>
      <c r="I4" s="66">
        <f t="shared" si="3"/>
        <v>1997</v>
      </c>
      <c r="J4" s="66">
        <f t="shared" si="3"/>
        <v>1998</v>
      </c>
      <c r="K4" s="66">
        <f t="shared" si="3"/>
        <v>1999</v>
      </c>
      <c r="L4" s="66">
        <f t="shared" si="3"/>
        <v>2000</v>
      </c>
      <c r="M4" s="66">
        <f t="shared" si="3"/>
        <v>2001</v>
      </c>
      <c r="N4" s="66">
        <f>M4+1</f>
        <v>2002</v>
      </c>
      <c r="O4" s="66">
        <f t="shared" si="3"/>
        <v>2003</v>
      </c>
      <c r="P4" s="66">
        <f t="shared" si="3"/>
        <v>2004</v>
      </c>
      <c r="Q4" s="66">
        <f t="shared" si="3"/>
        <v>2005</v>
      </c>
      <c r="R4" s="66">
        <f t="shared" si="3"/>
        <v>2006</v>
      </c>
      <c r="S4" s="66">
        <f t="shared" si="3"/>
        <v>2007</v>
      </c>
      <c r="T4" s="66">
        <f>S4+1</f>
        <v>2008</v>
      </c>
      <c r="U4" s="66">
        <f t="shared" si="3"/>
        <v>2009</v>
      </c>
      <c r="V4" s="66">
        <f t="shared" si="3"/>
        <v>2010</v>
      </c>
      <c r="W4" s="66">
        <f t="shared" si="3"/>
        <v>2011</v>
      </c>
      <c r="X4" s="66">
        <f t="shared" si="3"/>
        <v>2012</v>
      </c>
      <c r="Y4" s="66">
        <f t="shared" si="3"/>
        <v>2013</v>
      </c>
      <c r="Z4" s="66">
        <f t="shared" si="3"/>
        <v>2014</v>
      </c>
      <c r="AA4" s="66">
        <f t="shared" si="3"/>
        <v>2015</v>
      </c>
      <c r="AB4" s="66">
        <f t="shared" si="3"/>
        <v>2016</v>
      </c>
      <c r="AC4" s="66">
        <f t="shared" si="3"/>
        <v>2017</v>
      </c>
      <c r="AD4" s="66">
        <f t="shared" si="3"/>
        <v>2018</v>
      </c>
      <c r="AE4" s="66">
        <f>AD4+1</f>
        <v>2019</v>
      </c>
      <c r="AF4" s="66">
        <f t="shared" si="3"/>
        <v>2020</v>
      </c>
      <c r="AG4" s="66">
        <f t="shared" si="3"/>
        <v>2021</v>
      </c>
      <c r="AH4" s="66">
        <f>AG4+1</f>
        <v>2022</v>
      </c>
      <c r="AI4" s="66">
        <f t="shared" si="3"/>
        <v>2023</v>
      </c>
      <c r="AJ4" s="66">
        <f t="shared" si="3"/>
        <v>2024</v>
      </c>
      <c r="AK4" s="66">
        <f t="shared" si="3"/>
        <v>2025</v>
      </c>
      <c r="AL4" s="66">
        <f t="shared" ref="AI4:BN4" si="4">+AK4+10</f>
        <v>2035</v>
      </c>
      <c r="AM4" s="66">
        <f t="shared" si="4"/>
        <v>2045</v>
      </c>
      <c r="AN4" s="66">
        <f t="shared" si="4"/>
        <v>2055</v>
      </c>
      <c r="AO4" s="66">
        <f t="shared" si="4"/>
        <v>2065</v>
      </c>
      <c r="AP4" s="66">
        <f t="shared" si="4"/>
        <v>2075</v>
      </c>
      <c r="AQ4" s="66">
        <f t="shared" si="4"/>
        <v>2085</v>
      </c>
      <c r="AR4" s="66">
        <f t="shared" si="4"/>
        <v>2095</v>
      </c>
      <c r="AS4" s="66">
        <f t="shared" si="4"/>
        <v>2105</v>
      </c>
      <c r="AT4" s="66">
        <f t="shared" si="4"/>
        <v>2115</v>
      </c>
      <c r="AU4" s="66">
        <f t="shared" si="4"/>
        <v>2125</v>
      </c>
      <c r="AV4" s="66">
        <f t="shared" si="4"/>
        <v>2135</v>
      </c>
      <c r="AW4" s="66">
        <f t="shared" si="4"/>
        <v>2145</v>
      </c>
      <c r="AX4" s="66">
        <f t="shared" si="4"/>
        <v>2155</v>
      </c>
      <c r="AY4" s="66">
        <f t="shared" si="4"/>
        <v>2165</v>
      </c>
      <c r="AZ4" s="66">
        <f t="shared" si="4"/>
        <v>2175</v>
      </c>
      <c r="BA4" s="66">
        <f t="shared" si="4"/>
        <v>2185</v>
      </c>
      <c r="BB4" s="66">
        <f t="shared" si="4"/>
        <v>2195</v>
      </c>
      <c r="BC4" s="66">
        <f t="shared" si="4"/>
        <v>2205</v>
      </c>
      <c r="BD4" s="66">
        <f t="shared" si="4"/>
        <v>2215</v>
      </c>
      <c r="BE4" s="66">
        <f t="shared" si="4"/>
        <v>2225</v>
      </c>
      <c r="BF4" s="66">
        <f t="shared" si="4"/>
        <v>2235</v>
      </c>
      <c r="BG4" s="66">
        <f t="shared" si="4"/>
        <v>2245</v>
      </c>
      <c r="BH4" s="66">
        <f t="shared" si="4"/>
        <v>2255</v>
      </c>
      <c r="BI4" s="66">
        <f t="shared" si="4"/>
        <v>2265</v>
      </c>
      <c r="BJ4" s="66">
        <f t="shared" si="4"/>
        <v>2275</v>
      </c>
      <c r="BK4" s="66">
        <f t="shared" si="4"/>
        <v>2285</v>
      </c>
      <c r="BL4" s="66">
        <f t="shared" si="4"/>
        <v>2295</v>
      </c>
      <c r="BM4" s="66">
        <f t="shared" si="4"/>
        <v>2305</v>
      </c>
      <c r="BN4" s="66">
        <f t="shared" si="4"/>
        <v>2315</v>
      </c>
      <c r="BO4" s="66">
        <f t="shared" ref="BO4:CT4" si="5">+BN4+10</f>
        <v>2325</v>
      </c>
      <c r="BP4" s="66">
        <f t="shared" si="5"/>
        <v>2335</v>
      </c>
      <c r="BQ4" s="66">
        <f t="shared" si="5"/>
        <v>2345</v>
      </c>
      <c r="BR4" s="66">
        <f t="shared" si="5"/>
        <v>2355</v>
      </c>
      <c r="BS4" s="66">
        <f t="shared" si="5"/>
        <v>2365</v>
      </c>
      <c r="BT4" s="66">
        <f t="shared" si="5"/>
        <v>2375</v>
      </c>
      <c r="BU4" s="66">
        <f t="shared" si="5"/>
        <v>2385</v>
      </c>
      <c r="BV4" s="66">
        <f t="shared" si="5"/>
        <v>2395</v>
      </c>
      <c r="BW4" s="66">
        <f t="shared" si="5"/>
        <v>2405</v>
      </c>
      <c r="BX4" s="66">
        <f t="shared" si="5"/>
        <v>2415</v>
      </c>
      <c r="BY4" s="66">
        <f t="shared" si="5"/>
        <v>2425</v>
      </c>
      <c r="BZ4" s="66">
        <f t="shared" si="5"/>
        <v>2435</v>
      </c>
      <c r="CA4" s="66">
        <f t="shared" si="5"/>
        <v>2445</v>
      </c>
      <c r="CB4" s="66">
        <f t="shared" si="5"/>
        <v>2455</v>
      </c>
      <c r="CC4" s="66">
        <f t="shared" si="5"/>
        <v>2465</v>
      </c>
      <c r="CD4" s="66">
        <f t="shared" si="5"/>
        <v>2475</v>
      </c>
      <c r="CE4" s="66">
        <f t="shared" si="5"/>
        <v>2485</v>
      </c>
      <c r="CF4" s="66">
        <f t="shared" si="5"/>
        <v>2495</v>
      </c>
      <c r="CG4" s="66">
        <f t="shared" si="5"/>
        <v>2505</v>
      </c>
      <c r="CH4" s="66">
        <f t="shared" si="5"/>
        <v>2515</v>
      </c>
      <c r="CI4" s="66">
        <f t="shared" si="5"/>
        <v>2525</v>
      </c>
      <c r="CJ4" s="66">
        <f t="shared" si="5"/>
        <v>2535</v>
      </c>
      <c r="CK4" s="66">
        <f t="shared" si="5"/>
        <v>2545</v>
      </c>
      <c r="CL4" s="66">
        <f t="shared" si="5"/>
        <v>2555</v>
      </c>
      <c r="CM4" s="66">
        <f t="shared" si="5"/>
        <v>2565</v>
      </c>
      <c r="CN4" s="66">
        <f t="shared" si="5"/>
        <v>2575</v>
      </c>
      <c r="CO4" s="66">
        <f t="shared" si="5"/>
        <v>2585</v>
      </c>
      <c r="CP4" s="66">
        <f t="shared" si="5"/>
        <v>2595</v>
      </c>
      <c r="CQ4" s="66">
        <f t="shared" si="5"/>
        <v>2605</v>
      </c>
      <c r="CR4" s="66">
        <f t="shared" si="5"/>
        <v>2615</v>
      </c>
      <c r="CS4" s="66">
        <f t="shared" si="5"/>
        <v>2625</v>
      </c>
      <c r="CT4" s="66">
        <f t="shared" si="5"/>
        <v>2635</v>
      </c>
      <c r="CU4" s="66">
        <f t="shared" ref="CU4:DX4" si="6">+CT4+10</f>
        <v>2645</v>
      </c>
      <c r="CV4" s="66">
        <f t="shared" si="6"/>
        <v>2655</v>
      </c>
      <c r="CW4" s="66">
        <f t="shared" si="6"/>
        <v>2665</v>
      </c>
      <c r="CX4" s="66">
        <f t="shared" si="6"/>
        <v>2675</v>
      </c>
      <c r="CY4" s="66">
        <f t="shared" si="6"/>
        <v>2685</v>
      </c>
      <c r="CZ4" s="66">
        <f t="shared" si="6"/>
        <v>2695</v>
      </c>
      <c r="DA4" s="66">
        <f t="shared" si="6"/>
        <v>2705</v>
      </c>
      <c r="DB4" s="66">
        <f t="shared" si="6"/>
        <v>2715</v>
      </c>
      <c r="DC4" s="66">
        <f t="shared" si="6"/>
        <v>2725</v>
      </c>
      <c r="DD4" s="66">
        <f t="shared" si="6"/>
        <v>2735</v>
      </c>
      <c r="DE4" s="66">
        <f t="shared" si="6"/>
        <v>2745</v>
      </c>
      <c r="DF4" s="66">
        <f t="shared" si="6"/>
        <v>2755</v>
      </c>
      <c r="DG4" s="66">
        <f t="shared" si="6"/>
        <v>2765</v>
      </c>
      <c r="DH4" s="66">
        <f t="shared" si="6"/>
        <v>2775</v>
      </c>
      <c r="DI4" s="66">
        <f t="shared" si="6"/>
        <v>2785</v>
      </c>
      <c r="DJ4" s="66">
        <f t="shared" si="6"/>
        <v>2795</v>
      </c>
      <c r="DK4" s="66">
        <f t="shared" si="6"/>
        <v>2805</v>
      </c>
      <c r="DL4" s="66">
        <f t="shared" si="6"/>
        <v>2815</v>
      </c>
      <c r="DM4" s="66">
        <f t="shared" si="6"/>
        <v>2825</v>
      </c>
      <c r="DN4" s="66">
        <f t="shared" si="6"/>
        <v>2835</v>
      </c>
      <c r="DO4" s="66">
        <f t="shared" si="6"/>
        <v>2845</v>
      </c>
      <c r="DP4" s="66">
        <f t="shared" si="6"/>
        <v>2855</v>
      </c>
      <c r="DQ4" s="66">
        <f t="shared" si="6"/>
        <v>2865</v>
      </c>
      <c r="DR4" s="66">
        <f t="shared" si="6"/>
        <v>2875</v>
      </c>
      <c r="DS4" s="66">
        <f t="shared" si="6"/>
        <v>2885</v>
      </c>
      <c r="DT4" s="66">
        <f t="shared" si="6"/>
        <v>2895</v>
      </c>
      <c r="DU4" s="66">
        <f t="shared" si="6"/>
        <v>2905</v>
      </c>
      <c r="DV4" s="66">
        <f t="shared" si="6"/>
        <v>2915</v>
      </c>
      <c r="DW4" s="66">
        <f t="shared" si="6"/>
        <v>2925</v>
      </c>
      <c r="DX4" s="66">
        <f t="shared" si="6"/>
        <v>2935</v>
      </c>
    </row>
    <row r="5" spans="1:128" ht="15" x14ac:dyDescent="0.2">
      <c r="A5" s="67" t="s">
        <v>76</v>
      </c>
    </row>
    <row r="6" spans="1:128" s="60" customFormat="1" ht="13.5" customHeight="1" x14ac:dyDescent="0.2">
      <c r="A6" s="68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29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0" customFormat="1" ht="13.5" customHeight="1" x14ac:dyDescent="0.2">
      <c r="A7" s="64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29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0" customFormat="1" ht="15" x14ac:dyDescent="0.2">
      <c r="A8" s="68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29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0" customFormat="1" ht="15" x14ac:dyDescent="0.2">
      <c r="A9" s="64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29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0" customFormat="1" ht="30" x14ac:dyDescent="0.2">
      <c r="A10" s="64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29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0" customFormat="1" ht="15" x14ac:dyDescent="0.2">
      <c r="A11" s="64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29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0" customFormat="1" ht="15" x14ac:dyDescent="0.2">
      <c r="A12" s="64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29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0" customFormat="1" ht="15" x14ac:dyDescent="0.2">
      <c r="A13" s="64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29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0" customFormat="1" ht="15" x14ac:dyDescent="0.2">
      <c r="A14" s="64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29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0" customFormat="1" ht="15" x14ac:dyDescent="0.2">
      <c r="A15" s="64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29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0" customFormat="1" ht="30" x14ac:dyDescent="0.2">
      <c r="A16" s="64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29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0" customFormat="1" ht="15" x14ac:dyDescent="0.2">
      <c r="A17" s="64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29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0" customFormat="1" ht="15" x14ac:dyDescent="0.2">
      <c r="A18" s="64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29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0" customFormat="1" ht="15" x14ac:dyDescent="0.2">
      <c r="A19" s="64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29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0" customFormat="1" ht="15" x14ac:dyDescent="0.2">
      <c r="A20" s="68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29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0" customFormat="1" ht="15" x14ac:dyDescent="0.2">
      <c r="A21" s="69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29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0" customFormat="1" ht="15" x14ac:dyDescent="0.2">
      <c r="A22" s="69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29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0" customFormat="1" ht="15" x14ac:dyDescent="0.2">
      <c r="A23" s="69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29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0" customFormat="1" ht="15" x14ac:dyDescent="0.2">
      <c r="A24" s="64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29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0" customFormat="1" ht="15" x14ac:dyDescent="0.2">
      <c r="A25" s="64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29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0" customFormat="1" ht="15" x14ac:dyDescent="0.2">
      <c r="A26" s="64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29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0" customFormat="1" ht="15" x14ac:dyDescent="0.2">
      <c r="A27" s="64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29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0" customFormat="1" ht="15" x14ac:dyDescent="0.2">
      <c r="A28" s="64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29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0" customFormat="1" ht="15" x14ac:dyDescent="0.2">
      <c r="A29" s="64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29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0" customFormat="1" ht="15" x14ac:dyDescent="0.2">
      <c r="A30" s="64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29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0" customFormat="1" ht="14" x14ac:dyDescent="0.2">
      <c r="A31" s="64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29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6" x14ac:dyDescent="0.2">
      <c r="A32" s="71" t="s">
        <v>86</v>
      </c>
    </row>
    <row r="33" spans="1:61" ht="16" x14ac:dyDescent="0.2">
      <c r="A33" s="30" t="s">
        <v>44</v>
      </c>
      <c r="B33" s="72"/>
    </row>
    <row r="34" spans="1:61" s="23" customFormat="1" ht="18" customHeight="1" x14ac:dyDescent="0.2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8221.7031964723737</v>
      </c>
      <c r="AJ34" s="29">
        <f>SUM(US:OthAsia!AJ56)</f>
        <v>8221.7031964723737</v>
      </c>
      <c r="AK34" s="29">
        <f>SUM(US:OthAsia!AK56)</f>
        <v>8221.7031964723737</v>
      </c>
      <c r="AL34" s="29">
        <f>SUM(US:OthAsia!AL56)</f>
        <v>8221.7031964723737</v>
      </c>
      <c r="AM34" s="29">
        <f>SUM(US:OthAsia!AM56)</f>
        <v>8221.7031964723737</v>
      </c>
      <c r="AN34" s="29">
        <f>SUM(US:OthAsia!AN56)</f>
        <v>8221.7031964723737</v>
      </c>
      <c r="AO34" s="29">
        <f>SUM(US:OthAsia!AO56)</f>
        <v>8221.7031964723737</v>
      </c>
      <c r="AP34" s="29">
        <f>SUM(US:OthAsia!AP56)</f>
        <v>8221.7031964723737</v>
      </c>
      <c r="AQ34" s="29">
        <f>SUM(US:OthAsia!AQ56)</f>
        <v>8221.7031964723737</v>
      </c>
      <c r="AR34" s="29">
        <f>SUM(US:OthAsia!AR56)</f>
        <v>8221.7031964723737</v>
      </c>
      <c r="AS34" s="29">
        <f>SUM(US:OthAsia!AS56)</f>
        <v>8221.7031964723737</v>
      </c>
      <c r="AT34" s="29">
        <f>SUM(US:OthAsia!AT56)</f>
        <v>8221.7031964723737</v>
      </c>
      <c r="AU34" s="29">
        <f>SUM(US:OthAsia!AU56)</f>
        <v>8221.7031964723737</v>
      </c>
      <c r="AV34" s="29">
        <f>SUM(US:OthAsia!AV56)</f>
        <v>8221.7031964723737</v>
      </c>
      <c r="AW34" s="29">
        <f>SUM(US:OthAsia!AW56)</f>
        <v>8221.7031964723737</v>
      </c>
      <c r="AX34" s="29">
        <f>SUM(US:OthAsia!AX56)</f>
        <v>8221.7031964723737</v>
      </c>
      <c r="AY34" s="29">
        <f>SUM(US:OthAsia!AY56)</f>
        <v>8221.7031964723737</v>
      </c>
      <c r="AZ34" s="29">
        <f>SUM(US:OthAsia!AZ56)</f>
        <v>8221.7031964723737</v>
      </c>
      <c r="BA34" s="29">
        <f>SUM(US:OthAsia!BA56)</f>
        <v>8221.7031964723737</v>
      </c>
      <c r="BB34" s="29">
        <f>SUM(US:OthAsia!BB56)</f>
        <v>8221.7031964723737</v>
      </c>
      <c r="BC34" s="29">
        <f>SUM(US:OthAsia!BC56)</f>
        <v>8221.7031964723737</v>
      </c>
      <c r="BD34" s="29">
        <f>SUM(US:OthAsia!BD56)</f>
        <v>8221.7031964723737</v>
      </c>
      <c r="BE34" s="29">
        <f>SUM(US:OthAsia!BE56)</f>
        <v>8221.7031964723737</v>
      </c>
      <c r="BF34" s="29">
        <f>SUM(US:OthAsia!BF56)</f>
        <v>8221.7031964723737</v>
      </c>
      <c r="BG34" s="29">
        <f>SUM(US:OthAsia!BG56)</f>
        <v>8221.7031964723737</v>
      </c>
      <c r="BH34" s="29">
        <f>SUM(US:OthAsia!BH56)</f>
        <v>8221.7031964723737</v>
      </c>
      <c r="BI34" s="29">
        <f>SUM(US:OthAsia!BI56)</f>
        <v>8221.7031964723737</v>
      </c>
    </row>
    <row r="35" spans="1:61" s="23" customFormat="1" ht="18" customHeight="1" x14ac:dyDescent="0.2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 x14ac:dyDescent="0.2">
      <c r="A36" s="43" t="s">
        <v>9</v>
      </c>
      <c r="B36" s="73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-5.6483441302374246E-3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 x14ac:dyDescent="0.2">
      <c r="A37" s="21" t="s">
        <v>129</v>
      </c>
      <c r="B37" s="29">
        <f>SUM(US:OthAsia!B59)</f>
        <v>8221.7031964723737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5" x14ac:dyDescent="0.2">
      <c r="A38" s="68" t="s">
        <v>123</v>
      </c>
      <c r="B38" s="46">
        <f t="shared" ref="B38:AG38" si="11">1-B43/B39-B41</f>
        <v>1.1776768495531664E-3</v>
      </c>
      <c r="C38" s="46">
        <f t="shared" si="11"/>
        <v>1.6014922298415168E-3</v>
      </c>
      <c r="D38" s="46">
        <f t="shared" si="11"/>
        <v>1.3042293477530942E-3</v>
      </c>
      <c r="E38" s="46">
        <f t="shared" si="11"/>
        <v>1.4611513248751207E-3</v>
      </c>
      <c r="F38" s="46">
        <f t="shared" si="11"/>
        <v>1.7870757562488127E-3</v>
      </c>
      <c r="G38" s="46">
        <f t="shared" si="11"/>
        <v>2.2834652178861381E-3</v>
      </c>
      <c r="H38" s="46">
        <f t="shared" si="11"/>
        <v>2.1763876401725835E-3</v>
      </c>
      <c r="I38" s="46">
        <f t="shared" si="11"/>
        <v>2.6869826015345488E-3</v>
      </c>
      <c r="J38" s="46">
        <f t="shared" si="11"/>
        <v>3.3107945995040078E-3</v>
      </c>
      <c r="K38" s="46">
        <f t="shared" si="11"/>
        <v>2.8777184374980669E-3</v>
      </c>
      <c r="L38" s="46">
        <f t="shared" si="11"/>
        <v>3.0927364034383231E-3</v>
      </c>
      <c r="M38" s="46">
        <f t="shared" si="11"/>
        <v>3.7161832236113357E-3</v>
      </c>
      <c r="N38" s="46">
        <f t="shared" si="11"/>
        <v>4.2514914650829683E-3</v>
      </c>
      <c r="O38" s="46">
        <f t="shared" si="11"/>
        <v>4.444739866150127E-3</v>
      </c>
      <c r="P38" s="46">
        <f t="shared" si="11"/>
        <v>4.3807667645889836E-3</v>
      </c>
      <c r="Q38" s="46">
        <f t="shared" si="11"/>
        <v>5.1026763434420808E-3</v>
      </c>
      <c r="R38" s="46">
        <f t="shared" si="11"/>
        <v>5.3039188507252311E-3</v>
      </c>
      <c r="S38" s="46">
        <f t="shared" si="11"/>
        <v>5.7307658345472356E-3</v>
      </c>
      <c r="T38" s="46">
        <f t="shared" si="11"/>
        <v>5.6935298155950109E-3</v>
      </c>
      <c r="U38" s="46">
        <f t="shared" si="11"/>
        <v>6.4984845141579095E-3</v>
      </c>
      <c r="V38" s="46">
        <f t="shared" si="11"/>
        <v>7.1039689732047551E-3</v>
      </c>
      <c r="W38" s="46">
        <f t="shared" si="11"/>
        <v>7.1316265386035527E-3</v>
      </c>
      <c r="X38" s="46">
        <f t="shared" si="11"/>
        <v>7.6629775077813322E-3</v>
      </c>
      <c r="Y38" s="46">
        <f t="shared" si="11"/>
        <v>8.1780626519766253E-3</v>
      </c>
      <c r="Z38" s="46">
        <f t="shared" si="11"/>
        <v>8.8419315766259388E-3</v>
      </c>
      <c r="AA38" s="46">
        <f t="shared" si="11"/>
        <v>9.9680663617569554E-3</v>
      </c>
      <c r="AB38" s="46">
        <f t="shared" si="11"/>
        <v>1.0985822941882217E-2</v>
      </c>
      <c r="AC38" s="46">
        <f t="shared" si="11"/>
        <v>1.1102522229975098E-2</v>
      </c>
      <c r="AD38" s="46">
        <f t="shared" si="11"/>
        <v>1.1322652355078122E-2</v>
      </c>
      <c r="AE38" s="46">
        <f t="shared" si="11"/>
        <v>1.2435036748092765E-2</v>
      </c>
      <c r="AF38" s="46">
        <f t="shared" si="11"/>
        <v>1.3265178203680672E-2</v>
      </c>
      <c r="AG38" s="46">
        <f t="shared" si="11"/>
        <v>1.2970104371914037E-2</v>
      </c>
      <c r="AH38" s="46">
        <f t="shared" ref="AH38:BI38" si="12">1-AH43/AH39-AH41</f>
        <v>1.3619074220563632E-2</v>
      </c>
      <c r="AI38" s="46">
        <f t="shared" si="12"/>
        <v>1.6380730771309193E-2</v>
      </c>
      <c r="AJ38" s="46">
        <f t="shared" si="12"/>
        <v>1.7122607024390835E-2</v>
      </c>
      <c r="AK38" s="46">
        <f t="shared" si="12"/>
        <v>1.9155252883984675E-2</v>
      </c>
      <c r="AL38" s="46">
        <f t="shared" si="12"/>
        <v>2.0085867733116713E-2</v>
      </c>
      <c r="AM38" s="46">
        <f t="shared" si="12"/>
        <v>2.0623590995308416E-2</v>
      </c>
      <c r="AN38" s="46">
        <f t="shared" si="12"/>
        <v>2.0998130715485286E-2</v>
      </c>
      <c r="AO38" s="46">
        <f t="shared" si="12"/>
        <v>2.1298211987526572E-2</v>
      </c>
      <c r="AP38" s="46">
        <f t="shared" si="12"/>
        <v>2.1563432862595766E-2</v>
      </c>
      <c r="AQ38" s="46">
        <f t="shared" si="12"/>
        <v>2.181293698753406E-2</v>
      </c>
      <c r="AR38" s="46">
        <f t="shared" si="12"/>
        <v>2.2056399188445153E-2</v>
      </c>
      <c r="AS38" s="46">
        <f t="shared" si="12"/>
        <v>2.2298846310988663E-2</v>
      </c>
      <c r="AT38" s="46">
        <f t="shared" si="12"/>
        <v>2.2542949042783866E-2</v>
      </c>
      <c r="AU38" s="46">
        <f t="shared" si="12"/>
        <v>2.2790161626101368E-2</v>
      </c>
      <c r="AV38" s="46">
        <f t="shared" si="12"/>
        <v>2.3041302840668521E-2</v>
      </c>
      <c r="AW38" s="46">
        <f t="shared" si="12"/>
        <v>2.3296856233799401E-2</v>
      </c>
      <c r="AX38" s="46">
        <f t="shared" si="12"/>
        <v>2.3557126499807901E-2</v>
      </c>
      <c r="AY38" s="46">
        <f t="shared" si="12"/>
        <v>2.3822321373763722E-2</v>
      </c>
      <c r="AZ38" s="46">
        <f t="shared" si="12"/>
        <v>2.4092594735555251E-2</v>
      </c>
      <c r="BA38" s="46">
        <f t="shared" si="12"/>
        <v>2.4368069446599527E-2</v>
      </c>
      <c r="BB38" s="46">
        <f t="shared" si="12"/>
        <v>2.4648849571984321E-2</v>
      </c>
      <c r="BC38" s="46">
        <f t="shared" si="12"/>
        <v>2.4935027029815982E-2</v>
      </c>
      <c r="BD38" s="46">
        <f t="shared" si="12"/>
        <v>2.522668530438954E-2</v>
      </c>
      <c r="BE38" s="46">
        <f t="shared" si="12"/>
        <v>2.5523901603197063E-2</v>
      </c>
      <c r="BF38" s="46">
        <f t="shared" si="12"/>
        <v>2.5826560489093264E-2</v>
      </c>
      <c r="BG38" s="46">
        <f t="shared" si="12"/>
        <v>2.6135218644994906E-2</v>
      </c>
      <c r="BH38" s="46">
        <f t="shared" si="12"/>
        <v>2.6449689096296636E-2</v>
      </c>
      <c r="BI38" s="46">
        <f t="shared" si="12"/>
        <v>2.6769954958968945E-2</v>
      </c>
    </row>
    <row r="39" spans="1:61" ht="15" x14ac:dyDescent="0.2">
      <c r="A39" s="23" t="s">
        <v>124</v>
      </c>
      <c r="B39" s="29">
        <f>SUM(US:OthAsia!B61)</f>
        <v>49.739806155947356</v>
      </c>
      <c r="C39" s="133">
        <f>SUM(US:OthAsia!C61)</f>
        <v>50.543060012464089</v>
      </c>
      <c r="D39" s="133">
        <f>SUM(US:OthAsia!D61)</f>
        <v>51.460061973287083</v>
      </c>
      <c r="E39" s="133">
        <f>SUM(US:OthAsia!E61)</f>
        <v>52.324937791177277</v>
      </c>
      <c r="F39" s="133">
        <f>SUM(US:OthAsia!F61)</f>
        <v>53.796732699010782</v>
      </c>
      <c r="G39" s="133">
        <f>SUM(US:OthAsia!G61)</f>
        <v>55.892575004688744</v>
      </c>
      <c r="H39" s="133">
        <f>SUM(US:OthAsia!H61)</f>
        <v>57.989199505566567</v>
      </c>
      <c r="I39" s="133">
        <f>SUM(US:OthAsia!I61)</f>
        <v>60.26039398194051</v>
      </c>
      <c r="J39" s="133">
        <f>SUM(US:OthAsia!J61)</f>
        <v>61.76486645331579</v>
      </c>
      <c r="K39" s="133">
        <f>SUM(US:OthAsia!K61)</f>
        <v>64.05872231494358</v>
      </c>
      <c r="L39" s="133">
        <f>SUM(US:OthAsia!L61)</f>
        <v>67.162608474336764</v>
      </c>
      <c r="M39" s="44">
        <f>SUM(US:OthAsia!M61)</f>
        <v>68.742730888853217</v>
      </c>
      <c r="N39" s="133">
        <f>SUM(US:OthAsia!N61)</f>
        <v>70.601143725739433</v>
      </c>
      <c r="O39" s="133">
        <f>SUM(US:OthAsia!O61)</f>
        <v>73.203662008914733</v>
      </c>
      <c r="P39" s="133">
        <f>SUM(US:OthAsia!P61)</f>
        <v>76.893700565525791</v>
      </c>
      <c r="Q39" s="133">
        <f>SUM(US:OthAsia!Q61)</f>
        <v>80.375081798509356</v>
      </c>
      <c r="R39" s="133">
        <f>SUM(US:OthAsia!R61)</f>
        <v>84.478807224137682</v>
      </c>
      <c r="S39" s="133">
        <f>SUM(US:OthAsia!S61)</f>
        <v>88.788718551895727</v>
      </c>
      <c r="T39" s="133">
        <f>SUM(US:OthAsia!T61)</f>
        <v>91.212269062226753</v>
      </c>
      <c r="U39" s="133">
        <f>SUM(US:OthAsia!U61)</f>
        <v>90.538919305179064</v>
      </c>
      <c r="V39" s="133">
        <f>SUM(US:OthAsia!V61)</f>
        <v>95.087988220119172</v>
      </c>
      <c r="W39" s="133">
        <f>SUM(US:OthAsia!W61)</f>
        <v>98.756569083110108</v>
      </c>
      <c r="X39" s="133">
        <f>SUM(US:OthAsia!X61)</f>
        <v>101.90195032782465</v>
      </c>
      <c r="Y39" s="133">
        <f>SUM(US:OthAsia!Y61)</f>
        <v>105.20301979080115</v>
      </c>
      <c r="Z39" s="133">
        <f>SUM(US:OthAsia!Z61)</f>
        <v>108.7622360187918</v>
      </c>
      <c r="AA39" s="133">
        <f>SUM(US:OthAsia!AA61)</f>
        <v>112.41314344475663</v>
      </c>
      <c r="AB39" s="133">
        <f>SUM(US:OthAsia!AB61)</f>
        <v>116.07163353268808</v>
      </c>
      <c r="AC39" s="133">
        <f>SUM(US:OthAsia!AC61)</f>
        <v>120.46145839128911</v>
      </c>
      <c r="AD39" s="133">
        <f>SUM(US:OthAsia!AD61)</f>
        <v>124.83963539965529</v>
      </c>
      <c r="AE39" s="133">
        <f>SUM(US:OthAsia!AE61)</f>
        <v>128.36047346854434</v>
      </c>
      <c r="AF39" s="133">
        <f>SUM(US:OthAsia!AF61)</f>
        <v>124.48298186445096</v>
      </c>
      <c r="AG39" s="133">
        <f>SUM(US:OthAsia!AG61)</f>
        <v>132.36939616991643</v>
      </c>
      <c r="AH39" s="133">
        <f>SUM(US:OthAsia!AH61)</f>
        <v>136.682171172685</v>
      </c>
      <c r="AI39" s="133">
        <f>SUM(US:OthAsia!AI61)</f>
        <v>936.3978725830525</v>
      </c>
      <c r="AJ39" s="133">
        <f>SUM(US:OthAsia!AJ61)</f>
        <v>1687.3122005907987</v>
      </c>
      <c r="AK39" s="133">
        <f>SUM(US:OthAsia!AK61)</f>
        <v>2158.8232931428229</v>
      </c>
      <c r="AL39" s="133">
        <f>SUM(US:OthAsia!AL61)</f>
        <v>2461.899105173341</v>
      </c>
      <c r="AM39" s="133">
        <f>SUM(US:OthAsia!AM61)</f>
        <v>2677.743051386255</v>
      </c>
      <c r="AN39" s="133">
        <f>SUM(US:OthAsia!AN61)</f>
        <v>2848.3209341352067</v>
      </c>
      <c r="AO39" s="133">
        <f>SUM(US:OthAsia!AO61)</f>
        <v>2995.6316468841096</v>
      </c>
      <c r="AP39" s="133">
        <f>SUM(US:OthAsia!AP61)</f>
        <v>3131.5273122557837</v>
      </c>
      <c r="AQ39" s="133">
        <f>SUM(US:OthAsia!AQ61)</f>
        <v>3262.525656823314</v>
      </c>
      <c r="AR39" s="133">
        <f>SUM(US:OthAsia!AR61)</f>
        <v>3392.2740844113951</v>
      </c>
      <c r="AS39" s="133">
        <f>SUM(US:OthAsia!AS61)</f>
        <v>3522.8552738398503</v>
      </c>
      <c r="AT39" s="133">
        <f>SUM(US:OthAsia!AT61)</f>
        <v>3655.4933376956701</v>
      </c>
      <c r="AU39" s="133">
        <f>SUM(US:OthAsia!AU61)</f>
        <v>3790.9401614343569</v>
      </c>
      <c r="AV39" s="133">
        <f>SUM(US:OthAsia!AV61)</f>
        <v>3929.6880791186359</v>
      </c>
      <c r="AW39" s="133">
        <f>SUM(US:OthAsia!AW61)</f>
        <v>4072.0873432477747</v>
      </c>
      <c r="AX39" s="133">
        <f>SUM(US:OthAsia!AX61)</f>
        <v>4218.411140576467</v>
      </c>
      <c r="AY39" s="133">
        <f>SUM(US:OthAsia!AY61)</f>
        <v>4368.8916378816957</v>
      </c>
      <c r="AZ39" s="133">
        <f>SUM(US:OthAsia!AZ61)</f>
        <v>4523.7400112571304</v>
      </c>
      <c r="BA39" s="133">
        <f>SUM(US:OthAsia!BA61)</f>
        <v>4683.1576184897976</v>
      </c>
      <c r="BB39" s="133">
        <f>SUM(US:OthAsia!BB61)</f>
        <v>4847.3422751125127</v>
      </c>
      <c r="BC39" s="133">
        <f>SUM(US:OthAsia!BC61)</f>
        <v>5016.4918256313686</v>
      </c>
      <c r="BD39" s="133">
        <f>SUM(US:OthAsia!BD61)</f>
        <v>5190.8062224150062</v>
      </c>
      <c r="BE39" s="133">
        <f>SUM(US:OthAsia!BE61)</f>
        <v>5370.4887828623023</v>
      </c>
      <c r="BF39" s="133">
        <f>SUM(US:OthAsia!BF61)</f>
        <v>5556.0427770104579</v>
      </c>
      <c r="BG39" s="133">
        <f>SUM(US:OthAsia!BG61)</f>
        <v>5747.3994929018645</v>
      </c>
      <c r="BH39" s="133">
        <f>SUM(US:OthAsia!BH61)</f>
        <v>5944.694276837763</v>
      </c>
      <c r="BI39" s="133">
        <f>SUM(US:OthAsia!BI61)</f>
        <v>6148.1422648870539</v>
      </c>
    </row>
    <row r="40" spans="1:61" s="141" customFormat="1" ht="15" x14ac:dyDescent="0.2">
      <c r="A40" s="59" t="s">
        <v>161</v>
      </c>
      <c r="B40" s="46">
        <f t="shared" ref="B40:AG40" si="13">+(B39-B43)/B39</f>
        <v>1.1776768495531866E-3</v>
      </c>
      <c r="C40" s="46">
        <f t="shared" si="13"/>
        <v>1.6014922298415619E-3</v>
      </c>
      <c r="D40" s="46">
        <f t="shared" si="13"/>
        <v>1.3042293477531269E-3</v>
      </c>
      <c r="E40" s="46">
        <f t="shared" si="13"/>
        <v>1.4611513248751484E-3</v>
      </c>
      <c r="F40" s="46">
        <f t="shared" si="13"/>
        <v>1.7870757562488166E-3</v>
      </c>
      <c r="G40" s="46">
        <f t="shared" si="13"/>
        <v>2.2834652178861559E-3</v>
      </c>
      <c r="H40" s="46">
        <f t="shared" si="13"/>
        <v>2.1763876401726116E-3</v>
      </c>
      <c r="I40" s="46">
        <f t="shared" si="13"/>
        <v>2.6869826015345037E-3</v>
      </c>
      <c r="J40" s="46">
        <f t="shared" si="13"/>
        <v>3.3107945995039922E-3</v>
      </c>
      <c r="K40" s="46">
        <f t="shared" si="13"/>
        <v>2.8777184374980994E-3</v>
      </c>
      <c r="L40" s="46">
        <f t="shared" si="13"/>
        <v>3.092736403438324E-3</v>
      </c>
      <c r="M40" s="46">
        <f t="shared" si="13"/>
        <v>3.7161832236113283E-3</v>
      </c>
      <c r="N40" s="46">
        <f t="shared" si="13"/>
        <v>4.2514914650829874E-3</v>
      </c>
      <c r="O40" s="46">
        <f t="shared" si="13"/>
        <v>4.4447398661500784E-3</v>
      </c>
      <c r="P40" s="46">
        <f t="shared" si="13"/>
        <v>4.3807667645890287E-3</v>
      </c>
      <c r="Q40" s="46">
        <f t="shared" si="13"/>
        <v>5.1026763434421103E-3</v>
      </c>
      <c r="R40" s="46">
        <f t="shared" si="13"/>
        <v>5.3039188507252076E-3</v>
      </c>
      <c r="S40" s="46">
        <f t="shared" si="13"/>
        <v>5.7307658345472079E-3</v>
      </c>
      <c r="T40" s="46">
        <f t="shared" si="13"/>
        <v>5.6935298155949693E-3</v>
      </c>
      <c r="U40" s="46">
        <f t="shared" si="13"/>
        <v>6.4984845141579459E-3</v>
      </c>
      <c r="V40" s="46">
        <f t="shared" si="13"/>
        <v>7.1039689732047507E-3</v>
      </c>
      <c r="W40" s="46">
        <f t="shared" si="13"/>
        <v>7.1316265386035986E-3</v>
      </c>
      <c r="X40" s="46">
        <f t="shared" si="13"/>
        <v>7.6629775077813773E-3</v>
      </c>
      <c r="Y40" s="46">
        <f t="shared" si="13"/>
        <v>8.1780626519766687E-3</v>
      </c>
      <c r="Z40" s="46">
        <f t="shared" si="13"/>
        <v>8.8419315766259925E-3</v>
      </c>
      <c r="AA40" s="46">
        <f t="shared" si="13"/>
        <v>9.9680663617569588E-3</v>
      </c>
      <c r="AB40" s="46">
        <f t="shared" si="13"/>
        <v>1.098582294188224E-2</v>
      </c>
      <c r="AC40" s="46">
        <f t="shared" si="13"/>
        <v>1.1102522229975122E-2</v>
      </c>
      <c r="AD40" s="46">
        <f t="shared" si="13"/>
        <v>1.1322652355078174E-2</v>
      </c>
      <c r="AE40" s="46">
        <f t="shared" si="13"/>
        <v>1.2435036748092763E-2</v>
      </c>
      <c r="AF40" s="46">
        <f t="shared" si="13"/>
        <v>1.3265178203680622E-2</v>
      </c>
      <c r="AG40" s="46">
        <f t="shared" si="13"/>
        <v>1.2970104371913999E-2</v>
      </c>
      <c r="AH40" s="46">
        <f t="shared" ref="AH40:BI40" si="14">+(AH39-AH43)/AH39</f>
        <v>1.3619074220563644E-2</v>
      </c>
      <c r="AI40" s="46">
        <f t="shared" si="14"/>
        <v>1.6380730771309193E-2</v>
      </c>
      <c r="AJ40" s="46">
        <f t="shared" si="14"/>
        <v>1.7122607024390807E-2</v>
      </c>
      <c r="AK40" s="46">
        <f t="shared" si="14"/>
        <v>1.9155252883984661E-2</v>
      </c>
      <c r="AL40" s="46">
        <f t="shared" si="14"/>
        <v>2.0085867733116759E-2</v>
      </c>
      <c r="AM40" s="46">
        <f t="shared" si="14"/>
        <v>2.0623590995308434E-2</v>
      </c>
      <c r="AN40" s="46">
        <f t="shared" si="14"/>
        <v>2.0998130715485262E-2</v>
      </c>
      <c r="AO40" s="46">
        <f t="shared" si="14"/>
        <v>2.1298211987526558E-2</v>
      </c>
      <c r="AP40" s="46">
        <f t="shared" si="14"/>
        <v>2.1563432862595745E-2</v>
      </c>
      <c r="AQ40" s="46">
        <f t="shared" si="14"/>
        <v>2.1812936987534042E-2</v>
      </c>
      <c r="AR40" s="46">
        <f t="shared" si="14"/>
        <v>2.2056399188445156E-2</v>
      </c>
      <c r="AS40" s="46">
        <f t="shared" si="14"/>
        <v>2.2298846310988704E-2</v>
      </c>
      <c r="AT40" s="46">
        <f t="shared" si="14"/>
        <v>2.2542949042783922E-2</v>
      </c>
      <c r="AU40" s="46">
        <f t="shared" si="14"/>
        <v>2.2790161626101348E-2</v>
      </c>
      <c r="AV40" s="46">
        <f t="shared" si="14"/>
        <v>2.3041302840668496E-2</v>
      </c>
      <c r="AW40" s="46">
        <f t="shared" si="14"/>
        <v>2.3296856233799412E-2</v>
      </c>
      <c r="AX40" s="46">
        <f t="shared" si="14"/>
        <v>2.3557126499807884E-2</v>
      </c>
      <c r="AY40" s="46">
        <f t="shared" si="14"/>
        <v>2.3822321373763694E-2</v>
      </c>
      <c r="AZ40" s="46">
        <f t="shared" si="14"/>
        <v>2.4092594735555199E-2</v>
      </c>
      <c r="BA40" s="46">
        <f t="shared" si="14"/>
        <v>2.4368069446599493E-2</v>
      </c>
      <c r="BB40" s="46">
        <f t="shared" si="14"/>
        <v>2.4648849571984315E-2</v>
      </c>
      <c r="BC40" s="46">
        <f t="shared" si="14"/>
        <v>2.493502702981603E-2</v>
      </c>
      <c r="BD40" s="46">
        <f t="shared" si="14"/>
        <v>2.5226685304389564E-2</v>
      </c>
      <c r="BE40" s="46">
        <f t="shared" si="14"/>
        <v>2.552390160319707E-2</v>
      </c>
      <c r="BF40" s="46">
        <f t="shared" si="14"/>
        <v>2.5826560489093223E-2</v>
      </c>
      <c r="BG40" s="46">
        <f t="shared" si="14"/>
        <v>2.6135218644994945E-2</v>
      </c>
      <c r="BH40" s="46">
        <f t="shared" si="14"/>
        <v>2.6449689096296584E-2</v>
      </c>
      <c r="BI40" s="46">
        <f t="shared" si="14"/>
        <v>2.676995495896899E-2</v>
      </c>
    </row>
    <row r="41" spans="1:61" s="145" customFormat="1" ht="15" x14ac:dyDescent="0.2">
      <c r="A41" s="59"/>
      <c r="B41" s="190"/>
      <c r="C41" s="190"/>
      <c r="D41" s="190"/>
      <c r="E41" s="190"/>
      <c r="F41" s="190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  <c r="AE41" s="190"/>
      <c r="AF41" s="190"/>
      <c r="AG41" s="190"/>
      <c r="AH41" s="190"/>
      <c r="AI41" s="190"/>
      <c r="AJ41" s="190"/>
      <c r="AK41" s="190"/>
      <c r="AL41" s="190"/>
      <c r="AM41" s="190"/>
      <c r="AN41" s="190"/>
      <c r="AO41" s="190"/>
      <c r="AP41" s="190"/>
      <c r="AQ41" s="190"/>
      <c r="AR41" s="190"/>
      <c r="AS41" s="190"/>
      <c r="AT41" s="190"/>
      <c r="AU41" s="190"/>
      <c r="AV41" s="190"/>
      <c r="AW41" s="190"/>
      <c r="AX41" s="190"/>
      <c r="AY41" s="190"/>
      <c r="AZ41" s="190"/>
      <c r="BA41" s="190"/>
      <c r="BB41" s="190"/>
      <c r="BC41" s="190"/>
      <c r="BD41" s="190"/>
      <c r="BE41" s="190"/>
      <c r="BF41" s="190"/>
      <c r="BG41" s="190"/>
      <c r="BH41" s="190"/>
      <c r="BI41" s="190"/>
    </row>
    <row r="42" spans="1:61" s="137" customFormat="1" ht="15" x14ac:dyDescent="0.2">
      <c r="A42" s="59" t="s">
        <v>158</v>
      </c>
      <c r="B42" s="190">
        <f t="shared" ref="B42:AG42" si="15">+B39-B43</f>
        <v>5.8577418211122279E-2</v>
      </c>
      <c r="C42" s="190">
        <f t="shared" si="15"/>
        <v>8.0944317882376993E-2</v>
      </c>
      <c r="D42" s="190">
        <f t="shared" si="15"/>
        <v>6.7115723062755706E-2</v>
      </c>
      <c r="E42" s="190">
        <f t="shared" si="15"/>
        <v>7.64546521775884E-2</v>
      </c>
      <c r="F42" s="190">
        <f t="shared" si="15"/>
        <v>9.6138836771800129E-2</v>
      </c>
      <c r="G42" s="190">
        <f t="shared" si="15"/>
        <v>0.12762875096129989</v>
      </c>
      <c r="H42" s="190">
        <f t="shared" si="15"/>
        <v>0.12620697706741879</v>
      </c>
      <c r="I42" s="190">
        <f t="shared" si="15"/>
        <v>0.16191863019108865</v>
      </c>
      <c r="J42" s="190">
        <f t="shared" si="15"/>
        <v>0.20449078629272321</v>
      </c>
      <c r="K42" s="190">
        <f t="shared" si="15"/>
        <v>0.18434296628828406</v>
      </c>
      <c r="L42" s="190">
        <f t="shared" si="15"/>
        <v>0.20771624417845658</v>
      </c>
      <c r="M42" s="190">
        <f t="shared" si="15"/>
        <v>0.25546058327438459</v>
      </c>
      <c r="N42" s="190">
        <f t="shared" si="15"/>
        <v>0.3001601599750785</v>
      </c>
      <c r="O42" s="190">
        <f t="shared" si="15"/>
        <v>0.32537123487919928</v>
      </c>
      <c r="P42" s="190">
        <f t="shared" si="15"/>
        <v>0.336853367843716</v>
      </c>
      <c r="Q42" s="190">
        <f t="shared" si="15"/>
        <v>0.41012802849547825</v>
      </c>
      <c r="R42" s="190">
        <f t="shared" si="15"/>
        <v>0.44806873812288472</v>
      </c>
      <c r="S42" s="190">
        <f t="shared" si="15"/>
        <v>0.50882735477043184</v>
      </c>
      <c r="T42" s="190">
        <f t="shared" si="15"/>
        <v>0.5193197734538586</v>
      </c>
      <c r="U42" s="190">
        <f t="shared" si="15"/>
        <v>0.58836576503330207</v>
      </c>
      <c r="V42" s="190">
        <f t="shared" si="15"/>
        <v>0.67550211804018545</v>
      </c>
      <c r="W42" s="190">
        <f t="shared" si="15"/>
        <v>0.70429496893454768</v>
      </c>
      <c r="X42" s="190">
        <f t="shared" si="15"/>
        <v>0.78087235336117544</v>
      </c>
      <c r="Y42" s="190">
        <f t="shared" si="15"/>
        <v>0.86035688702631319</v>
      </c>
      <c r="Z42" s="190">
        <f t="shared" si="15"/>
        <v>0.96166824899900405</v>
      </c>
      <c r="AA42" s="190">
        <f t="shared" si="15"/>
        <v>1.1205416737910383</v>
      </c>
      <c r="AB42" s="190">
        <f t="shared" si="15"/>
        <v>1.2751424145651526</v>
      </c>
      <c r="AC42" s="190">
        <f t="shared" si="15"/>
        <v>1.3374260196445107</v>
      </c>
      <c r="AD42" s="190">
        <f t="shared" si="15"/>
        <v>1.4135157917650076</v>
      </c>
      <c r="AE42" s="190">
        <f t="shared" si="15"/>
        <v>1.596167204583935</v>
      </c>
      <c r="AF42" s="190">
        <f t="shared" si="15"/>
        <v>1.6512889377574851</v>
      </c>
      <c r="AG42" s="190">
        <f t="shared" si="15"/>
        <v>1.7168448839710493</v>
      </c>
      <c r="AH42" s="190">
        <f t="shared" ref="AH42:BI42" si="16">+AH39-AH43</f>
        <v>1.8614846338285815</v>
      </c>
      <c r="AI42" s="190">
        <f t="shared" si="16"/>
        <v>15.338881445609672</v>
      </c>
      <c r="AJ42" s="190">
        <f t="shared" si="16"/>
        <v>28.891183738176323</v>
      </c>
      <c r="AK42" s="190">
        <f t="shared" si="16"/>
        <v>41.35280611198732</v>
      </c>
      <c r="AL42" s="190">
        <f t="shared" si="16"/>
        <v>49.449379798790233</v>
      </c>
      <c r="AM42" s="190">
        <f t="shared" si="16"/>
        <v>55.224677482319294</v>
      </c>
      <c r="AN42" s="190">
        <f t="shared" si="16"/>
        <v>59.809415294624159</v>
      </c>
      <c r="AO42" s="190">
        <f t="shared" si="16"/>
        <v>63.80159785188107</v>
      </c>
      <c r="AP42" s="190">
        <f t="shared" si="16"/>
        <v>67.526478955212497</v>
      </c>
      <c r="AQ42" s="190">
        <f t="shared" si="16"/>
        <v>71.165266572500059</v>
      </c>
      <c r="AR42" s="190">
        <f t="shared" si="16"/>
        <v>74.821351362395035</v>
      </c>
      <c r="AS42" s="190">
        <f t="shared" si="16"/>
        <v>78.555608327210848</v>
      </c>
      <c r="AT42" s="190">
        <f t="shared" si="16"/>
        <v>82.405600037909608</v>
      </c>
      <c r="AU42" s="190">
        <f t="shared" si="16"/>
        <v>86.396138993967725</v>
      </c>
      <c r="AV42" s="190">
        <f t="shared" si="16"/>
        <v>90.545133100337353</v>
      </c>
      <c r="AW42" s="190">
        <f t="shared" si="16"/>
        <v>94.86683340711761</v>
      </c>
      <c r="AX42" s="190">
        <f t="shared" si="16"/>
        <v>99.373644866758696</v>
      </c>
      <c r="AY42" s="190">
        <f t="shared" si="16"/>
        <v>104.07714064476659</v>
      </c>
      <c r="AZ42" s="190">
        <f t="shared" si="16"/>
        <v>108.98863478023395</v>
      </c>
      <c r="BA42" s="190">
        <f t="shared" si="16"/>
        <v>114.11951007673088</v>
      </c>
      <c r="BB42" s="190">
        <f t="shared" si="16"/>
        <v>119.48141056316854</v>
      </c>
      <c r="BC42" s="190">
        <f t="shared" si="16"/>
        <v>125.08635926696934</v>
      </c>
      <c r="BD42" s="190">
        <f t="shared" si="16"/>
        <v>130.94683504893055</v>
      </c>
      <c r="BE42" s="190">
        <f t="shared" si="16"/>
        <v>137.07582725485099</v>
      </c>
      <c r="BF42" s="190">
        <f t="shared" si="16"/>
        <v>143.49347486045008</v>
      </c>
      <c r="BG42" s="190">
        <f t="shared" si="16"/>
        <v>150.20954238712329</v>
      </c>
      <c r="BH42" s="190">
        <f t="shared" si="16"/>
        <v>157.2353153948925</v>
      </c>
      <c r="BI42" s="190">
        <f t="shared" si="16"/>
        <v>164.58549151236002</v>
      </c>
    </row>
    <row r="43" spans="1:61" ht="15" x14ac:dyDescent="0.2">
      <c r="A43" s="23" t="s">
        <v>21</v>
      </c>
      <c r="B43" s="29">
        <f>SUM(US:OthAsia!B65)</f>
        <v>49.681228737736234</v>
      </c>
      <c r="C43" s="133">
        <f>SUM(US:OthAsia!C65)</f>
        <v>50.462115694581712</v>
      </c>
      <c r="D43" s="133">
        <f>SUM(US:OthAsia!D65)</f>
        <v>51.392946250224327</v>
      </c>
      <c r="E43" s="133">
        <f>SUM(US:OthAsia!E65)</f>
        <v>52.248483138999688</v>
      </c>
      <c r="F43" s="133">
        <f>SUM(US:OthAsia!F65)</f>
        <v>53.700593862238982</v>
      </c>
      <c r="G43" s="133">
        <f>SUM(US:OthAsia!G65)</f>
        <v>55.764946253727445</v>
      </c>
      <c r="H43" s="133">
        <f>SUM(US:OthAsia!H65)</f>
        <v>57.862992528499149</v>
      </c>
      <c r="I43" s="133">
        <f>SUM(US:OthAsia!I65)</f>
        <v>60.098475351749421</v>
      </c>
      <c r="J43" s="133">
        <f>SUM(US:OthAsia!J65)</f>
        <v>61.560375667023067</v>
      </c>
      <c r="K43" s="133">
        <f>SUM(US:OthAsia!K65)</f>
        <v>63.874379348655296</v>
      </c>
      <c r="L43" s="133">
        <f>SUM(US:OthAsia!L65)</f>
        <v>66.954892230158308</v>
      </c>
      <c r="M43" s="44">
        <f>SUM(US:OthAsia!M65)</f>
        <v>68.487270305578832</v>
      </c>
      <c r="N43" s="133">
        <f>SUM(US:OthAsia!N65)</f>
        <v>70.300983565764355</v>
      </c>
      <c r="O43" s="133">
        <f>SUM(US:OthAsia!O65)</f>
        <v>72.878290774035534</v>
      </c>
      <c r="P43" s="133">
        <f>SUM(US:OthAsia!P65)</f>
        <v>76.556847197682075</v>
      </c>
      <c r="Q43" s="133">
        <f>SUM(US:OthAsia!Q65)</f>
        <v>79.964953770013878</v>
      </c>
      <c r="R43" s="133">
        <f>SUM(US:OthAsia!R65)</f>
        <v>84.030738486014798</v>
      </c>
      <c r="S43" s="133">
        <f>SUM(US:OthAsia!S65)</f>
        <v>88.279891197125295</v>
      </c>
      <c r="T43" s="133">
        <f>SUM(US:OthAsia!T65)</f>
        <v>90.692949288772894</v>
      </c>
      <c r="U43" s="133">
        <f>SUM(US:OthAsia!U65)</f>
        <v>89.950553540145762</v>
      </c>
      <c r="V43" s="133">
        <f>SUM(US:OthAsia!V65)</f>
        <v>94.412486102078987</v>
      </c>
      <c r="W43" s="133">
        <f>SUM(US:OthAsia!W65)</f>
        <v>98.05227411417556</v>
      </c>
      <c r="X43" s="133">
        <f>SUM(US:OthAsia!X65)</f>
        <v>101.12107797446347</v>
      </c>
      <c r="Y43" s="133">
        <f>SUM(US:OthAsia!Y65)</f>
        <v>104.34266290377484</v>
      </c>
      <c r="Z43" s="133">
        <f>SUM(US:OthAsia!Z65)</f>
        <v>107.80056776979279</v>
      </c>
      <c r="AA43" s="133">
        <f>SUM(US:OthAsia!AA65)</f>
        <v>111.29260177096559</v>
      </c>
      <c r="AB43" s="133">
        <f>SUM(US:OthAsia!AB65)</f>
        <v>114.79649111812293</v>
      </c>
      <c r="AC43" s="133">
        <f>SUM(US:OthAsia!AC65)</f>
        <v>119.1240323716446</v>
      </c>
      <c r="AD43" s="133">
        <f>SUM(US:OthAsia!AD65)</f>
        <v>123.42611960789029</v>
      </c>
      <c r="AE43" s="133">
        <f>SUM(US:OthAsia!AE65)</f>
        <v>126.76430626396041</v>
      </c>
      <c r="AF43" s="133">
        <f>SUM(US:OthAsia!AF65)</f>
        <v>122.83169292669348</v>
      </c>
      <c r="AG43" s="133">
        <f>SUM(US:OthAsia!AG65)</f>
        <v>130.65255128594538</v>
      </c>
      <c r="AH43" s="133">
        <f>SUM(US:OthAsia!AH65)</f>
        <v>134.82068653885642</v>
      </c>
      <c r="AI43" s="133">
        <f>SUM(US:OthAsia!AI65)</f>
        <v>921.05899113744283</v>
      </c>
      <c r="AJ43" s="133">
        <f>SUM(US:OthAsia!AJ65)</f>
        <v>1658.4210168526224</v>
      </c>
      <c r="AK43" s="133">
        <f>SUM(US:OthAsia!AK65)</f>
        <v>2117.4704870308356</v>
      </c>
      <c r="AL43" s="133">
        <f>SUM(US:OthAsia!AL65)</f>
        <v>2412.4497253745508</v>
      </c>
      <c r="AM43" s="133">
        <f>SUM(US:OthAsia!AM65)</f>
        <v>2622.5183739039358</v>
      </c>
      <c r="AN43" s="133">
        <f>SUM(US:OthAsia!AN65)</f>
        <v>2788.5115188405825</v>
      </c>
      <c r="AO43" s="133">
        <f>SUM(US:OthAsia!AO65)</f>
        <v>2931.8300490322285</v>
      </c>
      <c r="AP43" s="133">
        <f>SUM(US:OthAsia!AP65)</f>
        <v>3064.0008333005712</v>
      </c>
      <c r="AQ43" s="133">
        <f>SUM(US:OthAsia!AQ65)</f>
        <v>3191.3603902508139</v>
      </c>
      <c r="AR43" s="133">
        <f>SUM(US:OthAsia!AR65)</f>
        <v>3317.452733049</v>
      </c>
      <c r="AS43" s="133">
        <f>SUM(US:OthAsia!AS65)</f>
        <v>3444.2996655126394</v>
      </c>
      <c r="AT43" s="133">
        <f>SUM(US:OthAsia!AT65)</f>
        <v>3573.0877376577605</v>
      </c>
      <c r="AU43" s="133">
        <f>SUM(US:OthAsia!AU65)</f>
        <v>3704.5440224403892</v>
      </c>
      <c r="AV43" s="133">
        <f>SUM(US:OthAsia!AV65)</f>
        <v>3839.1429460182985</v>
      </c>
      <c r="AW43" s="133">
        <f>SUM(US:OthAsia!AW65)</f>
        <v>3977.2205098406571</v>
      </c>
      <c r="AX43" s="133">
        <f>SUM(US:OthAsia!AX65)</f>
        <v>4119.0374957097083</v>
      </c>
      <c r="AY43" s="133">
        <f>SUM(US:OthAsia!AY65)</f>
        <v>4264.8144972369291</v>
      </c>
      <c r="AZ43" s="133">
        <f>SUM(US:OthAsia!AZ65)</f>
        <v>4414.7513764768964</v>
      </c>
      <c r="BA43" s="133">
        <f>SUM(US:OthAsia!BA65)</f>
        <v>4569.0381084130668</v>
      </c>
      <c r="BB43" s="133">
        <f>SUM(US:OthAsia!BB65)</f>
        <v>4727.8608645493441</v>
      </c>
      <c r="BC43" s="133">
        <f>SUM(US:OthAsia!BC65)</f>
        <v>4891.4054663643992</v>
      </c>
      <c r="BD43" s="133">
        <f>SUM(US:OthAsia!BD65)</f>
        <v>5059.8593873660757</v>
      </c>
      <c r="BE43" s="133">
        <f>SUM(US:OthAsia!BE65)</f>
        <v>5233.4129556074513</v>
      </c>
      <c r="BF43" s="133">
        <f>SUM(US:OthAsia!BF65)</f>
        <v>5412.5493021500079</v>
      </c>
      <c r="BG43" s="133">
        <f>SUM(US:OthAsia!BG65)</f>
        <v>5597.1899505147412</v>
      </c>
      <c r="BH43" s="133">
        <f>SUM(US:OthAsia!BH65)</f>
        <v>5787.4589614428705</v>
      </c>
      <c r="BI43" s="133">
        <f>SUM(US:OthAsia!BI65)</f>
        <v>5983.5567733746939</v>
      </c>
    </row>
    <row r="44" spans="1:61" ht="15" x14ac:dyDescent="0.2">
      <c r="A44" s="23" t="s">
        <v>1114</v>
      </c>
      <c r="B44" s="29">
        <f t="shared" ref="B44:AG44" si="17">+B45/B43</f>
        <v>2.0750836987825046E-11</v>
      </c>
      <c r="C44" s="29">
        <f t="shared" si="17"/>
        <v>1.6266672360893826E-11</v>
      </c>
      <c r="D44" s="29">
        <f t="shared" si="17"/>
        <v>1.391133649782757E-11</v>
      </c>
      <c r="E44" s="29">
        <f t="shared" si="17"/>
        <v>1.2187191708676685E-11</v>
      </c>
      <c r="F44" s="29">
        <f t="shared" si="17"/>
        <v>1.0758891581860813E-11</v>
      </c>
      <c r="G44" s="29">
        <f t="shared" si="17"/>
        <v>9.7597147304252479E-12</v>
      </c>
      <c r="H44" s="29">
        <f t="shared" si="17"/>
        <v>8.8842135033273067E-12</v>
      </c>
      <c r="I44" s="29">
        <f t="shared" si="17"/>
        <v>8.1718242820485448E-12</v>
      </c>
      <c r="J44" s="29">
        <f t="shared" si="17"/>
        <v>7.5578336050217804E-12</v>
      </c>
      <c r="K44" s="29">
        <f t="shared" si="17"/>
        <v>7.0798733749504953E-12</v>
      </c>
      <c r="L44" s="29">
        <f t="shared" si="17"/>
        <v>6.6907674879773058E-12</v>
      </c>
      <c r="M44" s="44">
        <f t="shared" si="17"/>
        <v>6.3656211013410128E-12</v>
      </c>
      <c r="N44" s="29">
        <f t="shared" si="17"/>
        <v>6.0915155682194464E-12</v>
      </c>
      <c r="O44" s="29">
        <f t="shared" si="17"/>
        <v>5.8655411094161365E-12</v>
      </c>
      <c r="P44" s="29">
        <f t="shared" si="17"/>
        <v>5.6621616988360506E-12</v>
      </c>
      <c r="Q44" s="29">
        <f t="shared" si="17"/>
        <v>5.4905080189800714E-12</v>
      </c>
      <c r="R44" s="29">
        <f t="shared" si="17"/>
        <v>5.3433083692975239E-12</v>
      </c>
      <c r="S44" s="29">
        <f t="shared" si="17"/>
        <v>5.2232386964503648E-12</v>
      </c>
      <c r="T44" s="29">
        <f t="shared" si="17"/>
        <v>5.1099338114353951E-12</v>
      </c>
      <c r="U44" s="29">
        <f t="shared" si="17"/>
        <v>5.0023542719781291E-12</v>
      </c>
      <c r="V44" s="29">
        <f t="shared" si="17"/>
        <v>4.9017170594663484E-12</v>
      </c>
      <c r="W44" s="29">
        <f t="shared" si="17"/>
        <v>4.8185291908854907E-12</v>
      </c>
      <c r="X44" s="29">
        <f t="shared" si="17"/>
        <v>4.7455322278211495E-12</v>
      </c>
      <c r="Y44" s="29">
        <f t="shared" si="17"/>
        <v>4.6715709135714051E-12</v>
      </c>
      <c r="Z44" s="29">
        <f t="shared" si="17"/>
        <v>4.5995116560849989E-12</v>
      </c>
      <c r="AA44" s="29">
        <f t="shared" si="17"/>
        <v>4.527379859060463E-12</v>
      </c>
      <c r="AB44" s="29">
        <f t="shared" si="17"/>
        <v>2.5363431086615163E-3</v>
      </c>
      <c r="AC44" s="29">
        <f t="shared" si="17"/>
        <v>2.3615791081303171E-3</v>
      </c>
      <c r="AD44" s="29">
        <f t="shared" si="17"/>
        <v>2.2022339272362804E-3</v>
      </c>
      <c r="AE44" s="29">
        <f t="shared" si="17"/>
        <v>2.0579760719606683E-3</v>
      </c>
      <c r="AF44" s="29">
        <f t="shared" si="17"/>
        <v>1.9219182024895571E-3</v>
      </c>
      <c r="AG44" s="29">
        <f t="shared" si="17"/>
        <v>1.7970425698556262E-3</v>
      </c>
      <c r="AH44" s="29">
        <f t="shared" ref="AH44:BI44" si="18">+AH45/AH43</f>
        <v>1.6891406331862586E-3</v>
      </c>
      <c r="AI44" s="29">
        <f t="shared" si="18"/>
        <v>1.6802274447849162E-3</v>
      </c>
      <c r="AJ44" s="29">
        <f t="shared" si="18"/>
        <v>1.5933345616598272E-3</v>
      </c>
      <c r="AK44" s="29">
        <f t="shared" si="18"/>
        <v>1.5064864888073867E-3</v>
      </c>
      <c r="AL44" s="29">
        <f t="shared" si="18"/>
        <v>1.4221735004579833E-3</v>
      </c>
      <c r="AM44" s="29">
        <f t="shared" si="18"/>
        <v>1.3427204087822307E-3</v>
      </c>
      <c r="AN44" s="29">
        <f t="shared" si="18"/>
        <v>1.2684804335461558E-3</v>
      </c>
      <c r="AO44" s="29">
        <f t="shared" si="18"/>
        <v>1.1992941168351276E-3</v>
      </c>
      <c r="AP44" s="29">
        <f t="shared" si="18"/>
        <v>1.1348558927001184E-3</v>
      </c>
      <c r="AQ44" s="29">
        <f t="shared" si="18"/>
        <v>1.0748252730379926E-3</v>
      </c>
      <c r="AR44" s="29">
        <f t="shared" si="18"/>
        <v>1.0188659700235952E-3</v>
      </c>
      <c r="AS44" s="29">
        <f t="shared" si="18"/>
        <v>9.6666031355804036E-4</v>
      </c>
      <c r="AT44" s="29">
        <f t="shared" si="18"/>
        <v>9.1791401101147519E-4</v>
      </c>
      <c r="AU44" s="29">
        <f t="shared" si="18"/>
        <v>8.7235686251098084E-4</v>
      </c>
      <c r="AV44" s="29">
        <f t="shared" si="18"/>
        <v>8.2974177093258876E-4</v>
      </c>
      <c r="AW44" s="29">
        <f t="shared" si="18"/>
        <v>7.8984308768875148E-4</v>
      </c>
      <c r="AX44" s="29">
        <f t="shared" si="18"/>
        <v>7.5245477021626799E-4</v>
      </c>
      <c r="AY44" s="29">
        <f t="shared" si="18"/>
        <v>7.1738856624581728E-4</v>
      </c>
      <c r="AZ44" s="29">
        <f t="shared" si="18"/>
        <v>6.8447231600375234E-4</v>
      </c>
      <c r="BA44" s="29">
        <f t="shared" si="18"/>
        <v>6.53548404300159E-4</v>
      </c>
      <c r="BB44" s="29">
        <f t="shared" si="18"/>
        <v>6.2447236671306166E-4</v>
      </c>
      <c r="BC44" s="29">
        <f t="shared" si="18"/>
        <v>5.9711164176865839E-4</v>
      </c>
      <c r="BD44" s="29">
        <f t="shared" si="18"/>
        <v>5.7134445624592613E-4</v>
      </c>
      <c r="BE44" s="29">
        <f t="shared" si="18"/>
        <v>2.7855218468470888E-4</v>
      </c>
      <c r="BF44" s="29">
        <f t="shared" si="18"/>
        <v>1.3581375468161793E-4</v>
      </c>
      <c r="BG44" s="29">
        <f t="shared" si="18"/>
        <v>6.6222567387440488E-5</v>
      </c>
      <c r="BH44" s="29">
        <f t="shared" si="18"/>
        <v>3.2291684927087451E-5</v>
      </c>
      <c r="BI44" s="29">
        <f t="shared" si="18"/>
        <v>1.5746927663134051E-5</v>
      </c>
    </row>
    <row r="45" spans="1:61" ht="15" x14ac:dyDescent="0.2">
      <c r="A45" s="23" t="s">
        <v>1115</v>
      </c>
      <c r="B45" s="29">
        <f>SUM(US:OthAsia!B67)</f>
        <v>1.0309270788916136E-9</v>
      </c>
      <c r="C45" s="133">
        <f>SUM(US:OthAsia!C67)</f>
        <v>8.2085070264127882E-10</v>
      </c>
      <c r="D45" s="133">
        <f>SUM(US:OthAsia!D67)</f>
        <v>7.1494456890163619E-10</v>
      </c>
      <c r="E45" s="133">
        <f>SUM(US:OthAsia!E67)</f>
        <v>6.3676228050255059E-10</v>
      </c>
      <c r="F45" s="133">
        <f>SUM(US:OthAsia!F67)</f>
        <v>5.7775886724536946E-10</v>
      </c>
      <c r="G45" s="133">
        <f>SUM(US:OthAsia!G67)</f>
        <v>5.44249967393876E-10</v>
      </c>
      <c r="H45" s="133">
        <f>SUM(US:OthAsia!H67)</f>
        <v>5.1406717956461919E-10</v>
      </c>
      <c r="I45" s="133">
        <f>SUM(US:OthAsia!I67)</f>
        <v>4.9111418019352188E-10</v>
      </c>
      <c r="J45" s="133">
        <f>SUM(US:OthAsia!J67)</f>
        <v>4.65263075953992E-10</v>
      </c>
      <c r="K45" s="133">
        <f>SUM(US:OthAsia!K67)</f>
        <v>4.5222251769203237E-10</v>
      </c>
      <c r="L45" s="133">
        <f>SUM(US:OthAsia!L67)</f>
        <v>4.4797961609456755E-10</v>
      </c>
      <c r="M45" s="44">
        <f>SUM(US:OthAsia!M67)</f>
        <v>4.3596401303043836E-10</v>
      </c>
      <c r="N45" s="133">
        <f>SUM(US:OthAsia!N67)</f>
        <v>4.2823953585199299E-10</v>
      </c>
      <c r="O45" s="133">
        <f>SUM(US:OthAsia!O67)</f>
        <v>4.2747061051908815E-10</v>
      </c>
      <c r="P45" s="133">
        <f>SUM(US:OthAsia!P67)</f>
        <v>4.3347724798635948E-10</v>
      </c>
      <c r="Q45" s="133">
        <f>SUM(US:OthAsia!Q67)</f>
        <v>4.3904821991163186E-10</v>
      </c>
      <c r="R45" s="133">
        <f>SUM(US:OthAsia!R67)</f>
        <v>4.490021482305744E-10</v>
      </c>
      <c r="S45" s="133">
        <f>SUM(US:OthAsia!S67)</f>
        <v>4.6110694381925273E-10</v>
      </c>
      <c r="T45" s="133">
        <f>SUM(US:OthAsia!T67)</f>
        <v>4.6343496802949627E-10</v>
      </c>
      <c r="U45" s="133">
        <f>SUM(US:OthAsia!U67)</f>
        <v>4.4996453576834559E-10</v>
      </c>
      <c r="V45" s="133">
        <f>SUM(US:OthAsia!V67)</f>
        <v>4.6278329375319012E-10</v>
      </c>
      <c r="W45" s="133">
        <f>SUM(US:OthAsia!W67)</f>
        <v>4.7246774505186072E-10</v>
      </c>
      <c r="X45" s="133">
        <f>SUM(US:OthAsia!X67)</f>
        <v>4.7987333443983183E-10</v>
      </c>
      <c r="Y45" s="133">
        <f>SUM(US:OthAsia!Y67)</f>
        <v>4.874441490658606E-10</v>
      </c>
      <c r="Z45" s="133">
        <f>SUM(US:OthAsia!Z67)</f>
        <v>4.9582996798974277E-10</v>
      </c>
      <c r="AA45" s="133">
        <f>SUM(US:OthAsia!AA67)</f>
        <v>5.038638837203064E-10</v>
      </c>
      <c r="AB45" s="133">
        <f>SUM(US:OthAsia!AB67)</f>
        <v>0.29116328914597406</v>
      </c>
      <c r="AC45" s="133">
        <f>SUM(US:OthAsia!AC67)</f>
        <v>0.2813208261251155</v>
      </c>
      <c r="AD45" s="133">
        <f>SUM(US:OthAsia!AD67)</f>
        <v>0.27181318810761912</v>
      </c>
      <c r="AE45" s="133">
        <f>SUM(US:OthAsia!AE67)</f>
        <v>0.26087790906992436</v>
      </c>
      <c r="AF45" s="133">
        <f>SUM(US:OthAsia!AF67)</f>
        <v>0.23607246647841998</v>
      </c>
      <c r="AG45" s="133">
        <f>SUM(US:OthAsia!AG67)</f>
        <v>0.23478819652108929</v>
      </c>
      <c r="AH45" s="133">
        <f>SUM(US:OthAsia!AH67)</f>
        <v>0.22773109982685003</v>
      </c>
      <c r="AI45" s="133">
        <f>SUM(US:OthAsia!AI67)</f>
        <v>1.5475885951750383</v>
      </c>
      <c r="AJ45" s="133">
        <f>SUM(US:OthAsia!AJ67)</f>
        <v>2.642419523934318</v>
      </c>
      <c r="AK45" s="133">
        <f>SUM(US:OthAsia!AK67)</f>
        <v>3.1899406791603506</v>
      </c>
      <c r="AL45" s="133">
        <f>SUM(US:OthAsia!AL67)</f>
        <v>3.4309220706148253</v>
      </c>
      <c r="AM45" s="133">
        <f>SUM(US:OthAsia!AM67)</f>
        <v>3.5213089430472033</v>
      </c>
      <c r="AN45" s="133">
        <f>SUM(US:OthAsia!AN67)</f>
        <v>3.5371723003673514</v>
      </c>
      <c r="AO45" s="133">
        <f>SUM(US:OthAsia!AO67)</f>
        <v>3.5161265293647954</v>
      </c>
      <c r="AP45" s="133">
        <f>SUM(US:OthAsia!AP67)</f>
        <v>3.4771994009092264</v>
      </c>
      <c r="AQ45" s="133">
        <f>SUM(US:OthAsia!AQ67)</f>
        <v>3.4301548028139659</v>
      </c>
      <c r="AR45" s="133">
        <f>SUM(US:OthAsia!AR67)</f>
        <v>3.3800396968653965</v>
      </c>
      <c r="AS45" s="133">
        <f>SUM(US:OthAsia!AS67)</f>
        <v>3.3294677946523015</v>
      </c>
      <c r="AT45" s="133">
        <f>SUM(US:OthAsia!AT67)</f>
        <v>3.2797872969693525</v>
      </c>
      <c r="AU45" s="133">
        <f>SUM(US:OthAsia!AU67)</f>
        <v>3.2316844004499066</v>
      </c>
      <c r="AV45" s="133">
        <f>SUM(US:OthAsia!AV67)</f>
        <v>3.1854972668925789</v>
      </c>
      <c r="AW45" s="133">
        <f>SUM(US:OthAsia!AW67)</f>
        <v>3.1413801279115749</v>
      </c>
      <c r="AX45" s="133">
        <f>SUM(US:OthAsia!AX67)</f>
        <v>3.0993894123464405</v>
      </c>
      <c r="AY45" s="133">
        <f>SUM(US:OthAsia!AY67)</f>
        <v>3.0595291574771766</v>
      </c>
      <c r="AZ45" s="133">
        <f>SUM(US:OthAsia!AZ67)</f>
        <v>3.0217750992378951</v>
      </c>
      <c r="BA45" s="133">
        <f>SUM(US:OthAsia!BA67)</f>
        <v>2.9860875649399765</v>
      </c>
      <c r="BB45" s="133">
        <f>SUM(US:OthAsia!BB67)</f>
        <v>2.9524184635751909</v>
      </c>
      <c r="BC45" s="133">
        <f>SUM(US:OthAsia!BC67)</f>
        <v>2.9207151485770364</v>
      </c>
      <c r="BD45" s="133">
        <f>SUM(US:OthAsia!BD67)</f>
        <v>2.8909226103555157</v>
      </c>
      <c r="BE45" s="133">
        <f>SUM(US:OthAsia!BE67)</f>
        <v>1.4577786121417149</v>
      </c>
      <c r="BF45" s="133">
        <f>SUM(US:OthAsia!BF67)</f>
        <v>0.73509864312436357</v>
      </c>
      <c r="BG45" s="133">
        <f>SUM(US:OthAsia!BG67)</f>
        <v>0.37066028867826711</v>
      </c>
      <c r="BH45" s="133">
        <f>SUM(US:OthAsia!BH67)</f>
        <v>0.18688680131136193</v>
      </c>
      <c r="BI45" s="133">
        <f>SUM(US:OthAsia!BI67)</f>
        <v>9.4222635678587102E-2</v>
      </c>
    </row>
    <row r="46" spans="1:61" ht="15" x14ac:dyDescent="0.2">
      <c r="A46" s="23" t="s">
        <v>1123</v>
      </c>
      <c r="B46" s="29">
        <f>SUM(US:OthAsia!B68)</f>
        <v>49.681228736705314</v>
      </c>
      <c r="C46" s="133">
        <f>SUM(US:OthAsia!C68)</f>
        <v>50.462115693760857</v>
      </c>
      <c r="D46" s="133">
        <f>SUM(US:OthAsia!D68)</f>
        <v>51.392946249509393</v>
      </c>
      <c r="E46" s="133">
        <f>SUM(US:OthAsia!E68)</f>
        <v>52.248483138362928</v>
      </c>
      <c r="F46" s="133">
        <f>SUM(US:OthAsia!F68)</f>
        <v>53.700593861661218</v>
      </c>
      <c r="G46" s="133">
        <f>SUM(US:OthAsia!G68)</f>
        <v>55.764946253183197</v>
      </c>
      <c r="H46" s="133">
        <f>SUM(US:OthAsia!H68)</f>
        <v>57.862992527985092</v>
      </c>
      <c r="I46" s="133">
        <f>SUM(US:OthAsia!I68)</f>
        <v>60.098475351258301</v>
      </c>
      <c r="J46" s="133">
        <f>SUM(US:OthAsia!J68)</f>
        <v>61.560375666557817</v>
      </c>
      <c r="K46" s="133">
        <f>SUM(US:OthAsia!K68)</f>
        <v>63.874379348203085</v>
      </c>
      <c r="L46" s="133">
        <f>SUM(US:OthAsia!L68)</f>
        <v>66.954892229710325</v>
      </c>
      <c r="M46" s="44">
        <f>SUM(US:OthAsia!M68)</f>
        <v>68.487270305142857</v>
      </c>
      <c r="N46" s="133">
        <f>SUM(US:OthAsia!N68)</f>
        <v>70.300983565336125</v>
      </c>
      <c r="O46" s="133">
        <f>SUM(US:OthAsia!O68)</f>
        <v>72.878290773608057</v>
      </c>
      <c r="P46" s="133">
        <f>SUM(US:OthAsia!P68)</f>
        <v>76.556847197248587</v>
      </c>
      <c r="Q46" s="133">
        <f>SUM(US:OthAsia!Q68)</f>
        <v>79.964953769574805</v>
      </c>
      <c r="R46" s="133">
        <f>SUM(US:OthAsia!R68)</f>
        <v>84.03073848556582</v>
      </c>
      <c r="S46" s="133">
        <f>SUM(US:OthAsia!S68)</f>
        <v>88.279891196664167</v>
      </c>
      <c r="T46" s="133">
        <f>SUM(US:OthAsia!T68)</f>
        <v>90.692949288309464</v>
      </c>
      <c r="U46" s="133">
        <f>SUM(US:OthAsia!U68)</f>
        <v>89.950553539695818</v>
      </c>
      <c r="V46" s="133">
        <f>SUM(US:OthAsia!V68)</f>
        <v>94.412486101616196</v>
      </c>
      <c r="W46" s="133">
        <f>SUM(US:OthAsia!W68)</f>
        <v>98.052274113703078</v>
      </c>
      <c r="X46" s="133">
        <f>SUM(US:OthAsia!X68)</f>
        <v>101.12107797398362</v>
      </c>
      <c r="Y46" s="133">
        <f>SUM(US:OthAsia!Y68)</f>
        <v>104.34266290328738</v>
      </c>
      <c r="Z46" s="133">
        <f>SUM(US:OthAsia!Z68)</f>
        <v>107.80056776929695</v>
      </c>
      <c r="AA46" s="133">
        <f>SUM(US:OthAsia!AA68)</f>
        <v>111.29260177046174</v>
      </c>
      <c r="AB46" s="133">
        <f>SUM(US:OthAsia!AB68)</f>
        <v>114.50532782897696</v>
      </c>
      <c r="AC46" s="133">
        <f>SUM(US:OthAsia!AC68)</f>
        <v>118.84271154551949</v>
      </c>
      <c r="AD46" s="133">
        <f>SUM(US:OthAsia!AD68)</f>
        <v>123.15430641978267</v>
      </c>
      <c r="AE46" s="133">
        <f>SUM(US:OthAsia!AE68)</f>
        <v>126.50342835489047</v>
      </c>
      <c r="AF46" s="133">
        <f>SUM(US:OthAsia!AF68)</f>
        <v>122.59562046021506</v>
      </c>
      <c r="AG46" s="133">
        <f>SUM(US:OthAsia!AG68)</f>
        <v>130.41776308942426</v>
      </c>
      <c r="AH46" s="133">
        <f>SUM(US:OthAsia!AH68)</f>
        <v>134.59295543902959</v>
      </c>
      <c r="AI46" s="133">
        <f>SUM(US:OthAsia!AI68)</f>
        <v>919.51140254226766</v>
      </c>
      <c r="AJ46" s="133">
        <f>SUM(US:OthAsia!AJ68)</f>
        <v>1655.778597328688</v>
      </c>
      <c r="AK46" s="133">
        <f>SUM(US:OthAsia!AK68)</f>
        <v>2114.2805463516747</v>
      </c>
      <c r="AL46" s="133">
        <f>SUM(US:OthAsia!AL68)</f>
        <v>2409.0188033039362</v>
      </c>
      <c r="AM46" s="133">
        <f>SUM(US:OthAsia!AM68)</f>
        <v>2618.9970649608886</v>
      </c>
      <c r="AN46" s="133">
        <f>SUM(US:OthAsia!AN68)</f>
        <v>2784.9743465402144</v>
      </c>
      <c r="AO46" s="133">
        <f>SUM(US:OthAsia!AO68)</f>
        <v>2928.313922502864</v>
      </c>
      <c r="AP46" s="133">
        <f>SUM(US:OthAsia!AP68)</f>
        <v>3060.5236338996624</v>
      </c>
      <c r="AQ46" s="133">
        <f>SUM(US:OthAsia!AQ68)</f>
        <v>3187.9302354479996</v>
      </c>
      <c r="AR46" s="133">
        <f>SUM(US:OthAsia!AR68)</f>
        <v>3314.0726933521341</v>
      </c>
      <c r="AS46" s="133">
        <f>SUM(US:OthAsia!AS68)</f>
        <v>3440.9701977179875</v>
      </c>
      <c r="AT46" s="133">
        <f>SUM(US:OthAsia!AT68)</f>
        <v>3569.8079503607905</v>
      </c>
      <c r="AU46" s="133">
        <f>SUM(US:OthAsia!AU68)</f>
        <v>3701.3123380399384</v>
      </c>
      <c r="AV46" s="133">
        <f>SUM(US:OthAsia!AV68)</f>
        <v>3835.9574487514055</v>
      </c>
      <c r="AW46" s="133">
        <f>SUM(US:OthAsia!AW68)</f>
        <v>3974.0791297127453</v>
      </c>
      <c r="AX46" s="133">
        <f>SUM(US:OthAsia!AX68)</f>
        <v>4115.9381062973616</v>
      </c>
      <c r="AY46" s="133">
        <f>SUM(US:OthAsia!AY68)</f>
        <v>4261.7549680794518</v>
      </c>
      <c r="AZ46" s="133">
        <f>SUM(US:OthAsia!AZ68)</f>
        <v>4411.7296013776577</v>
      </c>
      <c r="BA46" s="133">
        <f>SUM(US:OthAsia!BA68)</f>
        <v>4566.0520208481266</v>
      </c>
      <c r="BB46" s="133">
        <f>SUM(US:OthAsia!BB68)</f>
        <v>4724.9084460857694</v>
      </c>
      <c r="BC46" s="133">
        <f>SUM(US:OthAsia!BC68)</f>
        <v>4888.4847512158221</v>
      </c>
      <c r="BD46" s="133">
        <f>SUM(US:OthAsia!BD68)</f>
        <v>5056.9684647557206</v>
      </c>
      <c r="BE46" s="133">
        <f>SUM(US:OthAsia!BE68)</f>
        <v>5231.9551769953077</v>
      </c>
      <c r="BF46" s="133">
        <f>SUM(US:OthAsia!BF68)</f>
        <v>5411.814203506885</v>
      </c>
      <c r="BG46" s="133">
        <f>SUM(US:OthAsia!BG68)</f>
        <v>5596.8192902260635</v>
      </c>
      <c r="BH46" s="133">
        <f>SUM(US:OthAsia!BH68)</f>
        <v>5787.2720746415598</v>
      </c>
      <c r="BI46" s="133">
        <f>SUM(US:OthAsia!BI68)</f>
        <v>5983.4625507390156</v>
      </c>
    </row>
    <row r="47" spans="1:61" ht="15" x14ac:dyDescent="0.2">
      <c r="A47" s="51" t="s">
        <v>240</v>
      </c>
      <c r="B47" s="29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44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</row>
    <row r="48" spans="1:61" s="422" customFormat="1" ht="16" x14ac:dyDescent="0.2">
      <c r="A48" s="410" t="s">
        <v>98</v>
      </c>
      <c r="B48" s="383">
        <f>SUM(US:OthAsia!B84)</f>
        <v>39.617337027543854</v>
      </c>
      <c r="C48" s="383">
        <f>SUM(US:OthAsia!C84)</f>
        <v>39.543160845985646</v>
      </c>
      <c r="D48" s="383">
        <f>SUM(US:OthAsia!D84)</f>
        <v>40.565367311158703</v>
      </c>
      <c r="E48" s="383">
        <f>SUM(US:OthAsia!E84)</f>
        <v>41.47511428438284</v>
      </c>
      <c r="F48" s="383">
        <f>SUM(US:OthAsia!F84)</f>
        <v>42.779878033459219</v>
      </c>
      <c r="G48" s="383">
        <f>SUM(US:OthAsia!G84)</f>
        <v>44.445620210177985</v>
      </c>
      <c r="H48" s="383">
        <f>SUM(US:OthAsia!H84)</f>
        <v>46.04940951128053</v>
      </c>
      <c r="I48" s="383">
        <f>SUM(US:OthAsia!I84)</f>
        <v>47.752121385888373</v>
      </c>
      <c r="J48" s="383">
        <f>SUM(US:OthAsia!J84)</f>
        <v>48.821311537827185</v>
      </c>
      <c r="K48" s="383">
        <f>SUM(US:OthAsia!K84)</f>
        <v>50.429873631473313</v>
      </c>
      <c r="L48" s="383">
        <f>SUM(US:OthAsia!L84)</f>
        <v>52.666167503910259</v>
      </c>
      <c r="M48" s="427">
        <f>SUM(US:OthAsia!M84)</f>
        <v>53.338194804715329</v>
      </c>
      <c r="N48" s="383">
        <f>SUM(US:OthAsia!N84)</f>
        <v>54.752663758036604</v>
      </c>
      <c r="O48" s="383">
        <f>SUM(US:OthAsia!O84)</f>
        <v>56.760777949942856</v>
      </c>
      <c r="P48" s="383">
        <f>SUM(US:OthAsia!P84)</f>
        <v>59.626328632682011</v>
      </c>
      <c r="Q48" s="383">
        <f>SUM(US:OthAsia!Q84)</f>
        <v>62.282364346590178</v>
      </c>
      <c r="R48" s="383">
        <f>SUM(US:OthAsia!R84)</f>
        <v>65.450929536200576</v>
      </c>
      <c r="S48" s="383">
        <f>SUM(US:OthAsia!S84)</f>
        <v>68.763580986000179</v>
      </c>
      <c r="T48" s="383">
        <f>SUM(US:OthAsia!T84)</f>
        <v>70.645760985777613</v>
      </c>
      <c r="U48" s="383">
        <f>SUM(US:OthAsia!U84)</f>
        <v>70.072858226962694</v>
      </c>
      <c r="V48" s="383">
        <f>SUM(US:OthAsia!V84)</f>
        <v>73.551217858736479</v>
      </c>
      <c r="W48" s="383">
        <f>SUM(US:OthAsia!W84)</f>
        <v>76.390851721954476</v>
      </c>
      <c r="X48" s="383">
        <f>SUM(US:OthAsia!X84)</f>
        <v>78.78430900607961</v>
      </c>
      <c r="Y48" s="383">
        <f>SUM(US:OthAsia!Y84)</f>
        <v>81.297073233549852</v>
      </c>
      <c r="Z48" s="383">
        <f>SUM(US:OthAsia!Z84)</f>
        <v>83.995044783952338</v>
      </c>
      <c r="AA48" s="383">
        <f>SUM(US:OthAsia!AA84)</f>
        <v>86.719553014686895</v>
      </c>
      <c r="AB48" s="383">
        <f>SUM(US:OthAsia!AB84)</f>
        <v>89.226409702276783</v>
      </c>
      <c r="AC48" s="383">
        <f>SUM(US:OthAsia!AC84)</f>
        <v>92.608558074607558</v>
      </c>
      <c r="AD48" s="383">
        <f>SUM(US:OthAsia!AD84)</f>
        <v>95.970869978396422</v>
      </c>
      <c r="AE48" s="383">
        <f>SUM(US:OthAsia!AE84)</f>
        <v>98.584503114961507</v>
      </c>
      <c r="AF48" s="383">
        <f>SUM(US:OthAsia!AF84)</f>
        <v>95.550747737012358</v>
      </c>
      <c r="AG48" s="383">
        <f>SUM(US:OthAsia!AG84)</f>
        <v>101.64931747398577</v>
      </c>
      <c r="AH48" s="383">
        <f>SUM(US:OthAsia!AH84)</f>
        <v>104.90084982727471</v>
      </c>
      <c r="AI48" s="383">
        <f>SUM(US:OthAsia!AI84)</f>
        <v>715.71473754836256</v>
      </c>
      <c r="AJ48" s="383">
        <f>SUM(US:OthAsia!AJ84)</f>
        <v>1288.2464622718662</v>
      </c>
      <c r="AK48" s="383">
        <f>SUM(US:OthAsia!AK84)</f>
        <v>1644.7422898661694</v>
      </c>
      <c r="AL48" s="383">
        <f>SUM(US:OthAsia!AL84)</f>
        <v>1873.9100052354415</v>
      </c>
      <c r="AM48" s="383">
        <f>SUM(US:OthAsia!AM84)</f>
        <v>2037.1800473813137</v>
      </c>
      <c r="AN48" s="383">
        <f>SUM(US:OthAsia!AN84)</f>
        <v>2166.2423385814059</v>
      </c>
      <c r="AO48" s="383">
        <f>SUM(US:OthAsia!AO84)</f>
        <v>2277.706217378407</v>
      </c>
      <c r="AP48" s="383">
        <f>SUM(US:OthAsia!AP84)</f>
        <v>2380.5184902734945</v>
      </c>
      <c r="AQ48" s="383">
        <f>SUM(US:OthAsia!AQ84)</f>
        <v>2479.597794410704</v>
      </c>
      <c r="AR48" s="383">
        <f>SUM(US:OthAsia!AR84)</f>
        <v>2577.6953778854204</v>
      </c>
      <c r="AS48" s="383">
        <f>SUM(US:OthAsia!AS84)</f>
        <v>2676.3809549989774</v>
      </c>
      <c r="AT48" s="383">
        <f>SUM(US:OthAsia!AT84)</f>
        <v>2776.5758810155007</v>
      </c>
      <c r="AU48" s="383">
        <f>SUM(US:OthAsia!AU84)</f>
        <v>2878.8448283174284</v>
      </c>
      <c r="AV48" s="383">
        <f>SUM(US:OthAsia!AV84)</f>
        <v>2983.5563370707473</v>
      </c>
      <c r="AW48" s="383">
        <f>SUM(US:OthAsia!AW84)</f>
        <v>3090.9714842448357</v>
      </c>
      <c r="AX48" s="383">
        <f>SUM(US:OthAsia!AX84)</f>
        <v>3201.2929511373882</v>
      </c>
      <c r="AY48" s="383">
        <f>SUM(US:OthAsia!AY84)</f>
        <v>3314.6922201573652</v>
      </c>
      <c r="AZ48" s="383">
        <f>SUM(US:OthAsia!AZ84)</f>
        <v>3431.324680508978</v>
      </c>
      <c r="BA48" s="383">
        <f>SUM(US:OthAsia!BA84)</f>
        <v>3551.3380477796509</v>
      </c>
      <c r="BB48" s="383">
        <f>SUM(US:OthAsia!BB84)</f>
        <v>3674.8770872489963</v>
      </c>
      <c r="BC48" s="383">
        <f>SUM(US:OthAsia!BC84)</f>
        <v>3802.0862951499066</v>
      </c>
      <c r="BD48" s="383">
        <f>SUM(US:OthAsia!BD84)</f>
        <v>3933.1114530402515</v>
      </c>
      <c r="BE48" s="383">
        <f>SUM(US:OthAsia!BE84)</f>
        <v>4069.193253905908</v>
      </c>
      <c r="BF48" s="383">
        <f>SUM(US:OthAsia!BF84)</f>
        <v>4209.0636241422008</v>
      </c>
      <c r="BG48" s="383">
        <f>SUM(US:OthAsia!BG84)</f>
        <v>4352.9353749916991</v>
      </c>
      <c r="BH48" s="383">
        <f>SUM(US:OthAsia!BH84)</f>
        <v>4501.0430194130031</v>
      </c>
      <c r="BI48" s="383">
        <f>SUM(US:OthAsia!BI84)</f>
        <v>4501.0430194130031</v>
      </c>
    </row>
    <row r="49" spans="1:128" s="422" customFormat="1" ht="16" x14ac:dyDescent="0.2">
      <c r="A49" s="411" t="s">
        <v>970</v>
      </c>
      <c r="B49" s="383">
        <f>SUM(US:OthAsia!B85)</f>
        <v>3.7751847250311847</v>
      </c>
      <c r="C49" s="383">
        <f>SUM(US:OthAsia!C85)</f>
        <v>3.7232159704617516</v>
      </c>
      <c r="D49" s="383">
        <f>SUM(US:OthAsia!D85)</f>
        <v>2.1532682753497667</v>
      </c>
      <c r="E49" s="383">
        <f>SUM(US:OthAsia!E85)</f>
        <v>0.65942231394125883</v>
      </c>
      <c r="F49" s="383">
        <f>SUM(US:OthAsia!F85)</f>
        <v>0.17571625942156682</v>
      </c>
      <c r="G49" s="383">
        <f>SUM(US:OthAsia!G85)</f>
        <v>0.20861544545723779</v>
      </c>
      <c r="H49" s="383">
        <f>SUM(US:OthAsia!H85)</f>
        <v>0.47134992290601074</v>
      </c>
      <c r="I49" s="383">
        <f>SUM(US:OthAsia!I85)</f>
        <v>0.65860652955944454</v>
      </c>
      <c r="J49" s="383">
        <f>SUM(US:OthAsia!J85)</f>
        <v>0.76241284603184944</v>
      </c>
      <c r="K49" s="383">
        <f>SUM(US:OthAsia!K85)</f>
        <v>0.6585470852272729</v>
      </c>
      <c r="L49" s="383">
        <f>SUM(US:OthAsia!L85)</f>
        <v>0.93506275840860653</v>
      </c>
      <c r="M49" s="427">
        <f>SUM(US:OthAsia!M85)</f>
        <v>1.1702552330678164</v>
      </c>
      <c r="N49" s="383">
        <f>SUM(US:OthAsia!N85)</f>
        <v>1.2683935438124141</v>
      </c>
      <c r="O49" s="383">
        <f>SUM(US:OthAsia!O85)</f>
        <v>0.84150578916139551</v>
      </c>
      <c r="P49" s="383">
        <f>SUM(US:OthAsia!P85)</f>
        <v>0.86260794226560822</v>
      </c>
      <c r="Q49" s="383">
        <f>SUM(US:OthAsia!Q85)</f>
        <v>1.113778532628416</v>
      </c>
      <c r="R49" s="383">
        <f>SUM(US:OthAsia!R85)</f>
        <v>1.140421419791803</v>
      </c>
      <c r="S49" s="383">
        <f>SUM(US:OthAsia!S85)</f>
        <v>1.2948598880902318</v>
      </c>
      <c r="T49" s="383">
        <f>SUM(US:OthAsia!T85)</f>
        <v>1.3879909872261149</v>
      </c>
      <c r="U49" s="383">
        <f>SUM(US:OthAsia!U85)</f>
        <v>1.0148406241667203</v>
      </c>
      <c r="V49" s="383">
        <f>SUM(US:OthAsia!V85)</f>
        <v>0.18436005598582134</v>
      </c>
      <c r="W49" s="383">
        <f>SUM(US:OthAsia!W85)</f>
        <v>1.0478553068844974</v>
      </c>
      <c r="X49" s="383">
        <f>SUM(US:OthAsia!X85)</f>
        <v>1.1655187027238838</v>
      </c>
      <c r="Y49" s="383">
        <f>SUM(US:OthAsia!Y85)</f>
        <v>1.0817378193285183</v>
      </c>
      <c r="Z49" s="383">
        <f>SUM(US:OthAsia!Z85)</f>
        <v>1.0859993572742042</v>
      </c>
      <c r="AA49" s="383">
        <f>SUM(US:OthAsia!AA85)</f>
        <v>1.138597877451023</v>
      </c>
      <c r="AB49" s="383">
        <f>SUM(US:OthAsia!AB85)</f>
        <v>1.1645303022410172</v>
      </c>
      <c r="AC49" s="383">
        <f>SUM(US:OthAsia!AC85)</f>
        <v>1.1119159801599112</v>
      </c>
      <c r="AD49" s="383">
        <f>SUM(US:OthAsia!AD85)</f>
        <v>1.3429364736962168</v>
      </c>
      <c r="AE49" s="383">
        <f>SUM(US:OthAsia!AE85)</f>
        <v>1.4175359652760597</v>
      </c>
      <c r="AF49" s="383">
        <f>SUM(US:OthAsia!AF85)</f>
        <v>1.2297530277008621</v>
      </c>
      <c r="AG49" s="383">
        <f>SUM(US:OthAsia!AG85)</f>
        <v>-0.44526414931927416</v>
      </c>
      <c r="AH49" s="383">
        <f>SUM(US:OthAsia!AH85)</f>
        <v>1.5683188832187036</v>
      </c>
      <c r="AI49" s="383">
        <f>SUM(US:OthAsia!AI85)</f>
        <v>1.2976909159373744</v>
      </c>
      <c r="AJ49" s="383">
        <f>SUM(US:OthAsia!AJ85)</f>
        <v>179.28413214418444</v>
      </c>
      <c r="AK49" s="383">
        <f>SUM(US:OthAsia!AK85)</f>
        <v>226.2479815936332</v>
      </c>
      <c r="AL49" s="383">
        <f>SUM(US:OthAsia!AL85)</f>
        <v>180.89391472652562</v>
      </c>
      <c r="AM49" s="383">
        <f>SUM(US:OthAsia!AM85)</f>
        <v>128.64434959341634</v>
      </c>
      <c r="AN49" s="383">
        <f>SUM(US:OthAsia!AN85)</f>
        <v>91.563730654991332</v>
      </c>
      <c r="AO49" s="383">
        <f>SUM(US:OthAsia!AO85)</f>
        <v>68.841289153752996</v>
      </c>
      <c r="AP49" s="383">
        <f>SUM(US:OthAsia!AP85)</f>
        <v>55.879170482252022</v>
      </c>
      <c r="AQ49" s="383">
        <f>SUM(US:OthAsia!AQ85)</f>
        <v>48.881300499544047</v>
      </c>
      <c r="AR49" s="383">
        <f>SUM(US:OthAsia!AR85)</f>
        <v>45.371153019368535</v>
      </c>
      <c r="AS49" s="383">
        <f>SUM(US:OthAsia!AS85)</f>
        <v>43.864817289750206</v>
      </c>
      <c r="AT49" s="383">
        <f>SUM(US:OthAsia!AT85)</f>
        <v>43.506643320157764</v>
      </c>
      <c r="AU49" s="383">
        <f>SUM(US:OthAsia!AU85)</f>
        <v>43.812655153138842</v>
      </c>
      <c r="AV49" s="383">
        <f>SUM(US:OthAsia!AV85)</f>
        <v>44.511968632657094</v>
      </c>
      <c r="AW49" s="383">
        <f>SUM(US:OthAsia!AW85)</f>
        <v>45.453965746762044</v>
      </c>
      <c r="AX49" s="383">
        <f>SUM(US:OthAsia!AX85)</f>
        <v>46.555351660192208</v>
      </c>
      <c r="AY49" s="383">
        <f>SUM(US:OthAsia!AY85)</f>
        <v>47.770357087246495</v>
      </c>
      <c r="AZ49" s="383">
        <f>SUM(US:OthAsia!AZ85)</f>
        <v>49.074086354313025</v>
      </c>
      <c r="BA49" s="383">
        <f>SUM(US:OthAsia!BA85)</f>
        <v>50.453248825948563</v>
      </c>
      <c r="BB49" s="383">
        <f>SUM(US:OthAsia!BB85)</f>
        <v>51.901012298404993</v>
      </c>
      <c r="BC49" s="383">
        <f>SUM(US:OthAsia!BC85)</f>
        <v>53.414149776116261</v>
      </c>
      <c r="BD49" s="383">
        <f>SUM(US:OthAsia!BD85)</f>
        <v>54.99145965234608</v>
      </c>
      <c r="BE49" s="383">
        <f>SUM(US:OthAsia!BE85)</f>
        <v>56.6328920199552</v>
      </c>
      <c r="BF49" s="383">
        <f>SUM(US:OthAsia!BF85)</f>
        <v>58.651579821802756</v>
      </c>
      <c r="BG49" s="383">
        <f>SUM(US:OthAsia!BG85)</f>
        <v>60.439197636948492</v>
      </c>
      <c r="BH49" s="383">
        <f>SUM(US:OthAsia!BH85)</f>
        <v>62.207181022626244</v>
      </c>
      <c r="BI49" s="383">
        <f>SUM(US:OthAsia!BI85)</f>
        <v>64.035442836181772</v>
      </c>
    </row>
    <row r="50" spans="1:128" s="462" customFormat="1" ht="16" x14ac:dyDescent="0.2">
      <c r="A50" s="460" t="s">
        <v>971</v>
      </c>
      <c r="B50" s="461">
        <f>SUM(US:OthAsia!B86)</f>
        <v>0</v>
      </c>
      <c r="C50" s="461">
        <f>SUM(US:OthAsia!C86)</f>
        <v>0</v>
      </c>
      <c r="D50" s="461">
        <f>SUM(US:OthAsia!D86)</f>
        <v>0</v>
      </c>
      <c r="E50" s="461">
        <f>SUM(US:OthAsia!E86)</f>
        <v>0</v>
      </c>
      <c r="F50" s="461">
        <f>SUM(US:OthAsia!F86)</f>
        <v>0</v>
      </c>
      <c r="G50" s="461">
        <f>SUM(US:OthAsia!G86)</f>
        <v>0</v>
      </c>
      <c r="H50" s="461">
        <f>SUM(US:OthAsia!H86)</f>
        <v>0</v>
      </c>
      <c r="I50" s="461">
        <f>SUM(US:OthAsia!I86)</f>
        <v>0</v>
      </c>
      <c r="J50" s="461">
        <f>SUM(US:OthAsia!J86)</f>
        <v>0</v>
      </c>
      <c r="K50" s="461">
        <f>SUM(US:OthAsia!K86)</f>
        <v>0</v>
      </c>
      <c r="L50" s="461">
        <f>SUM(US:OthAsia!L86)</f>
        <v>0</v>
      </c>
      <c r="M50" s="461">
        <f>SUM(US:OthAsia!M86)</f>
        <v>0</v>
      </c>
      <c r="N50" s="461">
        <f>SUM(US:OthAsia!N86)</f>
        <v>0</v>
      </c>
      <c r="O50" s="461">
        <f>SUM(US:OthAsia!O86)</f>
        <v>0</v>
      </c>
      <c r="P50" s="461">
        <f>SUM(US:OthAsia!P86)</f>
        <v>0</v>
      </c>
      <c r="Q50" s="461"/>
      <c r="R50" s="461"/>
      <c r="S50" s="461"/>
      <c r="T50" s="461"/>
      <c r="U50" s="461"/>
      <c r="V50" s="461"/>
      <c r="W50" s="461"/>
      <c r="X50" s="461"/>
      <c r="Y50" s="461"/>
      <c r="Z50" s="461"/>
      <c r="AA50" s="461"/>
      <c r="AB50" s="461"/>
      <c r="AC50" s="461"/>
      <c r="AD50" s="461"/>
      <c r="AE50" s="461"/>
      <c r="AF50" s="461"/>
      <c r="AG50" s="461"/>
      <c r="AH50" s="461"/>
      <c r="AI50" s="461"/>
      <c r="AJ50" s="461"/>
      <c r="AK50" s="461"/>
      <c r="AL50" s="461"/>
      <c r="AM50" s="461"/>
      <c r="AN50" s="461"/>
      <c r="AO50" s="461"/>
      <c r="AP50" s="461"/>
      <c r="AQ50" s="461"/>
      <c r="AR50" s="461"/>
      <c r="AS50" s="461"/>
      <c r="AT50" s="461"/>
      <c r="AU50" s="461"/>
      <c r="AV50" s="461"/>
      <c r="AW50" s="461"/>
      <c r="AX50" s="461"/>
      <c r="AY50" s="461"/>
      <c r="AZ50" s="461"/>
      <c r="BA50" s="461"/>
      <c r="BB50" s="461"/>
      <c r="BC50" s="461"/>
      <c r="BD50" s="461"/>
      <c r="BE50" s="461"/>
      <c r="BF50" s="461"/>
      <c r="BG50" s="461"/>
      <c r="BH50" s="461"/>
      <c r="BI50" s="461"/>
    </row>
    <row r="51" spans="1:128" s="422" customFormat="1" ht="16" x14ac:dyDescent="0.2">
      <c r="A51" s="410" t="s">
        <v>972</v>
      </c>
      <c r="B51" s="383">
        <f>SUM(US:OthAsia!B87)</f>
        <v>43.39252175257505</v>
      </c>
      <c r="C51" s="383">
        <f>SUM(US:OthAsia!C87)</f>
        <v>43.266376816447405</v>
      </c>
      <c r="D51" s="383">
        <f>SUM(US:OthAsia!D87)</f>
        <v>42.718635586508469</v>
      </c>
      <c r="E51" s="383">
        <f>SUM(US:OthAsia!E87)</f>
        <v>42.134536598324118</v>
      </c>
      <c r="F51" s="383">
        <f>SUM(US:OthAsia!F87)</f>
        <v>42.955594292880782</v>
      </c>
      <c r="G51" s="383">
        <f>SUM(US:OthAsia!G87)</f>
        <v>44.654235655635205</v>
      </c>
      <c r="H51" s="383">
        <f>SUM(US:OthAsia!H87)</f>
        <v>46.520759434186537</v>
      </c>
      <c r="I51" s="383">
        <f>SUM(US:OthAsia!I87)</f>
        <v>48.410727915447829</v>
      </c>
      <c r="J51" s="383">
        <f>SUM(US:OthAsia!J87)</f>
        <v>49.583724383859035</v>
      </c>
      <c r="K51" s="383">
        <f>SUM(US:OthAsia!K87)</f>
        <v>51.08842071670059</v>
      </c>
      <c r="L51" s="383">
        <f>SUM(US:OthAsia!L87)</f>
        <v>53.601230262318865</v>
      </c>
      <c r="M51" s="427">
        <f>SUM(US:OthAsia!M87)</f>
        <v>54.508450037783142</v>
      </c>
      <c r="N51" s="383">
        <f>SUM(US:OthAsia!N87)</f>
        <v>56.021057301849012</v>
      </c>
      <c r="O51" s="383">
        <f>SUM(US:OthAsia!O87)</f>
        <v>57.602283739104251</v>
      </c>
      <c r="P51" s="383">
        <f>SUM(US:OthAsia!P87)</f>
        <v>60.488936574947616</v>
      </c>
      <c r="Q51" s="383">
        <f>SUM(US:OthAsia!Q87)</f>
        <v>63.396142879218587</v>
      </c>
      <c r="R51" s="383">
        <f>SUM(US:OthAsia!R87)</f>
        <v>66.591350955992382</v>
      </c>
      <c r="S51" s="383">
        <f>SUM(US:OthAsia!S87)</f>
        <v>70.058440874090394</v>
      </c>
      <c r="T51" s="383">
        <f>SUM(US:OthAsia!T87)</f>
        <v>72.033751973003731</v>
      </c>
      <c r="U51" s="383">
        <f>SUM(US:OthAsia!U87)</f>
        <v>71.087698851129417</v>
      </c>
      <c r="V51" s="383">
        <f>SUM(US:OthAsia!V87)</f>
        <v>73.735577914722299</v>
      </c>
      <c r="W51" s="383">
        <f>SUM(US:OthAsia!W87)</f>
        <v>77.438707028838976</v>
      </c>
      <c r="X51" s="383">
        <f>SUM(US:OthAsia!X87)</f>
        <v>79.949827708803497</v>
      </c>
      <c r="Y51" s="383">
        <f>SUM(US:OthAsia!Y87)</f>
        <v>82.378811052878348</v>
      </c>
      <c r="Z51" s="383">
        <f>SUM(US:OthAsia!Z87)</f>
        <v>85.081044141226556</v>
      </c>
      <c r="AA51" s="383">
        <f>SUM(US:OthAsia!AA87)</f>
        <v>87.858150892137928</v>
      </c>
      <c r="AB51" s="383">
        <f>SUM(US:OthAsia!AB87)</f>
        <v>90.390940004517788</v>
      </c>
      <c r="AC51" s="383">
        <f>SUM(US:OthAsia!AC87)</f>
        <v>93.720474054767465</v>
      </c>
      <c r="AD51" s="383">
        <f>SUM(US:OthAsia!AD87)</f>
        <v>97.313806452092663</v>
      </c>
      <c r="AE51" s="383">
        <f>SUM(US:OthAsia!AE87)</f>
        <v>100.00203908023758</v>
      </c>
      <c r="AF51" s="383">
        <f>SUM(US:OthAsia!AF87)</f>
        <v>96.780500764713224</v>
      </c>
      <c r="AG51" s="383">
        <f>SUM(US:OthAsia!AG87)</f>
        <v>101.2040533246665</v>
      </c>
      <c r="AH51" s="383">
        <f>SUM(US:OthAsia!AH87)</f>
        <v>106.46916871049343</v>
      </c>
      <c r="AI51" s="383">
        <f>SUM(US:OthAsia!AI87)</f>
        <v>717.01242846430011</v>
      </c>
      <c r="AJ51" s="383">
        <f>SUM(US:OthAsia!AJ87)</f>
        <v>1467.5305944160507</v>
      </c>
      <c r="AK51" s="383">
        <f>SUM(US:OthAsia!AK87)</f>
        <v>1870.9902714598024</v>
      </c>
      <c r="AL51" s="383">
        <f>SUM(US:OthAsia!AL87)</f>
        <v>2054.8039199619675</v>
      </c>
      <c r="AM51" s="383">
        <f>SUM(US:OthAsia!AM87)</f>
        <v>2165.82439697473</v>
      </c>
      <c r="AN51" s="383">
        <f>SUM(US:OthAsia!AN87)</f>
        <v>2257.806069236397</v>
      </c>
      <c r="AO51" s="383">
        <f>SUM(US:OthAsia!AO87)</f>
        <v>2346.5475065321598</v>
      </c>
      <c r="AP51" s="383">
        <f>SUM(US:OthAsia!AP87)</f>
        <v>2436.3976607557461</v>
      </c>
      <c r="AQ51" s="383">
        <f>SUM(US:OthAsia!AQ87)</f>
        <v>2528.479094910248</v>
      </c>
      <c r="AR51" s="383">
        <f>SUM(US:OthAsia!AR87)</f>
        <v>2623.066530904789</v>
      </c>
      <c r="AS51" s="383">
        <f>SUM(US:OthAsia!AS87)</f>
        <v>2720.2457722887275</v>
      </c>
      <c r="AT51" s="383">
        <f>SUM(US:OthAsia!AT87)</f>
        <v>2820.0825243356585</v>
      </c>
      <c r="AU51" s="383">
        <f>SUM(US:OthAsia!AU87)</f>
        <v>2922.6574834705671</v>
      </c>
      <c r="AV51" s="383">
        <f>SUM(US:OthAsia!AV87)</f>
        <v>3028.0683057034048</v>
      </c>
      <c r="AW51" s="383">
        <f>SUM(US:OthAsia!AW87)</f>
        <v>3136.4254499915974</v>
      </c>
      <c r="AX51" s="383">
        <f>SUM(US:OthAsia!AX87)</f>
        <v>3247.8483027975803</v>
      </c>
      <c r="AY51" s="383">
        <f>SUM(US:OthAsia!AY87)</f>
        <v>3362.462577244612</v>
      </c>
      <c r="AZ51" s="383">
        <f>SUM(US:OthAsia!AZ87)</f>
        <v>3480.3987668632913</v>
      </c>
      <c r="BA51" s="383">
        <f>SUM(US:OthAsia!BA87)</f>
        <v>3601.7912966055992</v>
      </c>
      <c r="BB51" s="383">
        <f>SUM(US:OthAsia!BB87)</f>
        <v>3726.7780995474013</v>
      </c>
      <c r="BC51" s="383">
        <f>SUM(US:OthAsia!BC87)</f>
        <v>3855.5004449260232</v>
      </c>
      <c r="BD51" s="383">
        <f>SUM(US:OthAsia!BD87)</f>
        <v>3988.1029126925978</v>
      </c>
      <c r="BE51" s="383">
        <f>SUM(US:OthAsia!BE87)</f>
        <v>4125.826145925862</v>
      </c>
      <c r="BF51" s="383">
        <f>SUM(US:OthAsia!BF87)</f>
        <v>4267.7152039640041</v>
      </c>
      <c r="BG51" s="383">
        <f>SUM(US:OthAsia!BG87)</f>
        <v>4413.3745726286479</v>
      </c>
      <c r="BH51" s="383">
        <f>SUM(US:OthAsia!BH87)</f>
        <v>4563.2502004356293</v>
      </c>
      <c r="BI51" s="383">
        <f>SUM(US:OthAsia!BI87)</f>
        <v>4565.0784622491847</v>
      </c>
    </row>
    <row r="52" spans="1:128" ht="15" x14ac:dyDescent="0.2">
      <c r="A52" s="23" t="s">
        <v>241</v>
      </c>
      <c r="B52" s="29">
        <f t="shared" ref="B52:AG52" si="19">+B48/B34*1000</f>
        <v>6.1796922123588516</v>
      </c>
      <c r="C52" s="29">
        <f t="shared" si="19"/>
        <v>5.5051071849156106</v>
      </c>
      <c r="D52" s="29">
        <f t="shared" si="19"/>
        <v>5.1555897507799475</v>
      </c>
      <c r="E52" s="29">
        <f t="shared" si="19"/>
        <v>4.9389392388370439</v>
      </c>
      <c r="F52" s="29">
        <f t="shared" si="19"/>
        <v>4.8676646584731902</v>
      </c>
      <c r="G52" s="29">
        <f t="shared" si="19"/>
        <v>4.9813852971933557</v>
      </c>
      <c r="H52" s="29">
        <f t="shared" si="19"/>
        <v>5.1597607047390586</v>
      </c>
      <c r="I52" s="29">
        <f t="shared" si="19"/>
        <v>5.3456826645218705</v>
      </c>
      <c r="J52" s="29">
        <f t="shared" si="19"/>
        <v>5.4568913083575161</v>
      </c>
      <c r="K52" s="29">
        <f t="shared" si="19"/>
        <v>5.6243112252119456</v>
      </c>
      <c r="L52" s="29">
        <f t="shared" si="19"/>
        <v>5.8913770258251699</v>
      </c>
      <c r="M52" s="44">
        <f t="shared" si="19"/>
        <v>6.0182274386035726</v>
      </c>
      <c r="N52" s="29">
        <f t="shared" si="19"/>
        <v>6.2308269215801539</v>
      </c>
      <c r="O52" s="29">
        <f t="shared" si="19"/>
        <v>6.5142413113574893</v>
      </c>
      <c r="P52" s="29">
        <f t="shared" si="19"/>
        <v>6.9007057207426694</v>
      </c>
      <c r="Q52" s="29">
        <f t="shared" si="19"/>
        <v>7.2681734435739394</v>
      </c>
      <c r="R52" s="29">
        <f t="shared" si="19"/>
        <v>7.7009718919702497</v>
      </c>
      <c r="S52" s="29">
        <f t="shared" si="19"/>
        <v>8.1568497774463253</v>
      </c>
      <c r="T52" s="29">
        <f t="shared" si="19"/>
        <v>8.4479053194842511</v>
      </c>
      <c r="U52" s="29">
        <f t="shared" si="19"/>
        <v>8.4464918810585274</v>
      </c>
      <c r="V52" s="29">
        <f t="shared" si="19"/>
        <v>8.884999209699636</v>
      </c>
      <c r="W52" s="29">
        <f t="shared" si="19"/>
        <v>9.1949281057937231</v>
      </c>
      <c r="X52" s="29">
        <f t="shared" si="19"/>
        <v>9.4318033081873089</v>
      </c>
      <c r="Y52" s="29">
        <f t="shared" si="19"/>
        <v>9.6800523007698107</v>
      </c>
      <c r="Z52" s="29">
        <f t="shared" si="19"/>
        <v>9.9472724912228507</v>
      </c>
      <c r="AA52" s="29">
        <f t="shared" si="19"/>
        <v>10.214443343973041</v>
      </c>
      <c r="AB52" s="29">
        <f t="shared" si="19"/>
        <v>10.45293340514594</v>
      </c>
      <c r="AC52" s="29">
        <f t="shared" si="19"/>
        <v>10.790529281573701</v>
      </c>
      <c r="AD52" s="29">
        <f t="shared" si="19"/>
        <v>11.121866677294861</v>
      </c>
      <c r="AE52" s="29">
        <f t="shared" si="19"/>
        <v>11.363007673421363</v>
      </c>
      <c r="AF52" s="29">
        <f t="shared" si="19"/>
        <v>10.983527669325399</v>
      </c>
      <c r="AG52" s="29">
        <f t="shared" si="19"/>
        <v>11.684556295848761</v>
      </c>
      <c r="AH52" s="29">
        <f t="shared" ref="AH52:BI52" si="20">+AH48/AH34*1000</f>
        <v>12.058318892331529</v>
      </c>
      <c r="AI52" s="29">
        <f t="shared" si="20"/>
        <v>87.051882127714009</v>
      </c>
      <c r="AJ52" s="29">
        <f t="shared" si="20"/>
        <v>156.68851471366722</v>
      </c>
      <c r="AK52" s="29">
        <f t="shared" si="20"/>
        <v>200.04885247765537</v>
      </c>
      <c r="AL52" s="29">
        <f t="shared" si="20"/>
        <v>227.92236115254883</v>
      </c>
      <c r="AM52" s="29">
        <f t="shared" si="20"/>
        <v>247.78078199847835</v>
      </c>
      <c r="AN52" s="29">
        <f t="shared" si="20"/>
        <v>263.47853806141524</v>
      </c>
      <c r="AO52" s="29">
        <f t="shared" si="20"/>
        <v>277.03581155248781</v>
      </c>
      <c r="AP52" s="29">
        <f t="shared" si="20"/>
        <v>289.54079627866963</v>
      </c>
      <c r="AQ52" s="29">
        <f t="shared" si="20"/>
        <v>301.59174262999505</v>
      </c>
      <c r="AR52" s="29">
        <f t="shared" si="20"/>
        <v>313.52328298489459</v>
      </c>
      <c r="AS52" s="29">
        <f t="shared" si="20"/>
        <v>325.52634059416215</v>
      </c>
      <c r="AT52" s="29">
        <f t="shared" si="20"/>
        <v>337.71297925310972</v>
      </c>
      <c r="AU52" s="29">
        <f t="shared" si="20"/>
        <v>350.15187966802711</v>
      </c>
      <c r="AV52" s="29">
        <f t="shared" si="20"/>
        <v>362.88786712111914</v>
      </c>
      <c r="AW52" s="29">
        <f t="shared" si="20"/>
        <v>375.95269622127154</v>
      </c>
      <c r="AX52" s="29">
        <f t="shared" si="20"/>
        <v>389.37101895273275</v>
      </c>
      <c r="AY52" s="29">
        <f t="shared" si="20"/>
        <v>403.16369260077113</v>
      </c>
      <c r="AZ52" s="29">
        <f t="shared" si="20"/>
        <v>417.34961704543548</v>
      </c>
      <c r="BA52" s="29">
        <f t="shared" si="20"/>
        <v>431.94675883014088</v>
      </c>
      <c r="BB52" s="29">
        <f t="shared" si="20"/>
        <v>446.97272565442995</v>
      </c>
      <c r="BC52" s="29">
        <f t="shared" si="20"/>
        <v>462.4450924938813</v>
      </c>
      <c r="BD52" s="29">
        <f t="shared" si="20"/>
        <v>478.38159065725006</v>
      </c>
      <c r="BE52" s="29">
        <f t="shared" si="20"/>
        <v>494.93312476322996</v>
      </c>
      <c r="BF52" s="29">
        <f t="shared" si="20"/>
        <v>511.94545990764453</v>
      </c>
      <c r="BG52" s="29">
        <f t="shared" si="20"/>
        <v>529.44448017284071</v>
      </c>
      <c r="BH52" s="29">
        <f t="shared" si="20"/>
        <v>547.45870920568291</v>
      </c>
      <c r="BI52" s="29">
        <f t="shared" si="20"/>
        <v>547.45870920568291</v>
      </c>
    </row>
    <row r="53" spans="1:128" ht="15" x14ac:dyDescent="0.2">
      <c r="A53" s="23" t="s">
        <v>242</v>
      </c>
      <c r="B53" s="29">
        <f t="shared" ref="B53:AG53" si="21">1-B48/B46</f>
        <v>0.20256929961408321</v>
      </c>
      <c r="C53" s="29">
        <f t="shared" si="21"/>
        <v>0.21637925199250474</v>
      </c>
      <c r="D53" s="29">
        <f t="shared" si="21"/>
        <v>0.21068219918320119</v>
      </c>
      <c r="E53" s="29">
        <f t="shared" si="21"/>
        <v>0.20619486359920469</v>
      </c>
      <c r="F53" s="29">
        <f t="shared" si="21"/>
        <v>0.20336303647469889</v>
      </c>
      <c r="G53" s="29">
        <f t="shared" si="21"/>
        <v>0.20298281991725364</v>
      </c>
      <c r="H53" s="29">
        <f t="shared" si="21"/>
        <v>0.20416474331138323</v>
      </c>
      <c r="I53" s="29">
        <f t="shared" si="21"/>
        <v>0.20543539404633882</v>
      </c>
      <c r="J53" s="29">
        <f t="shared" si="21"/>
        <v>0.20693610119814498</v>
      </c>
      <c r="K53" s="29">
        <f t="shared" si="21"/>
        <v>0.21048354369815092</v>
      </c>
      <c r="L53" s="29">
        <f t="shared" si="21"/>
        <v>0.2134082252985785</v>
      </c>
      <c r="M53" s="44">
        <f t="shared" si="21"/>
        <v>0.22119549272341132</v>
      </c>
      <c r="N53" s="29">
        <f t="shared" si="21"/>
        <v>0.22116788441301494</v>
      </c>
      <c r="O53" s="29">
        <f t="shared" si="21"/>
        <v>0.22115657011953349</v>
      </c>
      <c r="P53" s="29">
        <f t="shared" si="21"/>
        <v>0.22114963173633739</v>
      </c>
      <c r="Q53" s="29">
        <f t="shared" si="21"/>
        <v>0.22112923961587438</v>
      </c>
      <c r="R53" s="29">
        <f t="shared" si="21"/>
        <v>0.22110729102489979</v>
      </c>
      <c r="S53" s="29">
        <f t="shared" si="21"/>
        <v>0.22107311128405027</v>
      </c>
      <c r="T53" s="29">
        <f t="shared" si="21"/>
        <v>0.2210446176891061</v>
      </c>
      <c r="U53" s="29">
        <f t="shared" si="21"/>
        <v>0.2209846913722544</v>
      </c>
      <c r="V53" s="29">
        <f t="shared" si="21"/>
        <v>0.22095878526518964</v>
      </c>
      <c r="W53" s="29">
        <f t="shared" si="21"/>
        <v>0.22091708313291791</v>
      </c>
      <c r="X53" s="29">
        <f t="shared" si="21"/>
        <v>0.22089132568039671</v>
      </c>
      <c r="Y53" s="29">
        <f t="shared" si="21"/>
        <v>0.22086449615626458</v>
      </c>
      <c r="Z53" s="29">
        <f t="shared" si="21"/>
        <v>0.22082929132887874</v>
      </c>
      <c r="AA53" s="29">
        <f t="shared" si="21"/>
        <v>0.22079678581381501</v>
      </c>
      <c r="AB53" s="29">
        <f t="shared" si="21"/>
        <v>0.2207663049919939</v>
      </c>
      <c r="AC53" s="29">
        <f t="shared" si="21"/>
        <v>0.22074684370411435</v>
      </c>
      <c r="AD53" s="29">
        <f t="shared" si="21"/>
        <v>0.22072664149257626</v>
      </c>
      <c r="AE53" s="29">
        <f t="shared" si="21"/>
        <v>0.22069698507779334</v>
      </c>
      <c r="AF53" s="29">
        <f t="shared" si="21"/>
        <v>0.22060227454845627</v>
      </c>
      <c r="AG53" s="29">
        <f t="shared" si="21"/>
        <v>0.2205868658835427</v>
      </c>
      <c r="AH53" s="29">
        <f t="shared" ref="AH53:BI53" si="22">1-AH48/AH46</f>
        <v>0.22060668416784535</v>
      </c>
      <c r="AI53" s="29">
        <f t="shared" si="22"/>
        <v>0.22163582140520233</v>
      </c>
      <c r="AJ53" s="29">
        <f t="shared" si="22"/>
        <v>0.22196937178060594</v>
      </c>
      <c r="AK53" s="29">
        <f t="shared" si="22"/>
        <v>0.22207944792176393</v>
      </c>
      <c r="AL53" s="29">
        <f t="shared" si="22"/>
        <v>0.22212728158642858</v>
      </c>
      <c r="AM53" s="29">
        <f t="shared" si="22"/>
        <v>0.22215260389696678</v>
      </c>
      <c r="AN53" s="29">
        <f t="shared" si="22"/>
        <v>0.22216793800182111</v>
      </c>
      <c r="AO53" s="29">
        <f t="shared" si="22"/>
        <v>0.22217826446980626</v>
      </c>
      <c r="AP53" s="29">
        <f t="shared" si="22"/>
        <v>0.22218588221118163</v>
      </c>
      <c r="AQ53" s="29">
        <f t="shared" si="22"/>
        <v>0.22219195174381023</v>
      </c>
      <c r="AR53" s="29">
        <f t="shared" si="22"/>
        <v>0.22219709209874916</v>
      </c>
      <c r="AS53" s="29">
        <f t="shared" si="22"/>
        <v>0.2222016462758315</v>
      </c>
      <c r="AT53" s="29">
        <f t="shared" si="22"/>
        <v>0.22220581061373901</v>
      </c>
      <c r="AU53" s="29">
        <f t="shared" si="22"/>
        <v>0.22220970148065233</v>
      </c>
      <c r="AV53" s="29">
        <f t="shared" si="22"/>
        <v>0.22221339080758384</v>
      </c>
      <c r="AW53" s="29">
        <f t="shared" si="22"/>
        <v>0.22221692539165483</v>
      </c>
      <c r="AX53" s="29">
        <f t="shared" si="22"/>
        <v>0.22222033751201742</v>
      </c>
      <c r="AY53" s="29">
        <f t="shared" si="22"/>
        <v>0.22222365082356621</v>
      </c>
      <c r="AZ53" s="29">
        <f t="shared" si="22"/>
        <v>0.22222688366089505</v>
      </c>
      <c r="BA53" s="29">
        <f t="shared" si="22"/>
        <v>0.22223005091387382</v>
      </c>
      <c r="BB53" s="29">
        <f t="shared" si="22"/>
        <v>0.22223316511172719</v>
      </c>
      <c r="BC53" s="29">
        <f t="shared" si="22"/>
        <v>0.2222362370662434</v>
      </c>
      <c r="BD53" s="29">
        <f t="shared" si="22"/>
        <v>0.22223927626761608</v>
      </c>
      <c r="BE53" s="29">
        <f t="shared" si="22"/>
        <v>0.22224233269467142</v>
      </c>
      <c r="BF53" s="29">
        <f t="shared" si="22"/>
        <v>0.22224535694246406</v>
      </c>
      <c r="BG53" s="29">
        <f t="shared" si="22"/>
        <v>0.22224836120876834</v>
      </c>
      <c r="BH53" s="29">
        <f t="shared" si="22"/>
        <v>0.2222513541163037</v>
      </c>
      <c r="BI53" s="29">
        <f t="shared" si="22"/>
        <v>0.24775278841561721</v>
      </c>
    </row>
    <row r="54" spans="1:128" s="60" customFormat="1" ht="15" x14ac:dyDescent="0.2">
      <c r="A54" s="68" t="s">
        <v>82</v>
      </c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428"/>
      <c r="N54" s="70"/>
      <c r="O54" s="70"/>
      <c r="P54" s="70"/>
      <c r="Q54" s="70"/>
      <c r="R54" s="70"/>
      <c r="S54" s="70"/>
      <c r="T54" s="70"/>
      <c r="U54" s="70"/>
    </row>
    <row r="55" spans="1:128" s="75" customFormat="1" ht="16" x14ac:dyDescent="0.2">
      <c r="A55" s="497" t="s">
        <v>36</v>
      </c>
      <c r="B55" s="75">
        <f>+Results!B5</f>
        <v>8.4310900663108779</v>
      </c>
      <c r="C55" s="564">
        <f>+Results!C5</f>
        <v>6.6397842998354886</v>
      </c>
      <c r="D55" s="564">
        <f>+Results!D5</f>
        <v>5.6166541833748393</v>
      </c>
      <c r="E55" s="564">
        <f>+Results!E5</f>
        <v>4.8287983380619988</v>
      </c>
      <c r="F55" s="564">
        <f>+Results!F5</f>
        <v>4.2274768448397797</v>
      </c>
      <c r="G55" s="564">
        <f>+Results!G5</f>
        <v>3.8082798990896345</v>
      </c>
      <c r="H55" s="564">
        <f>+Results!H5</f>
        <v>3.4530813106478595</v>
      </c>
      <c r="I55" s="564">
        <f>+Results!I5</f>
        <v>3.166329950816221</v>
      </c>
      <c r="J55" s="564">
        <f>+Results!J5</f>
        <v>2.8881458316795663</v>
      </c>
      <c r="K55" s="564">
        <f>+Results!K5</f>
        <v>2.698645388448309</v>
      </c>
      <c r="L55" s="564">
        <f>+Results!L5</f>
        <v>2.5715553641959437</v>
      </c>
      <c r="M55" s="564">
        <f>+Results!M5</f>
        <v>2.4144381352801507</v>
      </c>
      <c r="N55" s="564">
        <f>+Results!N5</f>
        <v>2.290692485111566</v>
      </c>
      <c r="O55" s="564">
        <f>+Results!O5</f>
        <v>2.2095431026309145</v>
      </c>
      <c r="P55" s="564">
        <f>+Results!P5</f>
        <v>2.1685306029050841</v>
      </c>
      <c r="Q55" s="564">
        <f>+Results!Q5</f>
        <v>2.1287460088635966</v>
      </c>
      <c r="R55" s="564">
        <f>+Results!R5</f>
        <v>2.1113519854660878</v>
      </c>
      <c r="S55" s="564">
        <f>+Results!S5</f>
        <v>2.1041812298972702</v>
      </c>
      <c r="T55" s="564">
        <f>+Results!T5</f>
        <v>2.0563291610866319</v>
      </c>
      <c r="U55" s="564">
        <f>+Results!U5</f>
        <v>1.9465644903875654</v>
      </c>
      <c r="V55" s="564">
        <f>+Results!V5</f>
        <v>1.9519722864117253</v>
      </c>
      <c r="W55" s="564">
        <f>+Results!W5</f>
        <v>1.9429617320501931</v>
      </c>
      <c r="X55" s="564">
        <f>+Results!X5</f>
        <v>1.9254047120829867</v>
      </c>
      <c r="Y55" s="564">
        <f>+Results!Y5</f>
        <v>1.910492044876652</v>
      </c>
      <c r="Z55" s="564">
        <f>+Results!Z5</f>
        <v>1.9002876251094407</v>
      </c>
      <c r="AA55" s="564">
        <f>+Results!AA5</f>
        <v>1.8904591719977082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1.8268770466636334E-5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128" s="75" customFormat="1" ht="15" x14ac:dyDescent="0.2">
      <c r="A56" s="74" t="s">
        <v>1</v>
      </c>
      <c r="B56" s="29">
        <f>SUM(US:OthAsia!B71)</f>
        <v>6.8310900663108773</v>
      </c>
      <c r="C56" s="29">
        <f>SUM(US:OthAsia!C71)</f>
        <v>5.3597842998354883</v>
      </c>
      <c r="D56" s="29">
        <f>SUM(US:OthAsia!D71)</f>
        <v>4.5926541833748402</v>
      </c>
      <c r="E56" s="29">
        <f>SUM(US:OthAsia!E71)</f>
        <v>4.0095983380619993</v>
      </c>
      <c r="F56" s="29">
        <f>SUM(US:OthAsia!F71)</f>
        <v>3.5721168448397802</v>
      </c>
      <c r="G56" s="29">
        <f>SUM(US:OthAsia!G71)</f>
        <v>3.2839918990896342</v>
      </c>
      <c r="H56" s="29">
        <f>SUM(US:OthAsia!H71)</f>
        <v>3.0336509106478595</v>
      </c>
      <c r="I56" s="29">
        <f>SUM(US:OthAsia!I71)</f>
        <v>2.8307856308162207</v>
      </c>
      <c r="J56" s="29">
        <f>SUM(US:OthAsia!J71)</f>
        <v>2.6197103756795661</v>
      </c>
      <c r="K56" s="29">
        <f>SUM(US:OthAsia!K71)</f>
        <v>2.4838970236483089</v>
      </c>
      <c r="L56" s="29">
        <f>SUM(US:OthAsia!L71)</f>
        <v>2.3997566723559434</v>
      </c>
      <c r="M56" s="44">
        <f>SUM(US:OthAsia!M71)</f>
        <v>2.2769991818081512</v>
      </c>
      <c r="N56" s="29">
        <f>SUM(US:OthAsia!N71)</f>
        <v>2.180741322333966</v>
      </c>
      <c r="O56" s="29">
        <f>SUM(US:OthAsia!O71)</f>
        <v>2.1215821724088344</v>
      </c>
      <c r="P56" s="29">
        <f>SUM(US:OthAsia!P71)</f>
        <v>2.09816185872742</v>
      </c>
      <c r="Q56" s="29">
        <f>SUM(US:OthAsia!Q71)</f>
        <v>2.0724510135214649</v>
      </c>
      <c r="R56" s="29">
        <f>SUM(US:OthAsia!R71)</f>
        <v>2.066315989192383</v>
      </c>
      <c r="S56" s="29">
        <f>SUM(US:OthAsia!S71)</f>
        <v>2.0681524328783061</v>
      </c>
      <c r="T56" s="29">
        <f>SUM(US:OthAsia!T71)</f>
        <v>2.0275061234714609</v>
      </c>
      <c r="U56" s="29">
        <f>SUM(US:OthAsia!U71)</f>
        <v>1.9235060602954286</v>
      </c>
      <c r="V56" s="29">
        <f>SUM(US:OthAsia!V71)</f>
        <v>1.9335255423380155</v>
      </c>
      <c r="W56" s="29">
        <f>SUM(US:OthAsia!W71)</f>
        <v>1.9282043367912254</v>
      </c>
      <c r="X56" s="29">
        <f>SUM(US:OthAsia!X71)</f>
        <v>1.9135987958758127</v>
      </c>
      <c r="Y56" s="29">
        <f>SUM(US:OthAsia!Y71)</f>
        <v>1.9010473119109128</v>
      </c>
      <c r="Z56" s="29">
        <f>SUM(US:OthAsia!Z71)</f>
        <v>1.8927318387368495</v>
      </c>
      <c r="AA56" s="29">
        <f>SUM(US:OthAsia!AA71)</f>
        <v>1.8844145428996348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5" customFormat="1" ht="15" x14ac:dyDescent="0.2">
      <c r="A57" s="74" t="s">
        <v>243</v>
      </c>
      <c r="B57" s="29">
        <f t="shared" ref="B57:AG57" si="23">+B56/B39</f>
        <v>0.13733648347751126</v>
      </c>
      <c r="C57" s="29">
        <f t="shared" si="23"/>
        <v>0.10604392172760706</v>
      </c>
      <c r="D57" s="29">
        <f t="shared" si="23"/>
        <v>8.9246961765395594E-2</v>
      </c>
      <c r="E57" s="29">
        <f t="shared" si="23"/>
        <v>7.662882188343613E-2</v>
      </c>
      <c r="F57" s="29">
        <f t="shared" si="23"/>
        <v>6.6400256402661881E-2</v>
      </c>
      <c r="G57" s="29">
        <f t="shared" si="23"/>
        <v>5.8755423217022026E-2</v>
      </c>
      <c r="H57" s="29">
        <f t="shared" si="23"/>
        <v>5.2314067731813574E-2</v>
      </c>
      <c r="I57" s="29">
        <f t="shared" si="23"/>
        <v>4.6975889863325175E-2</v>
      </c>
      <c r="J57" s="29">
        <f t="shared" si="23"/>
        <v>4.2414248198199243E-2</v>
      </c>
      <c r="K57" s="29">
        <f t="shared" si="23"/>
        <v>3.8775313242063632E-2</v>
      </c>
      <c r="L57" s="29">
        <f t="shared" si="23"/>
        <v>3.5730546011668154E-2</v>
      </c>
      <c r="M57" s="44">
        <f t="shared" si="23"/>
        <v>3.312349032932254E-2</v>
      </c>
      <c r="N57" s="29">
        <f t="shared" si="23"/>
        <v>3.0888186894044913E-2</v>
      </c>
      <c r="O57" s="29">
        <f t="shared" si="23"/>
        <v>2.8981913120008508E-2</v>
      </c>
      <c r="P57" s="29">
        <f t="shared" si="23"/>
        <v>2.728652468662825E-2</v>
      </c>
      <c r="Q57" s="29">
        <f t="shared" si="23"/>
        <v>2.5784745310951592E-2</v>
      </c>
      <c r="R57" s="29">
        <f t="shared" si="23"/>
        <v>2.4459578172192582E-2</v>
      </c>
      <c r="S57" s="29">
        <f t="shared" si="23"/>
        <v>2.3292964090584331E-2</v>
      </c>
      <c r="T57" s="29">
        <f t="shared" si="23"/>
        <v>2.2228436418879761E-2</v>
      </c>
      <c r="U57" s="29">
        <f t="shared" si="23"/>
        <v>2.1245074218435023E-2</v>
      </c>
      <c r="V57" s="29">
        <f t="shared" si="23"/>
        <v>2.0334067199550984E-2</v>
      </c>
      <c r="W57" s="29">
        <f t="shared" si="23"/>
        <v>1.9524821029054944E-2</v>
      </c>
      <c r="X57" s="29">
        <f t="shared" si="23"/>
        <v>1.8778824053118232E-2</v>
      </c>
      <c r="Y57" s="29">
        <f t="shared" si="23"/>
        <v>1.8070273226863574E-2</v>
      </c>
      <c r="Z57" s="29">
        <f t="shared" si="23"/>
        <v>1.7402472659810209E-2</v>
      </c>
      <c r="AA57" s="29">
        <f t="shared" si="23"/>
        <v>1.6763293731979798E-2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0" customFormat="1" ht="15" x14ac:dyDescent="0.2">
      <c r="A58" s="68" t="s">
        <v>2</v>
      </c>
      <c r="B58" s="70"/>
      <c r="C58" s="70"/>
      <c r="D58" s="70"/>
      <c r="E58" s="70"/>
      <c r="F58" s="70"/>
      <c r="G58" s="70"/>
      <c r="H58" s="70"/>
      <c r="I58" s="70"/>
      <c r="J58" s="70"/>
      <c r="M58" s="428"/>
    </row>
    <row r="59" spans="1:128" s="77" customFormat="1" ht="15" x14ac:dyDescent="0.2">
      <c r="A59" s="76" t="s">
        <v>1253</v>
      </c>
      <c r="B59" s="77">
        <f>+Parameters!B75</f>
        <v>787</v>
      </c>
      <c r="C59" s="77">
        <f>+Parameters!B76</f>
        <v>829</v>
      </c>
      <c r="D59" s="77">
        <f>$B13*C59/100+$B14*C61/100+Results!C5*10</f>
        <v>872.0607148383549</v>
      </c>
      <c r="E59" s="77">
        <f>$B13*D59/100+$B14*D61/100+Results!D5*10</f>
        <v>900.79307705634722</v>
      </c>
      <c r="F59" s="77">
        <f>$B13*E59/100+$B14*E61/100+Results!E5*10</f>
        <v>919.45662646689073</v>
      </c>
      <c r="G59" s="77">
        <f>$B13*F59/100+$B14*F61/100+Results!F5*10</f>
        <v>931.2217302030765</v>
      </c>
      <c r="H59" s="77">
        <f>$B13*G59/100+$B14*G61/100+Results!G5*10</f>
        <v>938.77234585236295</v>
      </c>
      <c r="I59" s="77">
        <f>$B13*H59/100+$B14*H61/100+Results!H5*10</f>
        <v>943.24834277610057</v>
      </c>
      <c r="J59" s="77">
        <f>$B13*I59/100+$B14*I61/100+Results!I5*10</f>
        <v>945.67381454577026</v>
      </c>
      <c r="K59" s="77">
        <f>$B13*J59/100+$B14*J61/100+Results!J5*10</f>
        <v>946.33533966287564</v>
      </c>
      <c r="L59" s="77">
        <f>$B13*K59/100+$B14*K61/100+Results!K5*10</f>
        <v>946.27705176711652</v>
      </c>
      <c r="M59" s="428">
        <f>$B13*L59/100+$B14*L61/100+Results!L5*10</f>
        <v>946.14793340170536</v>
      </c>
      <c r="N59" s="77">
        <f>$B13*M59/100+$B14*M61/100+Results!M5*10</f>
        <v>945.59385485019425</v>
      </c>
      <c r="O59" s="77">
        <f>$B13*N59/100+$B14*N61/100+Results!N5*10</f>
        <v>944.94001947716765</v>
      </c>
      <c r="P59" s="77">
        <f>$B13*O59/100+$B14*O61/100+Results!O5*10</f>
        <v>944.56555528783645</v>
      </c>
      <c r="Q59" s="77">
        <f>$B13*P59/100+$B14*P61/100+Results!P5*10</f>
        <v>944.78200217393442</v>
      </c>
      <c r="R59" s="77">
        <f>$B13*Q59/100+$B14*Q61/100+Results!Q5*10</f>
        <v>945.47893628717043</v>
      </c>
      <c r="S59" s="77">
        <f>$B13*R59/100+$B14*R61/100+Results!R5*10</f>
        <v>946.77684573181182</v>
      </c>
      <c r="T59" s="77">
        <f>$B13*S59/100+$B14*S61/100+Results!S5*10</f>
        <v>948.66518390289843</v>
      </c>
      <c r="U59" s="77">
        <f>$B13*T59/100+$B14*T61/100+Results!T5*10</f>
        <v>950.63113558372334</v>
      </c>
      <c r="V59" s="77">
        <f>$B13*U59/100+$B14*U61/100+Results!U5*10</f>
        <v>952.01627559115866</v>
      </c>
      <c r="W59" s="77">
        <f>$B13*V59/100+$B14*V61/100+Results!V5*10</f>
        <v>954.01404187931269</v>
      </c>
      <c r="X59" s="77">
        <f>$B13*W59/100+$B14*W61/100+Results!W5*10</f>
        <v>956.37693215841193</v>
      </c>
      <c r="Y59" s="77">
        <f>$B13*X59/100+$B14*X61/100+Results!X5*10</f>
        <v>958.95087504224557</v>
      </c>
      <c r="Z59" s="77">
        <f>$B13*Y59/100+$B14*Y61/100+Results!Y5*10</f>
        <v>961.7155496478473</v>
      </c>
      <c r="AA59" s="77">
        <f>$B13*Z59/100+$B14*Z61/100+Results!Z5*10</f>
        <v>964.67602197187341</v>
      </c>
      <c r="AB59" s="77">
        <f>$B13*AA59/100+$B14*AA61/100+Results!AA5*10</f>
        <v>967.79550173831262</v>
      </c>
      <c r="AC59" s="77">
        <f>$B13*AB59/100+$B14*AB61/100+Results!AB5*10</f>
        <v>952.28189870482424</v>
      </c>
      <c r="AD59" s="77">
        <f>$B13*AC59/100+$B14*AC61/100+Results!AC5*10</f>
        <v>939.20437035761756</v>
      </c>
      <c r="AE59" s="77">
        <f>$B13*AD59/100+$B14*AD61/100+Results!AD5*10</f>
        <v>928.15466449145333</v>
      </c>
      <c r="AF59" s="77">
        <f>$B13*AE59/100+$B14*AE61/100+Results!AE5*10</f>
        <v>918.79301887662825</v>
      </c>
      <c r="AG59" s="77">
        <f>$B13*AF59/100+$B14*AF61/100+Results!AF5*10</f>
        <v>910.83667999061288</v>
      </c>
      <c r="AH59" s="77">
        <f>$B13*AG59/100+$B14*AG61/100+Results!AG5*10</f>
        <v>904.05034452017117</v>
      </c>
      <c r="AI59" s="77">
        <f>$B13*AH59/100+$B14*AH61/100+Results!AH5*10</f>
        <v>898.23820200627574</v>
      </c>
      <c r="AJ59" s="77">
        <f>$B13*AI59/100+$B14*AI61/100+Results!AI5*10</f>
        <v>893.23731072750127</v>
      </c>
      <c r="AK59" s="77">
        <f>$B13*AJ59/100+$B14*AJ61/100+Results!AJ5*10</f>
        <v>888.91208368257048</v>
      </c>
      <c r="AL59" s="77">
        <f>$B13*AK59/100+$B14*AK61/100+Results!AK5*10</f>
        <v>885.14969883007757</v>
      </c>
      <c r="AM59" s="77">
        <f>$B13*AL59/100+$B14*AL61/100+Results!AL5*10</f>
        <v>881.85627881636924</v>
      </c>
      <c r="AN59" s="77">
        <f>$B13*AM59/100+$B14*AM61/100+Results!AM5*10</f>
        <v>878.95371130792296</v>
      </c>
      <c r="AO59" s="77">
        <f>$B13*AN59/100+$B14*AN61/100+Results!AN5*10</f>
        <v>876.37700260681061</v>
      </c>
      <c r="AP59" s="77">
        <f>$B13*AO59/100+$B14*AO61/100+Results!AO5*10</f>
        <v>874.07207518770599</v>
      </c>
      <c r="AQ59" s="77">
        <f>$B13*AP59/100+$B14*AP61/100+Results!AP5*10</f>
        <v>871.99393475324246</v>
      </c>
      <c r="AR59" s="77">
        <f>$B13*AQ59/100+$B14*AQ61/100+Results!AQ5*10</f>
        <v>870.10514486215379</v>
      </c>
      <c r="AS59" s="77">
        <f>$B13*AR59/100+$B14*AR61/100+Results!AR5*10</f>
        <v>868.374557558986</v>
      </c>
      <c r="AT59" s="77">
        <f>$B13*AS59/100+$B14*AS61/100+Results!AS5*10</f>
        <v>866.77625707309755</v>
      </c>
      <c r="AU59" s="77">
        <f>$B13*AT59/100+$B14*AT61/100+Results!AT5*10</f>
        <v>865.28868084808425</v>
      </c>
      <c r="AV59" s="77">
        <f>$B13*AU59/100+$B14*AU61/100+Results!AU5*10</f>
        <v>863.8938881522015</v>
      </c>
      <c r="AW59" s="77">
        <f>$B13*AV59/100+$B14*AV61/100+Results!AV5*10</f>
        <v>862.57695150706797</v>
      </c>
      <c r="AX59" s="77">
        <f>$B13*AW59/100+$B14*AW61/100+Results!AW5*10</f>
        <v>861.32545032358701</v>
      </c>
      <c r="AY59" s="77">
        <f>$B13*AX59/100+$B14*AX61/100+Results!AX5*10</f>
        <v>860.12904959028242</v>
      </c>
      <c r="AZ59" s="77">
        <f>$B13*AY59/100+$B14*AY61/100+Results!AY5*10</f>
        <v>858.97914933645245</v>
      </c>
      <c r="BA59" s="77">
        <f>$B13*AZ59/100+$B14*AZ61/100+Results!AZ5*10</f>
        <v>857.86859298761772</v>
      </c>
      <c r="BB59" s="77">
        <f>$B13*BA59/100+$B14*BA61/100+Results!BA5*10</f>
        <v>856.79142472436627</v>
      </c>
      <c r="BC59" s="77">
        <f>$B13*BB59/100+$B14*BB61/100+Results!BB5*10</f>
        <v>855.74268761511962</v>
      </c>
      <c r="BD59" s="77">
        <f>$B13*BC59/100+$B14*BC61/100+Results!BC5*10</f>
        <v>854.71825567451174</v>
      </c>
      <c r="BE59" s="77">
        <f>$B13*BD59/100+$B14*BD61/100+Results!BD5*10</f>
        <v>853.71469414861372</v>
      </c>
      <c r="BF59" s="77">
        <f>$B13*BE59/100+$B14*BE61/100+Results!BE5*10</f>
        <v>852.72914328495278</v>
      </c>
      <c r="BG59" s="77">
        <f>$B13*BF59/100+$B14*BF61/100+Results!BF5*10</f>
        <v>851.75922164149461</v>
      </c>
      <c r="BH59" s="77">
        <f>$B13*BG59/100+$B14*BG61/100+Results!BG5*10</f>
        <v>850.80294565136285</v>
      </c>
      <c r="BI59" s="77">
        <f>$B13*BH59/100+$B14*BH61/100+Results!BH5*10</f>
        <v>849.85866271149018</v>
      </c>
      <c r="BJ59" s="77">
        <f>$B13*BI59/100+$B14*BI61/100+Results!BI5*10</f>
        <v>848.92499552225377</v>
      </c>
      <c r="BK59" s="77">
        <f t="shared" ref="BK59:CP59" si="25">$B13*BJ59/100+$B14*BJ61/100+BJ55*10</f>
        <v>848.00077126704809</v>
      </c>
      <c r="BL59" s="77">
        <f t="shared" si="25"/>
        <v>847.08506450442451</v>
      </c>
      <c r="BM59" s="77">
        <f t="shared" si="25"/>
        <v>846.17707381820765</v>
      </c>
      <c r="BN59" s="77">
        <f t="shared" si="25"/>
        <v>845.27613009135575</v>
      </c>
      <c r="BO59" s="77">
        <f t="shared" si="25"/>
        <v>844.38167422724518</v>
      </c>
      <c r="BP59" s="77">
        <f t="shared" si="25"/>
        <v>843.493238624539</v>
      </c>
      <c r="BQ59" s="77">
        <f t="shared" si="25"/>
        <v>842.61043177321824</v>
      </c>
      <c r="BR59" s="77">
        <f t="shared" si="25"/>
        <v>841.73292544590504</v>
      </c>
      <c r="BS59" s="77">
        <f t="shared" si="25"/>
        <v>840.86044404720906</v>
      </c>
      <c r="BT59" s="77">
        <f t="shared" si="25"/>
        <v>839.99275575750391</v>
      </c>
      <c r="BU59" s="77">
        <f t="shared" si="25"/>
        <v>839.12966516879555</v>
      </c>
      <c r="BV59" s="77">
        <f t="shared" si="25"/>
        <v>838.27100716129166</v>
      </c>
      <c r="BW59" s="77">
        <f t="shared" si="25"/>
        <v>837.41664181162821</v>
      </c>
      <c r="BX59" s="77">
        <f t="shared" si="25"/>
        <v>836.56645015893662</v>
      </c>
      <c r="BY59" s="77">
        <f t="shared" si="25"/>
        <v>835.72033068421774</v>
      </c>
      <c r="BZ59" s="77">
        <f t="shared" si="25"/>
        <v>834.87819638284179</v>
      </c>
      <c r="CA59" s="77">
        <f t="shared" si="25"/>
        <v>834.03997233023938</v>
      </c>
      <c r="CB59" s="77">
        <f t="shared" si="25"/>
        <v>833.20559365769088</v>
      </c>
      <c r="CC59" s="77">
        <f t="shared" si="25"/>
        <v>832.3750038691179</v>
      </c>
      <c r="CD59" s="77">
        <f t="shared" si="25"/>
        <v>831.54815344142173</v>
      </c>
      <c r="CE59" s="77">
        <f t="shared" si="25"/>
        <v>830.7249986605982</v>
      </c>
      <c r="CF59" s="77">
        <f t="shared" si="25"/>
        <v>829.90550065390278</v>
      </c>
      <c r="CG59" s="77">
        <f t="shared" si="25"/>
        <v>829.08962458503311</v>
      </c>
      <c r="CH59" s="77">
        <f t="shared" si="25"/>
        <v>828.27733898486645</v>
      </c>
      <c r="CI59" s="77">
        <f t="shared" si="25"/>
        <v>827.46861519491085</v>
      </c>
      <c r="CJ59" s="77">
        <f t="shared" si="25"/>
        <v>826.66342690448027</v>
      </c>
      <c r="CK59" s="77">
        <f t="shared" si="25"/>
        <v>825.86174976580185</v>
      </c>
      <c r="CL59" s="77">
        <f t="shared" si="25"/>
        <v>825.06356107392799</v>
      </c>
      <c r="CM59" s="77">
        <f t="shared" si="25"/>
        <v>824.26883950053025</v>
      </c>
      <c r="CN59" s="77">
        <f t="shared" si="25"/>
        <v>823.4775648725016</v>
      </c>
      <c r="CO59" s="77">
        <f t="shared" si="25"/>
        <v>822.68971798781456</v>
      </c>
      <c r="CP59" s="77">
        <f t="shared" si="25"/>
        <v>821.9052804623592</v>
      </c>
      <c r="CQ59" s="77">
        <f t="shared" ref="CQ59:DX59" si="26">$B13*CP59/100+$B14*CP61/100+CP55*10</f>
        <v>821.1242346025424</v>
      </c>
      <c r="CR59" s="77">
        <f t="shared" si="26"/>
        <v>820.34656329930704</v>
      </c>
      <c r="CS59" s="77">
        <f t="shared" si="26"/>
        <v>819.5722499399626</v>
      </c>
      <c r="CT59" s="77">
        <f t="shared" si="26"/>
        <v>818.80127833482675</v>
      </c>
      <c r="CU59" s="77">
        <f t="shared" si="26"/>
        <v>818.03363265618327</v>
      </c>
      <c r="CV59" s="77">
        <f t="shared" si="26"/>
        <v>817.26929738747947</v>
      </c>
      <c r="CW59" s="77">
        <f t="shared" si="26"/>
        <v>816.5082572810395</v>
      </c>
      <c r="CX59" s="77">
        <f t="shared" si="26"/>
        <v>815.75049732285947</v>
      </c>
      <c r="CY59" s="77">
        <f t="shared" si="26"/>
        <v>814.99600270329006</v>
      </c>
      <c r="CZ59" s="77">
        <f t="shared" si="26"/>
        <v>814.24475879261513</v>
      </c>
      <c r="DA59" s="77">
        <f t="shared" si="26"/>
        <v>813.49675112070236</v>
      </c>
      <c r="DB59" s="77">
        <f t="shared" si="26"/>
        <v>812.75196536003966</v>
      </c>
      <c r="DC59" s="77">
        <f t="shared" si="26"/>
        <v>812.01038731158656</v>
      </c>
      <c r="DD59" s="77">
        <f t="shared" si="26"/>
        <v>811.27200289296661</v>
      </c>
      <c r="DE59" s="77">
        <f t="shared" si="26"/>
        <v>810.5367981286081</v>
      </c>
      <c r="DF59" s="77">
        <f t="shared" si="26"/>
        <v>809.80475914150236</v>
      </c>
      <c r="DG59" s="77">
        <f t="shared" si="26"/>
        <v>809.07587214630917</v>
      </c>
      <c r="DH59" s="77">
        <f t="shared" si="26"/>
        <v>808.35012344358267</v>
      </c>
      <c r="DI59" s="77">
        <f t="shared" si="26"/>
        <v>807.62749941492746</v>
      </c>
      <c r="DJ59" s="77">
        <f t="shared" si="26"/>
        <v>806.90798651892987</v>
      </c>
      <c r="DK59" s="77">
        <f t="shared" si="26"/>
        <v>806.19157128773327</v>
      </c>
      <c r="DL59" s="77">
        <f t="shared" si="26"/>
        <v>805.47824032415019</v>
      </c>
      <c r="DM59" s="77">
        <f t="shared" si="26"/>
        <v>804.76798029921838</v>
      </c>
      <c r="DN59" s="77">
        <f t="shared" si="26"/>
        <v>804.06077795012959</v>
      </c>
      <c r="DO59" s="77">
        <f t="shared" si="26"/>
        <v>803.35662007846588</v>
      </c>
      <c r="DP59" s="77">
        <f t="shared" si="26"/>
        <v>802.65549354869268</v>
      </c>
      <c r="DQ59" s="77">
        <f t="shared" si="26"/>
        <v>801.95738528686593</v>
      </c>
      <c r="DR59" s="77">
        <f t="shared" si="26"/>
        <v>801.26228227951651</v>
      </c>
      <c r="DS59" s="77">
        <f t="shared" si="26"/>
        <v>800.57017157268365</v>
      </c>
      <c r="DT59" s="77">
        <f t="shared" si="26"/>
        <v>799.88104027107011</v>
      </c>
      <c r="DU59" s="77">
        <f t="shared" si="26"/>
        <v>799.19487553730153</v>
      </c>
      <c r="DV59" s="77">
        <f t="shared" si="26"/>
        <v>798.51166459127046</v>
      </c>
      <c r="DW59" s="77">
        <f t="shared" si="26"/>
        <v>797.83139470955166</v>
      </c>
      <c r="DX59" s="77">
        <f t="shared" si="26"/>
        <v>797.15405322487766</v>
      </c>
    </row>
    <row r="60" spans="1:128" s="77" customFormat="1" ht="15" x14ac:dyDescent="0.2">
      <c r="A60" s="76" t="s">
        <v>148</v>
      </c>
      <c r="B60" s="77">
        <f t="shared" ref="B60:AG60" si="27">+B59/2.13</f>
        <v>369.48356807511738</v>
      </c>
      <c r="C60" s="77">
        <f t="shared" si="27"/>
        <v>389.20187793427232</v>
      </c>
      <c r="D60" s="77">
        <f t="shared" si="27"/>
        <v>409.41817598044832</v>
      </c>
      <c r="E60" s="77">
        <f t="shared" si="27"/>
        <v>422.90754791377805</v>
      </c>
      <c r="F60" s="77">
        <f t="shared" si="27"/>
        <v>431.6697776839863</v>
      </c>
      <c r="G60" s="77">
        <f t="shared" si="27"/>
        <v>437.19330056482465</v>
      </c>
      <c r="H60" s="77">
        <f t="shared" si="27"/>
        <v>440.73819054101551</v>
      </c>
      <c r="I60" s="77">
        <f t="shared" si="27"/>
        <v>442.83959754746508</v>
      </c>
      <c r="J60" s="77">
        <f t="shared" si="27"/>
        <v>443.97831668815508</v>
      </c>
      <c r="K60" s="77">
        <f t="shared" si="27"/>
        <v>444.28889186050503</v>
      </c>
      <c r="L60" s="77">
        <f t="shared" si="27"/>
        <v>444.26152665122845</v>
      </c>
      <c r="M60" s="428">
        <f t="shared" si="27"/>
        <v>444.20090770033119</v>
      </c>
      <c r="N60" s="77">
        <f t="shared" si="27"/>
        <v>443.94077692497387</v>
      </c>
      <c r="O60" s="77">
        <f t="shared" si="27"/>
        <v>443.63381196111158</v>
      </c>
      <c r="P60" s="77">
        <f t="shared" si="27"/>
        <v>443.45800717738803</v>
      </c>
      <c r="Q60" s="77">
        <f t="shared" si="27"/>
        <v>443.55962543377206</v>
      </c>
      <c r="R60" s="77">
        <f t="shared" si="27"/>
        <v>443.88682454796736</v>
      </c>
      <c r="S60" s="77">
        <f t="shared" si="27"/>
        <v>444.49617170507599</v>
      </c>
      <c r="T60" s="77">
        <f t="shared" si="27"/>
        <v>445.38271544737017</v>
      </c>
      <c r="U60" s="77">
        <f t="shared" si="27"/>
        <v>446.30569745714712</v>
      </c>
      <c r="V60" s="77">
        <f t="shared" si="27"/>
        <v>446.95599793012144</v>
      </c>
      <c r="W60" s="77">
        <f t="shared" si="27"/>
        <v>447.89391637526421</v>
      </c>
      <c r="X60" s="77">
        <f t="shared" si="27"/>
        <v>449.00325453446573</v>
      </c>
      <c r="Y60" s="77">
        <f t="shared" si="27"/>
        <v>450.21167842358949</v>
      </c>
      <c r="Z60" s="77">
        <f t="shared" si="27"/>
        <v>451.50964772199404</v>
      </c>
      <c r="AA60" s="77">
        <f t="shared" si="27"/>
        <v>452.89954083186547</v>
      </c>
      <c r="AB60" s="77">
        <f t="shared" si="27"/>
        <v>454.36408532315147</v>
      </c>
      <c r="AC60" s="77">
        <f t="shared" si="27"/>
        <v>447.08070361728841</v>
      </c>
      <c r="AD60" s="77">
        <f t="shared" si="27"/>
        <v>440.94101894723832</v>
      </c>
      <c r="AE60" s="77">
        <f t="shared" si="27"/>
        <v>435.75336361101097</v>
      </c>
      <c r="AF60" s="77">
        <f t="shared" si="27"/>
        <v>431.35822482470815</v>
      </c>
      <c r="AG60" s="77">
        <f t="shared" si="27"/>
        <v>427.62285445568682</v>
      </c>
      <c r="AH60" s="77">
        <f t="shared" ref="AH60:BM60" si="28">+AH59/2.13</f>
        <v>424.43678146486911</v>
      </c>
      <c r="AI60" s="77">
        <f t="shared" si="28"/>
        <v>421.70807605928439</v>
      </c>
      <c r="AJ60" s="77">
        <f t="shared" si="28"/>
        <v>419.36023977816961</v>
      </c>
      <c r="AK60" s="77">
        <f t="shared" si="28"/>
        <v>417.3296167523805</v>
      </c>
      <c r="AL60" s="77">
        <f t="shared" si="28"/>
        <v>415.5632388873604</v>
      </c>
      <c r="AM60" s="77">
        <f t="shared" si="28"/>
        <v>414.01703230815457</v>
      </c>
      <c r="AN60" s="77">
        <f t="shared" si="28"/>
        <v>412.65432455771031</v>
      </c>
      <c r="AO60" s="77">
        <f t="shared" si="28"/>
        <v>411.44460216282192</v>
      </c>
      <c r="AP60" s="77">
        <f t="shared" si="28"/>
        <v>410.36247661394651</v>
      </c>
      <c r="AQ60" s="77">
        <f t="shared" si="28"/>
        <v>409.38682382781337</v>
      </c>
      <c r="AR60" s="77">
        <f t="shared" si="28"/>
        <v>408.50006801040087</v>
      </c>
      <c r="AS60" s="77">
        <f t="shared" si="28"/>
        <v>407.68758570844415</v>
      </c>
      <c r="AT60" s="77">
        <f t="shared" si="28"/>
        <v>406.93720989347304</v>
      </c>
      <c r="AU60" s="77">
        <f t="shared" si="28"/>
        <v>406.23881729957009</v>
      </c>
      <c r="AV60" s="77">
        <f t="shared" si="28"/>
        <v>405.58398504798197</v>
      </c>
      <c r="AW60" s="77">
        <f t="shared" si="28"/>
        <v>404.96570493289579</v>
      </c>
      <c r="AX60" s="77">
        <f t="shared" si="28"/>
        <v>404.3781456918249</v>
      </c>
      <c r="AY60" s="77">
        <f t="shared" si="28"/>
        <v>403.81645520670537</v>
      </c>
      <c r="AZ60" s="77">
        <f t="shared" si="28"/>
        <v>403.27659593260682</v>
      </c>
      <c r="BA60" s="77">
        <f t="shared" si="28"/>
        <v>402.75520797540742</v>
      </c>
      <c r="BB60" s="77">
        <f t="shared" si="28"/>
        <v>402.24949517575885</v>
      </c>
      <c r="BC60" s="77">
        <f t="shared" si="28"/>
        <v>401.75713033573692</v>
      </c>
      <c r="BD60" s="77">
        <f t="shared" si="28"/>
        <v>401.27617637301023</v>
      </c>
      <c r="BE60" s="77">
        <f t="shared" si="28"/>
        <v>400.80502072704871</v>
      </c>
      <c r="BF60" s="77">
        <f t="shared" si="28"/>
        <v>400.34232079105766</v>
      </c>
      <c r="BG60" s="77">
        <f t="shared" si="28"/>
        <v>399.88695851713362</v>
      </c>
      <c r="BH60" s="77">
        <f t="shared" si="28"/>
        <v>399.43800265322199</v>
      </c>
      <c r="BI60" s="77">
        <f t="shared" si="28"/>
        <v>398.99467732933812</v>
      </c>
      <c r="BJ60" s="77">
        <f t="shared" si="28"/>
        <v>398.55633592594074</v>
      </c>
      <c r="BK60" s="77">
        <f t="shared" si="28"/>
        <v>398.12242782490523</v>
      </c>
      <c r="BL60" s="77">
        <f t="shared" si="28"/>
        <v>397.69251854667817</v>
      </c>
      <c r="BM60" s="77">
        <f t="shared" si="28"/>
        <v>397.2662318395341</v>
      </c>
      <c r="BN60" s="77">
        <f t="shared" ref="BN60:CS60" si="29">+BN59/2.13</f>
        <v>396.84325356401678</v>
      </c>
      <c r="BO60" s="77">
        <f t="shared" si="29"/>
        <v>396.42332123344846</v>
      </c>
      <c r="BP60" s="77">
        <f t="shared" si="29"/>
        <v>396.00621531668497</v>
      </c>
      <c r="BQ60" s="77">
        <f t="shared" si="29"/>
        <v>395.59175200620575</v>
      </c>
      <c r="BR60" s="77">
        <f t="shared" si="29"/>
        <v>395.17977720465029</v>
      </c>
      <c r="BS60" s="77">
        <f t="shared" si="29"/>
        <v>394.77016152451131</v>
      </c>
      <c r="BT60" s="77">
        <f t="shared" si="29"/>
        <v>394.36279613028353</v>
      </c>
      <c r="BU60" s="77">
        <f t="shared" si="29"/>
        <v>393.95758928112468</v>
      </c>
      <c r="BV60" s="77">
        <f t="shared" si="29"/>
        <v>393.55446345600552</v>
      </c>
      <c r="BW60" s="77">
        <f t="shared" si="29"/>
        <v>393.15335296320575</v>
      </c>
      <c r="BX60" s="77">
        <f t="shared" si="29"/>
        <v>392.75420195255242</v>
      </c>
      <c r="BY60" s="77">
        <f t="shared" si="29"/>
        <v>392.35696276254356</v>
      </c>
      <c r="BZ60" s="77">
        <f t="shared" si="29"/>
        <v>391.96159454593516</v>
      </c>
      <c r="CA60" s="77">
        <f t="shared" si="29"/>
        <v>391.56806212687297</v>
      </c>
      <c r="CB60" s="77">
        <f t="shared" si="29"/>
        <v>391.17633505055915</v>
      </c>
      <c r="CC60" s="77">
        <f t="shared" si="29"/>
        <v>390.78638679301309</v>
      </c>
      <c r="CD60" s="77">
        <f t="shared" si="29"/>
        <v>390.39819410395387</v>
      </c>
      <c r="CE60" s="77">
        <f t="shared" si="29"/>
        <v>390.01173646037478</v>
      </c>
      <c r="CF60" s="77">
        <f t="shared" si="29"/>
        <v>389.62699561216095</v>
      </c>
      <c r="CG60" s="77">
        <f t="shared" si="29"/>
        <v>389.24395520424093</v>
      </c>
      <c r="CH60" s="77">
        <f t="shared" si="29"/>
        <v>388.86260046237862</v>
      </c>
      <c r="CI60" s="77">
        <f t="shared" si="29"/>
        <v>388.48291793188304</v>
      </c>
      <c r="CJ60" s="77">
        <f t="shared" si="29"/>
        <v>388.10489526031938</v>
      </c>
      <c r="CK60" s="77">
        <f t="shared" si="29"/>
        <v>387.72852101680837</v>
      </c>
      <c r="CL60" s="77">
        <f t="shared" si="29"/>
        <v>387.35378454175026</v>
      </c>
      <c r="CM60" s="77">
        <f t="shared" si="29"/>
        <v>386.98067582184518</v>
      </c>
      <c r="CN60" s="77">
        <f t="shared" si="29"/>
        <v>386.60918538615101</v>
      </c>
      <c r="CO60" s="77">
        <f t="shared" si="29"/>
        <v>386.23930421963126</v>
      </c>
      <c r="CP60" s="77">
        <f t="shared" si="29"/>
        <v>385.87102369124847</v>
      </c>
      <c r="CQ60" s="77">
        <f t="shared" si="29"/>
        <v>385.50433549415141</v>
      </c>
      <c r="CR60" s="77">
        <f t="shared" si="29"/>
        <v>385.13923159591883</v>
      </c>
      <c r="CS60" s="77">
        <f t="shared" si="29"/>
        <v>384.77570419716557</v>
      </c>
      <c r="CT60" s="77">
        <f t="shared" ref="CT60:DX60" si="30">+CT59/2.13</f>
        <v>384.41374569710177</v>
      </c>
      <c r="CU60" s="77">
        <f t="shared" si="30"/>
        <v>384.05334866487482</v>
      </c>
      <c r="CV60" s="77">
        <f t="shared" si="30"/>
        <v>383.69450581571806</v>
      </c>
      <c r="CW60" s="77">
        <f t="shared" si="30"/>
        <v>383.3372099910984</v>
      </c>
      <c r="CX60" s="77">
        <f t="shared" si="30"/>
        <v>382.98145414218754</v>
      </c>
      <c r="CY60" s="77">
        <f t="shared" si="30"/>
        <v>382.62723131609863</v>
      </c>
      <c r="CZ60" s="77">
        <f t="shared" si="30"/>
        <v>382.27453464442027</v>
      </c>
      <c r="DA60" s="77">
        <f t="shared" si="30"/>
        <v>381.92335733366309</v>
      </c>
      <c r="DB60" s="77">
        <f t="shared" si="30"/>
        <v>381.57369265729562</v>
      </c>
      <c r="DC60" s="77">
        <f t="shared" si="30"/>
        <v>381.2255339491017</v>
      </c>
      <c r="DD60" s="77">
        <f t="shared" si="30"/>
        <v>380.87887459763692</v>
      </c>
      <c r="DE60" s="77">
        <f t="shared" si="30"/>
        <v>380.53370804160005</v>
      </c>
      <c r="DF60" s="77">
        <f t="shared" si="30"/>
        <v>380.19002776596358</v>
      </c>
      <c r="DG60" s="77">
        <f t="shared" si="30"/>
        <v>379.84782729873672</v>
      </c>
      <c r="DH60" s="77">
        <f t="shared" si="30"/>
        <v>379.50710020825477</v>
      </c>
      <c r="DI60" s="77">
        <f t="shared" si="30"/>
        <v>379.16784010090493</v>
      </c>
      <c r="DJ60" s="77">
        <f t="shared" si="30"/>
        <v>378.83004061921594</v>
      </c>
      <c r="DK60" s="77">
        <f t="shared" si="30"/>
        <v>378.49369544025041</v>
      </c>
      <c r="DL60" s="77">
        <f t="shared" si="30"/>
        <v>378.15879827424891</v>
      </c>
      <c r="DM60" s="77">
        <f t="shared" si="30"/>
        <v>377.82534286348283</v>
      </c>
      <c r="DN60" s="77">
        <f t="shared" si="30"/>
        <v>377.49332298128149</v>
      </c>
      <c r="DO60" s="77">
        <f t="shared" si="30"/>
        <v>377.16273243120463</v>
      </c>
      <c r="DP60" s="77">
        <f t="shared" si="30"/>
        <v>376.83356504633463</v>
      </c>
      <c r="DQ60" s="77">
        <f t="shared" si="30"/>
        <v>376.50581468866949</v>
      </c>
      <c r="DR60" s="77">
        <f t="shared" si="30"/>
        <v>376.17947524859932</v>
      </c>
      <c r="DS60" s="77">
        <f t="shared" si="30"/>
        <v>375.85454064445241</v>
      </c>
      <c r="DT60" s="77">
        <f t="shared" si="30"/>
        <v>375.53100482209868</v>
      </c>
      <c r="DU60" s="77">
        <f t="shared" si="30"/>
        <v>375.20886175460168</v>
      </c>
      <c r="DV60" s="77">
        <f t="shared" si="30"/>
        <v>374.88810544191102</v>
      </c>
      <c r="DW60" s="77">
        <f t="shared" si="30"/>
        <v>374.56872991058765</v>
      </c>
      <c r="DX60" s="77">
        <f t="shared" si="30"/>
        <v>374.25072921355758</v>
      </c>
    </row>
    <row r="61" spans="1:128" s="77" customFormat="1" ht="15" x14ac:dyDescent="0.2">
      <c r="A61" s="76" t="s">
        <v>3</v>
      </c>
      <c r="B61" s="77">
        <f>B10</f>
        <v>1600</v>
      </c>
      <c r="C61" s="77">
        <f t="shared" ref="C61:AH61" si="31">B59* $B15/100+B61* $B16/100+B62* $B17/100</f>
        <v>1618.6835000000001</v>
      </c>
      <c r="D61" s="77">
        <f t="shared" si="31"/>
        <v>1641.4350800350003</v>
      </c>
      <c r="E61" s="77">
        <f t="shared" si="31"/>
        <v>1668.1703927866752</v>
      </c>
      <c r="F61" s="77">
        <f t="shared" si="31"/>
        <v>1696.9628074790603</v>
      </c>
      <c r="G61" s="77">
        <f t="shared" si="31"/>
        <v>1726.4971148545771</v>
      </c>
      <c r="H61" s="77">
        <f t="shared" si="31"/>
        <v>1755.9070008406168</v>
      </c>
      <c r="I61" s="77">
        <f t="shared" si="31"/>
        <v>1784.6933119608739</v>
      </c>
      <c r="J61" s="77">
        <f t="shared" si="31"/>
        <v>1812.5196544600783</v>
      </c>
      <c r="K61" s="77">
        <f t="shared" si="31"/>
        <v>1839.1900293219139</v>
      </c>
      <c r="L61" s="77">
        <f t="shared" si="31"/>
        <v>1864.5530230587458</v>
      </c>
      <c r="M61" s="428">
        <f t="shared" si="31"/>
        <v>1888.5903933650545</v>
      </c>
      <c r="N61" s="77">
        <f t="shared" si="31"/>
        <v>1911.3627201930494</v>
      </c>
      <c r="O61" s="77">
        <f t="shared" si="31"/>
        <v>1932.884930306541</v>
      </c>
      <c r="P61" s="77">
        <f t="shared" si="31"/>
        <v>1953.2101932735463</v>
      </c>
      <c r="Q61" s="77">
        <f t="shared" si="31"/>
        <v>1972.4344023272156</v>
      </c>
      <c r="R61" s="77">
        <f t="shared" si="31"/>
        <v>1990.6858406556305</v>
      </c>
      <c r="S61" s="77">
        <f t="shared" si="31"/>
        <v>2008.072860542758</v>
      </c>
      <c r="T61" s="77">
        <f t="shared" si="31"/>
        <v>2024.7126304912088</v>
      </c>
      <c r="U61" s="77">
        <f t="shared" si="31"/>
        <v>2040.7149526702074</v>
      </c>
      <c r="V61" s="77">
        <f t="shared" si="31"/>
        <v>2056.1223744680233</v>
      </c>
      <c r="W61" s="77">
        <f t="shared" si="31"/>
        <v>2070.8962156486969</v>
      </c>
      <c r="X61" s="77">
        <f t="shared" si="31"/>
        <v>2085.143019175453</v>
      </c>
      <c r="Y61" s="77">
        <f t="shared" si="31"/>
        <v>2098.9340808228048</v>
      </c>
      <c r="Z61" s="77">
        <f t="shared" si="31"/>
        <v>2112.318495550031</v>
      </c>
      <c r="AA61" s="77">
        <f t="shared" si="31"/>
        <v>2125.3403631608608</v>
      </c>
      <c r="AB61" s="77">
        <f t="shared" si="31"/>
        <v>2138.0420948623437</v>
      </c>
      <c r="AC61" s="77">
        <f t="shared" si="31"/>
        <v>2150.4594785532431</v>
      </c>
      <c r="AD61" s="77">
        <f t="shared" si="31"/>
        <v>2160.3713876651314</v>
      </c>
      <c r="AE61" s="77">
        <f t="shared" si="31"/>
        <v>2168.2005808538179</v>
      </c>
      <c r="AF61" s="77">
        <f t="shared" si="31"/>
        <v>2174.2988167209091</v>
      </c>
      <c r="AG61" s="77">
        <f t="shared" si="31"/>
        <v>2178.9587690461094</v>
      </c>
      <c r="AH61" s="77">
        <f t="shared" si="31"/>
        <v>2182.4239439311855</v>
      </c>
      <c r="AI61" s="77">
        <f t="shared" ref="AI61:BN61" si="32">AH59* $B15/100+AH61* $B16/100+AH62* $B17/100</f>
        <v>2184.8969336134523</v>
      </c>
      <c r="AJ61" s="77">
        <f t="shared" si="32"/>
        <v>2186.5462856829904</v>
      </c>
      <c r="AK61" s="77">
        <f t="shared" si="32"/>
        <v>2187.5122197776868</v>
      </c>
      <c r="AL61" s="77">
        <f t="shared" si="32"/>
        <v>2187.9113849711393</v>
      </c>
      <c r="AM61" s="77">
        <f t="shared" si="32"/>
        <v>2187.8408187081482</v>
      </c>
      <c r="AN61" s="77">
        <f t="shared" si="32"/>
        <v>2187.3812411957679</v>
      </c>
      <c r="AO61" s="77">
        <f t="shared" si="32"/>
        <v>2186.599796720262</v>
      </c>
      <c r="AP61" s="77">
        <f t="shared" si="32"/>
        <v>2185.5523346783134</v>
      </c>
      <c r="AQ61" s="77">
        <f t="shared" si="32"/>
        <v>2184.2853075566727</v>
      </c>
      <c r="AR61" s="77">
        <f t="shared" si="32"/>
        <v>2182.8373501450474</v>
      </c>
      <c r="AS61" s="77">
        <f t="shared" si="32"/>
        <v>2181.2405934867284</v>
      </c>
      <c r="AT61" s="77">
        <f t="shared" si="32"/>
        <v>2179.5217580973463</v>
      </c>
      <c r="AU61" s="77">
        <f t="shared" si="32"/>
        <v>2177.7030635119049</v>
      </c>
      <c r="AV61" s="77">
        <f t="shared" si="32"/>
        <v>2175.8029850021389</v>
      </c>
      <c r="AW61" s="77">
        <f t="shared" si="32"/>
        <v>2173.8368831305929</v>
      </c>
      <c r="AX61" s="77">
        <f t="shared" si="32"/>
        <v>2171.8175275000526</v>
      </c>
      <c r="AY61" s="77">
        <f t="shared" si="32"/>
        <v>2169.7555324716295</v>
      </c>
      <c r="AZ61" s="77">
        <f t="shared" si="32"/>
        <v>2167.6597196409193</v>
      </c>
      <c r="BA61" s="77">
        <f t="shared" si="32"/>
        <v>2165.5374193783605</v>
      </c>
      <c r="BB61" s="77">
        <f t="shared" si="32"/>
        <v>2163.3947216733327</v>
      </c>
      <c r="BC61" s="77">
        <f t="shared" si="32"/>
        <v>2161.2366848017764</v>
      </c>
      <c r="BD61" s="77">
        <f t="shared" si="32"/>
        <v>2159.0675089060046</v>
      </c>
      <c r="BE61" s="77">
        <f t="shared" si="32"/>
        <v>2156.8906803845434</v>
      </c>
      <c r="BF61" s="77">
        <f t="shared" si="32"/>
        <v>2154.7090919989191</v>
      </c>
      <c r="BG61" s="77">
        <f t="shared" si="32"/>
        <v>2152.5251427798021</v>
      </c>
      <c r="BH61" s="77">
        <f t="shared" si="32"/>
        <v>2150.340821128877</v>
      </c>
      <c r="BI61" s="77">
        <f t="shared" si="32"/>
        <v>2148.1577739419986</v>
      </c>
      <c r="BJ61" s="77">
        <f t="shared" si="32"/>
        <v>2145.9773641042702</v>
      </c>
      <c r="BK61" s="77">
        <f t="shared" si="32"/>
        <v>2143.8007183125469</v>
      </c>
      <c r="BL61" s="77">
        <f t="shared" si="32"/>
        <v>2141.628763909735</v>
      </c>
      <c r="BM61" s="77">
        <f t="shared" si="32"/>
        <v>2139.4622689484045</v>
      </c>
      <c r="BN61" s="77">
        <f t="shared" si="32"/>
        <v>2137.3018653667518</v>
      </c>
      <c r="BO61" s="77">
        <f t="shared" ref="BO61:CT61" si="33">BN59* $B15/100+BN61* $B16/100+BN62* $B17/100</f>
        <v>2135.1480719507472</v>
      </c>
      <c r="BP61" s="77">
        <f t="shared" si="33"/>
        <v>2133.0013134273781</v>
      </c>
      <c r="BQ61" s="77">
        <f t="shared" si="33"/>
        <v>2130.8619363408352</v>
      </c>
      <c r="BR61" s="77">
        <f t="shared" si="33"/>
        <v>2128.7302222536709</v>
      </c>
      <c r="BS61" s="77">
        <f t="shared" si="33"/>
        <v>2126.6063987236357</v>
      </c>
      <c r="BT61" s="77">
        <f t="shared" si="33"/>
        <v>2124.4906484309563</v>
      </c>
      <c r="BU61" s="77">
        <f t="shared" si="33"/>
        <v>2122.3831167676799</v>
      </c>
      <c r="BV61" s="77">
        <f t="shared" si="33"/>
        <v>2120.283918148205</v>
      </c>
      <c r="BW61" s="77">
        <f t="shared" si="33"/>
        <v>2118.1931412564572</v>
      </c>
      <c r="BX61" s="77">
        <f t="shared" si="33"/>
        <v>2116.1108534088776</v>
      </c>
      <c r="BY61" s="77">
        <f t="shared" si="33"/>
        <v>2114.0371041821882</v>
      </c>
      <c r="BZ61" s="77">
        <f t="shared" si="33"/>
        <v>2111.9719284298153</v>
      </c>
      <c r="CA61" s="77">
        <f t="shared" si="33"/>
        <v>2109.9153487899712</v>
      </c>
      <c r="CB61" s="77">
        <f t="shared" si="33"/>
        <v>2107.8673777710419</v>
      </c>
      <c r="CC61" s="77">
        <f t="shared" si="33"/>
        <v>2105.8280194855001</v>
      </c>
      <c r="CD61" s="77">
        <f t="shared" si="33"/>
        <v>2103.7972710915647</v>
      </c>
      <c r="CE61" s="77">
        <f t="shared" si="33"/>
        <v>2101.7751239918425</v>
      </c>
      <c r="CF61" s="77">
        <f t="shared" si="33"/>
        <v>2099.7615648299015</v>
      </c>
      <c r="CG61" s="77">
        <f t="shared" si="33"/>
        <v>2097.7565763188209</v>
      </c>
      <c r="CH61" s="77">
        <f t="shared" si="33"/>
        <v>2095.7601379300272</v>
      </c>
      <c r="CI61" s="77">
        <f t="shared" si="33"/>
        <v>2093.7722264659583</v>
      </c>
      <c r="CJ61" s="77">
        <f t="shared" si="33"/>
        <v>2091.7928165361254</v>
      </c>
      <c r="CK61" s="77">
        <f t="shared" si="33"/>
        <v>2089.8218809528548</v>
      </c>
      <c r="CL61" s="77">
        <f t="shared" si="33"/>
        <v>2087.8593910602376</v>
      </c>
      <c r="CM61" s="77">
        <f t="shared" si="33"/>
        <v>2085.9053170075458</v>
      </c>
      <c r="CN61" s="77">
        <f t="shared" si="33"/>
        <v>2083.9596279764678</v>
      </c>
      <c r="CO61" s="77">
        <f t="shared" si="33"/>
        <v>2082.022292369948</v>
      </c>
      <c r="CP61" s="77">
        <f t="shared" si="33"/>
        <v>2080.093277969097</v>
      </c>
      <c r="CQ61" s="77">
        <f t="shared" si="33"/>
        <v>2078.1725520635569</v>
      </c>
      <c r="CR61" s="77">
        <f t="shared" si="33"/>
        <v>2076.2600815597866</v>
      </c>
      <c r="CS61" s="77">
        <f t="shared" si="33"/>
        <v>2074.3558330709998</v>
      </c>
      <c r="CT61" s="77">
        <f t="shared" si="33"/>
        <v>2072.4597729918341</v>
      </c>
      <c r="CU61" s="77">
        <f t="shared" ref="CU61:DX61" si="34">CT59* $B15/100+CT61* $B16/100+CT62* $B17/100</f>
        <v>2070.5718675603352</v>
      </c>
      <c r="CV61" s="77">
        <f t="shared" si="34"/>
        <v>2068.692082909387</v>
      </c>
      <c r="CW61" s="77">
        <f t="shared" si="34"/>
        <v>2066.820385109369</v>
      </c>
      <c r="CX61" s="77">
        <f t="shared" si="34"/>
        <v>2064.9567402035213</v>
      </c>
      <c r="CY61" s="77">
        <f t="shared" si="34"/>
        <v>2063.1011142372404</v>
      </c>
      <c r="CZ61" s="77">
        <f t="shared" si="34"/>
        <v>2061.253473282336</v>
      </c>
      <c r="DA61" s="77">
        <f t="shared" si="34"/>
        <v>2059.4137834570929</v>
      </c>
      <c r="DB61" s="77">
        <f t="shared" si="34"/>
        <v>2057.5820109428487</v>
      </c>
      <c r="DC61" s="77">
        <f t="shared" si="34"/>
        <v>2055.7581219976719</v>
      </c>
      <c r="DD61" s="77">
        <f t="shared" si="34"/>
        <v>2053.9420829676333</v>
      </c>
      <c r="DE61" s="77">
        <f t="shared" si="34"/>
        <v>2052.13386029607</v>
      </c>
      <c r="DF61" s="77">
        <f t="shared" si="34"/>
        <v>2050.3334205311889</v>
      </c>
      <c r="DG61" s="77">
        <f t="shared" si="34"/>
        <v>2048.5407303322836</v>
      </c>
      <c r="DH61" s="77">
        <f t="shared" si="34"/>
        <v>2046.7557564748015</v>
      </c>
      <c r="DI61" s="77">
        <f t="shared" si="34"/>
        <v>2044.9784658544559</v>
      </c>
      <c r="DJ61" s="77">
        <f t="shared" si="34"/>
        <v>2043.2088254905411</v>
      </c>
      <c r="DK61" s="77">
        <f t="shared" si="34"/>
        <v>2041.4468025285896</v>
      </c>
      <c r="DL61" s="77">
        <f t="shared" si="34"/>
        <v>2039.6923642424795</v>
      </c>
      <c r="DM61" s="77">
        <f t="shared" si="34"/>
        <v>2037.9454780360859</v>
      </c>
      <c r="DN61" s="77">
        <f t="shared" si="34"/>
        <v>2036.2061114445548</v>
      </c>
      <c r="DO61" s="77">
        <f t="shared" si="34"/>
        <v>2034.4742321352614</v>
      </c>
      <c r="DP61" s="77">
        <f t="shared" si="34"/>
        <v>2032.7498079085101</v>
      </c>
      <c r="DQ61" s="77">
        <f t="shared" si="34"/>
        <v>2031.032806698013</v>
      </c>
      <c r="DR61" s="77">
        <f t="shared" si="34"/>
        <v>2029.3231965711955</v>
      </c>
      <c r="DS61" s="77">
        <f t="shared" si="34"/>
        <v>2027.6209457293464</v>
      </c>
      <c r="DT61" s="77">
        <f t="shared" si="34"/>
        <v>2025.9260225076489</v>
      </c>
      <c r="DU61" s="77">
        <f t="shared" si="34"/>
        <v>2024.2383953751071</v>
      </c>
      <c r="DV61" s="77">
        <f t="shared" si="34"/>
        <v>2022.5580329343902</v>
      </c>
      <c r="DW61" s="77">
        <f t="shared" si="34"/>
        <v>2020.8849039216047</v>
      </c>
      <c r="DX61" s="77">
        <f t="shared" si="34"/>
        <v>2019.2189772060094</v>
      </c>
    </row>
    <row r="62" spans="1:128" s="77" customFormat="1" ht="15" x14ac:dyDescent="0.2">
      <c r="A62" s="76" t="s">
        <v>4</v>
      </c>
      <c r="B62" s="77">
        <f xml:space="preserve"> B11</f>
        <v>10010</v>
      </c>
      <c r="C62" s="77">
        <f t="shared" ref="C62:AH62" si="35">( $B18/100)*B61+( $B19/100)*B62</f>
        <v>10010.4925</v>
      </c>
      <c r="D62" s="77">
        <f t="shared" si="35"/>
        <v>10011.078048125</v>
      </c>
      <c r="E62" s="77">
        <f t="shared" si="35"/>
        <v>10011.776914989081</v>
      </c>
      <c r="F62" s="77">
        <f t="shared" si="35"/>
        <v>10012.608934266773</v>
      </c>
      <c r="G62" s="77">
        <f t="shared" si="35"/>
        <v>10013.584291603469</v>
      </c>
      <c r="H62" s="77">
        <f t="shared" si="35"/>
        <v>10014.706588959039</v>
      </c>
      <c r="I62" s="77">
        <f t="shared" si="35"/>
        <v>10015.975094021524</v>
      </c>
      <c r="J62" s="77">
        <f t="shared" si="35"/>
        <v>10017.386579260812</v>
      </c>
      <c r="K62" s="77">
        <f t="shared" si="35"/>
        <v>10018.936137598666</v>
      </c>
      <c r="L62" s="77">
        <f t="shared" si="35"/>
        <v>10020.617885642077</v>
      </c>
      <c r="M62" s="428">
        <f t="shared" si="35"/>
        <v>10022.425187343139</v>
      </c>
      <c r="N62" s="77">
        <f t="shared" si="35"/>
        <v>10024.351320419455</v>
      </c>
      <c r="O62" s="77">
        <f t="shared" si="35"/>
        <v>10026.389870530107</v>
      </c>
      <c r="P62" s="77">
        <f t="shared" si="35"/>
        <v>10028.534502778743</v>
      </c>
      <c r="Q62" s="77">
        <f t="shared" si="35"/>
        <v>10030.779152868026</v>
      </c>
      <c r="R62" s="77">
        <f t="shared" si="35"/>
        <v>10033.11824051501</v>
      </c>
      <c r="S62" s="77">
        <f t="shared" si="35"/>
        <v>10035.546831037902</v>
      </c>
      <c r="T62" s="77">
        <f t="shared" si="35"/>
        <v>10038.060535217337</v>
      </c>
      <c r="U62" s="77">
        <f t="shared" si="35"/>
        <v>10040.655552968379</v>
      </c>
      <c r="V62" s="77">
        <f t="shared" si="35"/>
        <v>10043.328636067003</v>
      </c>
      <c r="W62" s="77">
        <f t="shared" si="35"/>
        <v>10046.076751462293</v>
      </c>
      <c r="X62" s="77">
        <f t="shared" si="35"/>
        <v>10048.896674976941</v>
      </c>
      <c r="Y62" s="77">
        <f t="shared" si="35"/>
        <v>10051.785717566585</v>
      </c>
      <c r="Z62" s="77">
        <f t="shared" si="35"/>
        <v>10054.741548682523</v>
      </c>
      <c r="AA62" s="77">
        <f t="shared" si="35"/>
        <v>10057.762084998762</v>
      </c>
      <c r="AB62" s="77">
        <f t="shared" si="35"/>
        <v>10060.845465250817</v>
      </c>
      <c r="AC62" s="77">
        <f t="shared" si="35"/>
        <v>10063.99004162619</v>
      </c>
      <c r="AD62" s="77">
        <f t="shared" si="35"/>
        <v>10067.194346487737</v>
      </c>
      <c r="AE62" s="77">
        <f t="shared" si="35"/>
        <v>10070.445807666196</v>
      </c>
      <c r="AF62" s="77">
        <f t="shared" si="35"/>
        <v>10073.733976214715</v>
      </c>
      <c r="AG62" s="77">
        <f t="shared" si="35"/>
        <v>10077.050169816159</v>
      </c>
      <c r="AH62" s="77">
        <f t="shared" si="35"/>
        <v>10080.387176034028</v>
      </c>
      <c r="AI62" s="77">
        <f t="shared" ref="AI62:BN62" si="36">( $B18/100)*AH61+( $B19/100)*AH62</f>
        <v>10083.739005371659</v>
      </c>
      <c r="AJ62" s="77">
        <f t="shared" si="36"/>
        <v>10087.100685785697</v>
      </c>
      <c r="AK62" s="77">
        <f t="shared" si="36"/>
        <v>10090.468091699773</v>
      </c>
      <c r="AL62" s="77">
        <f t="shared" si="36"/>
        <v>10093.837801729886</v>
      </c>
      <c r="AM62" s="77">
        <f t="shared" si="36"/>
        <v>10097.206980303443</v>
      </c>
      <c r="AN62" s="77">
        <f t="shared" si="36"/>
        <v>10100.573279161756</v>
      </c>
      <c r="AO62" s="77">
        <f t="shared" si="36"/>
        <v>10103.934755408363</v>
      </c>
      <c r="AP62" s="77">
        <f t="shared" si="36"/>
        <v>10107.289803325408</v>
      </c>
      <c r="AQ62" s="77">
        <f t="shared" si="36"/>
        <v>10110.637097646304</v>
      </c>
      <c r="AR62" s="77">
        <f t="shared" si="36"/>
        <v>10113.975546360853</v>
      </c>
      <c r="AS62" s="77">
        <f t="shared" si="36"/>
        <v>10117.304251451807</v>
      </c>
      <c r="AT62" s="77">
        <f t="shared" si="36"/>
        <v>10120.622476230652</v>
      </c>
      <c r="AU62" s="77">
        <f t="shared" si="36"/>
        <v>10123.929618163966</v>
      </c>
      <c r="AV62" s="77">
        <f t="shared" si="36"/>
        <v>10127.225186267902</v>
      </c>
      <c r="AW62" s="77">
        <f t="shared" si="36"/>
        <v>10130.508782303212</v>
      </c>
      <c r="AX62" s="77">
        <f t="shared" si="36"/>
        <v>10133.780085132137</v>
      </c>
      <c r="AY62" s="77">
        <f t="shared" si="36"/>
        <v>10137.038837705788</v>
      </c>
      <c r="AZ62" s="77">
        <f t="shared" si="36"/>
        <v>10140.284836239867</v>
      </c>
      <c r="BA62" s="77">
        <f t="shared" si="36"/>
        <v>10143.517921210891</v>
      </c>
      <c r="BB62" s="77">
        <f t="shared" si="36"/>
        <v>10146.737969866874</v>
      </c>
      <c r="BC62" s="77">
        <f t="shared" si="36"/>
        <v>10149.944889997842</v>
      </c>
      <c r="BD62" s="77">
        <f t="shared" si="36"/>
        <v>10153.138614754353</v>
      </c>
      <c r="BE62" s="77">
        <f t="shared" si="36"/>
        <v>10156.319098337817</v>
      </c>
      <c r="BF62" s="77">
        <f t="shared" si="36"/>
        <v>10159.486312415986</v>
      </c>
      <c r="BG62" s="77">
        <f t="shared" si="36"/>
        <v>10162.640243141668</v>
      </c>
      <c r="BH62" s="77">
        <f t="shared" si="36"/>
        <v>10165.780888673209</v>
      </c>
      <c r="BI62" s="77">
        <f t="shared" si="36"/>
        <v>10168.908257112347</v>
      </c>
      <c r="BJ62" s="77">
        <f t="shared" si="36"/>
        <v>10172.022364789224</v>
      </c>
      <c r="BK62" s="77">
        <f t="shared" si="36"/>
        <v>10175.123234836154</v>
      </c>
      <c r="BL62" s="77">
        <f t="shared" si="36"/>
        <v>10178.210896001588</v>
      </c>
      <c r="BM62" s="77">
        <f t="shared" si="36"/>
        <v>10181.285381649137</v>
      </c>
      <c r="BN62" s="77">
        <f t="shared" si="36"/>
        <v>10184.346728957642</v>
      </c>
      <c r="BO62" s="77">
        <f t="shared" ref="BO62:CT62" si="37">( $B18/100)*BN61+( $B19/100)*BN62</f>
        <v>10187.394978237757</v>
      </c>
      <c r="BP62" s="77">
        <f t="shared" si="37"/>
        <v>10190.430172363831</v>
      </c>
      <c r="BQ62" s="77">
        <f t="shared" si="37"/>
        <v>10193.452356301694</v>
      </c>
      <c r="BR62" s="77">
        <f t="shared" si="37"/>
        <v>10196.46157671617</v>
      </c>
      <c r="BS62" s="77">
        <f t="shared" si="37"/>
        <v>10199.457881644901</v>
      </c>
      <c r="BT62" s="77">
        <f t="shared" si="37"/>
        <v>10202.441320227286</v>
      </c>
      <c r="BU62" s="77">
        <f t="shared" si="37"/>
        <v>10205.41194247927</v>
      </c>
      <c r="BV62" s="77">
        <f t="shared" si="37"/>
        <v>10208.369799106249</v>
      </c>
      <c r="BW62" s="77">
        <f t="shared" si="37"/>
        <v>10211.31494134766</v>
      </c>
      <c r="BX62" s="77">
        <f t="shared" si="37"/>
        <v>10214.247420847931</v>
      </c>
      <c r="BY62" s="77">
        <f t="shared" si="37"/>
        <v>10217.167289549339</v>
      </c>
      <c r="BZ62" s="77">
        <f t="shared" si="37"/>
        <v>10220.074599603089</v>
      </c>
      <c r="CA62" s="77">
        <f t="shared" si="37"/>
        <v>10222.969403295536</v>
      </c>
      <c r="CB62" s="77">
        <f t="shared" si="37"/>
        <v>10225.851752987013</v>
      </c>
      <c r="CC62" s="77">
        <f t="shared" si="37"/>
        <v>10228.721701061128</v>
      </c>
      <c r="CD62" s="77">
        <f t="shared" si="37"/>
        <v>10231.579299882758</v>
      </c>
      <c r="CE62" s="77">
        <f t="shared" si="37"/>
        <v>10234.424601763303</v>
      </c>
      <c r="CF62" s="77">
        <f t="shared" si="37"/>
        <v>10237.25765893194</v>
      </c>
      <c r="CG62" s="77">
        <f t="shared" si="37"/>
        <v>10240.078523511889</v>
      </c>
      <c r="CH62" s="77">
        <f t="shared" si="37"/>
        <v>10242.887247500848</v>
      </c>
      <c r="CI62" s="77">
        <f t="shared" si="37"/>
        <v>10245.683882754873</v>
      </c>
      <c r="CJ62" s="77">
        <f t="shared" si="37"/>
        <v>10248.468480975136</v>
      </c>
      <c r="CK62" s="77">
        <f t="shared" si="37"/>
        <v>10251.241093697085</v>
      </c>
      <c r="CL62" s="77">
        <f t="shared" si="37"/>
        <v>10254.001772281576</v>
      </c>
      <c r="CM62" s="77">
        <f t="shared" si="37"/>
        <v>10256.750567907666</v>
      </c>
      <c r="CN62" s="77">
        <f t="shared" si="37"/>
        <v>10259.487531566772</v>
      </c>
      <c r="CO62" s="77">
        <f t="shared" si="37"/>
        <v>10262.21271405798</v>
      </c>
      <c r="CP62" s="77">
        <f t="shared" si="37"/>
        <v>10264.926165984285</v>
      </c>
      <c r="CQ62" s="77">
        <f t="shared" si="37"/>
        <v>10267.627937749641</v>
      </c>
      <c r="CR62" s="77">
        <f t="shared" si="37"/>
        <v>10270.318079556646</v>
      </c>
      <c r="CS62" s="77">
        <f t="shared" si="37"/>
        <v>10272.996641404776</v>
      </c>
      <c r="CT62" s="77">
        <f t="shared" si="37"/>
        <v>10275.663673089077</v>
      </c>
      <c r="CU62" s="77">
        <f t="shared" ref="CU62:DX62" si="38">( $B18/100)*CT61+( $B19/100)*CT62</f>
        <v>10278.319224199218</v>
      </c>
      <c r="CV62" s="77">
        <f t="shared" si="38"/>
        <v>10280.963344118871</v>
      </c>
      <c r="CW62" s="77">
        <f t="shared" si="38"/>
        <v>10283.596082025329</v>
      </c>
      <c r="CX62" s="77">
        <f t="shared" si="38"/>
        <v>10286.217486889358</v>
      </c>
      <c r="CY62" s="77">
        <f t="shared" si="38"/>
        <v>10288.827607475207</v>
      </c>
      <c r="CZ62" s="77">
        <f t="shared" si="38"/>
        <v>10291.426492340786</v>
      </c>
      <c r="DA62" s="77">
        <f t="shared" si="38"/>
        <v>10294.014189837942</v>
      </c>
      <c r="DB62" s="77">
        <f t="shared" si="38"/>
        <v>10296.590748112849</v>
      </c>
      <c r="DC62" s="77">
        <f t="shared" si="38"/>
        <v>10299.156215106479</v>
      </c>
      <c r="DD62" s="77">
        <f t="shared" si="38"/>
        <v>10301.710638555136</v>
      </c>
      <c r="DE62" s="77">
        <f t="shared" si="38"/>
        <v>10304.254065991057</v>
      </c>
      <c r="DF62" s="77">
        <f t="shared" si="38"/>
        <v>10306.786544743045</v>
      </c>
      <c r="DG62" s="77">
        <f t="shared" si="38"/>
        <v>10309.308121937143</v>
      </c>
      <c r="DH62" s="77">
        <f t="shared" si="38"/>
        <v>10311.818844497353</v>
      </c>
      <c r="DI62" s="77">
        <f t="shared" si="38"/>
        <v>10314.318759146354</v>
      </c>
      <c r="DJ62" s="77">
        <f t="shared" si="38"/>
        <v>10316.807912406266</v>
      </c>
      <c r="DK62" s="77">
        <f t="shared" si="38"/>
        <v>10319.286350599414</v>
      </c>
      <c r="DL62" s="77">
        <f t="shared" si="38"/>
        <v>10321.754119849107</v>
      </c>
      <c r="DM62" s="77">
        <f t="shared" si="38"/>
        <v>10324.211266080432</v>
      </c>
      <c r="DN62" s="77">
        <f t="shared" si="38"/>
        <v>10326.657835021051</v>
      </c>
      <c r="DO62" s="77">
        <f t="shared" si="38"/>
        <v>10329.093872202009</v>
      </c>
      <c r="DP62" s="77">
        <f t="shared" si="38"/>
        <v>10331.519422958532</v>
      </c>
      <c r="DQ62" s="77">
        <f t="shared" si="38"/>
        <v>10333.934532430856</v>
      </c>
      <c r="DR62" s="77">
        <f t="shared" si="38"/>
        <v>10336.339245565021</v>
      </c>
      <c r="DS62" s="77">
        <f t="shared" si="38"/>
        <v>10338.733607113703</v>
      </c>
      <c r="DT62" s="77">
        <f t="shared" si="38"/>
        <v>10341.117661637014</v>
      </c>
      <c r="DU62" s="77">
        <f t="shared" si="38"/>
        <v>10343.491453503324</v>
      </c>
      <c r="DV62" s="77">
        <f t="shared" si="38"/>
        <v>10345.855026890073</v>
      </c>
      <c r="DW62" s="77">
        <f t="shared" si="38"/>
        <v>10348.208425784576</v>
      </c>
      <c r="DX62" s="77">
        <f t="shared" si="38"/>
        <v>10350.551693984846</v>
      </c>
    </row>
    <row r="63" spans="1:128" s="60" customFormat="1" ht="15" x14ac:dyDescent="0.2">
      <c r="A63" s="68" t="s">
        <v>16</v>
      </c>
      <c r="M63" s="428"/>
    </row>
    <row r="64" spans="1:128" s="77" customFormat="1" ht="15" x14ac:dyDescent="0.2">
      <c r="A64" s="76" t="s">
        <v>17</v>
      </c>
      <c r="B64" s="77">
        <f>+B56*10</f>
        <v>68.310900663108768</v>
      </c>
      <c r="C64" s="77">
        <f t="shared" ref="C64:AH64" si="39">+B64+C56*10</f>
        <v>121.90874366146366</v>
      </c>
      <c r="D64" s="77">
        <f t="shared" si="39"/>
        <v>167.83528549521208</v>
      </c>
      <c r="E64" s="77">
        <f t="shared" si="39"/>
        <v>207.93126887583207</v>
      </c>
      <c r="F64" s="77">
        <f t="shared" si="39"/>
        <v>243.65243732422988</v>
      </c>
      <c r="G64" s="77">
        <f t="shared" si="39"/>
        <v>276.49235631512624</v>
      </c>
      <c r="H64" s="77">
        <f t="shared" si="39"/>
        <v>306.82886542160486</v>
      </c>
      <c r="I64" s="77">
        <f t="shared" si="39"/>
        <v>335.13672172976709</v>
      </c>
      <c r="J64" s="77">
        <f t="shared" si="39"/>
        <v>361.33382548656277</v>
      </c>
      <c r="K64" s="77">
        <f t="shared" si="39"/>
        <v>386.17279572304585</v>
      </c>
      <c r="L64" s="77">
        <f t="shared" si="39"/>
        <v>410.17036244660528</v>
      </c>
      <c r="M64" s="428">
        <f t="shared" si="39"/>
        <v>432.94035426468679</v>
      </c>
      <c r="N64" s="77">
        <f t="shared" si="39"/>
        <v>454.74776748802645</v>
      </c>
      <c r="O64" s="77">
        <f t="shared" si="39"/>
        <v>475.96358921211481</v>
      </c>
      <c r="P64" s="77">
        <f t="shared" si="39"/>
        <v>496.94520779938898</v>
      </c>
      <c r="Q64" s="77">
        <f t="shared" si="39"/>
        <v>517.66971793460368</v>
      </c>
      <c r="R64" s="77">
        <f t="shared" si="39"/>
        <v>538.33287782652747</v>
      </c>
      <c r="S64" s="77">
        <f t="shared" si="39"/>
        <v>559.01440215531056</v>
      </c>
      <c r="T64" s="77">
        <f t="shared" si="39"/>
        <v>579.28946339002516</v>
      </c>
      <c r="U64" s="77">
        <f t="shared" si="39"/>
        <v>598.52452399297943</v>
      </c>
      <c r="V64" s="77">
        <f t="shared" si="39"/>
        <v>617.85977941635963</v>
      </c>
      <c r="W64" s="77">
        <f t="shared" si="39"/>
        <v>637.14182278427188</v>
      </c>
      <c r="X64" s="77">
        <f t="shared" si="39"/>
        <v>656.27781074303005</v>
      </c>
      <c r="Y64" s="77">
        <f t="shared" si="39"/>
        <v>675.28828386213922</v>
      </c>
      <c r="Z64" s="77">
        <f t="shared" si="39"/>
        <v>694.2156022495077</v>
      </c>
      <c r="AA64" s="77">
        <f t="shared" si="39"/>
        <v>713.0597476785041</v>
      </c>
      <c r="AB64" s="77">
        <f t="shared" si="39"/>
        <v>713.0597476785041</v>
      </c>
      <c r="AC64" s="77">
        <f t="shared" si="39"/>
        <v>713.0597476785041</v>
      </c>
      <c r="AD64" s="77">
        <f t="shared" si="39"/>
        <v>713.0597476785041</v>
      </c>
      <c r="AE64" s="77">
        <f t="shared" si="39"/>
        <v>713.0597476785041</v>
      </c>
      <c r="AF64" s="77">
        <f t="shared" si="39"/>
        <v>713.0597476785041</v>
      </c>
      <c r="AG64" s="77">
        <f t="shared" si="39"/>
        <v>713.0597476785041</v>
      </c>
      <c r="AH64" s="77">
        <f t="shared" si="39"/>
        <v>713.0597476785041</v>
      </c>
      <c r="AI64" s="77">
        <f t="shared" ref="AI64:BI64" si="40">+AH64+AI56*10</f>
        <v>713.0597476785041</v>
      </c>
      <c r="AJ64" s="77">
        <f t="shared" si="40"/>
        <v>713.0597476785041</v>
      </c>
      <c r="AK64" s="77">
        <f t="shared" si="40"/>
        <v>713.0597476785041</v>
      </c>
      <c r="AL64" s="77">
        <f t="shared" si="40"/>
        <v>713.0597476785041</v>
      </c>
      <c r="AM64" s="77">
        <f t="shared" si="40"/>
        <v>713.0597476785041</v>
      </c>
      <c r="AN64" s="77">
        <f t="shared" si="40"/>
        <v>713.0597476785041</v>
      </c>
      <c r="AO64" s="77">
        <f t="shared" si="40"/>
        <v>713.0597476785041</v>
      </c>
      <c r="AP64" s="77">
        <f t="shared" si="40"/>
        <v>713.0597476785041</v>
      </c>
      <c r="AQ64" s="77">
        <f t="shared" si="40"/>
        <v>713.0597476785041</v>
      </c>
      <c r="AR64" s="77">
        <f t="shared" si="40"/>
        <v>713.0597476785041</v>
      </c>
      <c r="AS64" s="77">
        <f t="shared" si="40"/>
        <v>713.0597476785041</v>
      </c>
      <c r="AT64" s="77">
        <f t="shared" si="40"/>
        <v>713.0597476785041</v>
      </c>
      <c r="AU64" s="77">
        <f t="shared" si="40"/>
        <v>713.0597476785041</v>
      </c>
      <c r="AV64" s="77">
        <f t="shared" si="40"/>
        <v>713.0597476785041</v>
      </c>
      <c r="AW64" s="77">
        <f t="shared" si="40"/>
        <v>713.0597476785041</v>
      </c>
      <c r="AX64" s="77">
        <f t="shared" si="40"/>
        <v>713.0597476785041</v>
      </c>
      <c r="AY64" s="77">
        <f t="shared" si="40"/>
        <v>713.0597476785041</v>
      </c>
      <c r="AZ64" s="77">
        <f t="shared" si="40"/>
        <v>713.0597476785041</v>
      </c>
      <c r="BA64" s="77">
        <f t="shared" si="40"/>
        <v>713.0597476785041</v>
      </c>
      <c r="BB64" s="77">
        <f t="shared" si="40"/>
        <v>713.0597476785041</v>
      </c>
      <c r="BC64" s="77">
        <f t="shared" si="40"/>
        <v>713.0597476785041</v>
      </c>
      <c r="BD64" s="77">
        <f t="shared" si="40"/>
        <v>713.0597476785041</v>
      </c>
      <c r="BE64" s="77">
        <f t="shared" si="40"/>
        <v>713.0597476785041</v>
      </c>
      <c r="BF64" s="77">
        <f t="shared" si="40"/>
        <v>713.0597476785041</v>
      </c>
      <c r="BG64" s="77">
        <f t="shared" si="40"/>
        <v>713.0597476785041</v>
      </c>
      <c r="BH64" s="77">
        <f t="shared" si="40"/>
        <v>713.0597476785041</v>
      </c>
      <c r="BI64" s="77">
        <f t="shared" si="40"/>
        <v>713.0597476785041</v>
      </c>
    </row>
    <row r="65" spans="1:309" s="60" customFormat="1" ht="15" x14ac:dyDescent="0.2">
      <c r="A65" s="78" t="s">
        <v>18</v>
      </c>
      <c r="B65" s="60">
        <f t="shared" ref="B65:AG65" si="41">+B64/ $B$7</f>
        <v>1.1385150110518128E-2</v>
      </c>
      <c r="C65" s="60">
        <f t="shared" si="41"/>
        <v>2.0318123943577276E-2</v>
      </c>
      <c r="D65" s="60">
        <f t="shared" si="41"/>
        <v>2.7972547582535347E-2</v>
      </c>
      <c r="E65" s="60">
        <f t="shared" si="41"/>
        <v>3.4655211479305344E-2</v>
      </c>
      <c r="F65" s="60">
        <f t="shared" si="41"/>
        <v>4.0608739554038313E-2</v>
      </c>
      <c r="G65" s="60">
        <f t="shared" si="41"/>
        <v>4.6082059385854371E-2</v>
      </c>
      <c r="H65" s="60">
        <f t="shared" si="41"/>
        <v>5.1138144236934142E-2</v>
      </c>
      <c r="I65" s="60">
        <f t="shared" si="41"/>
        <v>5.5856120288294515E-2</v>
      </c>
      <c r="J65" s="60">
        <f t="shared" si="41"/>
        <v>6.0222304247760462E-2</v>
      </c>
      <c r="K65" s="60">
        <f t="shared" si="41"/>
        <v>6.4362132620507648E-2</v>
      </c>
      <c r="L65" s="60">
        <f t="shared" si="41"/>
        <v>6.836172707443422E-2</v>
      </c>
      <c r="M65" s="428">
        <f t="shared" si="41"/>
        <v>7.2156725710781133E-2</v>
      </c>
      <c r="N65" s="60">
        <f t="shared" si="41"/>
        <v>7.5791294581337737E-2</v>
      </c>
      <c r="O65" s="60">
        <f t="shared" si="41"/>
        <v>7.9327264868685798E-2</v>
      </c>
      <c r="P65" s="60">
        <f t="shared" si="41"/>
        <v>8.2824201299898162E-2</v>
      </c>
      <c r="Q65" s="60">
        <f t="shared" si="41"/>
        <v>8.627828632243395E-2</v>
      </c>
      <c r="R65" s="60">
        <f t="shared" si="41"/>
        <v>8.9722146304421241E-2</v>
      </c>
      <c r="S65" s="60">
        <f t="shared" si="41"/>
        <v>9.3169067025885094E-2</v>
      </c>
      <c r="T65" s="60">
        <f t="shared" si="41"/>
        <v>9.6548243898337521E-2</v>
      </c>
      <c r="U65" s="60">
        <f t="shared" si="41"/>
        <v>9.9754087332163233E-2</v>
      </c>
      <c r="V65" s="60">
        <f t="shared" si="41"/>
        <v>0.1029766299027266</v>
      </c>
      <c r="W65" s="60">
        <f t="shared" si="41"/>
        <v>0.10619030379737865</v>
      </c>
      <c r="X65" s="60">
        <f t="shared" si="41"/>
        <v>0.10937963512383835</v>
      </c>
      <c r="Y65" s="60">
        <f t="shared" si="41"/>
        <v>0.11254804731035653</v>
      </c>
      <c r="Z65" s="60">
        <f t="shared" si="41"/>
        <v>0.11570260037491795</v>
      </c>
      <c r="AA65" s="60">
        <f t="shared" si="41"/>
        <v>0.11884329127975068</v>
      </c>
      <c r="AB65" s="60">
        <f t="shared" si="41"/>
        <v>0.11884329127975068</v>
      </c>
      <c r="AC65" s="60">
        <f t="shared" si="41"/>
        <v>0.11884329127975068</v>
      </c>
      <c r="AD65" s="60">
        <f t="shared" si="41"/>
        <v>0.11884329127975068</v>
      </c>
      <c r="AE65" s="60">
        <f t="shared" si="41"/>
        <v>0.11884329127975068</v>
      </c>
      <c r="AF65" s="60">
        <f t="shared" si="41"/>
        <v>0.11884329127975068</v>
      </c>
      <c r="AG65" s="60">
        <f t="shared" si="41"/>
        <v>0.11884329127975068</v>
      </c>
      <c r="AH65" s="60">
        <f t="shared" ref="AH65:BI65" si="42">+AH64/ $B$7</f>
        <v>0.11884329127975068</v>
      </c>
      <c r="AI65" s="60">
        <f t="shared" si="42"/>
        <v>0.11884329127975068</v>
      </c>
      <c r="AJ65" s="60">
        <f t="shared" si="42"/>
        <v>0.11884329127975068</v>
      </c>
      <c r="AK65" s="60">
        <f t="shared" si="42"/>
        <v>0.11884329127975068</v>
      </c>
      <c r="AL65" s="60">
        <f t="shared" si="42"/>
        <v>0.11884329127975068</v>
      </c>
      <c r="AM65" s="60">
        <f t="shared" si="42"/>
        <v>0.11884329127975068</v>
      </c>
      <c r="AN65" s="60">
        <f t="shared" si="42"/>
        <v>0.11884329127975068</v>
      </c>
      <c r="AO65" s="60">
        <f t="shared" si="42"/>
        <v>0.11884329127975068</v>
      </c>
      <c r="AP65" s="60">
        <f t="shared" si="42"/>
        <v>0.11884329127975068</v>
      </c>
      <c r="AQ65" s="60">
        <f t="shared" si="42"/>
        <v>0.11884329127975068</v>
      </c>
      <c r="AR65" s="60">
        <f t="shared" si="42"/>
        <v>0.11884329127975068</v>
      </c>
      <c r="AS65" s="60">
        <f t="shared" si="42"/>
        <v>0.11884329127975068</v>
      </c>
      <c r="AT65" s="60">
        <f t="shared" si="42"/>
        <v>0.11884329127975068</v>
      </c>
      <c r="AU65" s="60">
        <f t="shared" si="42"/>
        <v>0.11884329127975068</v>
      </c>
      <c r="AV65" s="60">
        <f t="shared" si="42"/>
        <v>0.11884329127975068</v>
      </c>
      <c r="AW65" s="60">
        <f t="shared" si="42"/>
        <v>0.11884329127975068</v>
      </c>
      <c r="AX65" s="60">
        <f t="shared" si="42"/>
        <v>0.11884329127975068</v>
      </c>
      <c r="AY65" s="60">
        <f t="shared" si="42"/>
        <v>0.11884329127975068</v>
      </c>
      <c r="AZ65" s="60">
        <f t="shared" si="42"/>
        <v>0.11884329127975068</v>
      </c>
      <c r="BA65" s="60">
        <f t="shared" si="42"/>
        <v>0.11884329127975068</v>
      </c>
      <c r="BB65" s="60">
        <f t="shared" si="42"/>
        <v>0.11884329127975068</v>
      </c>
      <c r="BC65" s="60">
        <f t="shared" si="42"/>
        <v>0.11884329127975068</v>
      </c>
      <c r="BD65" s="60">
        <f t="shared" si="42"/>
        <v>0.11884329127975068</v>
      </c>
      <c r="BE65" s="60">
        <f t="shared" si="42"/>
        <v>0.11884329127975068</v>
      </c>
      <c r="BF65" s="60">
        <f t="shared" si="42"/>
        <v>0.11884329127975068</v>
      </c>
      <c r="BG65" s="60">
        <f t="shared" si="42"/>
        <v>0.11884329127975068</v>
      </c>
      <c r="BH65" s="60">
        <f t="shared" si="42"/>
        <v>0.11884329127975068</v>
      </c>
      <c r="BI65" s="60">
        <f t="shared" si="42"/>
        <v>0.11884329127975068</v>
      </c>
    </row>
    <row r="66" spans="1:309" s="60" customFormat="1" ht="15" x14ac:dyDescent="0.2">
      <c r="A66" s="78" t="s">
        <v>65</v>
      </c>
      <c r="B66" s="60">
        <f>+MAX(B65:BI65)</f>
        <v>0.11884329127975068</v>
      </c>
      <c r="M66" s="428"/>
    </row>
    <row r="67" spans="1:309" s="60" customFormat="1" ht="15" x14ac:dyDescent="0.2">
      <c r="A67" s="78" t="s">
        <v>1035</v>
      </c>
      <c r="B67" s="60">
        <f>+Parameters!B102</f>
        <v>100</v>
      </c>
      <c r="M67" s="428"/>
    </row>
    <row r="68" spans="1:309" s="60" customFormat="1" ht="15" x14ac:dyDescent="0.2">
      <c r="A68" s="78" t="s">
        <v>267</v>
      </c>
      <c r="B68" s="60">
        <f>+Parameters!B103</f>
        <v>12</v>
      </c>
      <c r="M68" s="428"/>
    </row>
    <row r="69" spans="1:309" s="60" customFormat="1" ht="30" x14ac:dyDescent="0.2">
      <c r="A69" s="68" t="s">
        <v>40</v>
      </c>
      <c r="B69" s="662"/>
      <c r="C69" s="662"/>
      <c r="D69" s="662"/>
      <c r="E69" s="662"/>
      <c r="F69" s="662"/>
      <c r="G69" s="662"/>
      <c r="H69" s="662"/>
      <c r="I69" s="662"/>
      <c r="J69" s="662"/>
      <c r="M69" s="428"/>
    </row>
    <row r="70" spans="1:309" s="80" customFormat="1" ht="30" x14ac:dyDescent="0.2">
      <c r="A70" s="79" t="s">
        <v>40</v>
      </c>
      <c r="B70" s="679">
        <f t="array" ref="B70:AI70">TRANSPOSE(TemperatureRiseData!N116:N149)</f>
        <v>0.72</v>
      </c>
      <c r="C70" s="680">
        <v>0.67</v>
      </c>
      <c r="D70" s="680">
        <v>0.49</v>
      </c>
      <c r="E70" s="680">
        <v>0.5</v>
      </c>
      <c r="F70" s="680">
        <v>0.57999999999999996</v>
      </c>
      <c r="G70" s="680">
        <v>0.71</v>
      </c>
      <c r="H70" s="680">
        <v>0.6</v>
      </c>
      <c r="I70" s="680">
        <v>0.73</v>
      </c>
      <c r="J70" s="680">
        <v>0.87</v>
      </c>
      <c r="K70" s="680">
        <v>0.65</v>
      </c>
      <c r="L70" s="680">
        <v>0.66</v>
      </c>
      <c r="M70" s="681">
        <v>0.8</v>
      </c>
      <c r="N70" s="680">
        <v>0.9</v>
      </c>
      <c r="O70" s="680">
        <v>0.89</v>
      </c>
      <c r="P70" s="680">
        <v>0.8</v>
      </c>
      <c r="Q70" s="680">
        <v>0.94</v>
      </c>
      <c r="R70" s="680">
        <v>0.91</v>
      </c>
      <c r="S70" s="680">
        <v>0.93</v>
      </c>
      <c r="T70" s="680">
        <v>0.81</v>
      </c>
      <c r="U70" s="680">
        <v>0.92</v>
      </c>
      <c r="V70" s="680">
        <v>0.99</v>
      </c>
      <c r="W70" s="680">
        <v>0.88</v>
      </c>
      <c r="X70" s="680">
        <v>0.92</v>
      </c>
      <c r="Y70" s="680">
        <v>0.95</v>
      </c>
      <c r="Z70" s="680">
        <v>1.01</v>
      </c>
      <c r="AA70" s="680">
        <v>1.17</v>
      </c>
      <c r="AB70" s="680">
        <v>1.28</v>
      </c>
      <c r="AC70" s="680">
        <v>1.19</v>
      </c>
      <c r="AD70" s="680">
        <v>1.1200000000000001</v>
      </c>
      <c r="AE70" s="680">
        <v>1.25</v>
      </c>
      <c r="AF70" s="680">
        <v>1.28</v>
      </c>
      <c r="AG70" s="680">
        <v>1.1200000000000001</v>
      </c>
      <c r="AH70" s="680">
        <v>1.1599999999999999</v>
      </c>
      <c r="AI70" s="680">
        <v>1.44</v>
      </c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1"/>
      <c r="CI70" s="81"/>
      <c r="CJ70" s="81"/>
      <c r="CK70" s="81"/>
      <c r="CL70" s="81"/>
      <c r="CM70" s="81"/>
      <c r="CN70" s="81"/>
      <c r="CO70" s="81"/>
      <c r="CP70" s="81"/>
      <c r="CQ70" s="81"/>
      <c r="CR70" s="81"/>
      <c r="CS70" s="81"/>
      <c r="CT70" s="81"/>
      <c r="CU70" s="81"/>
      <c r="CV70" s="81"/>
      <c r="CW70" s="81"/>
      <c r="CX70" s="81"/>
      <c r="CY70" s="81"/>
      <c r="CZ70" s="81"/>
      <c r="DA70" s="81"/>
      <c r="DB70" s="81"/>
      <c r="DC70" s="81"/>
      <c r="DD70" s="81"/>
      <c r="DE70" s="81"/>
      <c r="DF70" s="81"/>
      <c r="DG70" s="81"/>
      <c r="DH70" s="81"/>
      <c r="DI70" s="81"/>
      <c r="DJ70" s="81"/>
      <c r="DK70" s="81"/>
      <c r="DL70" s="81"/>
      <c r="DM70" s="81"/>
      <c r="DN70" s="81"/>
      <c r="DO70" s="81"/>
      <c r="DP70" s="81"/>
      <c r="DQ70" s="81"/>
      <c r="DR70" s="81"/>
      <c r="DS70" s="81"/>
      <c r="DT70" s="81"/>
      <c r="DU70" s="81"/>
      <c r="DV70" s="81"/>
      <c r="DW70" s="81"/>
      <c r="DX70" s="81"/>
    </row>
    <row r="71" spans="1:309" s="83" customFormat="1" ht="30" x14ac:dyDescent="0.2">
      <c r="A71" s="82" t="s">
        <v>188</v>
      </c>
      <c r="B71" s="136">
        <f xml:space="preserve"> $B$28*((LOG(( ((B59+C59)/2) +0.000001)/(280*2.13))/LOG(2)))+B21</f>
        <v>1.6046851411366683</v>
      </c>
      <c r="C71" s="136">
        <f xml:space="preserve"> $B$28*((LOG(( ((C59+D59)/2) +0.000001)/(280*2.13))/LOG(2)))+C21</f>
        <v>1.9219134013719219</v>
      </c>
      <c r="D71" s="136">
        <f xml:space="preserve"> $B$28*((LOG(( ((D59+E59)/2) +0.000001)/(280*2.13))/LOG(2)))+D21</f>
        <v>2.1845413210708569</v>
      </c>
      <c r="E71" s="136">
        <f xml:space="preserve"> $B$28*((LOG(( ((E59+F59)/2) +0.000001)/(280*2.13))/LOG(2)))+E21</f>
        <v>2.3651800097024402</v>
      </c>
      <c r="F71" s="136">
        <f t="shared" ref="F71:BQ71" si="43" xml:space="preserve"> $B$28*((LOG(( ((F59+G59)/2) +0.000001)/(280*2.13))/LOG(2)))+F21</f>
        <v>2.4920676721351831</v>
      </c>
      <c r="G71" s="136">
        <f t="shared" si="43"/>
        <v>2.5849898467673817</v>
      </c>
      <c r="H71" s="136">
        <f t="shared" si="43"/>
        <v>2.6561352394596009</v>
      </c>
      <c r="I71" s="136">
        <f t="shared" si="43"/>
        <v>2.7122021349034258</v>
      </c>
      <c r="J71" s="136">
        <f t="shared" si="43"/>
        <v>2.7571542494632473</v>
      </c>
      <c r="K71" s="136">
        <f t="shared" si="43"/>
        <v>2.7949018968335069</v>
      </c>
      <c r="L71" s="136">
        <f t="shared" si="43"/>
        <v>2.8303590190675596</v>
      </c>
      <c r="M71" s="136">
        <f t="shared" si="43"/>
        <v>2.8283794814223264</v>
      </c>
      <c r="N71" s="136">
        <f t="shared" si="43"/>
        <v>2.8248778457732371</v>
      </c>
      <c r="O71" s="136">
        <f t="shared" si="43"/>
        <v>2.8218951328201936</v>
      </c>
      <c r="P71" s="136">
        <f t="shared" si="43"/>
        <v>2.8214366397630042</v>
      </c>
      <c r="Q71" s="136">
        <f t="shared" si="43"/>
        <v>2.824086318957379</v>
      </c>
      <c r="R71" s="136">
        <f t="shared" si="43"/>
        <v>2.8298688258236004</v>
      </c>
      <c r="S71" s="136">
        <f t="shared" si="43"/>
        <v>2.8390922553475941</v>
      </c>
      <c r="T71" s="136">
        <f t="shared" si="43"/>
        <v>2.8502288090442209</v>
      </c>
      <c r="U71" s="136">
        <f t="shared" si="43"/>
        <v>2.8598930749084954</v>
      </c>
      <c r="V71" s="136">
        <f t="shared" si="43"/>
        <v>2.8696318421644218</v>
      </c>
      <c r="W71" s="136">
        <f t="shared" si="43"/>
        <v>2.8821599041627768</v>
      </c>
      <c r="X71" s="136">
        <f t="shared" si="43"/>
        <v>2.8963088400806454</v>
      </c>
      <c r="Y71" s="136">
        <f t="shared" si="43"/>
        <v>2.9115683037865501</v>
      </c>
      <c r="Z71" s="136">
        <f t="shared" si="43"/>
        <v>2.9278855307617637</v>
      </c>
      <c r="AA71" s="136">
        <f t="shared" si="43"/>
        <v>2.9451609770767422</v>
      </c>
      <c r="AB71" s="136">
        <f t="shared" si="43"/>
        <v>2.9098867685750642</v>
      </c>
      <c r="AC71" s="136">
        <f t="shared" si="43"/>
        <v>2.8276389403839</v>
      </c>
      <c r="AD71" s="136">
        <f t="shared" si="43"/>
        <v>2.7572592774059963</v>
      </c>
      <c r="AE71" s="136">
        <f t="shared" si="43"/>
        <v>2.6970051918252884</v>
      </c>
      <c r="AF71" s="136">
        <f t="shared" si="43"/>
        <v>2.6453582062934418</v>
      </c>
      <c r="AG71" s="136">
        <f t="shared" si="43"/>
        <v>2.6010048157111672</v>
      </c>
      <c r="AH71" s="136">
        <f t="shared" si="43"/>
        <v>2.5628158075428433</v>
      </c>
      <c r="AI71" s="136">
        <f t="shared" si="43"/>
        <v>2.5298254182363484</v>
      </c>
      <c r="AJ71" s="136">
        <f t="shared" si="43"/>
        <v>2.5012112536072388</v>
      </c>
      <c r="AK71" s="136">
        <f t="shared" si="43"/>
        <v>2.4762755492985482</v>
      </c>
      <c r="AL71" s="136">
        <f t="shared" si="43"/>
        <v>2.4544280854312079</v>
      </c>
      <c r="AM71" s="136">
        <f t="shared" si="43"/>
        <v>2.4351708832468182</v>
      </c>
      <c r="AN71" s="136">
        <f t="shared" si="43"/>
        <v>2.4180846854254012</v>
      </c>
      <c r="AO71" s="136">
        <f t="shared" si="43"/>
        <v>2.4028171413695358</v>
      </c>
      <c r="AP71" s="136">
        <f t="shared" si="43"/>
        <v>2.3890725717454386</v>
      </c>
      <c r="AQ71" s="136">
        <f t="shared" si="43"/>
        <v>2.3766031630542037</v>
      </c>
      <c r="AR71" s="136">
        <f t="shared" si="43"/>
        <v>2.3652014353628616</v>
      </c>
      <c r="AS71" s="136">
        <f t="shared" si="43"/>
        <v>2.3546938289176484</v>
      </c>
      <c r="AT71" s="136">
        <f t="shared" si="43"/>
        <v>2.3449352641442256</v>
      </c>
      <c r="AU71" s="136">
        <f t="shared" si="43"/>
        <v>2.3358045416945812</v>
      </c>
      <c r="AV71" s="136">
        <f t="shared" si="43"/>
        <v>2.3272004628291372</v>
      </c>
      <c r="AW71" s="136">
        <f t="shared" si="43"/>
        <v>2.3190385642934954</v>
      </c>
      <c r="AX71" s="136">
        <f t="shared" si="43"/>
        <v>2.3112483752026094</v>
      </c>
      <c r="AY71" s="136">
        <f t="shared" si="43"/>
        <v>2.3037711158473471</v>
      </c>
      <c r="AZ71" s="136">
        <f t="shared" si="43"/>
        <v>2.2965577695749362</v>
      </c>
      <c r="BA71" s="136">
        <f t="shared" si="43"/>
        <v>2.2895674688938885</v>
      </c>
      <c r="BB71" s="136">
        <f t="shared" si="43"/>
        <v>2.2827661457330093</v>
      </c>
      <c r="BC71" s="136">
        <f t="shared" si="43"/>
        <v>2.2761254034129634</v>
      </c>
      <c r="BD71" s="136">
        <f t="shared" si="43"/>
        <v>2.2696215744650869</v>
      </c>
      <c r="BE71" s="136">
        <f t="shared" si="43"/>
        <v>2.2632349340651046</v>
      </c>
      <c r="BF71" s="136">
        <f t="shared" si="43"/>
        <v>2.2569490436500272</v>
      </c>
      <c r="BG71" s="136">
        <f t="shared" si="43"/>
        <v>2.2507502033609983</v>
      </c>
      <c r="BH71" s="136">
        <f t="shared" si="43"/>
        <v>2.2446269954016769</v>
      </c>
      <c r="BI71" s="136">
        <f t="shared" si="43"/>
        <v>2.2385699033096809</v>
      </c>
      <c r="BJ71" s="136">
        <f t="shared" si="43"/>
        <v>1.9325709153702373</v>
      </c>
      <c r="BK71" s="136">
        <f t="shared" si="43"/>
        <v>1.9266234436582972</v>
      </c>
      <c r="BL71" s="136">
        <f t="shared" si="43"/>
        <v>1.9207220721114215</v>
      </c>
      <c r="BM71" s="136">
        <f t="shared" si="43"/>
        <v>1.9148621904868484</v>
      </c>
      <c r="BN71" s="136">
        <f t="shared" si="43"/>
        <v>1.9090399537028724</v>
      </c>
      <c r="BO71" s="136">
        <f t="shared" si="43"/>
        <v>1.9032521537378053</v>
      </c>
      <c r="BP71" s="136">
        <f t="shared" si="43"/>
        <v>1.8974961129577241</v>
      </c>
      <c r="BQ71" s="136">
        <f t="shared" si="43"/>
        <v>1.89176959529333</v>
      </c>
      <c r="BR71" s="136">
        <f t="shared" ref="BR71:DW71" si="44" xml:space="preserve"> $B$28*((LOG(( ((BR59+BS59)/2) +0.000001)/(280*2.13))/LOG(2)))+BR21</f>
        <v>1.8860707322827246</v>
      </c>
      <c r="BS71" s="136">
        <f t="shared" si="44"/>
        <v>1.8803979614945376</v>
      </c>
      <c r="BT71" s="136">
        <f t="shared" si="44"/>
        <v>1.874749975260648</v>
      </c>
      <c r="BU71" s="136">
        <f t="shared" si="44"/>
        <v>1.8691256779936554</v>
      </c>
      <c r="BV71" s="136">
        <f t="shared" si="44"/>
        <v>1.8635241506524587</v>
      </c>
      <c r="BW71" s="136">
        <f t="shared" si="44"/>
        <v>1.8579446211594655</v>
      </c>
      <c r="BX71" s="136">
        <f t="shared" si="44"/>
        <v>1.8523864397730592</v>
      </c>
      <c r="BY71" s="136">
        <f t="shared" si="44"/>
        <v>1.8468490585856572</v>
      </c>
      <c r="BZ71" s="136">
        <f t="shared" si="44"/>
        <v>1.8413320144564722</v>
      </c>
      <c r="CA71" s="136">
        <f t="shared" si="44"/>
        <v>1.8358349148037598</v>
      </c>
      <c r="CB71" s="136">
        <f t="shared" si="44"/>
        <v>1.8303574257776214</v>
      </c>
      <c r="CC71" s="136">
        <f t="shared" si="44"/>
        <v>1.8248992624145903</v>
      </c>
      <c r="CD71" s="136">
        <f t="shared" si="44"/>
        <v>1.8194601804420396</v>
      </c>
      <c r="CE71" s="136">
        <f t="shared" si="44"/>
        <v>1.8140399694560121</v>
      </c>
      <c r="CF71" s="136">
        <f t="shared" si="44"/>
        <v>1.8086384472423809</v>
      </c>
      <c r="CG71" s="136">
        <f t="shared" si="44"/>
        <v>1.8032554550497615</v>
      </c>
      <c r="CH71" s="136">
        <f t="shared" si="44"/>
        <v>1.797890853654762</v>
      </c>
      <c r="CI71" s="136">
        <f t="shared" si="44"/>
        <v>1.7925445200867418</v>
      </c>
      <c r="CJ71" s="136">
        <f t="shared" si="44"/>
        <v>1.7872163449016174</v>
      </c>
      <c r="CK71" s="136">
        <f t="shared" si="44"/>
        <v>1.781906229912694</v>
      </c>
      <c r="CL71" s="136">
        <f t="shared" si="44"/>
        <v>1.7766140863019448</v>
      </c>
      <c r="CM71" s="136">
        <f t="shared" si="44"/>
        <v>1.7713398330479615</v>
      </c>
      <c r="CN71" s="136">
        <f t="shared" si="44"/>
        <v>1.7660833956175479</v>
      </c>
      <c r="CO71" s="136">
        <f t="shared" si="44"/>
        <v>1.7608447048767315</v>
      </c>
      <c r="CP71" s="136">
        <f t="shared" si="44"/>
        <v>1.7556236961844447</v>
      </c>
      <c r="CQ71" s="136">
        <f t="shared" si="44"/>
        <v>1.750420308638253</v>
      </c>
      <c r="CR71" s="136">
        <f t="shared" si="44"/>
        <v>1.7452344844466476</v>
      </c>
      <c r="CS71" s="136">
        <f t="shared" si="44"/>
        <v>1.7400661684066909</v>
      </c>
      <c r="CT71" s="136">
        <f t="shared" si="44"/>
        <v>1.7349153074693553</v>
      </c>
      <c r="CU71" s="136">
        <f t="shared" si="44"/>
        <v>1.7297818503778613</v>
      </c>
      <c r="CV71" s="136">
        <f t="shared" si="44"/>
        <v>1.7246657473667621</v>
      </c>
      <c r="CW71" s="136">
        <f t="shared" si="44"/>
        <v>1.7195669499116242</v>
      </c>
      <c r="CX71" s="136">
        <f t="shared" si="44"/>
        <v>1.7144854105207847</v>
      </c>
      <c r="CY71" s="136">
        <f t="shared" si="44"/>
        <v>1.7094210825621641</v>
      </c>
      <c r="CZ71" s="136">
        <f t="shared" si="44"/>
        <v>1.7043739201192356</v>
      </c>
      <c r="DA71" s="136">
        <f t="shared" si="44"/>
        <v>1.6993438778712764</v>
      </c>
      <c r="DB71" s="136">
        <f t="shared" si="44"/>
        <v>1.6943309109938225</v>
      </c>
      <c r="DC71" s="136">
        <f t="shared" si="44"/>
        <v>1.6893349750759448</v>
      </c>
      <c r="DD71" s="136">
        <f t="shared" si="44"/>
        <v>1.6843560260515169</v>
      </c>
      <c r="DE71" s="136">
        <f t="shared" si="44"/>
        <v>1.6793940201421462</v>
      </c>
      <c r="DF71" s="136">
        <f t="shared" si="44"/>
        <v>1.6744489138097842</v>
      </c>
      <c r="DG71" s="136">
        <f t="shared" si="44"/>
        <v>1.669520663717434</v>
      </c>
      <c r="DH71" s="136">
        <f t="shared" si="44"/>
        <v>1.6646092266965449</v>
      </c>
      <c r="DI71" s="136">
        <f t="shared" si="44"/>
        <v>1.6597145597200187</v>
      </c>
      <c r="DJ71" s="136">
        <f t="shared" si="44"/>
        <v>1.6548366198798645</v>
      </c>
      <c r="DK71" s="136">
        <f t="shared" si="44"/>
        <v>1.6499753643687165</v>
      </c>
      <c r="DL71" s="136">
        <f t="shared" si="44"/>
        <v>1.6451307504645845</v>
      </c>
      <c r="DM71" s="136">
        <f t="shared" si="44"/>
        <v>1.6403027355182802</v>
      </c>
      <c r="DN71" s="136">
        <f t="shared" si="44"/>
        <v>1.6354912769430721</v>
      </c>
      <c r="DO71" s="136">
        <f t="shared" si="44"/>
        <v>1.6306963322062054</v>
      </c>
      <c r="DP71" s="136">
        <f t="shared" si="44"/>
        <v>1.6259178588219543</v>
      </c>
      <c r="DQ71" s="136">
        <f t="shared" si="44"/>
        <v>1.6211558143459708</v>
      </c>
      <c r="DR71" s="136">
        <f t="shared" si="44"/>
        <v>1.6164101563706919</v>
      </c>
      <c r="DS71" s="136">
        <f t="shared" si="44"/>
        <v>1.6116808425216416</v>
      </c>
      <c r="DT71" s="136">
        <f t="shared" si="44"/>
        <v>1.6069678304544697</v>
      </c>
      <c r="DU71" s="136">
        <f t="shared" si="44"/>
        <v>1.6022710778526079</v>
      </c>
      <c r="DV71" s="136">
        <f t="shared" si="44"/>
        <v>1.5975905424254309</v>
      </c>
      <c r="DW71" s="136">
        <f t="shared" si="44"/>
        <v>1.5929261819068463</v>
      </c>
      <c r="DX71" s="136">
        <f>+DW71</f>
        <v>1.5929261819068463</v>
      </c>
    </row>
    <row r="72" spans="1:309" s="60" customFormat="1" ht="30" x14ac:dyDescent="0.2">
      <c r="A72" s="78" t="s">
        <v>97</v>
      </c>
      <c r="B72" s="60">
        <f xml:space="preserve"> B25</f>
        <v>6.7999999999999996E-3</v>
      </c>
      <c r="C72" s="60">
        <f t="shared" ref="C72:AH72" si="45">B72+ $B30*(B70-B72)</f>
        <v>4.2459999999999998E-2</v>
      </c>
      <c r="D72" s="60">
        <f t="shared" si="45"/>
        <v>7.3837E-2</v>
      </c>
      <c r="E72" s="60">
        <f t="shared" si="45"/>
        <v>9.4645149999999997E-2</v>
      </c>
      <c r="F72" s="60">
        <f t="shared" si="45"/>
        <v>0.1149128925</v>
      </c>
      <c r="G72" s="60">
        <f t="shared" si="45"/>
        <v>0.13816724787500001</v>
      </c>
      <c r="H72" s="60">
        <f t="shared" si="45"/>
        <v>0.16675888548125001</v>
      </c>
      <c r="I72" s="60">
        <f t="shared" si="45"/>
        <v>0.1884209412071875</v>
      </c>
      <c r="J72" s="60">
        <f t="shared" si="45"/>
        <v>0.21549989414682813</v>
      </c>
      <c r="K72" s="60">
        <f t="shared" si="45"/>
        <v>0.24822489943948672</v>
      </c>
      <c r="L72" s="60">
        <f t="shared" si="45"/>
        <v>0.26831365446751237</v>
      </c>
      <c r="M72" s="428">
        <f t="shared" si="45"/>
        <v>0.28789797174413678</v>
      </c>
      <c r="N72" s="60">
        <f t="shared" si="45"/>
        <v>0.31350307315692993</v>
      </c>
      <c r="O72" s="60">
        <f t="shared" si="45"/>
        <v>0.34282791949908342</v>
      </c>
      <c r="P72" s="60">
        <f t="shared" si="45"/>
        <v>0.37018652352412923</v>
      </c>
      <c r="Q72" s="60">
        <f t="shared" si="45"/>
        <v>0.39167719734792278</v>
      </c>
      <c r="R72" s="60">
        <f t="shared" si="45"/>
        <v>0.41909333748052663</v>
      </c>
      <c r="S72" s="60">
        <f t="shared" si="45"/>
        <v>0.44363867060650031</v>
      </c>
      <c r="T72" s="60">
        <f t="shared" si="45"/>
        <v>0.4679567370761753</v>
      </c>
      <c r="U72" s="60">
        <f t="shared" si="45"/>
        <v>0.48505890022236653</v>
      </c>
      <c r="V72" s="60">
        <f t="shared" si="45"/>
        <v>0.50680595521124816</v>
      </c>
      <c r="W72" s="60">
        <f t="shared" si="45"/>
        <v>0.5309656574506858</v>
      </c>
      <c r="X72" s="60">
        <f t="shared" si="45"/>
        <v>0.54841737457815154</v>
      </c>
      <c r="Y72" s="60">
        <f t="shared" si="45"/>
        <v>0.56699650584924399</v>
      </c>
      <c r="Z72" s="60">
        <f t="shared" si="45"/>
        <v>0.58614668055678176</v>
      </c>
      <c r="AA72" s="60">
        <f t="shared" si="45"/>
        <v>0.60733934652894273</v>
      </c>
      <c r="AB72" s="60">
        <f t="shared" si="45"/>
        <v>0.63547237920249555</v>
      </c>
      <c r="AC72" s="60">
        <f t="shared" si="45"/>
        <v>0.66769876024237074</v>
      </c>
      <c r="AD72" s="60">
        <f t="shared" si="45"/>
        <v>0.69381382223025223</v>
      </c>
      <c r="AE72" s="60">
        <f t="shared" si="45"/>
        <v>0.7151231311187396</v>
      </c>
      <c r="AF72" s="60">
        <f t="shared" si="45"/>
        <v>0.74186697456280259</v>
      </c>
      <c r="AG72" s="60">
        <f t="shared" si="45"/>
        <v>0.76877362583466247</v>
      </c>
      <c r="AH72" s="60">
        <f t="shared" si="45"/>
        <v>0.78633494454292929</v>
      </c>
      <c r="AI72" s="60">
        <f t="shared" ref="AI72:BN72" si="46">AH72+ $B30*(AH70-AH72)</f>
        <v>0.80501819731578284</v>
      </c>
      <c r="AJ72" s="60">
        <f t="shared" si="46"/>
        <v>0.83676728744999374</v>
      </c>
      <c r="AK72" s="60">
        <f t="shared" si="46"/>
        <v>0.79492892307749408</v>
      </c>
      <c r="AL72" s="60">
        <f t="shared" si="46"/>
        <v>0.75518247692361939</v>
      </c>
      <c r="AM72" s="60">
        <f t="shared" si="46"/>
        <v>0.71742335307743843</v>
      </c>
      <c r="AN72" s="60">
        <f t="shared" si="46"/>
        <v>0.68155218542356655</v>
      </c>
      <c r="AO72" s="60">
        <f t="shared" si="46"/>
        <v>0.64747457615238824</v>
      </c>
      <c r="AP72" s="60">
        <f t="shared" si="46"/>
        <v>0.61510084734476878</v>
      </c>
      <c r="AQ72" s="60">
        <f t="shared" si="46"/>
        <v>0.5843458049775303</v>
      </c>
      <c r="AR72" s="60">
        <f t="shared" si="46"/>
        <v>0.55512851472865377</v>
      </c>
      <c r="AS72" s="60">
        <f t="shared" si="46"/>
        <v>0.5273720889922211</v>
      </c>
      <c r="AT72" s="60">
        <f t="shared" si="46"/>
        <v>0.50100348454261001</v>
      </c>
      <c r="AU72" s="60">
        <f t="shared" si="46"/>
        <v>0.47595331031547949</v>
      </c>
      <c r="AV72" s="60">
        <f t="shared" si="46"/>
        <v>0.45215564479970549</v>
      </c>
      <c r="AW72" s="60">
        <f t="shared" si="46"/>
        <v>0.42954786255972022</v>
      </c>
      <c r="AX72" s="60">
        <f t="shared" si="46"/>
        <v>0.4080704694317342</v>
      </c>
      <c r="AY72" s="60">
        <f t="shared" si="46"/>
        <v>0.3876669459601475</v>
      </c>
      <c r="AZ72" s="60">
        <f t="shared" si="46"/>
        <v>0.36828359866214011</v>
      </c>
      <c r="BA72" s="60">
        <f t="shared" si="46"/>
        <v>0.3498694187290331</v>
      </c>
      <c r="BB72" s="60">
        <f t="shared" si="46"/>
        <v>0.33237594779258145</v>
      </c>
      <c r="BC72" s="60">
        <f t="shared" si="46"/>
        <v>0.31575715040295238</v>
      </c>
      <c r="BD72" s="60">
        <f t="shared" si="46"/>
        <v>0.29996929288280477</v>
      </c>
      <c r="BE72" s="60">
        <f t="shared" si="46"/>
        <v>0.28497082823866454</v>
      </c>
      <c r="BF72" s="60">
        <f t="shared" si="46"/>
        <v>0.27072228682673133</v>
      </c>
      <c r="BG72" s="60">
        <f t="shared" si="46"/>
        <v>0.25718617248539477</v>
      </c>
      <c r="BH72" s="60">
        <f t="shared" si="46"/>
        <v>0.24432686386112504</v>
      </c>
      <c r="BI72" s="60">
        <f t="shared" si="46"/>
        <v>0.23211052066806878</v>
      </c>
      <c r="BJ72" s="60">
        <f t="shared" si="46"/>
        <v>0.22050499463466533</v>
      </c>
      <c r="BK72" s="60">
        <f t="shared" si="46"/>
        <v>0.20947974490293206</v>
      </c>
      <c r="BL72" s="60">
        <f t="shared" si="46"/>
        <v>0.19900575765778544</v>
      </c>
      <c r="BM72" s="60">
        <f t="shared" si="46"/>
        <v>0.18905546977489618</v>
      </c>
      <c r="BN72" s="60">
        <f t="shared" si="46"/>
        <v>0.17960269628615136</v>
      </c>
      <c r="BO72" s="60">
        <f t="shared" ref="BO72:CT72" si="47">BN72+ $B30*(BN70-BN72)</f>
        <v>0.17062256147184379</v>
      </c>
      <c r="BP72" s="60">
        <f t="shared" si="47"/>
        <v>0.16209143339825161</v>
      </c>
      <c r="BQ72" s="60">
        <f t="shared" si="47"/>
        <v>0.15398686172833903</v>
      </c>
      <c r="BR72" s="60">
        <f t="shared" si="47"/>
        <v>0.14628751864192208</v>
      </c>
      <c r="BS72" s="60">
        <f t="shared" si="47"/>
        <v>0.13897314270982597</v>
      </c>
      <c r="BT72" s="60">
        <f t="shared" si="47"/>
        <v>0.13202448557433466</v>
      </c>
      <c r="BU72" s="60">
        <f t="shared" si="47"/>
        <v>0.12542326129561793</v>
      </c>
      <c r="BV72" s="60">
        <f t="shared" si="47"/>
        <v>0.11915209823083703</v>
      </c>
      <c r="BW72" s="60">
        <f t="shared" si="47"/>
        <v>0.11319449331929518</v>
      </c>
      <c r="BX72" s="60">
        <f t="shared" si="47"/>
        <v>0.10753476865333042</v>
      </c>
      <c r="BY72" s="60">
        <f t="shared" si="47"/>
        <v>0.1021580302206639</v>
      </c>
      <c r="BZ72" s="60">
        <f t="shared" si="47"/>
        <v>9.7050128709630701E-2</v>
      </c>
      <c r="CA72" s="60">
        <f t="shared" si="47"/>
        <v>9.2197622274149169E-2</v>
      </c>
      <c r="CB72" s="60">
        <f t="shared" si="47"/>
        <v>8.7587741160441712E-2</v>
      </c>
      <c r="CC72" s="60">
        <f t="shared" si="47"/>
        <v>8.3208354102419627E-2</v>
      </c>
      <c r="CD72" s="60">
        <f t="shared" si="47"/>
        <v>7.9047936397298652E-2</v>
      </c>
      <c r="CE72" s="60">
        <f t="shared" si="47"/>
        <v>7.5095539577433715E-2</v>
      </c>
      <c r="CF72" s="60">
        <f t="shared" si="47"/>
        <v>7.1340762598562035E-2</v>
      </c>
      <c r="CG72" s="60">
        <f t="shared" si="47"/>
        <v>6.7773724468633931E-2</v>
      </c>
      <c r="CH72" s="60">
        <f t="shared" si="47"/>
        <v>6.4385038245202239E-2</v>
      </c>
      <c r="CI72" s="60">
        <f t="shared" si="47"/>
        <v>6.1165786332942125E-2</v>
      </c>
      <c r="CJ72" s="60">
        <f t="shared" si="47"/>
        <v>5.8107497016295015E-2</v>
      </c>
      <c r="CK72" s="60">
        <f t="shared" si="47"/>
        <v>5.5202122165480261E-2</v>
      </c>
      <c r="CL72" s="60">
        <f t="shared" si="47"/>
        <v>5.2442016057206248E-2</v>
      </c>
      <c r="CM72" s="60">
        <f t="shared" si="47"/>
        <v>4.9819915254345933E-2</v>
      </c>
      <c r="CN72" s="60">
        <f t="shared" si="47"/>
        <v>4.7328919491628638E-2</v>
      </c>
      <c r="CO72" s="60">
        <f t="shared" si="47"/>
        <v>4.4962473517047206E-2</v>
      </c>
      <c r="CP72" s="60">
        <f t="shared" si="47"/>
        <v>4.2714349841194849E-2</v>
      </c>
      <c r="CQ72" s="60">
        <f t="shared" si="47"/>
        <v>4.0578632349135106E-2</v>
      </c>
      <c r="CR72" s="60">
        <f t="shared" si="47"/>
        <v>3.8549700731678349E-2</v>
      </c>
      <c r="CS72" s="60">
        <f t="shared" si="47"/>
        <v>3.6622215695094433E-2</v>
      </c>
      <c r="CT72" s="60">
        <f t="shared" si="47"/>
        <v>3.479110491033971E-2</v>
      </c>
      <c r="CU72" s="60">
        <f t="shared" ref="CU72:DX72" si="48">CT72+ $B30*(CT70-CT72)</f>
        <v>3.3051549664822724E-2</v>
      </c>
      <c r="CV72" s="60">
        <f t="shared" si="48"/>
        <v>3.1398972181581587E-2</v>
      </c>
      <c r="CW72" s="60">
        <f t="shared" si="48"/>
        <v>2.9829023572502507E-2</v>
      </c>
      <c r="CX72" s="60">
        <f t="shared" si="48"/>
        <v>2.833757239387738E-2</v>
      </c>
      <c r="CY72" s="60">
        <f t="shared" si="48"/>
        <v>2.6920693774183511E-2</v>
      </c>
      <c r="CZ72" s="60">
        <f t="shared" si="48"/>
        <v>2.5574659085474336E-2</v>
      </c>
      <c r="DA72" s="60">
        <f t="shared" si="48"/>
        <v>2.4295926131200619E-2</v>
      </c>
      <c r="DB72" s="60">
        <f t="shared" si="48"/>
        <v>2.3081129824640587E-2</v>
      </c>
      <c r="DC72" s="60">
        <f t="shared" si="48"/>
        <v>2.1927073333408559E-2</v>
      </c>
      <c r="DD72" s="60">
        <f t="shared" si="48"/>
        <v>2.0830719666738131E-2</v>
      </c>
      <c r="DE72" s="60">
        <f t="shared" si="48"/>
        <v>1.9789183683401223E-2</v>
      </c>
      <c r="DF72" s="60">
        <f t="shared" si="48"/>
        <v>1.879972449923116E-2</v>
      </c>
      <c r="DG72" s="60">
        <f t="shared" si="48"/>
        <v>1.7859738274269604E-2</v>
      </c>
      <c r="DH72" s="60">
        <f t="shared" si="48"/>
        <v>1.6966751360556122E-2</v>
      </c>
      <c r="DI72" s="60">
        <f t="shared" si="48"/>
        <v>1.6118413792528315E-2</v>
      </c>
      <c r="DJ72" s="60">
        <f t="shared" si="48"/>
        <v>1.5312493102901899E-2</v>
      </c>
      <c r="DK72" s="60">
        <f t="shared" si="48"/>
        <v>1.4546868447756803E-2</v>
      </c>
      <c r="DL72" s="60">
        <f t="shared" si="48"/>
        <v>1.3819525025368963E-2</v>
      </c>
      <c r="DM72" s="60">
        <f t="shared" si="48"/>
        <v>1.3128548774100515E-2</v>
      </c>
      <c r="DN72" s="60">
        <f t="shared" si="48"/>
        <v>1.2472121335395488E-2</v>
      </c>
      <c r="DO72" s="60">
        <f t="shared" si="48"/>
        <v>1.1848515268625714E-2</v>
      </c>
      <c r="DP72" s="60">
        <f t="shared" si="48"/>
        <v>1.1256089505194428E-2</v>
      </c>
      <c r="DQ72" s="60">
        <f t="shared" si="48"/>
        <v>1.0693285029934708E-2</v>
      </c>
      <c r="DR72" s="60">
        <f t="shared" si="48"/>
        <v>1.0158620778437972E-2</v>
      </c>
      <c r="DS72" s="60">
        <f t="shared" si="48"/>
        <v>9.6506897395160739E-3</v>
      </c>
      <c r="DT72" s="60">
        <f t="shared" si="48"/>
        <v>9.1681552525402707E-3</v>
      </c>
      <c r="DU72" s="60">
        <f t="shared" si="48"/>
        <v>8.7097474899132579E-3</v>
      </c>
      <c r="DV72" s="60">
        <f t="shared" si="48"/>
        <v>8.2742601154175942E-3</v>
      </c>
      <c r="DW72" s="60">
        <f t="shared" si="48"/>
        <v>7.8605471096467143E-3</v>
      </c>
      <c r="DX72" s="60">
        <f t="shared" si="48"/>
        <v>7.4675197541643782E-3</v>
      </c>
    </row>
    <row r="73" spans="1:309" ht="15" x14ac:dyDescent="0.2">
      <c r="A73" s="68" t="s">
        <v>210</v>
      </c>
    </row>
    <row r="74" spans="1:309" ht="15" x14ac:dyDescent="0.2">
      <c r="A74" s="82" t="s">
        <v>1056</v>
      </c>
      <c r="B74" s="29">
        <f>SUM(US:OthAsia!B92)</f>
        <v>-1111.2154621063855</v>
      </c>
      <c r="C74" s="19">
        <v>1579.0700406026453</v>
      </c>
      <c r="D74" s="46">
        <f>+B74-C74</f>
        <v>-2690.2855027090309</v>
      </c>
      <c r="F74" s="19" t="s">
        <v>245</v>
      </c>
      <c r="I74" s="19">
        <v>1.6000000000000001E-4</v>
      </c>
    </row>
    <row r="75" spans="1:309" ht="15" x14ac:dyDescent="0.2">
      <c r="A75" s="82" t="s">
        <v>214</v>
      </c>
      <c r="B75" s="29">
        <f>SUM(US:OthAsia!B153)</f>
        <v>3260.007135864827</v>
      </c>
      <c r="C75" s="19">
        <v>1579.0700406026451</v>
      </c>
      <c r="D75" s="46">
        <f>+B75-C75</f>
        <v>1680.9370952621819</v>
      </c>
      <c r="F75" s="138" t="s">
        <v>246</v>
      </c>
      <c r="I75" s="19">
        <v>1.8140000000000001</v>
      </c>
    </row>
    <row r="76" spans="1:309" ht="15" x14ac:dyDescent="0.2">
      <c r="A76" s="68" t="s">
        <v>272</v>
      </c>
      <c r="B76" s="172"/>
      <c r="D76" s="201"/>
      <c r="F76" s="134"/>
    </row>
    <row r="77" spans="1:309" ht="15" x14ac:dyDescent="0.2">
      <c r="A77" s="82" t="s">
        <v>1057</v>
      </c>
      <c r="B77" s="19">
        <f>+Controls!B4</f>
        <v>-1286.367566184224</v>
      </c>
      <c r="C77" s="19">
        <v>2301.5179994214182</v>
      </c>
      <c r="D77" s="219">
        <f>+B77-C77</f>
        <v>-3587.8855656056421</v>
      </c>
      <c r="F77" s="134"/>
      <c r="BJ77" s="83">
        <f>+SLR!BJ59</f>
        <v>0.16063942055241442</v>
      </c>
      <c r="BK77" s="83">
        <f>+SLR!BK59</f>
        <v>0.15677184318882431</v>
      </c>
      <c r="BL77" s="83">
        <f>+SLR!BL59</f>
        <v>0.15299738216375133</v>
      </c>
      <c r="BM77" s="83">
        <f>+SLR!BM59</f>
        <v>0.1493137955950859</v>
      </c>
      <c r="BN77" s="83">
        <f>+SLR!BN59</f>
        <v>0.14571889557658857</v>
      </c>
      <c r="BO77" s="83">
        <f>+SLR!BO59</f>
        <v>0.1422105468783593</v>
      </c>
      <c r="BP77" s="83">
        <f>+SLR!BP59</f>
        <v>0.13878666567859455</v>
      </c>
      <c r="BQ77" s="83">
        <f>+SLR!BQ59</f>
        <v>0.13544521832587864</v>
      </c>
      <c r="BR77" s="83">
        <f>+SLR!BR59</f>
        <v>0.13218422013127443</v>
      </c>
      <c r="BS77" s="83">
        <f>+SLR!BS59</f>
        <v>0.12900173418949576</v>
      </c>
      <c r="BT77" s="83">
        <f>+SLR!BT59</f>
        <v>0.12589587022846155</v>
      </c>
      <c r="BU77" s="83">
        <f>+SLR!BU59</f>
        <v>0.12286478348654813</v>
      </c>
      <c r="BV77" s="83">
        <f>+SLR!BV59</f>
        <v>0.1199066736168731</v>
      </c>
      <c r="BW77" s="83">
        <f>+SLR!BW59</f>
        <v>0.11701978361795971</v>
      </c>
      <c r="BX77" s="83">
        <f>+SLR!BX59</f>
        <v>0.11420239879014676</v>
      </c>
      <c r="BY77" s="83">
        <f>+SLR!BY59</f>
        <v>0.11145284571712415</v>
      </c>
      <c r="BZ77" s="83">
        <f>+SLR!BZ59</f>
        <v>0.10876949127198902</v>
      </c>
      <c r="CA77" s="83">
        <f>+SLR!CA59</f>
        <v>0.10615074164723239</v>
      </c>
      <c r="CB77" s="83">
        <f>+SLR!CB59</f>
        <v>0.10359504140807979</v>
      </c>
      <c r="CC77" s="83">
        <f>+SLR!CC59</f>
        <v>0.10110087256862398</v>
      </c>
      <c r="CD77" s="83">
        <f>+SLR!CD59</f>
        <v>9.8666753690200629E-2</v>
      </c>
      <c r="CE77" s="83">
        <f>+SLR!CE59</f>
        <v>9.6291239001471837E-2</v>
      </c>
      <c r="CF77" s="83">
        <f>+SLR!CF59</f>
        <v>9.39729175396945E-2</v>
      </c>
      <c r="CG77" s="83">
        <f>+SLR!CG59</f>
        <v>9.171041231266365E-2</v>
      </c>
      <c r="CH77" s="83">
        <f>+SLR!CH59</f>
        <v>8.9502379480833047E-2</v>
      </c>
      <c r="CI77" s="83">
        <f>+SLR!CI59</f>
        <v>8.7347507559127027E-2</v>
      </c>
      <c r="CJ77" s="83">
        <f>+SLR!CJ59</f>
        <v>8.5244516637969725E-2</v>
      </c>
      <c r="CK77" s="83">
        <f>+SLR!CK59</f>
        <v>8.3192157623068891E-2</v>
      </c>
      <c r="CL77" s="83">
        <f>+SLR!CL59</f>
        <v>8.1189211493502778E-2</v>
      </c>
      <c r="CM77" s="83">
        <f>+SLR!CM59</f>
        <v>7.923448857766939E-2</v>
      </c>
      <c r="CN77" s="83">
        <f>+SLR!CN59</f>
        <v>7.7326827846668153E-2</v>
      </c>
      <c r="CO77" s="83">
        <f>+SLR!CO59</f>
        <v>7.5465096224694189E-2</v>
      </c>
      <c r="CP77" s="83">
        <f>+SLR!CP59</f>
        <v>7.364818791603564E-2</v>
      </c>
      <c r="CQ77" s="83">
        <f>+SLR!CQ59</f>
        <v>7.1875023748274272E-2</v>
      </c>
      <c r="CR77" s="83">
        <f>+SLR!CR59</f>
        <v>7.0144550531299324E-2</v>
      </c>
      <c r="CS77" s="83">
        <f>+SLR!CS59</f>
        <v>6.8455740431753814E-2</v>
      </c>
      <c r="CT77" s="83">
        <f>+SLR!CT59</f>
        <v>6.6807590362541719E-2</v>
      </c>
      <c r="CU77" s="83">
        <f>+SLR!CU59</f>
        <v>6.5199121387033543E-2</v>
      </c>
      <c r="CV77" s="83">
        <f>+SLR!CV59</f>
        <v>6.3629378137616266E-2</v>
      </c>
      <c r="CW77" s="83">
        <f>+SLR!CW59</f>
        <v>6.2097428248242353E-2</v>
      </c>
      <c r="CX77" s="83">
        <f>+SLR!CX59</f>
        <v>6.0602361800640839E-2</v>
      </c>
      <c r="CY77" s="83">
        <f>+SLR!CY59</f>
        <v>5.9143290783861484E-2</v>
      </c>
    </row>
    <row r="78" spans="1:309" ht="15" x14ac:dyDescent="0.2">
      <c r="A78" s="82" t="s">
        <v>214</v>
      </c>
      <c r="B78" s="172"/>
      <c r="D78" s="137"/>
      <c r="F78" s="134"/>
      <c r="BJ78" s="83">
        <f>+SLR!BJ60</f>
        <v>0.32454267724214825</v>
      </c>
      <c r="BK78" s="83">
        <f>+SLR!BK60</f>
        <v>0.32067509987855813</v>
      </c>
      <c r="BL78" s="83">
        <f>+SLR!BL60</f>
        <v>0.31690063885348513</v>
      </c>
      <c r="BM78" s="83">
        <f>+SLR!BM60</f>
        <v>0.31321705228481966</v>
      </c>
      <c r="BN78" s="83">
        <f>+SLR!BN60</f>
        <v>0.30962215226632239</v>
      </c>
      <c r="BO78" s="83">
        <f>+SLR!BO60</f>
        <v>0.30611380356809309</v>
      </c>
      <c r="BP78" s="83">
        <f>+SLR!BP60</f>
        <v>0.30268992236832837</v>
      </c>
      <c r="BQ78" s="83">
        <f>+SLR!BQ60</f>
        <v>0.29934847501561246</v>
      </c>
      <c r="BR78" s="83">
        <f>+SLR!BR60</f>
        <v>0.29608747682100822</v>
      </c>
      <c r="BS78" s="83">
        <f>+SLR!BS60</f>
        <v>0.29290499087922955</v>
      </c>
      <c r="BT78" s="83">
        <f>+SLR!BT60</f>
        <v>0.28979912691819532</v>
      </c>
      <c r="BU78" s="83">
        <f>+SLR!BU60</f>
        <v>0.28676804017628194</v>
      </c>
      <c r="BV78" s="83">
        <f>+SLR!BV60</f>
        <v>0.28380993030660689</v>
      </c>
      <c r="BW78" s="83">
        <f>+SLR!BW60</f>
        <v>0.28092304030769349</v>
      </c>
      <c r="BX78" s="83">
        <f>+SLR!BX60</f>
        <v>0.27810565547988053</v>
      </c>
      <c r="BY78" s="83">
        <f>+SLR!BY60</f>
        <v>0.27535610240685793</v>
      </c>
      <c r="BZ78" s="83">
        <f>+SLR!BZ60</f>
        <v>0.27267274796172281</v>
      </c>
      <c r="CA78" s="83">
        <f>+SLR!CA60</f>
        <v>0.27005399833696619</v>
      </c>
      <c r="CB78" s="83">
        <f>+SLR!CB60</f>
        <v>0.26749829809781356</v>
      </c>
      <c r="CC78" s="83">
        <f>+SLR!CC60</f>
        <v>0.26500412925835776</v>
      </c>
      <c r="CD78" s="83">
        <f>+SLR!CD60</f>
        <v>0.26257001037993444</v>
      </c>
      <c r="CE78" s="83">
        <f>+SLR!CE60</f>
        <v>0.26019449569120562</v>
      </c>
      <c r="CF78" s="83">
        <f>+SLR!CF60</f>
        <v>0.25787617422942832</v>
      </c>
      <c r="CG78" s="83">
        <f>+SLR!CG60</f>
        <v>0.25561366900239746</v>
      </c>
      <c r="CH78" s="83">
        <f>+SLR!CH60</f>
        <v>0.25340563617056683</v>
      </c>
      <c r="CI78" s="83">
        <f>+SLR!CI60</f>
        <v>0.25125076424886084</v>
      </c>
      <c r="CJ78" s="83">
        <f>+SLR!CJ60</f>
        <v>0.24914777332770352</v>
      </c>
      <c r="CK78" s="83">
        <f>+SLR!CK60</f>
        <v>0.24709541431280269</v>
      </c>
      <c r="CL78" s="83">
        <f>+SLR!CL60</f>
        <v>0.24509246818323657</v>
      </c>
      <c r="CM78" s="83">
        <f>+SLR!CM60</f>
        <v>0.24313774526740317</v>
      </c>
      <c r="CN78" s="83">
        <f>+SLR!CN60</f>
        <v>0.24123008453640193</v>
      </c>
      <c r="CO78" s="83">
        <f>+SLR!CO60</f>
        <v>0.23936835291442798</v>
      </c>
      <c r="CP78" s="83">
        <f>+SLR!CP60</f>
        <v>0.23755144460576944</v>
      </c>
      <c r="CQ78" s="83">
        <f>+SLR!CQ60</f>
        <v>0.23577828043800808</v>
      </c>
      <c r="CR78" s="83">
        <f>+SLR!CR60</f>
        <v>0.23404780722103313</v>
      </c>
      <c r="CS78" s="83">
        <f>+SLR!CS60</f>
        <v>0.23235899712148761</v>
      </c>
      <c r="CT78" s="83">
        <f>+SLR!CT60</f>
        <v>0.23071084705227551</v>
      </c>
      <c r="CU78" s="83">
        <f>+SLR!CU60</f>
        <v>0.22910237807676734</v>
      </c>
      <c r="CV78" s="83">
        <f>+SLR!CV60</f>
        <v>0.22753263482735006</v>
      </c>
      <c r="CW78" s="83">
        <f>+SLR!CW60</f>
        <v>0.22600068493797615</v>
      </c>
      <c r="CX78" s="83">
        <f>+SLR!CX60</f>
        <v>0.22450561849037465</v>
      </c>
      <c r="CY78" s="83">
        <f>+SLR!CY60</f>
        <v>0.22304654747359529</v>
      </c>
    </row>
    <row r="79" spans="1:309" ht="14" x14ac:dyDescent="0.2">
      <c r="D79" s="137"/>
      <c r="BJ79" s="83">
        <f>+SLR!BJ61</f>
        <v>0.98850368981636905</v>
      </c>
      <c r="BK79" s="83">
        <f>+SLR!BK61</f>
        <v>0.9900903910725809</v>
      </c>
      <c r="BL79" s="83">
        <f>+SLR!BL61</f>
        <v>0.99176572569858124</v>
      </c>
      <c r="BM79" s="83">
        <f>+SLR!BM61</f>
        <v>0.99352745549689248</v>
      </c>
      <c r="BN79" s="83">
        <f>+SLR!BN61</f>
        <v>0.99537339624287846</v>
      </c>
      <c r="BO79" s="83">
        <f>+SLR!BO61</f>
        <v>0.9973014163852163</v>
      </c>
      <c r="BP79" s="83">
        <f>+SLR!BP61</f>
        <v>0.99930943577765674</v>
      </c>
      <c r="BQ79" s="83">
        <f>+SLR!BQ61</f>
        <v>1.0013954244413168</v>
      </c>
      <c r="BR79" s="83">
        <f>+SLR!BR61</f>
        <v>1.0035574013567734</v>
      </c>
      <c r="BS79" s="83">
        <f>+SLR!BS61</f>
        <v>1.0057934332852394</v>
      </c>
      <c r="BT79" s="83">
        <f>+SLR!BT61</f>
        <v>1.0081016336181181</v>
      </c>
      <c r="BU79" s="83">
        <f>+SLR!BU61</f>
        <v>1.0104801612542595</v>
      </c>
      <c r="BV79" s="83">
        <f>+SLR!BV61</f>
        <v>1.0129272195042465</v>
      </c>
      <c r="BW79" s="83">
        <f>+SLR!BW61</f>
        <v>1.0154410550210611</v>
      </c>
      <c r="BX79" s="83">
        <f>+SLR!BX61</f>
        <v>1.0180199567564974</v>
      </c>
      <c r="BY79" s="83">
        <f>+SLR!BY61</f>
        <v>1.0206622549426996</v>
      </c>
      <c r="BZ79" s="83">
        <f>+SLR!BZ61</f>
        <v>1.0233663200982199</v>
      </c>
      <c r="CA79" s="83">
        <f>+SLR!CA61</f>
        <v>1.0261305620580088</v>
      </c>
      <c r="CB79" s="83">
        <f>+SLR!CB61</f>
        <v>1.0289534290267566</v>
      </c>
      <c r="CC79" s="83">
        <f>+SLR!CC61</f>
        <v>1.0318334066550303</v>
      </c>
      <c r="CD79" s="83">
        <f>+SLR!CD61</f>
        <v>1.0347690171376509</v>
      </c>
      <c r="CE79" s="83">
        <f>+SLR!CE61</f>
        <v>1.0377588183337787</v>
      </c>
      <c r="CF79" s="83">
        <f>+SLR!CF61</f>
        <v>1.0408014029081856</v>
      </c>
      <c r="CG79" s="83">
        <f>+SLR!CG61</f>
        <v>1.0438953974931997</v>
      </c>
      <c r="CH79" s="83">
        <f>+SLR!CH61</f>
        <v>1.0470394618708287</v>
      </c>
      <c r="CI79" s="83">
        <f>+SLR!CI61</f>
        <v>1.0502322881745747</v>
      </c>
      <c r="CJ79" s="83">
        <f>+SLR!CJ61</f>
        <v>1.0534726001104646</v>
      </c>
      <c r="CK79" s="83">
        <f>+SLR!CK61</f>
        <v>1.0567591521968382</v>
      </c>
      <c r="CL79" s="83">
        <f>+SLR!CL61</f>
        <v>1.060090729022436</v>
      </c>
      <c r="CM79" s="83">
        <f>+SLR!CM61</f>
        <v>1.063466144522351</v>
      </c>
      <c r="CN79" s="83">
        <f>+SLR!CN61</f>
        <v>1.0668842412714143</v>
      </c>
      <c r="CO79" s="83">
        <f>+SLR!CO61</f>
        <v>1.0703438897945896</v>
      </c>
      <c r="CP79" s="83">
        <f>+SLR!CP61</f>
        <v>1.0738439878939747</v>
      </c>
      <c r="CQ79" s="83">
        <f>+SLR!CQ61</f>
        <v>1.0773834599920038</v>
      </c>
      <c r="CR79" s="83">
        <f>+SLR!CR61</f>
        <v>1.080961256490464</v>
      </c>
      <c r="CS79" s="83">
        <f>+SLR!CS61</f>
        <v>1.0845763531449437</v>
      </c>
      <c r="CT79" s="83">
        <f>+SLR!CT61</f>
        <v>1.0882277504543425</v>
      </c>
      <c r="CU79" s="83">
        <f>+SLR!CU61</f>
        <v>1.0919144730650792</v>
      </c>
      <c r="CV79" s="83">
        <f>+SLR!CV61</f>
        <v>1.095635569189644</v>
      </c>
      <c r="CW79" s="83">
        <f>+SLR!CW61</f>
        <v>1.0993901100391505</v>
      </c>
      <c r="CX79" s="83">
        <f>+SLR!CX61</f>
        <v>1.1031771892695481</v>
      </c>
      <c r="CY79" s="83">
        <f>+SLR!CY61</f>
        <v>1.1069959224411692</v>
      </c>
    </row>
    <row r="80" spans="1:309" s="211" customFormat="1" ht="15" x14ac:dyDescent="0.2">
      <c r="A80" s="210" t="s">
        <v>211</v>
      </c>
      <c r="M80" s="431"/>
      <c r="BJ80" s="83">
        <f>+SLR!BJ62</f>
        <v>0.9375250479374222</v>
      </c>
      <c r="BK80" s="83">
        <f>+SLR!BK62</f>
        <v>0.94121174919363404</v>
      </c>
      <c r="BL80" s="83">
        <f>+SLR!BL62</f>
        <v>0.94498708381963437</v>
      </c>
      <c r="BM80" s="83">
        <f>+SLR!BM62</f>
        <v>0.94884881361794571</v>
      </c>
      <c r="BN80" s="83">
        <f>+SLR!BN62</f>
        <v>0.95279475436393168</v>
      </c>
      <c r="BO80" s="83">
        <f>+SLR!BO62</f>
        <v>0.95682277450626951</v>
      </c>
      <c r="BP80" s="83">
        <f>+SLR!BP62</f>
        <v>0.96093079389870995</v>
      </c>
      <c r="BQ80" s="83">
        <f>+SLR!BQ62</f>
        <v>0.96511678256236999</v>
      </c>
      <c r="BR80" s="83">
        <f>+SLR!BR62</f>
        <v>0.96937875947782659</v>
      </c>
      <c r="BS80" s="83">
        <f>+SLR!BS62</f>
        <v>0.97371479140629258</v>
      </c>
      <c r="BT80" s="83">
        <f>+SLR!BT62</f>
        <v>0.97812299173917128</v>
      </c>
      <c r="BU80" s="83">
        <f>+SLR!BU62</f>
        <v>0.9826015193753127</v>
      </c>
      <c r="BV80" s="83">
        <f>+SLR!BV62</f>
        <v>0.98714857762529962</v>
      </c>
      <c r="BW80" s="83">
        <f>+SLR!BW62</f>
        <v>0.99176241314211422</v>
      </c>
      <c r="BX80" s="83">
        <f>+SLR!BX62</f>
        <v>0.9964413148775505</v>
      </c>
      <c r="BY80" s="83">
        <f>+SLR!BY62</f>
        <v>1.0011836130637528</v>
      </c>
      <c r="BZ80" s="83">
        <f>+SLR!BZ62</f>
        <v>1.0059876782192732</v>
      </c>
      <c r="CA80" s="83">
        <f>+SLR!CA62</f>
        <v>1.010851920179062</v>
      </c>
      <c r="CB80" s="83">
        <f>+SLR!CB62</f>
        <v>1.0157747871478098</v>
      </c>
      <c r="CC80" s="83">
        <f>+SLR!CC62</f>
        <v>1.0207547647760835</v>
      </c>
      <c r="CD80" s="83">
        <f>+SLR!CD62</f>
        <v>1.0257903752587041</v>
      </c>
      <c r="CE80" s="83">
        <f>+SLR!CE62</f>
        <v>1.0308801764548319</v>
      </c>
      <c r="CF80" s="83">
        <f>+SLR!CF62</f>
        <v>1.0360227610292387</v>
      </c>
      <c r="CG80" s="83">
        <f>+SLR!CG62</f>
        <v>1.0412167556142529</v>
      </c>
      <c r="CH80" s="83">
        <f>+SLR!CH62</f>
        <v>1.0464608199918819</v>
      </c>
      <c r="CI80" s="83">
        <f>+SLR!CI62</f>
        <v>1.0517536462956278</v>
      </c>
      <c r="CJ80" s="83">
        <f>+SLR!CJ62</f>
        <v>1.0570939582315177</v>
      </c>
      <c r="CK80" s="83">
        <f>+SLR!CK62</f>
        <v>1.0624805103178914</v>
      </c>
      <c r="CL80" s="83">
        <f>+SLR!CL62</f>
        <v>1.0679120871434891</v>
      </c>
      <c r="CM80" s="83">
        <f>+SLR!CM62</f>
        <v>1.0733875026434041</v>
      </c>
      <c r="CN80" s="83">
        <f>+SLR!CN62</f>
        <v>1.0789055993924674</v>
      </c>
      <c r="CO80" s="83">
        <f>+SLR!CO62</f>
        <v>1.0844652479156427</v>
      </c>
      <c r="CP80" s="83">
        <f>+SLR!CP62</f>
        <v>1.0900653460150278</v>
      </c>
      <c r="CQ80" s="83">
        <f>+SLR!CQ62</f>
        <v>1.0957048181130569</v>
      </c>
      <c r="CR80" s="83">
        <f>+SLR!CR62</f>
        <v>1.1013826146115173</v>
      </c>
      <c r="CS80" s="83">
        <f>+SLR!CS62</f>
        <v>1.107097711265997</v>
      </c>
      <c r="CT80" s="83">
        <f>+SLR!CT62</f>
        <v>1.1128491085753958</v>
      </c>
      <c r="CU80" s="83">
        <f>+SLR!CU62</f>
        <v>1.1186358311861324</v>
      </c>
      <c r="CV80" s="83">
        <f>+SLR!CV62</f>
        <v>1.1244569273106972</v>
      </c>
      <c r="CW80" s="83">
        <f>+SLR!CW62</f>
        <v>1.1303114681602038</v>
      </c>
      <c r="CX80" s="83">
        <f>+SLR!CX62</f>
        <v>1.1361985473906013</v>
      </c>
      <c r="CY80" s="83">
        <f>+SLR!CY62</f>
        <v>1.1421172805622224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0" customFormat="1" ht="15" x14ac:dyDescent="0.2">
      <c r="A81" s="212" t="s">
        <v>293</v>
      </c>
      <c r="B81" s="230">
        <f>+US!B36*1000</f>
        <v>1134.0000000000002</v>
      </c>
      <c r="C81" s="230">
        <f>+US!C36*1000</f>
        <v>1082.9700000000003</v>
      </c>
      <c r="D81" s="230">
        <f>+US!D36*1000</f>
        <v>1034.4915000000001</v>
      </c>
      <c r="E81" s="230">
        <f>+US!E36*1000</f>
        <v>988.43692499999997</v>
      </c>
      <c r="F81" s="230">
        <f>+US!F36*1000</f>
        <v>944.68507875</v>
      </c>
      <c r="G81" s="230">
        <f>+US!G36*1000</f>
        <v>903.1208248124999</v>
      </c>
      <c r="H81" s="230">
        <f>+US!H36*1000</f>
        <v>863.63478357187489</v>
      </c>
      <c r="I81" s="230">
        <f>+US!I36*1000</f>
        <v>826.12304439328113</v>
      </c>
      <c r="J81" s="230">
        <f>+US!J36*1000</f>
        <v>790.48689217361698</v>
      </c>
      <c r="K81" s="230">
        <f>+US!K36*1000</f>
        <v>756.63254756493609</v>
      </c>
      <c r="L81" s="230">
        <f>+US!L36*1000</f>
        <v>724.47092018668934</v>
      </c>
      <c r="M81" s="432">
        <f>+US!M36*1000</f>
        <v>693.91737417735487</v>
      </c>
      <c r="N81" s="230">
        <f>+US!N36*1000</f>
        <v>664.89150546848703</v>
      </c>
      <c r="O81" s="230">
        <f>+US!O36*1000</f>
        <v>637.3169301950627</v>
      </c>
      <c r="P81" s="230">
        <f>+US!P36*1000</f>
        <v>611.1210836853096</v>
      </c>
      <c r="Q81" s="230">
        <f>+US!Q36*1000</f>
        <v>586.2350295010441</v>
      </c>
      <c r="R81" s="230">
        <f>+US!R36*1000</f>
        <v>562.59327802599194</v>
      </c>
      <c r="S81" s="230">
        <f>+US!S36*1000</f>
        <v>540.13361412469226</v>
      </c>
      <c r="T81" s="230">
        <f>+US!T36*1000</f>
        <v>518.79693341845768</v>
      </c>
      <c r="U81" s="230">
        <f>+US!U36*1000</f>
        <v>498.52708674753478</v>
      </c>
      <c r="V81" s="230">
        <f>+US!V36*1000</f>
        <v>479.27073241015802</v>
      </c>
      <c r="W81" s="230">
        <f>+US!W36*1000</f>
        <v>460.97719578965007</v>
      </c>
      <c r="X81" s="230">
        <f>+US!X36*1000</f>
        <v>443.59833600016759</v>
      </c>
      <c r="Y81" s="230">
        <f>+US!Y36*1000</f>
        <v>427.08841920015914</v>
      </c>
      <c r="Z81" s="230">
        <f>+US!Z36*1000</f>
        <v>411.40399824015117</v>
      </c>
      <c r="AA81" s="230">
        <f>+US!AA36*1000</f>
        <v>396.5037983281436</v>
      </c>
      <c r="AB81" s="230">
        <f>+US!AB36*1000</f>
        <v>382.34860841173639</v>
      </c>
      <c r="AC81" s="230">
        <f>+US!AC36*1000</f>
        <v>368.90117799114955</v>
      </c>
      <c r="AD81" s="230">
        <f>+US!AD36*1000</f>
        <v>356.1261190915921</v>
      </c>
      <c r="AE81" s="230">
        <f>+US!AE36*1000</f>
        <v>343.9898131370125</v>
      </c>
      <c r="AF81" s="230">
        <f>+US!AF36*1000</f>
        <v>332.46032248016189</v>
      </c>
      <c r="AG81" s="230">
        <f>+US!AG36*1000</f>
        <v>321.50730635615383</v>
      </c>
      <c r="AH81" s="230">
        <f>+US!AH36*1000</f>
        <v>311.10194103834613</v>
      </c>
      <c r="AI81" s="230">
        <f>+US!AI36*1000</f>
        <v>0</v>
      </c>
      <c r="AJ81" s="230">
        <f>+US!AJ36*1000</f>
        <v>0</v>
      </c>
      <c r="AK81" s="230">
        <f>+US!AK36*1000</f>
        <v>0</v>
      </c>
      <c r="AL81" s="230">
        <f>+US!AL36*1000</f>
        <v>0</v>
      </c>
      <c r="AM81" s="230">
        <f>+US!AM36*1000</f>
        <v>0</v>
      </c>
      <c r="AN81" s="230">
        <f>+US!AN36*1000</f>
        <v>0</v>
      </c>
      <c r="AO81" s="230">
        <f>+US!AO36*1000</f>
        <v>0</v>
      </c>
      <c r="AP81" s="230">
        <f>+US!AP36*1000</f>
        <v>0</v>
      </c>
      <c r="AQ81" s="230">
        <f>+US!AQ36*1000</f>
        <v>0</v>
      </c>
      <c r="AR81" s="230">
        <f>+US!AR36*1000</f>
        <v>0</v>
      </c>
      <c r="AS81" s="230">
        <f>+US!AS36*1000</f>
        <v>0</v>
      </c>
      <c r="AT81" s="230">
        <f>+US!AT36*1000</f>
        <v>0</v>
      </c>
      <c r="AU81" s="230">
        <f>+US!AU36*1000</f>
        <v>0</v>
      </c>
      <c r="AV81" s="230">
        <f>+US!AV36*1000</f>
        <v>0</v>
      </c>
      <c r="AW81" s="230">
        <f>+US!AW36*1000</f>
        <v>0</v>
      </c>
      <c r="AX81" s="230">
        <f>+US!AX36*1000</f>
        <v>0</v>
      </c>
      <c r="AY81" s="230">
        <f>+US!AY36*1000</f>
        <v>0</v>
      </c>
      <c r="AZ81" s="230">
        <f>+US!AZ36*1000</f>
        <v>0</v>
      </c>
      <c r="BA81" s="230">
        <f>+US!BA36*1000</f>
        <v>0</v>
      </c>
      <c r="BB81" s="230">
        <f>+US!BB36*1000</f>
        <v>0</v>
      </c>
      <c r="BC81" s="230">
        <f>+US!BC36*1000</f>
        <v>0</v>
      </c>
      <c r="BD81" s="230">
        <f>+US!BD36*1000</f>
        <v>0</v>
      </c>
      <c r="BE81" s="230">
        <f>+US!BE36*1000</f>
        <v>0</v>
      </c>
      <c r="BF81" s="230">
        <f>+US!BF36*1000</f>
        <v>0</v>
      </c>
      <c r="BG81" s="230">
        <f>+US!BG36*1000</f>
        <v>0</v>
      </c>
      <c r="BH81" s="230">
        <f>+US!BH36*1000</f>
        <v>0</v>
      </c>
      <c r="BI81" s="230">
        <f>+US!BI36*1000</f>
        <v>0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0" customFormat="1" ht="15" x14ac:dyDescent="0.2">
      <c r="A82" s="212" t="s">
        <v>294</v>
      </c>
      <c r="B82" s="231">
        <f t="shared" ref="B82:AG82" si="49">+B127</f>
        <v>1259.2274620271828</v>
      </c>
      <c r="C82" s="231">
        <f t="shared" si="49"/>
        <v>1202.5622262359598</v>
      </c>
      <c r="D82" s="231">
        <f t="shared" si="49"/>
        <v>1148.7302522342975</v>
      </c>
      <c r="E82" s="231">
        <f t="shared" si="49"/>
        <v>1097.5898769327184</v>
      </c>
      <c r="F82" s="231">
        <f t="shared" si="49"/>
        <v>1049.0065203962185</v>
      </c>
      <c r="G82" s="231">
        <f t="shared" si="49"/>
        <v>1002.8523316865435</v>
      </c>
      <c r="H82" s="231">
        <f t="shared" si="49"/>
        <v>959.00585241235228</v>
      </c>
      <c r="I82" s="231">
        <f t="shared" si="49"/>
        <v>917.35169710187051</v>
      </c>
      <c r="J82" s="231">
        <f t="shared" si="49"/>
        <v>877.78024955691285</v>
      </c>
      <c r="K82" s="231">
        <f t="shared" si="49"/>
        <v>840.18737438920311</v>
      </c>
      <c r="L82" s="231">
        <f t="shared" si="49"/>
        <v>804.47414297987893</v>
      </c>
      <c r="M82" s="433">
        <f t="shared" si="49"/>
        <v>770.54657314102099</v>
      </c>
      <c r="N82" s="231">
        <f t="shared" si="49"/>
        <v>738.31538179410575</v>
      </c>
      <c r="O82" s="231">
        <f t="shared" si="49"/>
        <v>707.69575001453643</v>
      </c>
      <c r="P82" s="231">
        <f t="shared" si="49"/>
        <v>678.60709982394553</v>
      </c>
      <c r="Q82" s="231">
        <f t="shared" si="49"/>
        <v>650.97288214288415</v>
      </c>
      <c r="R82" s="231">
        <f t="shared" si="49"/>
        <v>624.72037534587594</v>
      </c>
      <c r="S82" s="231">
        <f t="shared" si="49"/>
        <v>599.78049388871796</v>
      </c>
      <c r="T82" s="231">
        <f t="shared" si="49"/>
        <v>576.08760650441798</v>
      </c>
      <c r="U82" s="231">
        <f t="shared" si="49"/>
        <v>553.57936348933299</v>
      </c>
      <c r="V82" s="231">
        <f t="shared" si="49"/>
        <v>532.19653262500219</v>
      </c>
      <c r="W82" s="231">
        <f t="shared" si="49"/>
        <v>511.88284330388797</v>
      </c>
      <c r="X82" s="231">
        <f t="shared" si="49"/>
        <v>492.58483844882954</v>
      </c>
      <c r="Y82" s="231">
        <f t="shared" si="49"/>
        <v>474.2517338365239</v>
      </c>
      <c r="Z82" s="231">
        <f t="shared" si="49"/>
        <v>456.83528445483358</v>
      </c>
      <c r="AA82" s="231">
        <f t="shared" si="49"/>
        <v>440.28965754222781</v>
      </c>
      <c r="AB82" s="231">
        <f t="shared" si="49"/>
        <v>440.28965754222781</v>
      </c>
      <c r="AC82" s="231">
        <f t="shared" si="49"/>
        <v>440.28965754222781</v>
      </c>
      <c r="AD82" s="231">
        <f t="shared" si="49"/>
        <v>440.28965754222781</v>
      </c>
      <c r="AE82" s="231">
        <f t="shared" si="49"/>
        <v>440.28965754222781</v>
      </c>
      <c r="AF82" s="231">
        <f t="shared" si="49"/>
        <v>440.28965754222781</v>
      </c>
      <c r="AG82" s="231">
        <f t="shared" si="49"/>
        <v>440.28965754222781</v>
      </c>
      <c r="AH82" s="231">
        <f t="shared" ref="AH82:BI82" si="50">+AH127</f>
        <v>440.28965754222781</v>
      </c>
      <c r="AI82" s="231">
        <f t="shared" si="50"/>
        <v>440.28965754222781</v>
      </c>
      <c r="AJ82" s="231">
        <f t="shared" si="50"/>
        <v>440.28965754222781</v>
      </c>
      <c r="AK82" s="231">
        <f t="shared" si="50"/>
        <v>440.28965754222781</v>
      </c>
      <c r="AL82" s="231">
        <f t="shared" si="50"/>
        <v>440.28965754222781</v>
      </c>
      <c r="AM82" s="231">
        <f t="shared" si="50"/>
        <v>440.28965754222781</v>
      </c>
      <c r="AN82" s="231">
        <f t="shared" si="50"/>
        <v>440.28965754222781</v>
      </c>
      <c r="AO82" s="231">
        <f t="shared" si="50"/>
        <v>440.28965754222781</v>
      </c>
      <c r="AP82" s="231">
        <f t="shared" si="50"/>
        <v>440.28965754222781</v>
      </c>
      <c r="AQ82" s="231">
        <f t="shared" si="50"/>
        <v>440.28965754222781</v>
      </c>
      <c r="AR82" s="231">
        <f t="shared" si="50"/>
        <v>440.28965754222781</v>
      </c>
      <c r="AS82" s="231">
        <f t="shared" si="50"/>
        <v>440.28965754222781</v>
      </c>
      <c r="AT82" s="231">
        <f t="shared" si="50"/>
        <v>440.28965754222781</v>
      </c>
      <c r="AU82" s="231">
        <f t="shared" si="50"/>
        <v>440.28965754222781</v>
      </c>
      <c r="AV82" s="231">
        <f t="shared" si="50"/>
        <v>440.28965754222781</v>
      </c>
      <c r="AW82" s="231">
        <f t="shared" si="50"/>
        <v>440.28965754222781</v>
      </c>
      <c r="AX82" s="231">
        <f t="shared" si="50"/>
        <v>440.28965754222781</v>
      </c>
      <c r="AY82" s="231">
        <f t="shared" si="50"/>
        <v>440.28965754222781</v>
      </c>
      <c r="AZ82" s="231">
        <f t="shared" si="50"/>
        <v>440.28965754222781</v>
      </c>
      <c r="BA82" s="231">
        <f t="shared" si="50"/>
        <v>440.28965754222781</v>
      </c>
      <c r="BB82" s="231">
        <f t="shared" si="50"/>
        <v>440.28965754222781</v>
      </c>
      <c r="BC82" s="231">
        <f t="shared" si="50"/>
        <v>440.28965754222781</v>
      </c>
      <c r="BD82" s="231">
        <f t="shared" si="50"/>
        <v>440.28965754222781</v>
      </c>
      <c r="BE82" s="231">
        <f t="shared" si="50"/>
        <v>440.28965754222781</v>
      </c>
      <c r="BF82" s="231">
        <f t="shared" si="50"/>
        <v>440.28965754222781</v>
      </c>
      <c r="BG82" s="231">
        <f t="shared" si="50"/>
        <v>440.28965754222781</v>
      </c>
      <c r="BH82" s="231">
        <f t="shared" si="50"/>
        <v>440.28965754222781</v>
      </c>
      <c r="BI82" s="231">
        <f t="shared" si="50"/>
        <v>440.28965754222781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33" customFormat="1" ht="15" x14ac:dyDescent="0.2">
      <c r="A83" s="229" t="str">
        <f>+Controls!A8</f>
        <v>Carbon tax (2005 US$ per ton C)</v>
      </c>
      <c r="B83" s="232">
        <f>+Controls!B8</f>
        <v>1E-3</v>
      </c>
      <c r="C83" s="232">
        <f>+Controls!C8</f>
        <v>1E-3</v>
      </c>
      <c r="D83" s="232">
        <f>+Controls!D8</f>
        <v>1.0000000000000005E-3</v>
      </c>
      <c r="E83" s="232">
        <f>+Controls!E8</f>
        <v>1.000000000000023E-3</v>
      </c>
      <c r="F83" s="232">
        <f>+Controls!F8</f>
        <v>1.0000000000003001E-3</v>
      </c>
      <c r="G83" s="232">
        <f>+Controls!G8</f>
        <v>1.0000000000020112E-3</v>
      </c>
      <c r="H83" s="232">
        <f>+Controls!H8</f>
        <v>1.0000000000091702E-3</v>
      </c>
      <c r="I83" s="232">
        <f>+Controls!I8</f>
        <v>1.0000000000319844E-3</v>
      </c>
      <c r="J83" s="232">
        <f>+Controls!J8</f>
        <v>1.0000000000922251E-3</v>
      </c>
      <c r="K83" s="232">
        <f>+Controls!K8</f>
        <v>1.0000000002275561E-3</v>
      </c>
      <c r="L83" s="232">
        <f>+Controls!L8</f>
        <v>1.0000000005053185E-3</v>
      </c>
      <c r="M83" s="434">
        <f>+Controls!M8</f>
        <v>1.0000000010417327E-3</v>
      </c>
      <c r="N83" s="232">
        <f>+Controls!N8</f>
        <v>1.0000000019921491E-3</v>
      </c>
      <c r="O83" s="232">
        <f>+Controls!O8</f>
        <v>1.0000000035927906E-3</v>
      </c>
      <c r="P83" s="232">
        <f>+Controls!P8</f>
        <v>1.0000000062096877E-3</v>
      </c>
      <c r="Q83" s="232">
        <f>+Controls!Q8</f>
        <v>1.0000000104204644E-3</v>
      </c>
      <c r="R83" s="232">
        <f>+Controls!R8</f>
        <v>1.0000000170144582E-3</v>
      </c>
      <c r="S83" s="232">
        <f>+Controls!S8</f>
        <v>1.0000000272142174E-3</v>
      </c>
      <c r="T83" s="232">
        <f>+Controls!T8</f>
        <v>1.0000000427819878E-3</v>
      </c>
      <c r="U83" s="232">
        <f>+Controls!U8</f>
        <v>1.0000000656043364E-3</v>
      </c>
      <c r="V83" s="232">
        <f>+Controls!V8</f>
        <v>1.0000000970886349E-3</v>
      </c>
      <c r="W83" s="232">
        <f>+Controls!W8</f>
        <v>1.0000001421883765E-3</v>
      </c>
      <c r="X83" s="232">
        <f>+Controls!X8</f>
        <v>1.0000002055977509E-3</v>
      </c>
      <c r="Y83" s="232">
        <f>+Controls!Y8</f>
        <v>1.0000002932497453E-3</v>
      </c>
      <c r="Z83" s="232">
        <f>+Controls!Z8</f>
        <v>1.0000004131003601E-3</v>
      </c>
      <c r="AA83" s="232">
        <f>+Controls!AA8</f>
        <v>1.0000005755955613E-3</v>
      </c>
      <c r="AB83" s="232">
        <f>+Controls!AB8</f>
        <v>382.34860841173639</v>
      </c>
      <c r="AC83" s="232">
        <f>+Controls!AC8</f>
        <v>368.90117799114955</v>
      </c>
      <c r="AD83" s="232">
        <f>+Controls!AD8</f>
        <v>356.1261190915921</v>
      </c>
      <c r="AE83" s="232">
        <f>+Controls!AE8</f>
        <v>343.9898131370125</v>
      </c>
      <c r="AF83" s="232">
        <f>+Controls!AF8</f>
        <v>332.46032248016189</v>
      </c>
      <c r="AG83" s="232">
        <f>+Controls!AG8</f>
        <v>321.50730635615383</v>
      </c>
      <c r="AH83" s="232">
        <f>+Controls!AH8</f>
        <v>311.10194103834613</v>
      </c>
      <c r="AI83" s="232">
        <f>+Controls!AI8</f>
        <v>0</v>
      </c>
      <c r="AJ83" s="232">
        <f>+Controls!AJ8</f>
        <v>0</v>
      </c>
      <c r="AK83" s="232">
        <f>+Controls!AK8</f>
        <v>0</v>
      </c>
      <c r="AL83" s="232">
        <f>+Controls!AL8</f>
        <v>0</v>
      </c>
      <c r="AM83" s="232">
        <f>+Controls!AM8</f>
        <v>0</v>
      </c>
      <c r="AN83" s="232">
        <f>+Controls!AN8</f>
        <v>0</v>
      </c>
      <c r="AO83" s="232">
        <f>+Controls!AO8</f>
        <v>0</v>
      </c>
      <c r="AP83" s="232">
        <f>+Controls!AP8</f>
        <v>0</v>
      </c>
      <c r="AQ83" s="232">
        <f>+Controls!AQ8</f>
        <v>0</v>
      </c>
      <c r="AR83" s="232">
        <f>+Controls!AR8</f>
        <v>0</v>
      </c>
      <c r="AS83" s="232">
        <f>+Controls!AS8</f>
        <v>0</v>
      </c>
      <c r="AT83" s="232">
        <f>+Controls!AT8</f>
        <v>0</v>
      </c>
      <c r="AU83" s="232">
        <f>+Controls!AU8</f>
        <v>0</v>
      </c>
      <c r="AV83" s="232">
        <f>+Controls!AV8</f>
        <v>0</v>
      </c>
      <c r="AW83" s="232">
        <f>+Controls!AW8</f>
        <v>0</v>
      </c>
      <c r="AX83" s="232">
        <f>+Controls!AX8</f>
        <v>0</v>
      </c>
      <c r="AY83" s="232">
        <f>+Controls!AY8</f>
        <v>0</v>
      </c>
      <c r="AZ83" s="232">
        <f>+Controls!AZ8</f>
        <v>0</v>
      </c>
      <c r="BA83" s="232">
        <f>+Controls!BA8</f>
        <v>0</v>
      </c>
      <c r="BB83" s="232">
        <f>+Controls!BB8</f>
        <v>0</v>
      </c>
      <c r="BC83" s="232">
        <f>+Controls!BC8</f>
        <v>0</v>
      </c>
      <c r="BD83" s="232">
        <f>+Controls!BD8</f>
        <v>0</v>
      </c>
      <c r="BE83" s="232">
        <f>+Controls!BE8</f>
        <v>0</v>
      </c>
      <c r="BF83" s="232">
        <f>+Controls!BF8</f>
        <v>0</v>
      </c>
      <c r="BG83" s="232">
        <f>+Controls!BG8</f>
        <v>0</v>
      </c>
      <c r="BH83" s="232">
        <f>+Controls!BH8</f>
        <v>0</v>
      </c>
      <c r="BI83" s="232">
        <f>+Controls!BI8</f>
        <v>0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34" customFormat="1" ht="15" x14ac:dyDescent="0.2">
      <c r="A84" s="372" t="s">
        <v>212</v>
      </c>
      <c r="B84" s="232">
        <v>0</v>
      </c>
      <c r="C84" s="232">
        <f t="shared" ref="C84:AH84" si="51">+$B67*B65^$B68</f>
        <v>4.7431311437536068E-22</v>
      </c>
      <c r="D84" s="232">
        <f t="shared" si="51"/>
        <v>4.9499779356646234E-19</v>
      </c>
      <c r="E84" s="232">
        <f t="shared" si="51"/>
        <v>2.2950082724145313E-17</v>
      </c>
      <c r="F84" s="232">
        <f t="shared" si="51"/>
        <v>3.0007004337781361E-16</v>
      </c>
      <c r="G84" s="232">
        <f t="shared" si="51"/>
        <v>2.0111020870924207E-15</v>
      </c>
      <c r="H84" s="232">
        <f t="shared" si="51"/>
        <v>9.1702790465416517E-15</v>
      </c>
      <c r="I84" s="232">
        <f t="shared" si="51"/>
        <v>3.198449994719941E-14</v>
      </c>
      <c r="J84" s="232">
        <f t="shared" si="51"/>
        <v>9.2225114033518281E-14</v>
      </c>
      <c r="K84" s="232">
        <f t="shared" si="51"/>
        <v>2.2755606939754696E-13</v>
      </c>
      <c r="L84" s="232">
        <f t="shared" si="51"/>
        <v>5.0531839800270536E-13</v>
      </c>
      <c r="M84" s="232">
        <f t="shared" si="51"/>
        <v>1.041732739135554E-12</v>
      </c>
      <c r="N84" s="232">
        <f t="shared" si="51"/>
        <v>1.9921489808924816E-12</v>
      </c>
      <c r="O84" s="232">
        <f t="shared" si="51"/>
        <v>3.592790577647619E-12</v>
      </c>
      <c r="P84" s="232">
        <f t="shared" si="51"/>
        <v>6.2096877944755882E-12</v>
      </c>
      <c r="Q84" s="232">
        <f t="shared" si="51"/>
        <v>1.0420464500406822E-11</v>
      </c>
      <c r="R84" s="232">
        <f t="shared" si="51"/>
        <v>1.7014458255435967E-11</v>
      </c>
      <c r="S84" s="232">
        <f t="shared" si="51"/>
        <v>2.7214217352909939E-11</v>
      </c>
      <c r="T84" s="232">
        <f t="shared" si="51"/>
        <v>4.278198774705669E-11</v>
      </c>
      <c r="U84" s="232">
        <f t="shared" si="51"/>
        <v>6.56043363323927E-11</v>
      </c>
      <c r="V84" s="232">
        <f t="shared" si="51"/>
        <v>9.7088634831693527E-11</v>
      </c>
      <c r="W84" s="232">
        <f t="shared" si="51"/>
        <v>1.421883765928301E-10</v>
      </c>
      <c r="X84" s="232">
        <f t="shared" si="51"/>
        <v>2.0559775077091586E-10</v>
      </c>
      <c r="Y84" s="232">
        <f t="shared" si="51"/>
        <v>2.9324974524112873E-10</v>
      </c>
      <c r="Z84" s="232">
        <f t="shared" si="51"/>
        <v>4.1310036013686986E-10</v>
      </c>
      <c r="AA84" s="232">
        <f t="shared" si="51"/>
        <v>5.7559556115634E-10</v>
      </c>
      <c r="AB84" s="232">
        <f t="shared" si="51"/>
        <v>7.9377250079448993E-10</v>
      </c>
      <c r="AC84" s="232">
        <f t="shared" si="51"/>
        <v>7.9377250079448993E-10</v>
      </c>
      <c r="AD84" s="232">
        <f t="shared" si="51"/>
        <v>7.9377250079448993E-10</v>
      </c>
      <c r="AE84" s="232">
        <f t="shared" si="51"/>
        <v>7.9377250079448993E-10</v>
      </c>
      <c r="AF84" s="232">
        <f t="shared" si="51"/>
        <v>7.9377250079448993E-10</v>
      </c>
      <c r="AG84" s="232">
        <f t="shared" si="51"/>
        <v>7.9377250079448993E-10</v>
      </c>
      <c r="AH84" s="232">
        <f t="shared" si="51"/>
        <v>7.9377250079448993E-10</v>
      </c>
      <c r="AI84" s="232">
        <f t="shared" ref="AI84:BI84" si="52">+$B67*AH65^$B68</f>
        <v>7.9377250079448993E-10</v>
      </c>
      <c r="AJ84" s="232">
        <f t="shared" si="52"/>
        <v>7.9377250079448993E-10</v>
      </c>
      <c r="AK84" s="232">
        <f t="shared" si="52"/>
        <v>7.9377250079448993E-10</v>
      </c>
      <c r="AL84" s="232">
        <f t="shared" si="52"/>
        <v>7.9377250079448993E-10</v>
      </c>
      <c r="AM84" s="232">
        <f t="shared" si="52"/>
        <v>7.9377250079448993E-10</v>
      </c>
      <c r="AN84" s="232">
        <f t="shared" si="52"/>
        <v>7.9377250079448993E-10</v>
      </c>
      <c r="AO84" s="232">
        <f t="shared" si="52"/>
        <v>7.9377250079448993E-10</v>
      </c>
      <c r="AP84" s="232">
        <f t="shared" si="52"/>
        <v>7.9377250079448993E-10</v>
      </c>
      <c r="AQ84" s="232">
        <f t="shared" si="52"/>
        <v>7.9377250079448993E-10</v>
      </c>
      <c r="AR84" s="232">
        <f t="shared" si="52"/>
        <v>7.9377250079448993E-10</v>
      </c>
      <c r="AS84" s="232">
        <f t="shared" si="52"/>
        <v>7.9377250079448993E-10</v>
      </c>
      <c r="AT84" s="232">
        <f t="shared" si="52"/>
        <v>7.9377250079448993E-10</v>
      </c>
      <c r="AU84" s="232">
        <f t="shared" si="52"/>
        <v>7.9377250079448993E-10</v>
      </c>
      <c r="AV84" s="232">
        <f t="shared" si="52"/>
        <v>7.9377250079448993E-10</v>
      </c>
      <c r="AW84" s="232">
        <f t="shared" si="52"/>
        <v>7.9377250079448993E-10</v>
      </c>
      <c r="AX84" s="232">
        <f t="shared" si="52"/>
        <v>7.9377250079448993E-10</v>
      </c>
      <c r="AY84" s="232">
        <f t="shared" si="52"/>
        <v>7.9377250079448993E-10</v>
      </c>
      <c r="AZ84" s="232">
        <f t="shared" si="52"/>
        <v>7.9377250079448993E-10</v>
      </c>
      <c r="BA84" s="232">
        <f t="shared" si="52"/>
        <v>7.9377250079448993E-10</v>
      </c>
      <c r="BB84" s="232">
        <f t="shared" si="52"/>
        <v>7.9377250079448993E-10</v>
      </c>
      <c r="BC84" s="232">
        <f t="shared" si="52"/>
        <v>7.9377250079448993E-10</v>
      </c>
      <c r="BD84" s="232">
        <f t="shared" si="52"/>
        <v>7.9377250079448993E-10</v>
      </c>
      <c r="BE84" s="232">
        <f t="shared" si="52"/>
        <v>7.9377250079448993E-10</v>
      </c>
      <c r="BF84" s="232">
        <f t="shared" si="52"/>
        <v>7.9377250079448993E-10</v>
      </c>
      <c r="BG84" s="232">
        <f t="shared" si="52"/>
        <v>7.9377250079448993E-10</v>
      </c>
      <c r="BH84" s="232">
        <f t="shared" si="52"/>
        <v>7.9377250079448993E-10</v>
      </c>
      <c r="BI84" s="232">
        <f t="shared" si="52"/>
        <v>7.9377250079448993E-10</v>
      </c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66"/>
      <c r="EZ84" s="66"/>
      <c r="FA84" s="66"/>
      <c r="FB84" s="66"/>
      <c r="FC84" s="66"/>
      <c r="FD84" s="66"/>
      <c r="FE84" s="66"/>
      <c r="FF84" s="66"/>
      <c r="FG84" s="66"/>
      <c r="FH84" s="66"/>
      <c r="FI84" s="66"/>
      <c r="FJ84" s="66"/>
      <c r="FK84" s="66"/>
      <c r="FL84" s="66"/>
      <c r="FM84" s="66"/>
      <c r="FN84" s="66"/>
      <c r="FO84" s="66"/>
      <c r="FP84" s="66"/>
      <c r="FQ84" s="66"/>
      <c r="FR84" s="66"/>
      <c r="FS84" s="66"/>
      <c r="FT84" s="66"/>
      <c r="FU84" s="66"/>
      <c r="FV84" s="66"/>
      <c r="FW84" s="66"/>
      <c r="FX84" s="66"/>
      <c r="FY84" s="66"/>
      <c r="FZ84" s="66"/>
      <c r="GA84" s="66"/>
      <c r="GB84" s="66"/>
      <c r="GC84" s="66"/>
      <c r="GD84" s="66"/>
      <c r="GE84" s="66"/>
      <c r="GF84" s="66"/>
      <c r="GG84" s="66"/>
      <c r="GH84" s="66"/>
      <c r="GI84" s="66"/>
      <c r="GJ84" s="66"/>
      <c r="GK84" s="66"/>
      <c r="GL84" s="66"/>
      <c r="GM84" s="66"/>
      <c r="GN84" s="66"/>
      <c r="GO84" s="66"/>
      <c r="GP84" s="66"/>
      <c r="GQ84" s="66"/>
      <c r="GR84" s="66"/>
      <c r="GS84" s="66"/>
      <c r="GT84" s="66"/>
      <c r="GU84" s="66"/>
      <c r="GV84" s="66"/>
      <c r="GW84" s="66"/>
      <c r="GX84" s="66"/>
      <c r="GY84" s="66"/>
      <c r="GZ84" s="66"/>
      <c r="HA84" s="66"/>
      <c r="HB84" s="66"/>
      <c r="HC84" s="66"/>
      <c r="HD84" s="66"/>
      <c r="HE84" s="66"/>
      <c r="HF84" s="66"/>
      <c r="HG84" s="66"/>
      <c r="HH84" s="66"/>
      <c r="HI84" s="66"/>
      <c r="HJ84" s="66"/>
      <c r="HK84" s="66"/>
      <c r="HL84" s="66"/>
      <c r="HM84" s="66"/>
      <c r="HN84" s="66"/>
      <c r="HO84" s="66"/>
      <c r="HP84" s="66"/>
      <c r="HQ84" s="66"/>
      <c r="HR84" s="66"/>
      <c r="HS84" s="66"/>
      <c r="HT84" s="66"/>
      <c r="HU84" s="66"/>
      <c r="HV84" s="66"/>
      <c r="HW84" s="66"/>
      <c r="HX84" s="66"/>
      <c r="HY84" s="66"/>
      <c r="HZ84" s="66"/>
      <c r="IA84" s="66"/>
      <c r="IB84" s="66"/>
      <c r="IC84" s="66"/>
      <c r="ID84" s="66"/>
      <c r="IE84" s="66"/>
      <c r="IF84" s="66"/>
      <c r="IG84" s="66"/>
      <c r="IH84" s="66"/>
      <c r="II84" s="66"/>
      <c r="IJ84" s="66"/>
      <c r="IK84" s="66"/>
      <c r="IL84" s="66"/>
      <c r="IM84" s="66"/>
      <c r="IN84" s="66"/>
      <c r="IO84" s="66"/>
      <c r="IP84" s="66"/>
      <c r="IQ84" s="66"/>
      <c r="IR84" s="66"/>
      <c r="IS84" s="66"/>
      <c r="IT84" s="66"/>
      <c r="IU84" s="66"/>
      <c r="IV84" s="66"/>
      <c r="IW84" s="66"/>
      <c r="IX84" s="66"/>
      <c r="IY84" s="66"/>
      <c r="IZ84" s="66"/>
      <c r="JA84" s="66"/>
      <c r="JB84" s="66"/>
      <c r="JC84" s="66"/>
      <c r="JD84" s="66"/>
      <c r="JE84" s="66"/>
      <c r="JF84" s="66"/>
      <c r="JG84" s="66"/>
      <c r="JH84" s="66"/>
      <c r="JI84" s="66"/>
      <c r="JJ84" s="66"/>
      <c r="JK84" s="66"/>
      <c r="JL84" s="66"/>
      <c r="JM84" s="66"/>
      <c r="JN84" s="66"/>
      <c r="JO84" s="66"/>
      <c r="JP84" s="66"/>
      <c r="JQ84" s="66"/>
      <c r="JR84" s="66"/>
      <c r="JS84" s="66"/>
      <c r="JT84" s="66"/>
      <c r="JU84" s="66"/>
      <c r="JV84" s="66"/>
      <c r="JW84" s="66"/>
      <c r="JX84" s="66"/>
      <c r="JY84" s="66"/>
      <c r="JZ84" s="66"/>
      <c r="KA84" s="66"/>
      <c r="KB84" s="66"/>
      <c r="KC84" s="66"/>
      <c r="KD84" s="66"/>
      <c r="KE84" s="66"/>
      <c r="KF84" s="66"/>
      <c r="KG84" s="66"/>
      <c r="KH84" s="66"/>
      <c r="KI84" s="66"/>
      <c r="KJ84" s="66"/>
      <c r="KK84" s="66"/>
      <c r="KL84" s="66"/>
      <c r="KM84" s="66"/>
      <c r="KN84" s="66"/>
      <c r="KO84" s="66"/>
      <c r="KP84" s="66"/>
      <c r="KQ84" s="66"/>
      <c r="KR84" s="66"/>
      <c r="KS84" s="66"/>
      <c r="KT84" s="66"/>
      <c r="KU84" s="66"/>
      <c r="KV84" s="66"/>
      <c r="KW84" s="66"/>
    </row>
    <row r="85" spans="1:309" s="235" customFormat="1" ht="15" x14ac:dyDescent="0.2">
      <c r="A85" s="229" t="str">
        <f>+Controls!A10</f>
        <v>GLOBAL</v>
      </c>
      <c r="B85" s="232">
        <f>+Controls!B10</f>
        <v>1E-3</v>
      </c>
      <c r="C85" s="232">
        <f>+Controls!C10</f>
        <v>1E-3</v>
      </c>
      <c r="D85" s="232">
        <f>+Controls!D10</f>
        <v>1E-3</v>
      </c>
      <c r="E85" s="232">
        <f>+Controls!E10</f>
        <v>1E-3</v>
      </c>
      <c r="F85" s="232">
        <f>+Controls!F10</f>
        <v>1E-3</v>
      </c>
      <c r="G85" s="232">
        <f>+Controls!G10</f>
        <v>1E-3</v>
      </c>
      <c r="H85" s="232">
        <f>+Controls!H10</f>
        <v>1E-3</v>
      </c>
      <c r="I85" s="232">
        <f>+Controls!I10</f>
        <v>1E-3</v>
      </c>
      <c r="J85" s="232">
        <f>+Controls!J10</f>
        <v>1E-3</v>
      </c>
      <c r="K85" s="232">
        <f>+Controls!K10</f>
        <v>1E-3</v>
      </c>
      <c r="L85" s="232">
        <f>+Controls!L10</f>
        <v>1E-3</v>
      </c>
      <c r="M85" s="434">
        <f>+Controls!M10</f>
        <v>1E-3</v>
      </c>
      <c r="N85" s="232">
        <f>+Controls!N10</f>
        <v>1E-3</v>
      </c>
      <c r="O85" s="232">
        <f>+Controls!O10</f>
        <v>1E-3</v>
      </c>
      <c r="P85" s="232">
        <f>+Controls!P10</f>
        <v>1E-3</v>
      </c>
      <c r="Q85" s="232">
        <f>+Controls!Q10</f>
        <v>1E-3</v>
      </c>
      <c r="R85" s="232">
        <f>+Controls!R10</f>
        <v>1E-3</v>
      </c>
      <c r="S85" s="232">
        <f>+Controls!S10</f>
        <v>1E-3</v>
      </c>
      <c r="T85" s="232">
        <f>+Controls!T10</f>
        <v>1E-3</v>
      </c>
      <c r="U85" s="232">
        <f>+Controls!U10</f>
        <v>1E-3</v>
      </c>
      <c r="V85" s="232">
        <f>+Controls!V10</f>
        <v>1E-3</v>
      </c>
      <c r="W85" s="232">
        <f>+Controls!W10</f>
        <v>1E-3</v>
      </c>
      <c r="X85" s="232">
        <f>+Controls!X10</f>
        <v>1E-3</v>
      </c>
      <c r="Y85" s="232">
        <f>+Controls!Y10</f>
        <v>1E-3</v>
      </c>
      <c r="Z85" s="232">
        <f>+Controls!Z10</f>
        <v>1E-3</v>
      </c>
      <c r="AA85" s="232">
        <f>+Controls!AA10</f>
        <v>1E-3</v>
      </c>
      <c r="AB85" s="232">
        <f>+Controls!AB10</f>
        <v>1200</v>
      </c>
      <c r="AC85" s="232">
        <f>+Controls!AC10</f>
        <v>1200</v>
      </c>
      <c r="AD85" s="232">
        <f>+Controls!AD10</f>
        <v>1200</v>
      </c>
      <c r="AE85" s="232">
        <f>+Controls!AE10</f>
        <v>1200</v>
      </c>
      <c r="AF85" s="232">
        <f>+Controls!AF10</f>
        <v>1200</v>
      </c>
      <c r="AG85" s="232">
        <f>+Controls!AG10</f>
        <v>1200</v>
      </c>
      <c r="AH85" s="232">
        <f>+Controls!AH10</f>
        <v>1200</v>
      </c>
      <c r="AI85" s="232">
        <f>+Controls!AI10</f>
        <v>1200</v>
      </c>
      <c r="AJ85" s="232">
        <f>+Controls!AJ10</f>
        <v>1200</v>
      </c>
      <c r="AK85" s="232">
        <f>+Controls!AK10</f>
        <v>1200</v>
      </c>
      <c r="AL85" s="232">
        <f>+Controls!AL10</f>
        <v>1200</v>
      </c>
      <c r="AM85" s="232">
        <f>+Controls!AM10</f>
        <v>1200</v>
      </c>
      <c r="AN85" s="232">
        <f>+Controls!AN10</f>
        <v>1200</v>
      </c>
      <c r="AO85" s="232">
        <f>+Controls!AO10</f>
        <v>1200</v>
      </c>
      <c r="AP85" s="232">
        <f>+Controls!AP10</f>
        <v>1200</v>
      </c>
      <c r="AQ85" s="232">
        <f>+Controls!AQ10</f>
        <v>1200</v>
      </c>
      <c r="AR85" s="232">
        <f>+Controls!AR10</f>
        <v>1200</v>
      </c>
      <c r="AS85" s="232">
        <f>+Controls!AS10</f>
        <v>1200</v>
      </c>
      <c r="AT85" s="232">
        <f>+Controls!AT10</f>
        <v>1200</v>
      </c>
      <c r="AU85" s="232">
        <f>+Controls!AU10</f>
        <v>1200</v>
      </c>
      <c r="AV85" s="232">
        <f>+Controls!AV10</f>
        <v>1200</v>
      </c>
      <c r="AW85" s="232">
        <f>+Controls!AW10</f>
        <v>1200</v>
      </c>
      <c r="AX85" s="232">
        <f>+Controls!AX10</f>
        <v>1200</v>
      </c>
      <c r="AY85" s="232">
        <f>+Controls!AY10</f>
        <v>1200</v>
      </c>
      <c r="AZ85" s="232">
        <f>+Controls!AZ10</f>
        <v>1200</v>
      </c>
      <c r="BA85" s="232">
        <f>+Controls!BA10</f>
        <v>1200</v>
      </c>
      <c r="BB85" s="232">
        <f>+Controls!BB10</f>
        <v>1200</v>
      </c>
      <c r="BC85" s="232">
        <f>+Controls!BC10</f>
        <v>1200</v>
      </c>
      <c r="BD85" s="232">
        <f>+Controls!BD10</f>
        <v>1200</v>
      </c>
      <c r="BE85" s="232">
        <f>+Controls!BE10</f>
        <v>1200</v>
      </c>
      <c r="BF85" s="232">
        <f>+Controls!BF10</f>
        <v>1200</v>
      </c>
      <c r="BG85" s="232">
        <f>+Controls!BG10</f>
        <v>1200</v>
      </c>
      <c r="BH85" s="232">
        <f>+Controls!BH10</f>
        <v>1200</v>
      </c>
      <c r="BI85" s="232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35" customFormat="1" ht="15" x14ac:dyDescent="0.2">
      <c r="A86" s="229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434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232"/>
      <c r="AA86" s="232"/>
      <c r="AB86" s="232"/>
      <c r="AC86" s="232"/>
      <c r="AD86" s="232"/>
      <c r="AE86" s="232"/>
      <c r="AF86" s="232"/>
      <c r="AG86" s="232"/>
      <c r="AH86" s="232"/>
      <c r="AI86" s="232"/>
      <c r="AJ86" s="232"/>
      <c r="AK86" s="232"/>
      <c r="AL86" s="232"/>
      <c r="AM86" s="232"/>
      <c r="AN86" s="232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  <c r="BD86" s="232"/>
      <c r="BE86" s="232"/>
      <c r="BF86" s="232"/>
      <c r="BG86" s="232"/>
      <c r="BH86" s="232"/>
      <c r="BI86" s="232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35" customFormat="1" ht="15" x14ac:dyDescent="0.2">
      <c r="A87" s="169" t="s">
        <v>191</v>
      </c>
      <c r="B87" s="232">
        <f t="shared" ref="B87:AG87" si="53">1-B48/B46</f>
        <v>0.20256929961408321</v>
      </c>
      <c r="C87" s="232">
        <f t="shared" si="53"/>
        <v>0.21637925199250474</v>
      </c>
      <c r="D87" s="232">
        <f t="shared" si="53"/>
        <v>0.21068219918320119</v>
      </c>
      <c r="E87" s="232">
        <f t="shared" si="53"/>
        <v>0.20619486359920469</v>
      </c>
      <c r="F87" s="232">
        <f t="shared" si="53"/>
        <v>0.20336303647469889</v>
      </c>
      <c r="G87" s="232">
        <f t="shared" si="53"/>
        <v>0.20298281991725364</v>
      </c>
      <c r="H87" s="232">
        <f t="shared" si="53"/>
        <v>0.20416474331138323</v>
      </c>
      <c r="I87" s="232">
        <f t="shared" si="53"/>
        <v>0.20543539404633882</v>
      </c>
      <c r="J87" s="232">
        <f t="shared" si="53"/>
        <v>0.20693610119814498</v>
      </c>
      <c r="K87" s="232">
        <f t="shared" si="53"/>
        <v>0.21048354369815092</v>
      </c>
      <c r="L87" s="232">
        <f t="shared" si="53"/>
        <v>0.2134082252985785</v>
      </c>
      <c r="M87" s="434">
        <f t="shared" si="53"/>
        <v>0.22119549272341132</v>
      </c>
      <c r="N87" s="232">
        <f t="shared" si="53"/>
        <v>0.22116788441301494</v>
      </c>
      <c r="O87" s="232">
        <f t="shared" si="53"/>
        <v>0.22115657011953349</v>
      </c>
      <c r="P87" s="232">
        <f t="shared" si="53"/>
        <v>0.22114963173633739</v>
      </c>
      <c r="Q87" s="232">
        <f t="shared" si="53"/>
        <v>0.22112923961587438</v>
      </c>
      <c r="R87" s="232">
        <f t="shared" si="53"/>
        <v>0.22110729102489979</v>
      </c>
      <c r="S87" s="232">
        <f t="shared" si="53"/>
        <v>0.22107311128405027</v>
      </c>
      <c r="T87" s="232">
        <f t="shared" si="53"/>
        <v>0.2210446176891061</v>
      </c>
      <c r="U87" s="232">
        <f t="shared" si="53"/>
        <v>0.2209846913722544</v>
      </c>
      <c r="V87" s="232">
        <f t="shared" si="53"/>
        <v>0.22095878526518964</v>
      </c>
      <c r="W87" s="232">
        <f t="shared" si="53"/>
        <v>0.22091708313291791</v>
      </c>
      <c r="X87" s="232">
        <f t="shared" si="53"/>
        <v>0.22089132568039671</v>
      </c>
      <c r="Y87" s="232">
        <f t="shared" si="53"/>
        <v>0.22086449615626458</v>
      </c>
      <c r="Z87" s="232">
        <f t="shared" si="53"/>
        <v>0.22082929132887874</v>
      </c>
      <c r="AA87" s="232">
        <f t="shared" si="53"/>
        <v>0.22079678581381501</v>
      </c>
      <c r="AB87" s="232">
        <f t="shared" si="53"/>
        <v>0.2207663049919939</v>
      </c>
      <c r="AC87" s="232">
        <f t="shared" si="53"/>
        <v>0.22074684370411435</v>
      </c>
      <c r="AD87" s="232">
        <f t="shared" si="53"/>
        <v>0.22072664149257626</v>
      </c>
      <c r="AE87" s="232">
        <f t="shared" si="53"/>
        <v>0.22069698507779334</v>
      </c>
      <c r="AF87" s="232">
        <f t="shared" si="53"/>
        <v>0.22060227454845627</v>
      </c>
      <c r="AG87" s="232">
        <f t="shared" si="53"/>
        <v>0.2205868658835427</v>
      </c>
      <c r="AH87" s="232">
        <f t="shared" ref="AH87:BI87" si="54">1-AH48/AH46</f>
        <v>0.22060668416784535</v>
      </c>
      <c r="AI87" s="232">
        <f t="shared" si="54"/>
        <v>0.22163582140520233</v>
      </c>
      <c r="AJ87" s="232">
        <f t="shared" si="54"/>
        <v>0.22196937178060594</v>
      </c>
      <c r="AK87" s="232">
        <f t="shared" si="54"/>
        <v>0.22207944792176393</v>
      </c>
      <c r="AL87" s="232">
        <f t="shared" si="54"/>
        <v>0.22212728158642858</v>
      </c>
      <c r="AM87" s="232">
        <f t="shared" si="54"/>
        <v>0.22215260389696678</v>
      </c>
      <c r="AN87" s="232">
        <f t="shared" si="54"/>
        <v>0.22216793800182111</v>
      </c>
      <c r="AO87" s="232">
        <f t="shared" si="54"/>
        <v>0.22217826446980626</v>
      </c>
      <c r="AP87" s="232">
        <f t="shared" si="54"/>
        <v>0.22218588221118163</v>
      </c>
      <c r="AQ87" s="232">
        <f t="shared" si="54"/>
        <v>0.22219195174381023</v>
      </c>
      <c r="AR87" s="232">
        <f t="shared" si="54"/>
        <v>0.22219709209874916</v>
      </c>
      <c r="AS87" s="232">
        <f t="shared" si="54"/>
        <v>0.2222016462758315</v>
      </c>
      <c r="AT87" s="232">
        <f t="shared" si="54"/>
        <v>0.22220581061373901</v>
      </c>
      <c r="AU87" s="232">
        <f t="shared" si="54"/>
        <v>0.22220970148065233</v>
      </c>
      <c r="AV87" s="232">
        <f t="shared" si="54"/>
        <v>0.22221339080758384</v>
      </c>
      <c r="AW87" s="232">
        <f t="shared" si="54"/>
        <v>0.22221692539165483</v>
      </c>
      <c r="AX87" s="232">
        <f t="shared" si="54"/>
        <v>0.22222033751201742</v>
      </c>
      <c r="AY87" s="232">
        <f t="shared" si="54"/>
        <v>0.22222365082356621</v>
      </c>
      <c r="AZ87" s="232">
        <f t="shared" si="54"/>
        <v>0.22222688366089505</v>
      </c>
      <c r="BA87" s="232">
        <f t="shared" si="54"/>
        <v>0.22223005091387382</v>
      </c>
      <c r="BB87" s="232">
        <f t="shared" si="54"/>
        <v>0.22223316511172719</v>
      </c>
      <c r="BC87" s="232">
        <f t="shared" si="54"/>
        <v>0.2222362370662434</v>
      </c>
      <c r="BD87" s="232">
        <f t="shared" si="54"/>
        <v>0.22223927626761608</v>
      </c>
      <c r="BE87" s="232">
        <f t="shared" si="54"/>
        <v>0.22224233269467142</v>
      </c>
      <c r="BF87" s="232">
        <f t="shared" si="54"/>
        <v>0.22224535694246406</v>
      </c>
      <c r="BG87" s="232">
        <f t="shared" si="54"/>
        <v>0.22224836120876834</v>
      </c>
      <c r="BH87" s="232">
        <f t="shared" si="54"/>
        <v>0.2222513541163037</v>
      </c>
      <c r="BI87" s="232">
        <f t="shared" si="54"/>
        <v>0.24775278841561721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35" customFormat="1" ht="15" x14ac:dyDescent="0.2">
      <c r="A88" s="132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434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232"/>
      <c r="AA88" s="232"/>
      <c r="AB88" s="232"/>
      <c r="AC88" s="232"/>
      <c r="AD88" s="232"/>
      <c r="AE88" s="232"/>
      <c r="AF88" s="232"/>
      <c r="AG88" s="232"/>
      <c r="AH88" s="232"/>
      <c r="AI88" s="232"/>
      <c r="AJ88" s="232"/>
      <c r="AK88" s="232"/>
      <c r="AL88" s="232"/>
      <c r="AM88" s="232"/>
      <c r="AN88" s="232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  <c r="BD88" s="232"/>
      <c r="BE88" s="232"/>
      <c r="BF88" s="232"/>
      <c r="BG88" s="232"/>
      <c r="BH88" s="232"/>
      <c r="BI88" s="232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35" customFormat="1" ht="19" x14ac:dyDescent="0.25">
      <c r="A89" s="376" t="s">
        <v>947</v>
      </c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434"/>
      <c r="N89" s="232"/>
      <c r="O89" s="232"/>
      <c r="P89" s="232"/>
      <c r="Q89" s="232"/>
      <c r="R89" s="232"/>
      <c r="S89" s="232"/>
      <c r="T89" s="232"/>
      <c r="U89" s="232"/>
      <c r="V89" s="232"/>
      <c r="W89" s="232"/>
      <c r="X89" s="232"/>
      <c r="Y89" s="232"/>
      <c r="Z89" s="232"/>
      <c r="AA89" s="232"/>
      <c r="AB89" s="232"/>
      <c r="AC89" s="232"/>
      <c r="AD89" s="232"/>
      <c r="AE89" s="232"/>
      <c r="AF89" s="232"/>
      <c r="AG89" s="232"/>
      <c r="AH89" s="232"/>
      <c r="AI89" s="232"/>
      <c r="AJ89" s="232"/>
      <c r="AK89" s="232"/>
      <c r="AL89" s="232"/>
      <c r="AM89" s="232"/>
      <c r="AN89" s="232"/>
      <c r="AO89" s="232"/>
      <c r="AP89" s="232"/>
      <c r="AQ89" s="232"/>
      <c r="AR89" s="232"/>
      <c r="AS89" s="232"/>
      <c r="AT89" s="232"/>
      <c r="AU89" s="232"/>
      <c r="AV89" s="232"/>
      <c r="AW89" s="232"/>
      <c r="AX89" s="232"/>
      <c r="AY89" s="232"/>
      <c r="AZ89" s="232"/>
      <c r="BA89" s="232"/>
      <c r="BB89" s="232"/>
      <c r="BC89" s="232"/>
      <c r="BD89" s="232"/>
      <c r="BE89" s="232"/>
      <c r="BF89" s="232"/>
      <c r="BG89" s="232"/>
      <c r="BH89" s="232"/>
      <c r="BI89" s="232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35" customFormat="1" ht="15" x14ac:dyDescent="0.2">
      <c r="A90" s="372" t="s">
        <v>192</v>
      </c>
      <c r="B90" s="232">
        <f>+Controls!B8</f>
        <v>1E-3</v>
      </c>
      <c r="C90" s="232">
        <f>+Controls!C8</f>
        <v>1E-3</v>
      </c>
      <c r="D90" s="232">
        <f>+Controls!D8</f>
        <v>1.0000000000000005E-3</v>
      </c>
      <c r="E90" s="232">
        <f>+Controls!E8</f>
        <v>1.000000000000023E-3</v>
      </c>
      <c r="F90" s="232">
        <f>+Controls!F8</f>
        <v>1.0000000000003001E-3</v>
      </c>
      <c r="G90" s="232">
        <f>+Controls!G8</f>
        <v>1.0000000000020112E-3</v>
      </c>
      <c r="H90" s="232">
        <f>+Controls!H8</f>
        <v>1.0000000000091702E-3</v>
      </c>
      <c r="I90" s="232">
        <f>+Controls!I8</f>
        <v>1.0000000000319844E-3</v>
      </c>
      <c r="J90" s="232">
        <f>+Controls!J8</f>
        <v>1.0000000000922251E-3</v>
      </c>
      <c r="K90" s="232">
        <f>+Controls!K8</f>
        <v>1.0000000002275561E-3</v>
      </c>
      <c r="L90" s="232">
        <f>+Controls!L8</f>
        <v>1.0000000005053185E-3</v>
      </c>
      <c r="M90" s="232">
        <f>+Controls!M8</f>
        <v>1.0000000010417327E-3</v>
      </c>
      <c r="N90" s="232">
        <f>+Controls!N8</f>
        <v>1.0000000019921491E-3</v>
      </c>
      <c r="O90" s="232">
        <f>+Controls!O8</f>
        <v>1.0000000035927906E-3</v>
      </c>
      <c r="P90" s="232">
        <f>+Controls!P8</f>
        <v>1.0000000062096877E-3</v>
      </c>
      <c r="Q90" s="232">
        <f>+Controls!Q8</f>
        <v>1.0000000104204644E-3</v>
      </c>
      <c r="R90" s="232">
        <f>+Controls!R8</f>
        <v>1.0000000170144582E-3</v>
      </c>
      <c r="S90" s="232">
        <f>+Controls!S8</f>
        <v>1.0000000272142174E-3</v>
      </c>
      <c r="T90" s="232">
        <f>+Controls!T8</f>
        <v>1.0000000427819878E-3</v>
      </c>
      <c r="U90" s="232">
        <f>+Controls!U8</f>
        <v>1.0000000656043364E-3</v>
      </c>
      <c r="V90" s="232">
        <f>+Controls!V8</f>
        <v>1.0000000970886349E-3</v>
      </c>
      <c r="W90" s="232">
        <f>+Controls!W8</f>
        <v>1.0000001421883765E-3</v>
      </c>
      <c r="X90" s="232">
        <f>+Controls!X8</f>
        <v>1.0000002055977509E-3</v>
      </c>
      <c r="Y90" s="232">
        <f>+Controls!Y8</f>
        <v>1.0000002932497453E-3</v>
      </c>
      <c r="Z90" s="232">
        <f>+Controls!Z8</f>
        <v>1.0000004131003601E-3</v>
      </c>
      <c r="AA90" s="232">
        <f>+Controls!AA8</f>
        <v>1.0000005755955613E-3</v>
      </c>
      <c r="AB90" s="232">
        <f>+Controls!AB8</f>
        <v>382.34860841173639</v>
      </c>
      <c r="AC90" s="232">
        <f>+Controls!AC8</f>
        <v>368.90117799114955</v>
      </c>
      <c r="AD90" s="232">
        <f>+Controls!AD8</f>
        <v>356.1261190915921</v>
      </c>
      <c r="AE90" s="232">
        <f>+Controls!AE8</f>
        <v>343.9898131370125</v>
      </c>
      <c r="AF90" s="232">
        <f>+Controls!AF8</f>
        <v>332.46032248016189</v>
      </c>
      <c r="AG90" s="232">
        <f>+Controls!AG8</f>
        <v>321.50730635615383</v>
      </c>
      <c r="AH90" s="232">
        <f>+Controls!AH8</f>
        <v>311.10194103834613</v>
      </c>
      <c r="AI90" s="232">
        <f>+Controls!AI8</f>
        <v>0</v>
      </c>
      <c r="AJ90" s="232">
        <f>+Controls!AJ8</f>
        <v>0</v>
      </c>
      <c r="AK90" s="232">
        <f>+Controls!AK8</f>
        <v>0</v>
      </c>
      <c r="AL90" s="232">
        <f>+Controls!AL8</f>
        <v>0</v>
      </c>
      <c r="AM90" s="232">
        <f>+Controls!AM8</f>
        <v>0</v>
      </c>
      <c r="AN90" s="232">
        <f>+Controls!AN8</f>
        <v>0</v>
      </c>
      <c r="AO90" s="232">
        <f>+Controls!AO8</f>
        <v>0</v>
      </c>
      <c r="AP90" s="232">
        <f>+Controls!AP8</f>
        <v>0</v>
      </c>
      <c r="AQ90" s="232">
        <f>+Controls!AQ8</f>
        <v>0</v>
      </c>
      <c r="AR90" s="232">
        <f>+Controls!AR8</f>
        <v>0</v>
      </c>
      <c r="AS90" s="232">
        <f>+Controls!AS8</f>
        <v>0</v>
      </c>
      <c r="AT90" s="232">
        <f>+Controls!AT8</f>
        <v>0</v>
      </c>
      <c r="AU90" s="232">
        <f>+Controls!AU8</f>
        <v>0</v>
      </c>
      <c r="AV90" s="232">
        <f>+Controls!AV8</f>
        <v>0</v>
      </c>
      <c r="AW90" s="232">
        <f>+Controls!AW8</f>
        <v>0</v>
      </c>
      <c r="AX90" s="232">
        <f>+Controls!AX8</f>
        <v>0</v>
      </c>
      <c r="AY90" s="232">
        <f>+Controls!AY8</f>
        <v>0</v>
      </c>
      <c r="AZ90" s="232">
        <f>+Controls!AZ8</f>
        <v>0</v>
      </c>
      <c r="BA90" s="232">
        <f>+Controls!BA8</f>
        <v>0</v>
      </c>
      <c r="BB90" s="232">
        <f>+Controls!BB8</f>
        <v>0</v>
      </c>
      <c r="BC90" s="232">
        <f>+Controls!BC8</f>
        <v>0</v>
      </c>
      <c r="BD90" s="232">
        <f>+Controls!BD8</f>
        <v>0</v>
      </c>
      <c r="BE90" s="232">
        <f>+Controls!BE8</f>
        <v>0</v>
      </c>
      <c r="BF90" s="232">
        <f>+Controls!BF8</f>
        <v>0</v>
      </c>
      <c r="BG90" s="232">
        <f>+Controls!BG8</f>
        <v>0</v>
      </c>
      <c r="BH90" s="232">
        <f>+Controls!BH8</f>
        <v>0</v>
      </c>
      <c r="BI90" s="232">
        <f>+Controls!BI8</f>
        <v>0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35" customFormat="1" ht="15" x14ac:dyDescent="0.2">
      <c r="A91" s="372" t="s">
        <v>212</v>
      </c>
      <c r="B91" s="232">
        <f t="shared" ref="B91:AG91" si="55">+B84</f>
        <v>0</v>
      </c>
      <c r="C91" s="232">
        <f t="shared" si="55"/>
        <v>4.7431311437536068E-22</v>
      </c>
      <c r="D91" s="232">
        <f t="shared" si="55"/>
        <v>4.9499779356646234E-19</v>
      </c>
      <c r="E91" s="232">
        <f t="shared" si="55"/>
        <v>2.2950082724145313E-17</v>
      </c>
      <c r="F91" s="232">
        <f t="shared" si="55"/>
        <v>3.0007004337781361E-16</v>
      </c>
      <c r="G91" s="232">
        <f t="shared" si="55"/>
        <v>2.0111020870924207E-15</v>
      </c>
      <c r="H91" s="232">
        <f t="shared" si="55"/>
        <v>9.1702790465416517E-15</v>
      </c>
      <c r="I91" s="232">
        <f t="shared" si="55"/>
        <v>3.198449994719941E-14</v>
      </c>
      <c r="J91" s="232">
        <f t="shared" si="55"/>
        <v>9.2225114033518281E-14</v>
      </c>
      <c r="K91" s="232">
        <f t="shared" si="55"/>
        <v>2.2755606939754696E-13</v>
      </c>
      <c r="L91" s="232">
        <f t="shared" si="55"/>
        <v>5.0531839800270536E-13</v>
      </c>
      <c r="M91" s="232">
        <f t="shared" si="55"/>
        <v>1.041732739135554E-12</v>
      </c>
      <c r="N91" s="232">
        <f t="shared" si="55"/>
        <v>1.9921489808924816E-12</v>
      </c>
      <c r="O91" s="232">
        <f t="shared" si="55"/>
        <v>3.592790577647619E-12</v>
      </c>
      <c r="P91" s="232">
        <f t="shared" si="55"/>
        <v>6.2096877944755882E-12</v>
      </c>
      <c r="Q91" s="232">
        <f t="shared" si="55"/>
        <v>1.0420464500406822E-11</v>
      </c>
      <c r="R91" s="232">
        <f t="shared" si="55"/>
        <v>1.7014458255435967E-11</v>
      </c>
      <c r="S91" s="232">
        <f t="shared" si="55"/>
        <v>2.7214217352909939E-11</v>
      </c>
      <c r="T91" s="232">
        <f t="shared" si="55"/>
        <v>4.278198774705669E-11</v>
      </c>
      <c r="U91" s="232">
        <f t="shared" si="55"/>
        <v>6.56043363323927E-11</v>
      </c>
      <c r="V91" s="232">
        <f t="shared" si="55"/>
        <v>9.7088634831693527E-11</v>
      </c>
      <c r="W91" s="232">
        <f t="shared" si="55"/>
        <v>1.421883765928301E-10</v>
      </c>
      <c r="X91" s="232">
        <f t="shared" si="55"/>
        <v>2.0559775077091586E-10</v>
      </c>
      <c r="Y91" s="232">
        <f t="shared" si="55"/>
        <v>2.9324974524112873E-10</v>
      </c>
      <c r="Z91" s="232">
        <f t="shared" si="55"/>
        <v>4.1310036013686986E-10</v>
      </c>
      <c r="AA91" s="232">
        <f t="shared" si="55"/>
        <v>5.7559556115634E-10</v>
      </c>
      <c r="AB91" s="232">
        <f t="shared" si="55"/>
        <v>7.9377250079448993E-10</v>
      </c>
      <c r="AC91" s="232">
        <f t="shared" si="55"/>
        <v>7.9377250079448993E-10</v>
      </c>
      <c r="AD91" s="232">
        <f t="shared" si="55"/>
        <v>7.9377250079448993E-10</v>
      </c>
      <c r="AE91" s="232">
        <f t="shared" si="55"/>
        <v>7.9377250079448993E-10</v>
      </c>
      <c r="AF91" s="232">
        <f t="shared" si="55"/>
        <v>7.9377250079448993E-10</v>
      </c>
      <c r="AG91" s="232">
        <f t="shared" si="55"/>
        <v>7.9377250079448993E-10</v>
      </c>
      <c r="AH91" s="232">
        <f t="shared" ref="AH91:BI91" si="56">+AH84</f>
        <v>7.9377250079448993E-10</v>
      </c>
      <c r="AI91" s="232">
        <f t="shared" si="56"/>
        <v>7.9377250079448993E-10</v>
      </c>
      <c r="AJ91" s="232">
        <f t="shared" si="56"/>
        <v>7.9377250079448993E-10</v>
      </c>
      <c r="AK91" s="232">
        <f t="shared" si="56"/>
        <v>7.9377250079448993E-10</v>
      </c>
      <c r="AL91" s="232">
        <f t="shared" si="56"/>
        <v>7.9377250079448993E-10</v>
      </c>
      <c r="AM91" s="232">
        <f t="shared" si="56"/>
        <v>7.9377250079448993E-10</v>
      </c>
      <c r="AN91" s="232">
        <f t="shared" si="56"/>
        <v>7.9377250079448993E-10</v>
      </c>
      <c r="AO91" s="232">
        <f t="shared" si="56"/>
        <v>7.9377250079448993E-10</v>
      </c>
      <c r="AP91" s="232">
        <f t="shared" si="56"/>
        <v>7.9377250079448993E-10</v>
      </c>
      <c r="AQ91" s="232">
        <f t="shared" si="56"/>
        <v>7.9377250079448993E-10</v>
      </c>
      <c r="AR91" s="232">
        <f t="shared" si="56"/>
        <v>7.9377250079448993E-10</v>
      </c>
      <c r="AS91" s="232">
        <f t="shared" si="56"/>
        <v>7.9377250079448993E-10</v>
      </c>
      <c r="AT91" s="232">
        <f t="shared" si="56"/>
        <v>7.9377250079448993E-10</v>
      </c>
      <c r="AU91" s="232">
        <f t="shared" si="56"/>
        <v>7.9377250079448993E-10</v>
      </c>
      <c r="AV91" s="232">
        <f t="shared" si="56"/>
        <v>7.9377250079448993E-10</v>
      </c>
      <c r="AW91" s="232">
        <f t="shared" si="56"/>
        <v>7.9377250079448993E-10</v>
      </c>
      <c r="AX91" s="232">
        <f t="shared" si="56"/>
        <v>7.9377250079448993E-10</v>
      </c>
      <c r="AY91" s="232">
        <f t="shared" si="56"/>
        <v>7.9377250079448993E-10</v>
      </c>
      <c r="AZ91" s="232">
        <f t="shared" si="56"/>
        <v>7.9377250079448993E-10</v>
      </c>
      <c r="BA91" s="232">
        <f t="shared" si="56"/>
        <v>7.9377250079448993E-10</v>
      </c>
      <c r="BB91" s="232">
        <f t="shared" si="56"/>
        <v>7.9377250079448993E-10</v>
      </c>
      <c r="BC91" s="232">
        <f t="shared" si="56"/>
        <v>7.9377250079448993E-10</v>
      </c>
      <c r="BD91" s="232">
        <f t="shared" si="56"/>
        <v>7.9377250079448993E-10</v>
      </c>
      <c r="BE91" s="232">
        <f t="shared" si="56"/>
        <v>7.9377250079448993E-10</v>
      </c>
      <c r="BF91" s="232">
        <f t="shared" si="56"/>
        <v>7.9377250079448993E-10</v>
      </c>
      <c r="BG91" s="232">
        <f t="shared" si="56"/>
        <v>7.9377250079448993E-10</v>
      </c>
      <c r="BH91" s="232">
        <f t="shared" si="56"/>
        <v>7.9377250079448993E-10</v>
      </c>
      <c r="BI91" s="232">
        <f t="shared" si="56"/>
        <v>7.9377250079448993E-10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35" customFormat="1" ht="15" x14ac:dyDescent="0.2">
      <c r="A92" s="372" t="s">
        <v>213</v>
      </c>
      <c r="B92" s="232">
        <f>+Controls!B10</f>
        <v>1E-3</v>
      </c>
      <c r="C92" s="232">
        <f>+Controls!C10</f>
        <v>1E-3</v>
      </c>
      <c r="D92" s="232">
        <f>+Controls!D10</f>
        <v>1E-3</v>
      </c>
      <c r="E92" s="232">
        <f>+Controls!E10</f>
        <v>1E-3</v>
      </c>
      <c r="F92" s="232">
        <f>+Controls!F10</f>
        <v>1E-3</v>
      </c>
      <c r="G92" s="232">
        <f>+Controls!G10</f>
        <v>1E-3</v>
      </c>
      <c r="H92" s="232">
        <f>+Controls!H10</f>
        <v>1E-3</v>
      </c>
      <c r="I92" s="232">
        <f>+Controls!I10</f>
        <v>1E-3</v>
      </c>
      <c r="J92" s="232">
        <f>+Controls!J10</f>
        <v>1E-3</v>
      </c>
      <c r="K92" s="232">
        <f>+Controls!K10</f>
        <v>1E-3</v>
      </c>
      <c r="L92" s="232">
        <f>+Controls!L10</f>
        <v>1E-3</v>
      </c>
      <c r="M92" s="232">
        <f>+Controls!M10</f>
        <v>1E-3</v>
      </c>
      <c r="N92" s="232">
        <f>+Controls!N10</f>
        <v>1E-3</v>
      </c>
      <c r="O92" s="232">
        <f>+Controls!O10</f>
        <v>1E-3</v>
      </c>
      <c r="P92" s="232">
        <f>+Controls!P10</f>
        <v>1E-3</v>
      </c>
      <c r="Q92" s="232">
        <f>+Controls!Q10</f>
        <v>1E-3</v>
      </c>
      <c r="R92" s="232">
        <f>+Controls!R10</f>
        <v>1E-3</v>
      </c>
      <c r="S92" s="232">
        <f>+Controls!S10</f>
        <v>1E-3</v>
      </c>
      <c r="T92" s="232">
        <f>+Controls!T10</f>
        <v>1E-3</v>
      </c>
      <c r="U92" s="232">
        <f>+Controls!U10</f>
        <v>1E-3</v>
      </c>
      <c r="V92" s="232">
        <f>+Controls!V10</f>
        <v>1E-3</v>
      </c>
      <c r="W92" s="232">
        <f>+Controls!W10</f>
        <v>1E-3</v>
      </c>
      <c r="X92" s="232">
        <f>+Controls!X10</f>
        <v>1E-3</v>
      </c>
      <c r="Y92" s="232">
        <f>+Controls!Y10</f>
        <v>1E-3</v>
      </c>
      <c r="Z92" s="232">
        <f>+Controls!Z10</f>
        <v>1E-3</v>
      </c>
      <c r="AA92" s="232">
        <f>+Controls!AA10</f>
        <v>1E-3</v>
      </c>
      <c r="AB92" s="232">
        <f>+Controls!AB10</f>
        <v>1200</v>
      </c>
      <c r="AC92" s="232">
        <f>+Controls!AC10</f>
        <v>1200</v>
      </c>
      <c r="AD92" s="232">
        <f>+Controls!AD10</f>
        <v>1200</v>
      </c>
      <c r="AE92" s="232">
        <f>+Controls!AE10</f>
        <v>1200</v>
      </c>
      <c r="AF92" s="232">
        <f>+Controls!AF10</f>
        <v>1200</v>
      </c>
      <c r="AG92" s="232">
        <f>+Controls!AG10</f>
        <v>1200</v>
      </c>
      <c r="AH92" s="232">
        <f>+Controls!AH10</f>
        <v>1200</v>
      </c>
      <c r="AI92" s="232">
        <f>+Controls!AI10</f>
        <v>1200</v>
      </c>
      <c r="AJ92" s="232">
        <f>+Controls!AJ10</f>
        <v>1200</v>
      </c>
      <c r="AK92" s="232">
        <f>+Controls!AK10</f>
        <v>1200</v>
      </c>
      <c r="AL92" s="232">
        <f>+Controls!AL10</f>
        <v>1200</v>
      </c>
      <c r="AM92" s="232">
        <f>+Controls!AM10</f>
        <v>1200</v>
      </c>
      <c r="AN92" s="232">
        <f>+Controls!AN10</f>
        <v>1200</v>
      </c>
      <c r="AO92" s="232">
        <f>+Controls!AO10</f>
        <v>1200</v>
      </c>
      <c r="AP92" s="232">
        <f>+Controls!AP10</f>
        <v>1200</v>
      </c>
      <c r="AQ92" s="232">
        <f>+Controls!AQ10</f>
        <v>1200</v>
      </c>
      <c r="AR92" s="232">
        <f>+Controls!AR10</f>
        <v>1200</v>
      </c>
      <c r="AS92" s="232">
        <f>+Controls!AS10</f>
        <v>1200</v>
      </c>
      <c r="AT92" s="232">
        <f>+Controls!AT10</f>
        <v>1200</v>
      </c>
      <c r="AU92" s="232">
        <f>+Controls!AU10</f>
        <v>1200</v>
      </c>
      <c r="AV92" s="232">
        <f>+Controls!AV10</f>
        <v>1200</v>
      </c>
      <c r="AW92" s="232">
        <f>+Controls!AW10</f>
        <v>1200</v>
      </c>
      <c r="AX92" s="232">
        <f>+Controls!AX10</f>
        <v>1200</v>
      </c>
      <c r="AY92" s="232">
        <f>+Controls!AY10</f>
        <v>1200</v>
      </c>
      <c r="AZ92" s="232">
        <f>+Controls!AZ10</f>
        <v>1200</v>
      </c>
      <c r="BA92" s="232">
        <f>+Controls!BA10</f>
        <v>1200</v>
      </c>
      <c r="BB92" s="232">
        <f>+Controls!BB10</f>
        <v>1200</v>
      </c>
      <c r="BC92" s="232">
        <f>+Controls!BC10</f>
        <v>1200</v>
      </c>
      <c r="BD92" s="232">
        <f>+Controls!BD10</f>
        <v>1200</v>
      </c>
      <c r="BE92" s="232">
        <f>+Controls!BE10</f>
        <v>1200</v>
      </c>
      <c r="BF92" s="232">
        <f>+Controls!BF10</f>
        <v>1200</v>
      </c>
      <c r="BG92" s="232">
        <f>+Controls!BG10</f>
        <v>1200</v>
      </c>
      <c r="BH92" s="232">
        <f>+Controls!BH10</f>
        <v>1200</v>
      </c>
      <c r="BI92" s="232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35" customFormat="1" ht="15" x14ac:dyDescent="0.2">
      <c r="A93" s="372" t="s">
        <v>193</v>
      </c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434"/>
      <c r="N93" s="232"/>
      <c r="O93" s="232"/>
      <c r="P93" s="232"/>
      <c r="Q93" s="232"/>
      <c r="R93" s="232"/>
      <c r="S93" s="232"/>
      <c r="T93" s="232"/>
      <c r="U93" s="232"/>
      <c r="V93" s="232"/>
      <c r="W93" s="232"/>
      <c r="X93" s="232"/>
      <c r="Y93" s="232"/>
      <c r="Z93" s="232"/>
      <c r="AA93" s="232"/>
      <c r="AB93" s="232"/>
      <c r="AC93" s="232"/>
      <c r="AD93" s="232"/>
      <c r="AE93" s="232"/>
      <c r="AF93" s="232"/>
      <c r="AG93" s="232"/>
      <c r="AH93" s="232"/>
      <c r="AI93" s="232"/>
      <c r="AJ93" s="232"/>
      <c r="AK93" s="232"/>
      <c r="AL93" s="232"/>
      <c r="AM93" s="232"/>
      <c r="AN93" s="232"/>
      <c r="AO93" s="232"/>
      <c r="AP93" s="232"/>
      <c r="AQ93" s="232"/>
      <c r="AR93" s="232"/>
      <c r="AS93" s="232"/>
      <c r="AT93" s="232"/>
      <c r="AU93" s="232"/>
      <c r="AV93" s="232"/>
      <c r="AW93" s="232"/>
      <c r="AX93" s="232"/>
      <c r="AY93" s="232"/>
      <c r="AZ93" s="232"/>
      <c r="BA93" s="232"/>
      <c r="BB93" s="232"/>
      <c r="BC93" s="232"/>
      <c r="BD93" s="232"/>
      <c r="BE93" s="232"/>
      <c r="BF93" s="232"/>
      <c r="BG93" s="232"/>
      <c r="BH93" s="232"/>
      <c r="BI93" s="232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35" customFormat="1" ht="15" x14ac:dyDescent="0.2">
      <c r="A94" s="38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434"/>
      <c r="N94" s="232"/>
      <c r="O94" s="232"/>
      <c r="P94" s="232"/>
      <c r="Q94" s="232"/>
      <c r="R94" s="232"/>
      <c r="S94" s="232"/>
      <c r="T94" s="232"/>
      <c r="U94" s="232"/>
      <c r="V94" s="232"/>
      <c r="W94" s="232"/>
      <c r="X94" s="232"/>
      <c r="Y94" s="232"/>
      <c r="Z94" s="232"/>
      <c r="AA94" s="232"/>
      <c r="AB94" s="232"/>
      <c r="AC94" s="232"/>
      <c r="AD94" s="232"/>
      <c r="AE94" s="232"/>
      <c r="AF94" s="232"/>
      <c r="AG94" s="232"/>
      <c r="AH94" s="232"/>
      <c r="AI94" s="232"/>
      <c r="AJ94" s="232"/>
      <c r="AK94" s="232"/>
      <c r="AL94" s="232"/>
      <c r="AM94" s="232"/>
      <c r="AN94" s="232"/>
      <c r="AO94" s="232"/>
      <c r="AP94" s="232"/>
      <c r="AQ94" s="232"/>
      <c r="AR94" s="232"/>
      <c r="AS94" s="232"/>
      <c r="AT94" s="232"/>
      <c r="AU94" s="232"/>
      <c r="AV94" s="232"/>
      <c r="AW94" s="232"/>
      <c r="AX94" s="232"/>
      <c r="AY94" s="232"/>
      <c r="AZ94" s="232"/>
      <c r="BA94" s="232"/>
      <c r="BB94" s="232"/>
      <c r="BC94" s="232"/>
      <c r="BD94" s="232"/>
      <c r="BE94" s="232"/>
      <c r="BF94" s="232"/>
      <c r="BG94" s="232"/>
      <c r="BH94" s="232"/>
      <c r="BI94" s="232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08" customFormat="1" ht="19" x14ac:dyDescent="0.25">
      <c r="A95" s="377" t="s">
        <v>958</v>
      </c>
      <c r="B95" s="407"/>
      <c r="C95" s="407"/>
      <c r="D95" s="407"/>
      <c r="E95" s="407"/>
      <c r="F95" s="407"/>
      <c r="G95" s="407"/>
      <c r="H95" s="407"/>
      <c r="I95" s="407"/>
      <c r="J95" s="407"/>
      <c r="K95" s="407"/>
      <c r="L95" s="407"/>
      <c r="M95" s="435"/>
      <c r="N95" s="407"/>
      <c r="O95" s="407"/>
      <c r="P95" s="407"/>
      <c r="Q95" s="407"/>
      <c r="R95" s="407"/>
      <c r="S95" s="407"/>
      <c r="T95" s="407"/>
      <c r="U95" s="407"/>
      <c r="V95" s="407"/>
      <c r="W95" s="407"/>
      <c r="X95" s="407"/>
      <c r="Y95" s="407"/>
      <c r="Z95" s="407"/>
      <c r="AA95" s="407"/>
      <c r="AB95" s="407"/>
      <c r="AC95" s="407"/>
      <c r="AD95" s="407"/>
      <c r="AE95" s="407"/>
      <c r="AF95" s="407"/>
      <c r="AG95" s="407"/>
      <c r="AH95" s="407"/>
      <c r="AI95" s="407"/>
      <c r="AJ95" s="407"/>
      <c r="AK95" s="407"/>
      <c r="AL95" s="407"/>
      <c r="AM95" s="407"/>
      <c r="AN95" s="407"/>
      <c r="AO95" s="407"/>
      <c r="AP95" s="407"/>
      <c r="AQ95" s="407"/>
      <c r="AR95" s="407"/>
      <c r="AS95" s="407"/>
      <c r="AT95" s="407"/>
      <c r="AU95" s="407"/>
      <c r="AV95" s="407"/>
      <c r="AW95" s="407"/>
      <c r="AX95" s="407"/>
      <c r="AY95" s="407"/>
      <c r="AZ95" s="407"/>
      <c r="BA95" s="407"/>
      <c r="BB95" s="407"/>
      <c r="BC95" s="407"/>
      <c r="BD95" s="407"/>
      <c r="BE95" s="407"/>
      <c r="BF95" s="407"/>
      <c r="BG95" s="407"/>
      <c r="BH95" s="407"/>
      <c r="BI95" s="407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08" customFormat="1" ht="15" x14ac:dyDescent="0.2">
      <c r="A96" s="381" t="s">
        <v>950</v>
      </c>
      <c r="B96" s="383">
        <f>SUM(US:OthAsia!B106)</f>
        <v>1.2000000000000004E-2</v>
      </c>
      <c r="C96" s="383">
        <f>SUM(US:OthAsia!C106)</f>
        <v>1.2000000000000004E-2</v>
      </c>
      <c r="D96" s="383">
        <f>SUM(US:OthAsia!D106)</f>
        <v>1.2000000000000009E-2</v>
      </c>
      <c r="E96" s="383">
        <f>SUM(US:OthAsia!E106)</f>
        <v>1.200000000000028E-2</v>
      </c>
      <c r="F96" s="383">
        <f>SUM(US:OthAsia!F106)</f>
        <v>1.2000000000003598E-2</v>
      </c>
      <c r="G96" s="383">
        <f>SUM(US:OthAsia!G106)</f>
        <v>1.2000000000024135E-2</v>
      </c>
      <c r="H96" s="383">
        <f>SUM(US:OthAsia!H106)</f>
        <v>1.2000000000110046E-2</v>
      </c>
      <c r="I96" s="383">
        <f>SUM(US:OthAsia!I106)</f>
        <v>1.200000000038381E-2</v>
      </c>
      <c r="J96" s="383">
        <f>SUM(US:OthAsia!J106)</f>
        <v>1.2000000001106704E-2</v>
      </c>
      <c r="K96" s="383">
        <f>SUM(US:OthAsia!K106)</f>
        <v>1.2000000002730675E-2</v>
      </c>
      <c r="L96" s="383">
        <f>SUM(US:OthAsia!L106)</f>
        <v>1.2000000006063825E-2</v>
      </c>
      <c r="M96" s="383">
        <f>SUM(US:OthAsia!M106)</f>
        <v>1.2000000012500796E-2</v>
      </c>
      <c r="N96" s="383">
        <f>SUM(US:OthAsia!N106)</f>
        <v>1.2000000023905786E-2</v>
      </c>
      <c r="O96" s="383">
        <f>SUM(US:OthAsia!O106)</f>
        <v>1.2000000043113484E-2</v>
      </c>
      <c r="P96" s="383">
        <f>SUM(US:OthAsia!P106)</f>
        <v>1.2000000074516256E-2</v>
      </c>
      <c r="Q96" s="383">
        <f>SUM(US:OthAsia!Q106)</f>
        <v>1.200000012504557E-2</v>
      </c>
      <c r="R96" s="383">
        <f>SUM(US:OthAsia!R106)</f>
        <v>1.20000002041735E-2</v>
      </c>
      <c r="S96" s="383">
        <f>SUM(US:OthAsia!S106)</f>
        <v>1.2000000326570613E-2</v>
      </c>
      <c r="T96" s="383">
        <f>SUM(US:OthAsia!T106)</f>
        <v>1.2000000513383851E-2</v>
      </c>
      <c r="U96" s="383">
        <f>SUM(US:OthAsia!U106)</f>
        <v>1.200000078725204E-2</v>
      </c>
      <c r="V96" s="383">
        <f>SUM(US:OthAsia!V106)</f>
        <v>1.2000001165063619E-2</v>
      </c>
      <c r="W96" s="383">
        <f>SUM(US:OthAsia!W106)</f>
        <v>1.2000001706260519E-2</v>
      </c>
      <c r="X96" s="383">
        <f>SUM(US:OthAsia!X106)</f>
        <v>1.2000002467173013E-2</v>
      </c>
      <c r="Y96" s="383">
        <f>SUM(US:OthAsia!Y106)</f>
        <v>1.200000351899694E-2</v>
      </c>
      <c r="Z96" s="383">
        <f>SUM(US:OthAsia!Z106)</f>
        <v>1.2000004957204323E-2</v>
      </c>
      <c r="AA96" s="383">
        <f>SUM(US:OthAsia!AA106)</f>
        <v>1.2000006907146738E-2</v>
      </c>
      <c r="AB96" s="383">
        <f>SUM(US:OthAsia!AB106)</f>
        <v>5267.9141603394755</v>
      </c>
      <c r="AC96" s="383">
        <f>SUM(US:OthAsia!AC106)</f>
        <v>5082.6384523225015</v>
      </c>
      <c r="AD96" s="383">
        <f>SUM(US:OthAsia!AD106)</f>
        <v>4906.6265297063765</v>
      </c>
      <c r="AE96" s="383">
        <f>SUM(US:OthAsia!AE106)</f>
        <v>4739.4152032210586</v>
      </c>
      <c r="AF96" s="383">
        <f>SUM(US:OthAsia!AF106)</f>
        <v>4580.564443060005</v>
      </c>
      <c r="AG96" s="383">
        <f>SUM(US:OthAsia!AG106)</f>
        <v>4429.6562209070044</v>
      </c>
      <c r="AH96" s="383">
        <f>SUM(US:OthAsia!AH106)</f>
        <v>4286.2934098616533</v>
      </c>
      <c r="AI96" s="383">
        <f>SUM(US:OthAsia!AI106)</f>
        <v>3848.8818953821419</v>
      </c>
      <c r="AJ96" s="383">
        <f>SUM(US:OthAsia!AJ106)</f>
        <v>3728.8878006130353</v>
      </c>
      <c r="AK96" s="383">
        <f>SUM(US:OthAsia!AK106)</f>
        <v>3614.8934105823832</v>
      </c>
      <c r="AL96" s="383">
        <f>SUM(US:OthAsia!AL106)</f>
        <v>3506.5987400532645</v>
      </c>
      <c r="AM96" s="383">
        <f>SUM(US:OthAsia!AM106)</f>
        <v>3403.7188030506009</v>
      </c>
      <c r="AN96" s="383">
        <f>SUM(US:OthAsia!AN106)</f>
        <v>3305.9828628980708</v>
      </c>
      <c r="AO96" s="383">
        <f>SUM(US:OthAsia!AO106)</f>
        <v>3213.1337197531675</v>
      </c>
      <c r="AP96" s="383">
        <f>SUM(US:OthAsia!AP106)</f>
        <v>3124.9270337655089</v>
      </c>
      <c r="AQ96" s="383">
        <f>SUM(US:OthAsia!AQ106)</f>
        <v>3041.1306820772334</v>
      </c>
      <c r="AR96" s="383">
        <f>SUM(US:OthAsia!AR106)</f>
        <v>2961.5241479733709</v>
      </c>
      <c r="AS96" s="383">
        <f>SUM(US:OthAsia!AS106)</f>
        <v>2885.8979405747032</v>
      </c>
      <c r="AT96" s="383">
        <f>SUM(US:OthAsia!AT106)</f>
        <v>2814.0530435459673</v>
      </c>
      <c r="AU96" s="383">
        <f>SUM(US:OthAsia!AU106)</f>
        <v>2745.8003913686698</v>
      </c>
      <c r="AV96" s="383">
        <f>SUM(US:OthAsia!AV106)</f>
        <v>2680.9603718002354</v>
      </c>
      <c r="AW96" s="383">
        <f>SUM(US:OthAsia!AW106)</f>
        <v>2619.3623532102238</v>
      </c>
      <c r="AX96" s="383">
        <f>SUM(US:OthAsia!AX106)</f>
        <v>2560.8442355497123</v>
      </c>
      <c r="AY96" s="383">
        <f>SUM(US:OthAsia!AY106)</f>
        <v>2505.2520237722269</v>
      </c>
      <c r="AZ96" s="383">
        <f>SUM(US:OthAsia!AZ106)</f>
        <v>2452.4394225836154</v>
      </c>
      <c r="BA96" s="383">
        <f>SUM(US:OthAsia!BA106)</f>
        <v>2402.2674514544351</v>
      </c>
      <c r="BB96" s="383">
        <f>SUM(US:OthAsia!BB106)</f>
        <v>2354.6040788817136</v>
      </c>
      <c r="BC96" s="383">
        <f>SUM(US:OthAsia!BC106)</f>
        <v>2309.3238749376278</v>
      </c>
      <c r="BD96" s="383">
        <f>SUM(US:OthAsia!BD106)</f>
        <v>2266.3076811907458</v>
      </c>
      <c r="BE96" s="383">
        <f>SUM(US:OthAsia!BE106)</f>
        <v>1133.1538405953729</v>
      </c>
      <c r="BF96" s="383">
        <f>SUM(US:OthAsia!BF106)</f>
        <v>566.57692029768646</v>
      </c>
      <c r="BG96" s="383">
        <f>SUM(US:OthAsia!BG106)</f>
        <v>283.28846014884323</v>
      </c>
      <c r="BH96" s="383">
        <f>SUM(US:OthAsia!BH106)</f>
        <v>141.64423007442161</v>
      </c>
      <c r="BI96" s="383">
        <f>SUM(US:OthAsia!BI106)</f>
        <v>70.822115037210807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08" customFormat="1" ht="15" x14ac:dyDescent="0.2">
      <c r="A97" s="381" t="s">
        <v>974</v>
      </c>
      <c r="B97" s="383">
        <f>SUM(US:OthAsia!B107)</f>
        <v>0</v>
      </c>
      <c r="C97" s="383">
        <f>SUM(US:OthAsia!C107)</f>
        <v>5.6917573725043267E-21</v>
      </c>
      <c r="D97" s="383">
        <f>SUM(US:OthAsia!D107)</f>
        <v>5.9399735227975469E-18</v>
      </c>
      <c r="E97" s="383">
        <f>SUM(US:OthAsia!E107)</f>
        <v>2.7540099268974369E-16</v>
      </c>
      <c r="F97" s="383">
        <f>SUM(US:OthAsia!F107)</f>
        <v>3.6008405205337625E-15</v>
      </c>
      <c r="G97" s="383">
        <f>SUM(US:OthAsia!G107)</f>
        <v>2.4133225045109049E-14</v>
      </c>
      <c r="H97" s="383">
        <f>SUM(US:OthAsia!H107)</f>
        <v>1.1004334855849982E-13</v>
      </c>
      <c r="I97" s="383">
        <f>SUM(US:OthAsia!I107)</f>
        <v>3.8381399936639282E-13</v>
      </c>
      <c r="J97" s="383">
        <f>SUM(US:OthAsia!J107)</f>
        <v>1.1067013684022191E-12</v>
      </c>
      <c r="K97" s="383">
        <f>SUM(US:OthAsia!K107)</f>
        <v>2.7306728327705635E-12</v>
      </c>
      <c r="L97" s="383">
        <f>SUM(US:OthAsia!L107)</f>
        <v>6.0638207760324627E-12</v>
      </c>
      <c r="M97" s="383">
        <f>SUM(US:OthAsia!M107)</f>
        <v>1.2500792869626645E-11</v>
      </c>
      <c r="N97" s="383">
        <f>SUM(US:OthAsia!N107)</f>
        <v>2.3905787770709773E-11</v>
      </c>
      <c r="O97" s="383">
        <f>SUM(US:OthAsia!O107)</f>
        <v>4.3113486931771432E-11</v>
      </c>
      <c r="P97" s="383">
        <f>SUM(US:OthAsia!P107)</f>
        <v>7.4516253533707058E-11</v>
      </c>
      <c r="Q97" s="383">
        <f>SUM(US:OthAsia!Q107)</f>
        <v>1.2504557400488188E-10</v>
      </c>
      <c r="R97" s="383">
        <f>SUM(US:OthAsia!R107)</f>
        <v>2.0417349906523155E-10</v>
      </c>
      <c r="S97" s="383">
        <f>SUM(US:OthAsia!S107)</f>
        <v>3.2657060823491927E-10</v>
      </c>
      <c r="T97" s="383">
        <f>SUM(US:OthAsia!T107)</f>
        <v>5.1338385296468017E-10</v>
      </c>
      <c r="U97" s="383">
        <f>SUM(US:OthAsia!U107)</f>
        <v>7.8725203598871235E-10</v>
      </c>
      <c r="V97" s="383">
        <f>SUM(US:OthAsia!V107)</f>
        <v>1.1650636179803222E-9</v>
      </c>
      <c r="W97" s="383">
        <f>SUM(US:OthAsia!W107)</f>
        <v>1.7062605191139617E-9</v>
      </c>
      <c r="X97" s="383">
        <f>SUM(US:OthAsia!X107)</f>
        <v>2.4671730092509899E-9</v>
      </c>
      <c r="Y97" s="383">
        <f>SUM(US:OthAsia!Y107)</f>
        <v>3.5189969428935456E-9</v>
      </c>
      <c r="Z97" s="383">
        <f>SUM(US:OthAsia!Z107)</f>
        <v>4.9572043216424387E-9</v>
      </c>
      <c r="AA97" s="383">
        <f>SUM(US:OthAsia!AA107)</f>
        <v>6.9071467338760817E-9</v>
      </c>
      <c r="AB97" s="383">
        <f>SUM(US:OthAsia!AB107)</f>
        <v>9.5252700095338796E-9</v>
      </c>
      <c r="AC97" s="383">
        <f>SUM(US:OthAsia!AC107)</f>
        <v>9.5252700095338796E-9</v>
      </c>
      <c r="AD97" s="383">
        <f>SUM(US:OthAsia!AD107)</f>
        <v>9.5252700095338796E-9</v>
      </c>
      <c r="AE97" s="383">
        <f>SUM(US:OthAsia!AE107)</f>
        <v>9.5252700095338796E-9</v>
      </c>
      <c r="AF97" s="383">
        <f>SUM(US:OthAsia!AF107)</f>
        <v>9.5252700095338796E-9</v>
      </c>
      <c r="AG97" s="383">
        <f>SUM(US:OthAsia!AG107)</f>
        <v>9.5252700095338796E-9</v>
      </c>
      <c r="AH97" s="383">
        <f>SUM(US:OthAsia!AH107)</f>
        <v>9.5252700095338796E-9</v>
      </c>
      <c r="AI97" s="383">
        <f>SUM(US:OthAsia!AI107)</f>
        <v>8.7314975087393901E-9</v>
      </c>
      <c r="AJ97" s="383">
        <f>SUM(US:OthAsia!AJ107)</f>
        <v>8.7314975087393901E-9</v>
      </c>
      <c r="AK97" s="383">
        <f>SUM(US:OthAsia!AK107)</f>
        <v>8.7314975087393901E-9</v>
      </c>
      <c r="AL97" s="383">
        <f>SUM(US:OthAsia!AL107)</f>
        <v>8.7314975087393901E-9</v>
      </c>
      <c r="AM97" s="383">
        <f>SUM(US:OthAsia!AM107)</f>
        <v>8.7314975087393901E-9</v>
      </c>
      <c r="AN97" s="383">
        <f>SUM(US:OthAsia!AN107)</f>
        <v>8.7314975087393901E-9</v>
      </c>
      <c r="AO97" s="383">
        <f>SUM(US:OthAsia!AO107)</f>
        <v>8.7314975087393901E-9</v>
      </c>
      <c r="AP97" s="383">
        <f>SUM(US:OthAsia!AP107)</f>
        <v>8.7314975087393901E-9</v>
      </c>
      <c r="AQ97" s="383">
        <f>SUM(US:OthAsia!AQ107)</f>
        <v>8.7314975087393901E-9</v>
      </c>
      <c r="AR97" s="383">
        <f>SUM(US:OthAsia!AR107)</f>
        <v>8.7314975087393901E-9</v>
      </c>
      <c r="AS97" s="383">
        <f>SUM(US:OthAsia!AS107)</f>
        <v>8.7314975087393901E-9</v>
      </c>
      <c r="AT97" s="383">
        <f>SUM(US:OthAsia!AT107)</f>
        <v>8.7314975087393901E-9</v>
      </c>
      <c r="AU97" s="383">
        <f>SUM(US:OthAsia!AU107)</f>
        <v>8.7314975087393901E-9</v>
      </c>
      <c r="AV97" s="383">
        <f>SUM(US:OthAsia!AV107)</f>
        <v>8.7314975087393901E-9</v>
      </c>
      <c r="AW97" s="383">
        <f>SUM(US:OthAsia!AW107)</f>
        <v>8.7314975087393901E-9</v>
      </c>
      <c r="AX97" s="383">
        <f>SUM(US:OthAsia!AX107)</f>
        <v>8.7314975087393901E-9</v>
      </c>
      <c r="AY97" s="383">
        <f>SUM(US:OthAsia!AY107)</f>
        <v>8.7314975087393901E-9</v>
      </c>
      <c r="AZ97" s="383">
        <f>SUM(US:OthAsia!AZ107)</f>
        <v>8.7314975087393901E-9</v>
      </c>
      <c r="BA97" s="383">
        <f>SUM(US:OthAsia!BA107)</f>
        <v>8.7314975087393901E-9</v>
      </c>
      <c r="BB97" s="383">
        <f>SUM(US:OthAsia!BB107)</f>
        <v>8.7314975087393901E-9</v>
      </c>
      <c r="BC97" s="383">
        <f>SUM(US:OthAsia!BC107)</f>
        <v>8.7314975087393901E-9</v>
      </c>
      <c r="BD97" s="383">
        <f>SUM(US:OthAsia!BD107)</f>
        <v>8.7314975087393901E-9</v>
      </c>
      <c r="BE97" s="383">
        <f>SUM(US:OthAsia!BE107)</f>
        <v>8.7314975087393901E-9</v>
      </c>
      <c r="BF97" s="383">
        <f>SUM(US:OthAsia!BF107)</f>
        <v>8.7314975087393901E-9</v>
      </c>
      <c r="BG97" s="383">
        <f>SUM(US:OthAsia!BG107)</f>
        <v>8.7314975087393901E-9</v>
      </c>
      <c r="BH97" s="383">
        <f>SUM(US:OthAsia!BH107)</f>
        <v>8.7314975087393901E-9</v>
      </c>
      <c r="BI97" s="383">
        <f>SUM(US:OthAsia!BI107)</f>
        <v>8.7314975087393901E-9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18" customFormat="1" ht="15" x14ac:dyDescent="0.2">
      <c r="A98" s="417" t="s">
        <v>981</v>
      </c>
      <c r="B98" s="416">
        <f t="shared" ref="B98:AG98" si="57">+B202</f>
        <v>7.9710000000000001</v>
      </c>
      <c r="C98" s="416">
        <f t="shared" si="57"/>
        <v>10.008731839961026</v>
      </c>
      <c r="D98" s="416">
        <f t="shared" si="57"/>
        <v>11.724587536935804</v>
      </c>
      <c r="E98" s="416">
        <f t="shared" si="57"/>
        <v>13.184510779280513</v>
      </c>
      <c r="F98" s="416">
        <f t="shared" si="57"/>
        <v>14.448589212754504</v>
      </c>
      <c r="G98" s="416">
        <f t="shared" si="57"/>
        <v>15.441204892561124</v>
      </c>
      <c r="H98" s="416">
        <f t="shared" si="57"/>
        <v>16.291259051033283</v>
      </c>
      <c r="I98" s="416">
        <f t="shared" si="57"/>
        <v>17.127802838118413</v>
      </c>
      <c r="J98" s="416">
        <f t="shared" si="57"/>
        <v>17.960699441681911</v>
      </c>
      <c r="K98" s="416">
        <f t="shared" si="57"/>
        <v>18.794707814318667</v>
      </c>
      <c r="L98" s="416">
        <f t="shared" si="57"/>
        <v>19.624706425431082</v>
      </c>
      <c r="M98" s="438">
        <f t="shared" si="57"/>
        <v>20.42236713751722</v>
      </c>
      <c r="N98" s="416">
        <f t="shared" si="57"/>
        <v>21.184327426614438</v>
      </c>
      <c r="O98" s="416">
        <f t="shared" si="57"/>
        <v>21.933892989452033</v>
      </c>
      <c r="P98" s="416">
        <f t="shared" si="57"/>
        <v>22.608438870710412</v>
      </c>
      <c r="Q98" s="416">
        <f t="shared" si="57"/>
        <v>23.223692120713686</v>
      </c>
      <c r="R98" s="416">
        <f t="shared" si="57"/>
        <v>23.788169273147215</v>
      </c>
      <c r="S98" s="416">
        <f t="shared" si="57"/>
        <v>24.306858702921744</v>
      </c>
      <c r="T98" s="416">
        <f t="shared" si="57"/>
        <v>24.783023359090436</v>
      </c>
      <c r="U98" s="416">
        <f t="shared" si="57"/>
        <v>25.219107676600128</v>
      </c>
      <c r="V98" s="416">
        <f t="shared" si="57"/>
        <v>25.703405800382477</v>
      </c>
      <c r="W98" s="416">
        <f t="shared" si="57"/>
        <v>26.260701328748976</v>
      </c>
      <c r="X98" s="416">
        <f t="shared" si="57"/>
        <v>26.83132856801668</v>
      </c>
      <c r="Y98" s="416">
        <f t="shared" si="57"/>
        <v>27.394380415089628</v>
      </c>
      <c r="Z98" s="416">
        <f t="shared" si="57"/>
        <v>27.943074309677765</v>
      </c>
      <c r="AA98" s="416">
        <f t="shared" si="57"/>
        <v>28.474109711657388</v>
      </c>
      <c r="AB98" s="416">
        <f t="shared" si="57"/>
        <v>28.986539504552063</v>
      </c>
      <c r="AC98" s="416">
        <f t="shared" si="57"/>
        <v>29.482219094511056</v>
      </c>
      <c r="AD98" s="416">
        <f t="shared" si="57"/>
        <v>29.979761716150477</v>
      </c>
      <c r="AE98" s="416">
        <f t="shared" si="57"/>
        <v>30.477231777208424</v>
      </c>
      <c r="AF98" s="416">
        <f t="shared" si="57"/>
        <v>30.912844597754539</v>
      </c>
      <c r="AG98" s="416">
        <f t="shared" si="57"/>
        <v>31.269659723259231</v>
      </c>
      <c r="AH98" s="416">
        <f t="shared" ref="AH98:BI98" si="58">+AH202</f>
        <v>31.597536337339164</v>
      </c>
      <c r="AI98" s="416">
        <f t="shared" si="58"/>
        <v>28.935444058674523</v>
      </c>
      <c r="AJ98" s="416">
        <f t="shared" si="58"/>
        <v>29.199700883075501</v>
      </c>
      <c r="AK98" s="416">
        <f t="shared" si="58"/>
        <v>29.447784942812806</v>
      </c>
      <c r="AL98" s="416">
        <f t="shared" si="58"/>
        <v>29.680862824063091</v>
      </c>
      <c r="AM98" s="416">
        <f t="shared" si="58"/>
        <v>29.899786467957775</v>
      </c>
      <c r="AN98" s="416">
        <f t="shared" si="58"/>
        <v>30.10525585079111</v>
      </c>
      <c r="AO98" s="416">
        <f t="shared" si="58"/>
        <v>30.297887795225527</v>
      </c>
      <c r="AP98" s="416">
        <f t="shared" si="58"/>
        <v>30.478241852529123</v>
      </c>
      <c r="AQ98" s="416">
        <f t="shared" si="58"/>
        <v>30.646828232688563</v>
      </c>
      <c r="AR98" s="416">
        <f t="shared" si="58"/>
        <v>30.804109622692653</v>
      </c>
      <c r="AS98" s="416">
        <f t="shared" si="58"/>
        <v>30.950502278021538</v>
      </c>
      <c r="AT98" s="416">
        <f t="shared" si="58"/>
        <v>31.086378758094202</v>
      </c>
      <c r="AU98" s="416">
        <f t="shared" si="58"/>
        <v>31.212073413149096</v>
      </c>
      <c r="AV98" s="416">
        <f t="shared" si="58"/>
        <v>31.3278913525094</v>
      </c>
      <c r="AW98" s="416">
        <f t="shared" si="58"/>
        <v>31.434121700892479</v>
      </c>
      <c r="AX98" s="416">
        <f t="shared" si="58"/>
        <v>31.531056272457754</v>
      </c>
      <c r="AY98" s="416">
        <f t="shared" si="58"/>
        <v>31.619015263844609</v>
      </c>
      <c r="AZ98" s="416">
        <f t="shared" si="58"/>
        <v>31.698382136578125</v>
      </c>
      <c r="BA98" s="416">
        <f t="shared" si="58"/>
        <v>31.769650483661842</v>
      </c>
      <c r="BB98" s="416">
        <f t="shared" si="58"/>
        <v>31.833486295637712</v>
      </c>
      <c r="BC98" s="416">
        <f t="shared" si="58"/>
        <v>31.890809564204023</v>
      </c>
      <c r="BD98" s="416">
        <f t="shared" si="58"/>
        <v>31.942899453547675</v>
      </c>
      <c r="BE98" s="416">
        <f t="shared" si="58"/>
        <v>31.991527176863396</v>
      </c>
      <c r="BF98" s="416">
        <f t="shared" si="58"/>
        <v>32.039120118223899</v>
      </c>
      <c r="BG98" s="416">
        <f t="shared" si="58"/>
        <v>32.088959634916712</v>
      </c>
      <c r="BH98" s="416">
        <f t="shared" si="58"/>
        <v>32.145413493298086</v>
      </c>
      <c r="BI98" s="416">
        <f t="shared" si="58"/>
        <v>32.21420195065653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 x14ac:dyDescent="0.2">
      <c r="M99" s="440"/>
    </row>
    <row r="100" spans="1:309" s="211" customFormat="1" ht="14.25" customHeight="1" x14ac:dyDescent="0.2">
      <c r="M100" s="516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21" customFormat="1" ht="16" x14ac:dyDescent="0.2">
      <c r="A101" s="419" t="s">
        <v>956</v>
      </c>
      <c r="B101" s="420">
        <f t="shared" ref="B101:AG101" si="59">1-B124/B98</f>
        <v>0.1426450053780236</v>
      </c>
      <c r="C101" s="420">
        <f t="shared" si="59"/>
        <v>0.48613827354004324</v>
      </c>
      <c r="D101" s="420">
        <f t="shared" si="59"/>
        <v>0.65194543944076977</v>
      </c>
      <c r="E101" s="420">
        <f t="shared" si="59"/>
        <v>0.76409022401889404</v>
      </c>
      <c r="F101" s="420">
        <f t="shared" si="59"/>
        <v>0.85120247976150432</v>
      </c>
      <c r="G101" s="420">
        <f t="shared" si="59"/>
        <v>0.90010429356202337</v>
      </c>
      <c r="H101" s="420">
        <f t="shared" si="59"/>
        <v>0.92371641868469057</v>
      </c>
      <c r="I101" s="420">
        <f t="shared" si="59"/>
        <v>0.93490764399156456</v>
      </c>
      <c r="J101" s="420">
        <f t="shared" si="59"/>
        <v>0.94846003093530984</v>
      </c>
      <c r="K101" s="420">
        <f t="shared" si="59"/>
        <v>0.95739609699875117</v>
      </c>
      <c r="L101" s="420">
        <f t="shared" si="59"/>
        <v>0.96334799638618829</v>
      </c>
      <c r="M101" s="439">
        <f t="shared" si="59"/>
        <v>0.96858373019011312</v>
      </c>
      <c r="N101" s="420">
        <f t="shared" si="59"/>
        <v>0.97260931719784272</v>
      </c>
      <c r="O101" s="420">
        <f t="shared" si="59"/>
        <v>0.97567512807746504</v>
      </c>
      <c r="P101" s="420">
        <f t="shared" si="59"/>
        <v>0.97780050857484802</v>
      </c>
      <c r="Q101" s="420">
        <f t="shared" si="59"/>
        <v>0.97963635110589153</v>
      </c>
      <c r="R101" s="420">
        <f t="shared" si="59"/>
        <v>0.98104595228064495</v>
      </c>
      <c r="S101" s="420">
        <f t="shared" si="59"/>
        <v>0.98220042176557387</v>
      </c>
      <c r="T101" s="420">
        <f t="shared" si="59"/>
        <v>0.98355223982976892</v>
      </c>
      <c r="U101" s="420">
        <f t="shared" si="59"/>
        <v>0.98516328027903821</v>
      </c>
      <c r="V101" s="420">
        <f t="shared" si="59"/>
        <v>0.98582002730090956</v>
      </c>
      <c r="W101" s="420">
        <f t="shared" si="59"/>
        <v>0.98410302540239236</v>
      </c>
      <c r="X101" s="420">
        <f t="shared" si="59"/>
        <v>0.98261383266876245</v>
      </c>
      <c r="Y101" s="420">
        <f t="shared" si="59"/>
        <v>0.98120926060256863</v>
      </c>
      <c r="Z101" s="420">
        <f t="shared" si="59"/>
        <v>0.97985739560485374</v>
      </c>
      <c r="AA101" s="420">
        <f t="shared" si="59"/>
        <v>0.97858071299132243</v>
      </c>
      <c r="AB101" s="420">
        <f t="shared" si="59"/>
        <v>0.97738796849900589</v>
      </c>
      <c r="AC101" s="420">
        <f t="shared" si="59"/>
        <v>0.97615832264945257</v>
      </c>
      <c r="AD101" s="420">
        <f t="shared" si="59"/>
        <v>0.97501606115254003</v>
      </c>
      <c r="AE101" s="420">
        <f t="shared" si="59"/>
        <v>0.97413283389476368</v>
      </c>
      <c r="AF101" s="420">
        <f t="shared" si="59"/>
        <v>0.97479513475775437</v>
      </c>
      <c r="AG101" s="420">
        <f t="shared" si="59"/>
        <v>0.97308348652814636</v>
      </c>
      <c r="AH101" s="420">
        <f t="shared" ref="AH101:BI101" si="60">1-AH124/AH98</f>
        <v>0.97208858284882826</v>
      </c>
      <c r="AI101" s="420">
        <f t="shared" si="60"/>
        <v>0.77975286539577227</v>
      </c>
      <c r="AJ101" s="420">
        <f t="shared" si="60"/>
        <v>0.60128857042885975</v>
      </c>
      <c r="AK101" s="420">
        <f t="shared" si="60"/>
        <v>0.49093577434036384</v>
      </c>
      <c r="AL101" s="420">
        <f t="shared" si="60"/>
        <v>0.42212743623523152</v>
      </c>
      <c r="AM101" s="420">
        <f t="shared" si="60"/>
        <v>0.37526889442936739</v>
      </c>
      <c r="AN101" s="420">
        <f t="shared" si="60"/>
        <v>0.34023439544932499</v>
      </c>
      <c r="AO101" s="420">
        <f t="shared" si="60"/>
        <v>0.31172993661988191</v>
      </c>
      <c r="AP101" s="420">
        <f t="shared" si="60"/>
        <v>0.28691899580900115</v>
      </c>
      <c r="AQ101" s="420">
        <f t="shared" si="60"/>
        <v>0.26425627643187766</v>
      </c>
      <c r="AR101" s="420">
        <f t="shared" si="60"/>
        <v>0.24288997310651583</v>
      </c>
      <c r="AS101" s="420">
        <f t="shared" si="60"/>
        <v>0.22234524065058414</v>
      </c>
      <c r="AT101" s="420">
        <f t="shared" si="60"/>
        <v>0.20235337857131874</v>
      </c>
      <c r="AU101" s="420">
        <f t="shared" si="60"/>
        <v>0.1827587769634087</v>
      </c>
      <c r="AV101" s="420">
        <f t="shared" si="60"/>
        <v>0.16346806683883897</v>
      </c>
      <c r="AW101" s="420">
        <f t="shared" si="60"/>
        <v>0.14442241216380614</v>
      </c>
      <c r="AX101" s="420">
        <f t="shared" si="60"/>
        <v>0.12558260414371736</v>
      </c>
      <c r="AY101" s="420">
        <f t="shared" si="60"/>
        <v>0.10692133663682291</v>
      </c>
      <c r="AZ101" s="420">
        <f t="shared" si="60"/>
        <v>8.8419629104917852E-2</v>
      </c>
      <c r="BA101" s="420">
        <f t="shared" si="60"/>
        <v>7.0065797488173653E-2</v>
      </c>
      <c r="BB101" s="420">
        <f t="shared" si="60"/>
        <v>5.185617655992758E-2</v>
      </c>
      <c r="BC101" s="420">
        <f t="shared" si="60"/>
        <v>3.3797251493122626E-2</v>
      </c>
      <c r="BD101" s="420">
        <f t="shared" si="60"/>
        <v>1.5909111672509413E-2</v>
      </c>
      <c r="BE101" s="420">
        <f t="shared" si="60"/>
        <v>9.7659248008250321E-2</v>
      </c>
      <c r="BF101" s="420">
        <f t="shared" si="60"/>
        <v>0.21500493375720697</v>
      </c>
      <c r="BG101" s="420">
        <f t="shared" si="60"/>
        <v>0.38217728921932137</v>
      </c>
      <c r="BH101" s="420">
        <f t="shared" si="60"/>
        <v>0.61886096565588944</v>
      </c>
      <c r="BI101" s="420">
        <f t="shared" si="60"/>
        <v>0.89549903880126991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 x14ac:dyDescent="0.15">
      <c r="C102" s="18">
        <v>68.601712759065322</v>
      </c>
    </row>
    <row r="103" spans="1:309" ht="14.25" customHeight="1" x14ac:dyDescent="0.15">
      <c r="C103" s="18">
        <v>0.5</v>
      </c>
      <c r="BJ103" s="413"/>
      <c r="BK103" s="413"/>
      <c r="BL103" s="413"/>
      <c r="BM103" s="413"/>
      <c r="BN103" s="413"/>
      <c r="BO103" s="413"/>
      <c r="BP103" s="413"/>
      <c r="BQ103" s="413"/>
      <c r="BR103" s="413"/>
      <c r="BS103" s="413"/>
      <c r="BT103" s="413"/>
      <c r="BU103" s="413"/>
      <c r="BV103" s="413"/>
      <c r="BW103" s="413"/>
      <c r="BX103" s="413"/>
      <c r="BY103" s="413"/>
      <c r="BZ103" s="413"/>
      <c r="CA103" s="413"/>
      <c r="CB103" s="413"/>
      <c r="CC103" s="413"/>
      <c r="CD103" s="413"/>
      <c r="CE103" s="413"/>
      <c r="CF103" s="413"/>
      <c r="CG103" s="413"/>
      <c r="CH103" s="413"/>
      <c r="CI103" s="413"/>
      <c r="CJ103" s="413"/>
      <c r="CK103" s="413"/>
      <c r="CL103" s="413"/>
      <c r="CM103" s="413"/>
      <c r="CN103" s="413"/>
      <c r="CO103" s="413"/>
      <c r="CP103" s="413"/>
      <c r="CQ103" s="413"/>
      <c r="CR103" s="413"/>
      <c r="CS103" s="413"/>
      <c r="CT103" s="413"/>
      <c r="CU103" s="413"/>
      <c r="CV103" s="413"/>
      <c r="CW103" s="413"/>
      <c r="CX103" s="413"/>
      <c r="CY103" s="413"/>
      <c r="CZ103" s="413"/>
      <c r="DA103" s="413"/>
      <c r="DB103" s="413"/>
      <c r="DC103" s="413"/>
      <c r="DD103" s="413"/>
      <c r="DE103" s="413"/>
      <c r="DF103" s="413"/>
      <c r="DG103" s="413"/>
      <c r="DH103" s="413"/>
      <c r="DI103" s="413"/>
      <c r="DJ103" s="413"/>
      <c r="DK103" s="413"/>
      <c r="DL103" s="413"/>
      <c r="DM103" s="413"/>
      <c r="DN103" s="413"/>
      <c r="DO103" s="413"/>
      <c r="DP103" s="413"/>
      <c r="DQ103" s="413"/>
      <c r="DR103" s="413"/>
      <c r="DS103" s="413"/>
      <c r="DT103" s="413"/>
      <c r="DU103" s="413"/>
      <c r="DV103" s="413"/>
      <c r="DW103" s="413"/>
      <c r="DX103" s="413"/>
      <c r="DY103" s="413"/>
      <c r="DZ103" s="413"/>
      <c r="EA103" s="413"/>
      <c r="EB103" s="413"/>
      <c r="EC103" s="413"/>
      <c r="ED103" s="413"/>
      <c r="EE103" s="413"/>
      <c r="EF103" s="413"/>
      <c r="EG103" s="413"/>
      <c r="EH103" s="413"/>
      <c r="EI103" s="413"/>
      <c r="EJ103" s="413"/>
      <c r="EK103" s="413"/>
      <c r="EL103" s="413"/>
      <c r="EM103" s="413"/>
      <c r="EN103" s="413"/>
      <c r="EO103" s="413"/>
      <c r="EP103" s="413"/>
      <c r="EQ103" s="413"/>
      <c r="ER103" s="413"/>
      <c r="ES103" s="413"/>
      <c r="ET103" s="413"/>
      <c r="EU103" s="413"/>
      <c r="EV103" s="413"/>
      <c r="EW103" s="413"/>
      <c r="EX103" s="413"/>
      <c r="EY103" s="413"/>
      <c r="EZ103" s="413"/>
      <c r="FA103" s="413"/>
      <c r="FB103" s="413"/>
      <c r="FC103" s="413"/>
      <c r="FD103" s="413"/>
      <c r="FE103" s="413"/>
      <c r="FF103" s="413"/>
      <c r="FG103" s="413"/>
      <c r="FH103" s="413"/>
      <c r="FI103" s="413"/>
      <c r="FJ103" s="413"/>
      <c r="FK103" s="413"/>
      <c r="FL103" s="413"/>
      <c r="FM103" s="413"/>
      <c r="FN103" s="413"/>
      <c r="FO103" s="413"/>
      <c r="FP103" s="413"/>
      <c r="FQ103" s="413"/>
      <c r="FR103" s="413"/>
      <c r="FS103" s="413"/>
      <c r="FT103" s="413"/>
      <c r="FU103" s="413"/>
      <c r="FV103" s="413"/>
      <c r="FW103" s="413"/>
      <c r="FX103" s="413"/>
      <c r="FY103" s="413"/>
      <c r="FZ103" s="413"/>
      <c r="GA103" s="413"/>
      <c r="GB103" s="413"/>
      <c r="GC103" s="413"/>
      <c r="GD103" s="413"/>
      <c r="GE103" s="413"/>
      <c r="GF103" s="413"/>
      <c r="GG103" s="413"/>
      <c r="GH103" s="413"/>
      <c r="GI103" s="413"/>
      <c r="GJ103" s="413"/>
      <c r="GK103" s="413"/>
      <c r="GL103" s="413"/>
      <c r="GM103" s="413"/>
      <c r="GN103" s="413"/>
      <c r="GO103" s="413"/>
      <c r="GP103" s="413"/>
      <c r="GQ103" s="413"/>
      <c r="GR103" s="413"/>
      <c r="GS103" s="413"/>
      <c r="GT103" s="413"/>
      <c r="GU103" s="413"/>
      <c r="GV103" s="413"/>
      <c r="GW103" s="413"/>
      <c r="GX103" s="413"/>
      <c r="GY103" s="413"/>
      <c r="GZ103" s="413"/>
      <c r="HA103" s="413"/>
      <c r="HB103" s="413"/>
      <c r="HC103" s="413"/>
      <c r="HD103" s="413"/>
      <c r="HE103" s="413"/>
      <c r="HF103" s="413"/>
      <c r="HG103" s="413"/>
      <c r="HH103" s="413"/>
      <c r="HI103" s="413"/>
      <c r="HJ103" s="413"/>
      <c r="HK103" s="413"/>
      <c r="HL103" s="413"/>
      <c r="HM103" s="413"/>
      <c r="HN103" s="413"/>
      <c r="HO103" s="413"/>
      <c r="HP103" s="413"/>
      <c r="HQ103" s="413"/>
      <c r="HR103" s="413"/>
      <c r="HS103" s="413"/>
      <c r="HT103" s="413"/>
      <c r="HU103" s="413"/>
      <c r="HV103" s="413"/>
      <c r="HW103" s="413"/>
      <c r="HX103" s="413"/>
      <c r="HY103" s="413"/>
      <c r="HZ103" s="413"/>
      <c r="IA103" s="413"/>
      <c r="IB103" s="413"/>
      <c r="IC103" s="413"/>
      <c r="ID103" s="413"/>
      <c r="IE103" s="413"/>
      <c r="IF103" s="413"/>
      <c r="IG103" s="413"/>
      <c r="IH103" s="413"/>
      <c r="II103" s="413"/>
      <c r="IJ103" s="413"/>
      <c r="IK103" s="413"/>
      <c r="IL103" s="413"/>
      <c r="IM103" s="413"/>
      <c r="IN103" s="413"/>
      <c r="IO103" s="413"/>
      <c r="IP103" s="413"/>
      <c r="IQ103" s="413"/>
      <c r="IR103" s="413"/>
      <c r="IS103" s="413"/>
      <c r="IT103" s="413"/>
      <c r="IU103" s="413"/>
      <c r="IV103" s="413"/>
      <c r="IW103" s="413"/>
      <c r="IX103" s="413"/>
      <c r="IY103" s="413"/>
      <c r="IZ103" s="413"/>
      <c r="JA103" s="413"/>
      <c r="JB103" s="413"/>
      <c r="JC103" s="413"/>
      <c r="JD103" s="413"/>
      <c r="JE103" s="413"/>
      <c r="JF103" s="413"/>
      <c r="JG103" s="413"/>
      <c r="JH103" s="413"/>
      <c r="JI103" s="413"/>
      <c r="JJ103" s="413"/>
      <c r="JK103" s="413"/>
      <c r="JL103" s="413"/>
      <c r="JM103" s="413"/>
      <c r="JN103" s="413"/>
      <c r="JO103" s="413"/>
      <c r="JP103" s="413"/>
      <c r="JQ103" s="413"/>
      <c r="JR103" s="413"/>
      <c r="JS103" s="413"/>
      <c r="JT103" s="413"/>
      <c r="JU103" s="413"/>
      <c r="JV103" s="413"/>
      <c r="JW103" s="413"/>
      <c r="JX103" s="413"/>
      <c r="JY103" s="413"/>
      <c r="JZ103" s="413"/>
      <c r="KA103" s="413"/>
      <c r="KB103" s="413"/>
      <c r="KC103" s="413"/>
      <c r="KD103" s="413"/>
      <c r="KE103" s="413"/>
      <c r="KF103" s="413"/>
      <c r="KG103" s="413"/>
      <c r="KH103" s="413"/>
      <c r="KI103" s="413"/>
      <c r="KJ103" s="413"/>
      <c r="KK103" s="413"/>
      <c r="KL103" s="413"/>
      <c r="KM103" s="413"/>
      <c r="KN103" s="413"/>
      <c r="KO103" s="413"/>
      <c r="KP103" s="413"/>
      <c r="KQ103" s="413"/>
      <c r="KR103" s="413"/>
      <c r="KS103" s="413"/>
      <c r="KT103" s="413"/>
      <c r="KU103" s="413"/>
      <c r="KV103" s="413"/>
      <c r="KW103" s="413"/>
    </row>
    <row r="104" spans="1:309" s="408" customFormat="1" ht="15" x14ac:dyDescent="0.2">
      <c r="A104" s="382" t="s">
        <v>951</v>
      </c>
      <c r="B104" s="383">
        <v>0</v>
      </c>
      <c r="C104" s="383">
        <f t="shared" ref="C104:AH104" si="61">1-(C97/C96)</f>
        <v>1</v>
      </c>
      <c r="D104" s="383">
        <f t="shared" si="61"/>
        <v>0.99999999999999956</v>
      </c>
      <c r="E104" s="383">
        <f t="shared" si="61"/>
        <v>0.99999999999997702</v>
      </c>
      <c r="F104" s="383">
        <f t="shared" si="61"/>
        <v>0.99999999999969991</v>
      </c>
      <c r="G104" s="383">
        <f t="shared" si="61"/>
        <v>0.99999999999798894</v>
      </c>
      <c r="H104" s="383">
        <f t="shared" si="61"/>
        <v>0.99999999999082967</v>
      </c>
      <c r="I104" s="383">
        <f t="shared" si="61"/>
        <v>0.99999999996801547</v>
      </c>
      <c r="J104" s="383">
        <f t="shared" si="61"/>
        <v>0.99999999990777488</v>
      </c>
      <c r="K104" s="383">
        <f t="shared" si="61"/>
        <v>0.99999999977244391</v>
      </c>
      <c r="L104" s="383">
        <f t="shared" si="61"/>
        <v>0.99999999949468166</v>
      </c>
      <c r="M104" s="427">
        <f t="shared" si="61"/>
        <v>0.9999999989582673</v>
      </c>
      <c r="N104" s="383">
        <f t="shared" si="61"/>
        <v>0.999999998007851</v>
      </c>
      <c r="O104" s="383">
        <f t="shared" si="61"/>
        <v>0.99999999640720949</v>
      </c>
      <c r="P104" s="383">
        <f t="shared" si="61"/>
        <v>0.99999999379031224</v>
      </c>
      <c r="Q104" s="383">
        <f t="shared" si="61"/>
        <v>0.99999998957953562</v>
      </c>
      <c r="R104" s="383">
        <f t="shared" si="61"/>
        <v>0.99999998298554205</v>
      </c>
      <c r="S104" s="383">
        <f t="shared" si="61"/>
        <v>0.99999997278578334</v>
      </c>
      <c r="T104" s="383">
        <f t="shared" si="61"/>
        <v>0.99999995721801405</v>
      </c>
      <c r="U104" s="383">
        <f t="shared" si="61"/>
        <v>0.99999993439566792</v>
      </c>
      <c r="V104" s="383">
        <f t="shared" si="61"/>
        <v>0.99999990291137464</v>
      </c>
      <c r="W104" s="383">
        <f t="shared" si="61"/>
        <v>0.99999985781164358</v>
      </c>
      <c r="X104" s="383">
        <f t="shared" si="61"/>
        <v>0.99999979440229148</v>
      </c>
      <c r="Y104" s="383">
        <f t="shared" si="61"/>
        <v>0.99999970675034078</v>
      </c>
      <c r="Z104" s="383">
        <f t="shared" si="61"/>
        <v>0.9999995868998105</v>
      </c>
      <c r="AA104" s="383">
        <f t="shared" si="61"/>
        <v>0.99999942440477019</v>
      </c>
      <c r="AB104" s="383">
        <f t="shared" si="61"/>
        <v>0.99999999999819178</v>
      </c>
      <c r="AC104" s="383">
        <f t="shared" si="61"/>
        <v>0.99999999999812594</v>
      </c>
      <c r="AD104" s="383">
        <f t="shared" si="61"/>
        <v>0.99999999999805866</v>
      </c>
      <c r="AE104" s="383">
        <f t="shared" si="61"/>
        <v>0.99999999999799016</v>
      </c>
      <c r="AF104" s="383">
        <f t="shared" si="61"/>
        <v>0.99999999999792055</v>
      </c>
      <c r="AG104" s="383">
        <f t="shared" si="61"/>
        <v>0.99999999999784961</v>
      </c>
      <c r="AH104" s="383">
        <f t="shared" si="61"/>
        <v>0.99999999999777778</v>
      </c>
      <c r="AI104" s="383">
        <f t="shared" ref="AI104:BI104" si="62">1-(AI97/AI96)</f>
        <v>0.99999999999773137</v>
      </c>
      <c r="AJ104" s="383">
        <f t="shared" si="62"/>
        <v>0.99999999999765843</v>
      </c>
      <c r="AK104" s="383">
        <f t="shared" si="62"/>
        <v>0.9999999999975846</v>
      </c>
      <c r="AL104" s="383">
        <f t="shared" si="62"/>
        <v>0.99999999999750999</v>
      </c>
      <c r="AM104" s="383">
        <f t="shared" si="62"/>
        <v>0.99999999999743472</v>
      </c>
      <c r="AN104" s="383">
        <f t="shared" si="62"/>
        <v>0.99999999999735889</v>
      </c>
      <c r="AO104" s="383">
        <f t="shared" si="62"/>
        <v>0.99999999999728251</v>
      </c>
      <c r="AP104" s="383">
        <f t="shared" si="62"/>
        <v>0.9999999999972059</v>
      </c>
      <c r="AQ104" s="383">
        <f t="shared" si="62"/>
        <v>0.99999999999712885</v>
      </c>
      <c r="AR104" s="383">
        <f t="shared" si="62"/>
        <v>0.99999999999705169</v>
      </c>
      <c r="AS104" s="383">
        <f t="shared" si="62"/>
        <v>0.99999999999697442</v>
      </c>
      <c r="AT104" s="383">
        <f t="shared" si="62"/>
        <v>0.99999999999689715</v>
      </c>
      <c r="AU104" s="383">
        <f t="shared" si="62"/>
        <v>0.9999999999968201</v>
      </c>
      <c r="AV104" s="383">
        <f t="shared" si="62"/>
        <v>0.99999999999674316</v>
      </c>
      <c r="AW104" s="383">
        <f t="shared" si="62"/>
        <v>0.99999999999666656</v>
      </c>
      <c r="AX104" s="383">
        <f t="shared" si="62"/>
        <v>0.99999999999659039</v>
      </c>
      <c r="AY104" s="383">
        <f t="shared" si="62"/>
        <v>0.99999999999651468</v>
      </c>
      <c r="AZ104" s="383">
        <f t="shared" si="62"/>
        <v>0.99999999999643963</v>
      </c>
      <c r="BA104" s="383">
        <f t="shared" si="62"/>
        <v>0.99999999999636535</v>
      </c>
      <c r="BB104" s="383">
        <f t="shared" si="62"/>
        <v>0.99999999999629174</v>
      </c>
      <c r="BC104" s="383">
        <f t="shared" si="62"/>
        <v>0.99999999999621902</v>
      </c>
      <c r="BD104" s="383">
        <f t="shared" si="62"/>
        <v>0.9999999999961473</v>
      </c>
      <c r="BE104" s="383">
        <f t="shared" si="62"/>
        <v>0.9999999999922945</v>
      </c>
      <c r="BF104" s="383">
        <f t="shared" si="62"/>
        <v>0.99999999998458899</v>
      </c>
      <c r="BG104" s="383">
        <f t="shared" si="62"/>
        <v>0.9999999999691781</v>
      </c>
      <c r="BH104" s="383">
        <f t="shared" si="62"/>
        <v>0.99999999993835609</v>
      </c>
      <c r="BI104" s="383">
        <f t="shared" si="62"/>
        <v>0.99999999987671229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08" customFormat="1" ht="15" x14ac:dyDescent="0.2">
      <c r="A105" s="382" t="s">
        <v>952</v>
      </c>
      <c r="B105" s="407"/>
      <c r="C105" s="407"/>
      <c r="D105" s="407"/>
      <c r="E105" s="407"/>
      <c r="F105" s="407"/>
      <c r="G105" s="407"/>
      <c r="H105" s="407"/>
      <c r="I105" s="407"/>
      <c r="J105" s="407"/>
      <c r="K105" s="407"/>
      <c r="L105" s="407"/>
      <c r="M105" s="435"/>
      <c r="N105" s="407"/>
      <c r="O105" s="407"/>
      <c r="P105" s="407"/>
      <c r="Q105" s="407"/>
      <c r="R105" s="407"/>
      <c r="S105" s="407"/>
      <c r="T105" s="407"/>
      <c r="U105" s="407"/>
      <c r="V105" s="407"/>
      <c r="W105" s="407"/>
      <c r="X105" s="407"/>
      <c r="Y105" s="407"/>
      <c r="Z105" s="407"/>
      <c r="AA105" s="407"/>
      <c r="AB105" s="407"/>
      <c r="AC105" s="407"/>
      <c r="AD105" s="407"/>
      <c r="AE105" s="407"/>
      <c r="AF105" s="407"/>
      <c r="AG105" s="407"/>
      <c r="AH105" s="407"/>
      <c r="AI105" s="407"/>
      <c r="AJ105" s="407"/>
      <c r="AK105" s="407"/>
      <c r="AL105" s="407"/>
      <c r="AM105" s="407"/>
      <c r="AN105" s="407"/>
      <c r="AO105" s="407"/>
      <c r="AP105" s="407"/>
      <c r="AQ105" s="407"/>
      <c r="AR105" s="407"/>
      <c r="AS105" s="407"/>
      <c r="AT105" s="407"/>
      <c r="AU105" s="407"/>
      <c r="AV105" s="407"/>
      <c r="AW105" s="407"/>
      <c r="AX105" s="407"/>
      <c r="AY105" s="407"/>
      <c r="AZ105" s="407"/>
      <c r="BA105" s="407"/>
      <c r="BB105" s="407"/>
      <c r="BC105" s="407"/>
      <c r="BD105" s="407"/>
      <c r="BE105" s="407"/>
      <c r="BF105" s="407"/>
      <c r="BG105" s="407"/>
      <c r="BH105" s="407"/>
      <c r="BI105" s="407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08" customFormat="1" ht="15" x14ac:dyDescent="0.2">
      <c r="A106" s="382" t="s">
        <v>967</v>
      </c>
      <c r="B106" s="407">
        <v>0</v>
      </c>
      <c r="C106" s="407">
        <f t="shared" ref="C106:P106" si="63">+C281/C311</f>
        <v>16.740419877727668</v>
      </c>
      <c r="D106" s="407">
        <f t="shared" si="63"/>
        <v>5.8562560760740734</v>
      </c>
      <c r="E106" s="407">
        <f t="shared" si="63"/>
        <v>8.9182669187292181</v>
      </c>
      <c r="F106" s="407">
        <f t="shared" si="63"/>
        <v>21.308307225869495</v>
      </c>
      <c r="G106" s="407">
        <f t="shared" si="63"/>
        <v>69.094164643393711</v>
      </c>
      <c r="H106" s="407">
        <f t="shared" si="63"/>
        <v>99.495396891062569</v>
      </c>
      <c r="I106" s="407">
        <f t="shared" si="63"/>
        <v>125.8703144128043</v>
      </c>
      <c r="J106" s="407">
        <f t="shared" si="63"/>
        <v>151.68786912391818</v>
      </c>
      <c r="K106" s="407">
        <f t="shared" si="63"/>
        <v>170.11733687165878</v>
      </c>
      <c r="L106" s="407">
        <f t="shared" si="63"/>
        <v>184.76961436301576</v>
      </c>
      <c r="M106" s="407">
        <f t="shared" si="63"/>
        <v>187.73017511433738</v>
      </c>
      <c r="N106" s="407">
        <f t="shared" si="63"/>
        <v>191.24531005859203</v>
      </c>
      <c r="O106" s="407">
        <f t="shared" si="63"/>
        <v>195.91877141902782</v>
      </c>
      <c r="P106" s="407">
        <f t="shared" si="63"/>
        <v>203.86759402067005</v>
      </c>
      <c r="Q106" s="407"/>
      <c r="R106" s="407"/>
      <c r="S106" s="407"/>
      <c r="T106" s="407"/>
      <c r="U106" s="407"/>
      <c r="V106" s="407"/>
      <c r="W106" s="407"/>
      <c r="X106" s="407"/>
      <c r="Y106" s="407"/>
      <c r="Z106" s="407"/>
      <c r="AA106" s="407"/>
      <c r="AB106" s="407"/>
      <c r="AC106" s="407"/>
      <c r="AD106" s="407"/>
      <c r="AE106" s="407"/>
      <c r="AF106" s="407"/>
      <c r="AG106" s="407"/>
      <c r="AH106" s="407"/>
      <c r="AI106" s="407"/>
      <c r="AJ106" s="407"/>
      <c r="AK106" s="407"/>
      <c r="AL106" s="407"/>
      <c r="AM106" s="407"/>
      <c r="AN106" s="407"/>
      <c r="AO106" s="407"/>
      <c r="AP106" s="407"/>
      <c r="AQ106" s="407"/>
      <c r="AR106" s="407"/>
      <c r="AS106" s="407"/>
      <c r="AT106" s="407"/>
      <c r="AU106" s="407"/>
      <c r="AV106" s="407"/>
      <c r="AW106" s="407"/>
      <c r="AX106" s="407"/>
      <c r="AY106" s="407"/>
      <c r="AZ106" s="407"/>
      <c r="BA106" s="407"/>
      <c r="BB106" s="407"/>
      <c r="BC106" s="407"/>
      <c r="BD106" s="407"/>
      <c r="BE106" s="407"/>
      <c r="BF106" s="407"/>
      <c r="BG106" s="407"/>
      <c r="BH106" s="407"/>
      <c r="BI106" s="407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08" customFormat="1" ht="15" x14ac:dyDescent="0.2">
      <c r="A107" s="382" t="s">
        <v>968</v>
      </c>
      <c r="B107" s="476">
        <f>+B281/B167</f>
        <v>63.049585110093837</v>
      </c>
      <c r="C107" s="476">
        <f t="shared" ref="C107:P107" si="64">+C281/C296</f>
        <v>9.719799527859502</v>
      </c>
      <c r="D107" s="476">
        <f t="shared" si="64"/>
        <v>3.7202381580571373</v>
      </c>
      <c r="E107" s="476">
        <f t="shared" si="64"/>
        <v>6.983973582414988</v>
      </c>
      <c r="F107" s="476">
        <f t="shared" si="64"/>
        <v>19.466871968843783</v>
      </c>
      <c r="G107" s="476">
        <f t="shared" si="64"/>
        <v>66.693086681369778</v>
      </c>
      <c r="H107" s="476">
        <f t="shared" si="64"/>
        <v>96.064195027226845</v>
      </c>
      <c r="I107" s="476">
        <f t="shared" si="64"/>
        <v>125.8703144128043</v>
      </c>
      <c r="J107" s="476">
        <f t="shared" si="64"/>
        <v>151.68786912391818</v>
      </c>
      <c r="K107" s="476">
        <f t="shared" si="64"/>
        <v>170.11733687165878</v>
      </c>
      <c r="L107" s="476">
        <f t="shared" si="64"/>
        <v>184.76961436301576</v>
      </c>
      <c r="M107" s="476">
        <f t="shared" si="64"/>
        <v>187.73017511433738</v>
      </c>
      <c r="N107" s="476">
        <f t="shared" si="64"/>
        <v>191.24531005859203</v>
      </c>
      <c r="O107" s="476">
        <f t="shared" si="64"/>
        <v>195.91877141902782</v>
      </c>
      <c r="P107" s="476">
        <f t="shared" si="64"/>
        <v>203.86759402067005</v>
      </c>
      <c r="Q107" s="476"/>
      <c r="R107" s="476"/>
      <c r="S107" s="476"/>
      <c r="T107" s="476"/>
      <c r="U107" s="476"/>
      <c r="V107" s="476"/>
      <c r="W107" s="476"/>
      <c r="X107" s="476"/>
      <c r="Y107" s="476"/>
      <c r="Z107" s="476"/>
      <c r="AA107" s="476"/>
      <c r="AB107" s="476"/>
      <c r="AC107" s="476"/>
      <c r="AD107" s="476"/>
      <c r="AE107" s="407"/>
      <c r="AF107" s="407"/>
      <c r="AG107" s="407"/>
      <c r="AH107" s="407"/>
      <c r="AI107" s="407"/>
      <c r="AJ107" s="407"/>
      <c r="AK107" s="407"/>
      <c r="AL107" s="407"/>
      <c r="AM107" s="407"/>
      <c r="AN107" s="407"/>
      <c r="AO107" s="407"/>
      <c r="AP107" s="407"/>
      <c r="AQ107" s="407"/>
      <c r="AR107" s="407"/>
      <c r="AS107" s="407"/>
      <c r="AT107" s="407"/>
      <c r="AU107" s="407"/>
      <c r="AV107" s="407"/>
      <c r="AW107" s="407"/>
      <c r="AX107" s="407"/>
      <c r="AY107" s="407"/>
      <c r="AZ107" s="407"/>
      <c r="BA107" s="407"/>
      <c r="BB107" s="407"/>
      <c r="BC107" s="407"/>
      <c r="BD107" s="407"/>
      <c r="BE107" s="407"/>
      <c r="BF107" s="407"/>
      <c r="BG107" s="407"/>
      <c r="BH107" s="407"/>
      <c r="BI107" s="407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79" customFormat="1" ht="18" customHeight="1" x14ac:dyDescent="0.2">
      <c r="A108" s="382" t="s">
        <v>969</v>
      </c>
      <c r="B108" s="383">
        <f>SUM(US:OthAsia!B110)</f>
        <v>0</v>
      </c>
      <c r="C108" s="383">
        <f>SUM(US:OthAsia!C110)</f>
        <v>0</v>
      </c>
      <c r="D108" s="383">
        <f>SUM(US:OthAsia!D110)</f>
        <v>0</v>
      </c>
      <c r="E108" s="383">
        <f>SUM(US:OthAsia!E110)</f>
        <v>0</v>
      </c>
      <c r="F108" s="383">
        <f>SUM(US:OthAsia!F110)</f>
        <v>0</v>
      </c>
      <c r="G108" s="383">
        <f>SUM(US:OthAsia!G110)</f>
        <v>0</v>
      </c>
      <c r="H108" s="383">
        <f>SUM(US:OthAsia!H110)</f>
        <v>0</v>
      </c>
      <c r="I108" s="383">
        <f>SUM(US:OthAsia!I110)</f>
        <v>0</v>
      </c>
      <c r="J108" s="383">
        <f>SUM(US:OthAsia!J110)</f>
        <v>0</v>
      </c>
      <c r="K108" s="383">
        <f>SUM(US:OthAsia!K110)</f>
        <v>0</v>
      </c>
      <c r="L108" s="383">
        <f>SUM(US:OthAsia!L110)</f>
        <v>0</v>
      </c>
      <c r="M108" s="383">
        <f>SUM(US:OthAsia!M110)</f>
        <v>0</v>
      </c>
      <c r="N108" s="383">
        <f>SUM(US:OthAsia!N110)</f>
        <v>0</v>
      </c>
      <c r="O108" s="383">
        <f>SUM(US:OthAsia!O110)</f>
        <v>0</v>
      </c>
      <c r="P108" s="383">
        <f>SUM(US:OthAsia!P110)</f>
        <v>0</v>
      </c>
      <c r="Q108" s="383">
        <f>SUM(US:OthAsia!Q110)</f>
        <v>0</v>
      </c>
      <c r="R108" s="383">
        <f>SUM(US:OthAsia!R110)</f>
        <v>0</v>
      </c>
      <c r="S108" s="383">
        <f>SUM(US:OthAsia!S110)</f>
        <v>0</v>
      </c>
      <c r="T108" s="383">
        <f>SUM(US:OthAsia!T110)</f>
        <v>0</v>
      </c>
      <c r="U108" s="383">
        <f>SUM(US:OthAsia!U110)</f>
        <v>0</v>
      </c>
      <c r="V108" s="383">
        <f>SUM(US:OthAsia!V110)</f>
        <v>0</v>
      </c>
      <c r="W108" s="383">
        <f>SUM(US:OthAsia!W110)</f>
        <v>0</v>
      </c>
      <c r="X108" s="383">
        <f>SUM(US:OthAsia!X110)</f>
        <v>0</v>
      </c>
      <c r="Y108" s="383">
        <f>SUM(US:OthAsia!Y110)</f>
        <v>0</v>
      </c>
      <c r="Z108" s="383">
        <f>SUM(US:OthAsia!Z110)</f>
        <v>0</v>
      </c>
      <c r="AA108" s="383">
        <f>SUM(US:OthAsia!AA110)</f>
        <v>0</v>
      </c>
      <c r="AB108" s="383">
        <f>SUM(US:OthAsia!AB110)</f>
        <v>0</v>
      </c>
      <c r="AC108" s="383">
        <f>SUM(US:OthAsia!AC110)</f>
        <v>0</v>
      </c>
      <c r="AD108" s="383">
        <f>SUM(US:OthAsia!AD110)</f>
        <v>0</v>
      </c>
      <c r="AE108" s="383">
        <f>SUM(US:OthAsia!AE110)</f>
        <v>0</v>
      </c>
      <c r="AF108" s="383">
        <f>SUM(US:OthAsia!AF110)</f>
        <v>0</v>
      </c>
      <c r="AG108" s="383">
        <f>SUM(US:OthAsia!AG110)</f>
        <v>0</v>
      </c>
      <c r="AH108" s="383">
        <f>SUM(US:OthAsia!AH110)</f>
        <v>0</v>
      </c>
      <c r="AI108" s="383">
        <f>SUM(US:OthAsia!AI110)</f>
        <v>0</v>
      </c>
      <c r="AJ108" s="383">
        <f>SUM(US:OthAsia!AJ110)</f>
        <v>0</v>
      </c>
      <c r="AK108" s="383">
        <f>SUM(US:OthAsia!AK110)</f>
        <v>0</v>
      </c>
      <c r="AL108" s="383">
        <f>SUM(US:OthAsia!AL110)</f>
        <v>0</v>
      </c>
      <c r="AM108" s="383">
        <f>SUM(US:OthAsia!AM110)</f>
        <v>0</v>
      </c>
      <c r="AN108" s="383">
        <f>SUM(US:OthAsia!AN110)</f>
        <v>0</v>
      </c>
      <c r="AO108" s="383">
        <f>SUM(US:OthAsia!AO110)</f>
        <v>0</v>
      </c>
      <c r="AP108" s="383">
        <f>SUM(US:OthAsia!AP110)</f>
        <v>0</v>
      </c>
      <c r="AQ108" s="383">
        <f>SUM(US:OthAsia!AQ110)</f>
        <v>0</v>
      </c>
      <c r="AR108" s="383">
        <f>SUM(US:OthAsia!AR110)</f>
        <v>0</v>
      </c>
      <c r="AS108" s="383">
        <f>SUM(US:OthAsia!AS110)</f>
        <v>0</v>
      </c>
      <c r="AT108" s="383">
        <f>SUM(US:OthAsia!AT110)</f>
        <v>0</v>
      </c>
      <c r="AU108" s="383">
        <f>SUM(US:OthAsia!AU110)</f>
        <v>0</v>
      </c>
      <c r="AV108" s="383">
        <f>SUM(US:OthAsia!AV110)</f>
        <v>0</v>
      </c>
      <c r="AW108" s="383">
        <f>SUM(US:OthAsia!AW110)</f>
        <v>0</v>
      </c>
      <c r="AX108" s="383">
        <f>SUM(US:OthAsia!AX110)</f>
        <v>0</v>
      </c>
      <c r="AY108" s="383">
        <f>SUM(US:OthAsia!AY110)</f>
        <v>0</v>
      </c>
      <c r="AZ108" s="383">
        <f>SUM(US:OthAsia!AZ110)</f>
        <v>0</v>
      </c>
      <c r="BA108" s="383">
        <f>SUM(US:OthAsia!BA110)</f>
        <v>0</v>
      </c>
      <c r="BB108" s="383">
        <f>SUM(US:OthAsia!BB110)</f>
        <v>0</v>
      </c>
      <c r="BC108" s="383">
        <f>SUM(US:OthAsia!BC110)</f>
        <v>0</v>
      </c>
      <c r="BD108" s="383">
        <f>SUM(US:OthAsia!BD110)</f>
        <v>0</v>
      </c>
      <c r="BE108" s="383">
        <f>SUM(US:OthAsia!BE110)</f>
        <v>0</v>
      </c>
      <c r="BF108" s="383">
        <f>SUM(US:OthAsia!BF110)</f>
        <v>0</v>
      </c>
      <c r="BG108" s="383">
        <f>SUM(US:OthAsia!BG110)</f>
        <v>0</v>
      </c>
      <c r="BH108" s="383">
        <f>SUM(US:OthAsia!BH110)</f>
        <v>0</v>
      </c>
      <c r="BI108" s="383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392" customFormat="1" ht="15" x14ac:dyDescent="0.2">
      <c r="A109" s="390"/>
      <c r="B109" s="391"/>
      <c r="C109" s="391"/>
      <c r="D109" s="391"/>
      <c r="E109" s="391"/>
      <c r="F109" s="391"/>
      <c r="G109" s="391"/>
      <c r="H109" s="391"/>
      <c r="I109" s="391"/>
      <c r="J109" s="391"/>
      <c r="K109" s="391"/>
      <c r="L109" s="391"/>
      <c r="M109" s="436"/>
      <c r="N109" s="391"/>
      <c r="O109" s="391"/>
      <c r="P109" s="391"/>
      <c r="Q109" s="391"/>
      <c r="R109" s="391"/>
      <c r="S109" s="391"/>
      <c r="T109" s="391"/>
      <c r="U109" s="391"/>
      <c r="V109" s="391"/>
      <c r="W109" s="391"/>
      <c r="X109" s="391"/>
      <c r="Y109" s="391"/>
      <c r="Z109" s="391"/>
      <c r="AA109" s="391"/>
      <c r="AB109" s="391"/>
      <c r="AC109" s="391"/>
      <c r="AD109" s="391"/>
      <c r="AE109" s="391"/>
      <c r="AF109" s="391"/>
      <c r="AG109" s="391"/>
      <c r="AH109" s="391"/>
      <c r="AI109" s="391"/>
      <c r="AJ109" s="391"/>
      <c r="AK109" s="391"/>
      <c r="AL109" s="391"/>
      <c r="AM109" s="391"/>
      <c r="AN109" s="391"/>
      <c r="AO109" s="391"/>
      <c r="AP109" s="391"/>
      <c r="AQ109" s="391"/>
      <c r="AR109" s="391"/>
      <c r="AS109" s="391"/>
      <c r="AT109" s="391"/>
      <c r="AU109" s="391"/>
      <c r="AV109" s="391"/>
      <c r="AW109" s="391"/>
      <c r="AX109" s="391"/>
      <c r="AY109" s="391"/>
      <c r="AZ109" s="391"/>
      <c r="BA109" s="391"/>
      <c r="BB109" s="391"/>
      <c r="BC109" s="391"/>
      <c r="BD109" s="391"/>
      <c r="BE109" s="391"/>
      <c r="BF109" s="391"/>
      <c r="BG109" s="391"/>
      <c r="BH109" s="391"/>
      <c r="BI109" s="391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395" customFormat="1" ht="19" x14ac:dyDescent="0.25">
      <c r="A110" s="393" t="s">
        <v>959</v>
      </c>
      <c r="B110" s="394"/>
      <c r="C110" s="394"/>
      <c r="D110" s="394"/>
      <c r="E110" s="394"/>
      <c r="F110" s="394"/>
      <c r="G110" s="394"/>
      <c r="H110" s="394"/>
      <c r="I110" s="394"/>
      <c r="J110" s="394"/>
      <c r="K110" s="394"/>
      <c r="L110" s="394"/>
      <c r="M110" s="437"/>
      <c r="N110" s="394"/>
      <c r="O110" s="394"/>
      <c r="P110" s="394"/>
      <c r="Q110" s="394"/>
      <c r="R110" s="394"/>
      <c r="S110" s="394"/>
      <c r="T110" s="394"/>
      <c r="U110" s="394"/>
      <c r="V110" s="394"/>
      <c r="W110" s="394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394"/>
      <c r="AM110" s="394"/>
      <c r="AN110" s="394"/>
      <c r="AO110" s="394"/>
      <c r="AP110" s="394"/>
      <c r="AQ110" s="394"/>
      <c r="AR110" s="394"/>
      <c r="AS110" s="394"/>
      <c r="AT110" s="394"/>
      <c r="AU110" s="394"/>
      <c r="AV110" s="394"/>
      <c r="AW110" s="394"/>
      <c r="AX110" s="394"/>
      <c r="AY110" s="394"/>
      <c r="AZ110" s="394"/>
      <c r="BA110" s="394"/>
      <c r="BB110" s="394"/>
      <c r="BC110" s="394"/>
      <c r="BD110" s="394"/>
      <c r="BE110" s="394"/>
      <c r="BF110" s="394"/>
      <c r="BG110" s="394"/>
      <c r="BH110" s="394"/>
      <c r="BI110" s="394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395" customFormat="1" ht="15" x14ac:dyDescent="0.2">
      <c r="A111" s="396" t="s">
        <v>950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437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395" customFormat="1" ht="15" x14ac:dyDescent="0.2">
      <c r="A112" s="397" t="s">
        <v>978</v>
      </c>
      <c r="B112" s="394">
        <f t="shared" ref="B112:V112" si="65">+B183</f>
        <v>0</v>
      </c>
      <c r="C112" s="394">
        <f t="shared" si="65"/>
        <v>3.9278667484444445</v>
      </c>
      <c r="D112" s="394">
        <f t="shared" si="65"/>
        <v>4.1827990839975389</v>
      </c>
      <c r="E112" s="394">
        <f t="shared" si="65"/>
        <v>6.446682467204278</v>
      </c>
      <c r="F112" s="394">
        <f t="shared" si="65"/>
        <v>6.3062295093063385</v>
      </c>
      <c r="G112" s="394">
        <f t="shared" si="65"/>
        <v>5.4925752719246423</v>
      </c>
      <c r="H112" s="394">
        <f t="shared" si="65"/>
        <v>4.4620193848119944</v>
      </c>
      <c r="I112" s="394">
        <f t="shared" si="65"/>
        <v>4.4263578967006181</v>
      </c>
      <c r="J112" s="394">
        <f t="shared" si="65"/>
        <v>3.7508584760422421</v>
      </c>
      <c r="K112" s="394">
        <f t="shared" si="65"/>
        <v>3.2507759657845918</v>
      </c>
      <c r="L112" s="394">
        <f t="shared" si="65"/>
        <v>2.8953163953079377</v>
      </c>
      <c r="M112" s="437">
        <f t="shared" si="65"/>
        <v>2.6130230467654134</v>
      </c>
      <c r="N112" s="394">
        <f t="shared" si="65"/>
        <v>2.3582532997057859</v>
      </c>
      <c r="O112" s="394">
        <f t="shared" si="65"/>
        <v>2.1283236029844708</v>
      </c>
      <c r="P112" s="394">
        <f t="shared" si="65"/>
        <v>1.920812051693485</v>
      </c>
      <c r="Q112" s="394">
        <f t="shared" si="65"/>
        <v>1.73353287665337</v>
      </c>
      <c r="R112" s="394">
        <f t="shared" si="65"/>
        <v>1.5645134211796661</v>
      </c>
      <c r="S112" s="394">
        <f t="shared" si="65"/>
        <v>1.4119733626146489</v>
      </c>
      <c r="T112" s="394">
        <f t="shared" si="65"/>
        <v>1.2743059597597204</v>
      </c>
      <c r="U112" s="394">
        <f t="shared" si="65"/>
        <v>1.1500611286831475</v>
      </c>
      <c r="V112" s="394">
        <f t="shared" si="65"/>
        <v>1.0379301686365405</v>
      </c>
      <c r="W112" s="394">
        <f>+V112*0.8</f>
        <v>0.83034413490923242</v>
      </c>
      <c r="X112" s="394">
        <f t="shared" ref="X112:BI112" si="66">+W112*0.8</f>
        <v>0.66427530792738598</v>
      </c>
      <c r="Y112" s="394">
        <f t="shared" si="66"/>
        <v>0.53142024634190876</v>
      </c>
      <c r="Z112" s="394">
        <f t="shared" si="66"/>
        <v>0.42513619707352701</v>
      </c>
      <c r="AA112" s="394">
        <f t="shared" si="66"/>
        <v>0.34010895765882165</v>
      </c>
      <c r="AB112" s="394">
        <f t="shared" si="66"/>
        <v>0.27208716612705736</v>
      </c>
      <c r="AC112" s="394">
        <f t="shared" si="66"/>
        <v>0.2176697329016459</v>
      </c>
      <c r="AD112" s="394">
        <f t="shared" si="66"/>
        <v>0.17413578632131674</v>
      </c>
      <c r="AE112" s="394">
        <f t="shared" si="66"/>
        <v>0.13930862905705341</v>
      </c>
      <c r="AF112" s="394">
        <f t="shared" si="66"/>
        <v>0.11144690324564273</v>
      </c>
      <c r="AG112" s="394">
        <f t="shared" si="66"/>
        <v>8.9157522596514188E-2</v>
      </c>
      <c r="AH112" s="394">
        <f t="shared" si="66"/>
        <v>7.1326018077211353E-2</v>
      </c>
      <c r="AI112" s="394">
        <f t="shared" si="66"/>
        <v>5.7060814461769083E-2</v>
      </c>
      <c r="AJ112" s="394">
        <f t="shared" si="66"/>
        <v>4.564865156941527E-2</v>
      </c>
      <c r="AK112" s="394">
        <f t="shared" si="66"/>
        <v>3.6518921255532216E-2</v>
      </c>
      <c r="AL112" s="394">
        <f t="shared" si="66"/>
        <v>2.9215137004425774E-2</v>
      </c>
      <c r="AM112" s="394">
        <f t="shared" si="66"/>
        <v>2.3372109603540622E-2</v>
      </c>
      <c r="AN112" s="394">
        <f t="shared" si="66"/>
        <v>1.86976876828325E-2</v>
      </c>
      <c r="AO112" s="394">
        <f t="shared" si="66"/>
        <v>1.4958150146266001E-2</v>
      </c>
      <c r="AP112" s="394">
        <f t="shared" si="66"/>
        <v>1.1966520117012802E-2</v>
      </c>
      <c r="AQ112" s="394">
        <f t="shared" si="66"/>
        <v>9.5732160936102418E-3</v>
      </c>
      <c r="AR112" s="394">
        <f t="shared" si="66"/>
        <v>7.6585728748881938E-3</v>
      </c>
      <c r="AS112" s="394">
        <f t="shared" si="66"/>
        <v>6.1268582999105554E-3</v>
      </c>
      <c r="AT112" s="394">
        <f t="shared" si="66"/>
        <v>4.9014866399284445E-3</v>
      </c>
      <c r="AU112" s="394">
        <f t="shared" si="66"/>
        <v>3.9211893119427558E-3</v>
      </c>
      <c r="AV112" s="394">
        <f t="shared" si="66"/>
        <v>3.1369514495542049E-3</v>
      </c>
      <c r="AW112" s="394">
        <f t="shared" si="66"/>
        <v>2.5095611596433641E-3</v>
      </c>
      <c r="AX112" s="394">
        <f t="shared" si="66"/>
        <v>2.0076489277146914E-3</v>
      </c>
      <c r="AY112" s="394">
        <f t="shared" si="66"/>
        <v>1.6061191421717531E-3</v>
      </c>
      <c r="AZ112" s="394">
        <f t="shared" si="66"/>
        <v>1.2848953137374027E-3</v>
      </c>
      <c r="BA112" s="394">
        <f t="shared" si="66"/>
        <v>1.0279162509899222E-3</v>
      </c>
      <c r="BB112" s="394">
        <f t="shared" si="66"/>
        <v>8.2233300079193787E-4</v>
      </c>
      <c r="BC112" s="394">
        <f t="shared" si="66"/>
        <v>6.5786640063355032E-4</v>
      </c>
      <c r="BD112" s="394">
        <f t="shared" si="66"/>
        <v>5.2629312050684024E-4</v>
      </c>
      <c r="BE112" s="394">
        <f t="shared" si="66"/>
        <v>4.2103449640547221E-4</v>
      </c>
      <c r="BF112" s="394">
        <f t="shared" si="66"/>
        <v>3.3682759712437777E-4</v>
      </c>
      <c r="BG112" s="394">
        <f t="shared" si="66"/>
        <v>2.694620776995022E-4</v>
      </c>
      <c r="BH112" s="394">
        <f t="shared" si="66"/>
        <v>2.1556966215960176E-4</v>
      </c>
      <c r="BI112" s="394">
        <f t="shared" si="66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395" customFormat="1" ht="15" x14ac:dyDescent="0.2">
      <c r="A113" s="397" t="s">
        <v>977</v>
      </c>
      <c r="B113" s="394">
        <f t="shared" ref="B113:BI113" si="67">+B184</f>
        <v>0</v>
      </c>
      <c r="C113" s="394">
        <f t="shared" si="67"/>
        <v>2.8943252811879057</v>
      </c>
      <c r="D113" s="394">
        <f t="shared" si="67"/>
        <v>2.4049513608781288</v>
      </c>
      <c r="E113" s="394">
        <f t="shared" si="67"/>
        <v>2.2403468098290542</v>
      </c>
      <c r="F113" s="394">
        <f t="shared" si="67"/>
        <v>1.8410801730862643</v>
      </c>
      <c r="G113" s="394">
        <f t="shared" si="67"/>
        <v>1.4283385390526786</v>
      </c>
      <c r="H113" s="394">
        <f t="shared" si="67"/>
        <v>1.1380898452568917</v>
      </c>
      <c r="I113" s="394">
        <f t="shared" si="67"/>
        <v>1.1148890399810938</v>
      </c>
      <c r="J113" s="394">
        <f t="shared" si="67"/>
        <v>0.92569389360448273</v>
      </c>
      <c r="K113" s="394">
        <f t="shared" si="67"/>
        <v>0.80072790865804511</v>
      </c>
      <c r="L113" s="394">
        <f t="shared" si="67"/>
        <v>0.71928481082489348</v>
      </c>
      <c r="M113" s="437">
        <f t="shared" si="67"/>
        <v>0.64159459614880832</v>
      </c>
      <c r="N113" s="394">
        <f t="shared" si="67"/>
        <v>0.58025319291943667</v>
      </c>
      <c r="O113" s="394">
        <f t="shared" si="67"/>
        <v>0.53353913773100792</v>
      </c>
      <c r="P113" s="394">
        <f t="shared" si="67"/>
        <v>0.50189584484640926</v>
      </c>
      <c r="Q113" s="394">
        <f t="shared" si="67"/>
        <v>0.47291911237108686</v>
      </c>
      <c r="R113" s="394">
        <f t="shared" si="67"/>
        <v>0.45088209555932857</v>
      </c>
      <c r="S113" s="394">
        <f t="shared" si="67"/>
        <v>0.43265183311579808</v>
      </c>
      <c r="T113" s="394">
        <f t="shared" si="67"/>
        <v>0.40762522450355398</v>
      </c>
      <c r="U113" s="394">
        <f t="shared" si="67"/>
        <v>0.37416883221047237</v>
      </c>
      <c r="V113" s="394">
        <f t="shared" si="67"/>
        <v>0.36447359252306555</v>
      </c>
      <c r="W113" s="394">
        <f t="shared" si="67"/>
        <v>0.41746570193848453</v>
      </c>
      <c r="X113" s="394">
        <f t="shared" si="67"/>
        <v>0.46649396820295258</v>
      </c>
      <c r="Y113" s="394">
        <f t="shared" si="67"/>
        <v>0.51476066333404769</v>
      </c>
      <c r="Z113" s="394">
        <f t="shared" si="67"/>
        <v>0.56284629140401243</v>
      </c>
      <c r="AA113" s="394">
        <f t="shared" si="67"/>
        <v>0.60989512823056258</v>
      </c>
      <c r="AB113" s="394">
        <f t="shared" si="67"/>
        <v>0.65544454438174204</v>
      </c>
      <c r="AC113" s="394">
        <f t="shared" si="67"/>
        <v>0.70290555522948128</v>
      </c>
      <c r="AD113" s="394">
        <f t="shared" si="67"/>
        <v>0.74901253337772655</v>
      </c>
      <c r="AE113" s="394">
        <f t="shared" si="67"/>
        <v>0.78835961680883826</v>
      </c>
      <c r="AF113" s="394">
        <f t="shared" si="67"/>
        <v>0.77915408234088235</v>
      </c>
      <c r="AG113" s="394">
        <f t="shared" si="67"/>
        <v>0.84167021720138679</v>
      </c>
      <c r="AH113" s="394">
        <f t="shared" si="67"/>
        <v>0.88193201766077989</v>
      </c>
      <c r="AI113" s="394">
        <f t="shared" si="67"/>
        <v>6.3739486424239908</v>
      </c>
      <c r="AJ113" s="394">
        <f t="shared" si="67"/>
        <v>11.643254482140723</v>
      </c>
      <c r="AK113" s="394">
        <f t="shared" si="67"/>
        <v>14.991813839304495</v>
      </c>
      <c r="AL113" s="394">
        <f t="shared" si="67"/>
        <v>17.152756294891745</v>
      </c>
      <c r="AM113" s="394">
        <f t="shared" si="67"/>
        <v>18.680326656453097</v>
      </c>
      <c r="AN113" s="394">
        <f t="shared" si="67"/>
        <v>19.863412326549941</v>
      </c>
      <c r="AO113" s="394">
        <f t="shared" si="67"/>
        <v>20.854129153103578</v>
      </c>
      <c r="AP113" s="394">
        <f t="shared" si="67"/>
        <v>21.734455306177598</v>
      </c>
      <c r="AQ113" s="394">
        <f t="shared" si="67"/>
        <v>22.549211519470941</v>
      </c>
      <c r="AR113" s="394">
        <f t="shared" si="67"/>
        <v>23.323100264866667</v>
      </c>
      <c r="AS113" s="394">
        <f t="shared" si="67"/>
        <v>24.069805400758383</v>
      </c>
      <c r="AT113" s="394">
        <f t="shared" si="67"/>
        <v>24.796944988846171</v>
      </c>
      <c r="AU113" s="394">
        <f t="shared" si="67"/>
        <v>25.508793049669841</v>
      </c>
      <c r="AV113" s="394">
        <f t="shared" si="67"/>
        <v>26.207781514977505</v>
      </c>
      <c r="AW113" s="394">
        <f t="shared" si="67"/>
        <v>26.895330020598948</v>
      </c>
      <c r="AX113" s="394">
        <f t="shared" si="67"/>
        <v>27.572304114360417</v>
      </c>
      <c r="AY113" s="394">
        <f t="shared" si="67"/>
        <v>28.239267888694236</v>
      </c>
      <c r="AZ113" s="394">
        <f t="shared" si="67"/>
        <v>28.89662294483594</v>
      </c>
      <c r="BA113" s="394">
        <f t="shared" si="67"/>
        <v>29.54468458660353</v>
      </c>
      <c r="BB113" s="394">
        <f t="shared" si="67"/>
        <v>30.183723409773087</v>
      </c>
      <c r="BC113" s="394">
        <f t="shared" si="67"/>
        <v>30.813987853043336</v>
      </c>
      <c r="BD113" s="394">
        <f t="shared" si="67"/>
        <v>31.435716298997441</v>
      </c>
      <c r="BE113" s="394">
        <f t="shared" si="67"/>
        <v>28.86825869013542</v>
      </c>
      <c r="BF113" s="394">
        <f t="shared" si="67"/>
        <v>25.15155121956597</v>
      </c>
      <c r="BG113" s="394">
        <f t="shared" si="67"/>
        <v>19.826288027776016</v>
      </c>
      <c r="BH113" s="394">
        <f t="shared" si="67"/>
        <v>12.252871857427774</v>
      </c>
      <c r="BI113" s="394">
        <f t="shared" si="67"/>
        <v>3.3674150680936137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25" customFormat="1" ht="15" x14ac:dyDescent="0.2">
      <c r="A114" s="423" t="s">
        <v>960</v>
      </c>
      <c r="B114" s="424">
        <f t="shared" ref="B114:BI114" si="68">+B185</f>
        <v>0</v>
      </c>
      <c r="C114" s="424">
        <f t="shared" si="68"/>
        <v>1.0335414672565388</v>
      </c>
      <c r="D114" s="424">
        <f t="shared" si="68"/>
        <v>1.7778477231194101</v>
      </c>
      <c r="E114" s="424">
        <f t="shared" si="68"/>
        <v>4.2063356573752237</v>
      </c>
      <c r="F114" s="424">
        <f t="shared" si="68"/>
        <v>4.4651493362200743</v>
      </c>
      <c r="G114" s="424">
        <f t="shared" si="68"/>
        <v>4.0642367328719633</v>
      </c>
      <c r="H114" s="424">
        <f t="shared" si="68"/>
        <v>3.3239295395551025</v>
      </c>
      <c r="I114" s="424">
        <f t="shared" si="68"/>
        <v>3.3114688567195243</v>
      </c>
      <c r="J114" s="424">
        <f t="shared" si="68"/>
        <v>2.8251645824377594</v>
      </c>
      <c r="K114" s="424">
        <f t="shared" si="68"/>
        <v>2.4500480571265468</v>
      </c>
      <c r="L114" s="424">
        <f t="shared" si="68"/>
        <v>2.1760315844830442</v>
      </c>
      <c r="M114" s="437">
        <f t="shared" si="68"/>
        <v>1.9714284506166051</v>
      </c>
      <c r="N114" s="424">
        <f t="shared" si="68"/>
        <v>1.7780001067863491</v>
      </c>
      <c r="O114" s="424">
        <f t="shared" si="68"/>
        <v>1.5947844652534628</v>
      </c>
      <c r="P114" s="424">
        <f t="shared" si="68"/>
        <v>1.4189162068470758</v>
      </c>
      <c r="Q114" s="424">
        <f t="shared" si="68"/>
        <v>1.260613764282283</v>
      </c>
      <c r="R114" s="424">
        <f t="shared" si="68"/>
        <v>1.1136313256203376</v>
      </c>
      <c r="S114" s="424">
        <f t="shared" si="68"/>
        <v>0.97932152949885087</v>
      </c>
      <c r="T114" s="424">
        <f t="shared" si="68"/>
        <v>0.8666807352561664</v>
      </c>
      <c r="U114" s="424">
        <f t="shared" si="68"/>
        <v>0.7758922964726751</v>
      </c>
      <c r="V114" s="424">
        <f t="shared" si="68"/>
        <v>0.67345657611347498</v>
      </c>
      <c r="W114" s="424">
        <f t="shared" si="68"/>
        <v>0.56856795826622908</v>
      </c>
      <c r="X114" s="424">
        <f t="shared" si="68"/>
        <v>0.47023800899152529</v>
      </c>
      <c r="Y114" s="424">
        <f t="shared" si="68"/>
        <v>0.37513471500070616</v>
      </c>
      <c r="Z114" s="424">
        <f t="shared" si="68"/>
        <v>0.28255431801400366</v>
      </c>
      <c r="AA114" s="424">
        <f t="shared" si="68"/>
        <v>0.19323545071655268</v>
      </c>
      <c r="AB114" s="424">
        <f t="shared" si="68"/>
        <v>0.10752950561801744</v>
      </c>
      <c r="AC114" s="424">
        <f t="shared" si="68"/>
        <v>2.1919792270290173E-2</v>
      </c>
      <c r="AD114" s="424">
        <f t="shared" si="68"/>
        <v>-6.0428453252943659E-2</v>
      </c>
      <c r="AE114" s="424">
        <f t="shared" si="68"/>
        <v>-0.13420474069029464</v>
      </c>
      <c r="AF114" s="424">
        <f t="shared" si="68"/>
        <v>-0.15770695002826596</v>
      </c>
      <c r="AG114" s="424">
        <f t="shared" si="68"/>
        <v>-0.2512954415044012</v>
      </c>
      <c r="AH114" s="424">
        <f t="shared" si="68"/>
        <v>-0.32107598074864363</v>
      </c>
      <c r="AI114" s="424">
        <f t="shared" si="68"/>
        <v>-5.8848390384833991</v>
      </c>
      <c r="AJ114" s="424">
        <f t="shared" si="68"/>
        <v>-11.17860035839716</v>
      </c>
      <c r="AK114" s="424">
        <f t="shared" si="68"/>
        <v>-14.550392421748111</v>
      </c>
      <c r="AL114" s="424">
        <f t="shared" si="68"/>
        <v>-16.733405948213179</v>
      </c>
      <c r="AM114" s="424">
        <f t="shared" si="68"/>
        <v>-18.28194382710846</v>
      </c>
      <c r="AN114" s="424">
        <f t="shared" si="68"/>
        <v>-19.484948638672538</v>
      </c>
      <c r="AO114" s="424">
        <f t="shared" si="68"/>
        <v>-20.494588649620045</v>
      </c>
      <c r="AP114" s="424">
        <f t="shared" si="68"/>
        <v>-21.39289182786824</v>
      </c>
      <c r="AQ114" s="424">
        <f t="shared" si="68"/>
        <v>-22.224726215077052</v>
      </c>
      <c r="AR114" s="424">
        <f t="shared" si="68"/>
        <v>-23.014839225692473</v>
      </c>
      <c r="AS114" s="424">
        <f t="shared" si="68"/>
        <v>-23.776957413542899</v>
      </c>
      <c r="AT114" s="424">
        <f t="shared" si="68"/>
        <v>-24.518739400991461</v>
      </c>
      <c r="AU114" s="424">
        <f t="shared" si="68"/>
        <v>-25.244497741207866</v>
      </c>
      <c r="AV114" s="424">
        <f t="shared" si="68"/>
        <v>-25.956700971938627</v>
      </c>
      <c r="AW114" s="424">
        <f t="shared" si="68"/>
        <v>-26.656803504712016</v>
      </c>
      <c r="AX114" s="424">
        <f t="shared" si="68"/>
        <v>-27.345703924267831</v>
      </c>
      <c r="AY114" s="424">
        <f t="shared" si="68"/>
        <v>-28.023997708106279</v>
      </c>
      <c r="AZ114" s="424">
        <f t="shared" si="68"/>
        <v>-28.692116273277382</v>
      </c>
      <c r="BA114" s="424">
        <f t="shared" si="68"/>
        <v>-29.3504032486229</v>
      </c>
      <c r="BB114" s="424">
        <f t="shared" si="68"/>
        <v>-29.999156138691486</v>
      </c>
      <c r="BC114" s="424">
        <f t="shared" si="68"/>
        <v>-30.638648945515818</v>
      </c>
      <c r="BD114" s="424">
        <f t="shared" si="68"/>
        <v>-31.269144336846299</v>
      </c>
      <c r="BE114" s="424">
        <f t="shared" si="68"/>
        <v>-28.710015326091835</v>
      </c>
      <c r="BF114" s="424">
        <f t="shared" si="68"/>
        <v>-25.001220023724564</v>
      </c>
      <c r="BG114" s="424">
        <f t="shared" si="68"/>
        <v>-19.683473391726679</v>
      </c>
      <c r="BH114" s="424">
        <f t="shared" si="68"/>
        <v>-12.117197953180904</v>
      </c>
      <c r="BI114" s="424">
        <f t="shared" si="68"/>
        <v>-3.2385248590590874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24"/>
    </row>
    <row r="115" spans="1:309 16384:16384" s="395" customFormat="1" ht="15" x14ac:dyDescent="0.2">
      <c r="A115" s="397" t="s">
        <v>961</v>
      </c>
      <c r="B115" s="426">
        <f>10000000000000*SUMPRODUCT(C114:Q114*C114:Q114)</f>
        <v>1123051486699245.4</v>
      </c>
      <c r="C115" s="394"/>
      <c r="D115" s="394"/>
      <c r="E115" s="394"/>
      <c r="F115" s="394"/>
      <c r="G115" s="394"/>
      <c r="H115" s="394"/>
      <c r="I115" s="394"/>
      <c r="J115" s="394"/>
      <c r="K115" s="394"/>
      <c r="L115" s="394"/>
      <c r="M115" s="437"/>
      <c r="N115" s="394"/>
      <c r="O115" s="394"/>
      <c r="P115" s="394"/>
      <c r="Q115" s="394"/>
      <c r="R115" s="394"/>
      <c r="S115" s="394"/>
      <c r="T115" s="394"/>
      <c r="U115" s="394"/>
      <c r="V115" s="394"/>
      <c r="W115" s="394"/>
      <c r="X115" s="394"/>
      <c r="Y115" s="394"/>
      <c r="Z115" s="394"/>
      <c r="AA115" s="394"/>
      <c r="AB115" s="394"/>
      <c r="AC115" s="394"/>
      <c r="AD115" s="394"/>
      <c r="AE115" s="394"/>
      <c r="AF115" s="394"/>
      <c r="AG115" s="394"/>
      <c r="AH115" s="394"/>
      <c r="AI115" s="394"/>
      <c r="AJ115" s="394"/>
      <c r="AK115" s="394"/>
      <c r="AL115" s="394"/>
      <c r="AM115" s="394"/>
      <c r="AN115" s="394"/>
      <c r="AO115" s="394"/>
      <c r="AP115" s="394"/>
      <c r="AQ115" s="394"/>
      <c r="AR115" s="394"/>
      <c r="AS115" s="394"/>
      <c r="AT115" s="394"/>
      <c r="AU115" s="394"/>
      <c r="AV115" s="394"/>
      <c r="AW115" s="394"/>
      <c r="AX115" s="394"/>
      <c r="AY115" s="394"/>
      <c r="AZ115" s="394"/>
      <c r="BA115" s="394"/>
      <c r="BB115" s="394"/>
      <c r="BC115" s="394"/>
      <c r="BD115" s="394"/>
      <c r="BE115" s="394"/>
      <c r="BF115" s="394"/>
      <c r="BG115" s="394"/>
      <c r="BH115" s="394"/>
      <c r="BI115" s="394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08" customFormat="1" ht="15" x14ac:dyDescent="0.2">
      <c r="A116" s="382" t="s">
        <v>962</v>
      </c>
      <c r="B116" s="407"/>
      <c r="C116" s="407"/>
      <c r="D116" s="407"/>
      <c r="E116" s="407"/>
      <c r="F116" s="407"/>
      <c r="G116" s="407"/>
      <c r="H116" s="407"/>
      <c r="I116" s="407"/>
      <c r="J116" s="407"/>
      <c r="K116" s="407"/>
      <c r="L116" s="407"/>
      <c r="M116" s="435"/>
      <c r="N116" s="407"/>
      <c r="O116" s="407"/>
      <c r="P116" s="407"/>
      <c r="Q116" s="407"/>
      <c r="R116" s="407"/>
      <c r="S116" s="407"/>
      <c r="T116" s="407"/>
      <c r="U116" s="407"/>
      <c r="V116" s="407"/>
      <c r="W116" s="407"/>
      <c r="X116" s="407"/>
      <c r="Y116" s="407"/>
      <c r="Z116" s="407"/>
      <c r="AA116" s="407"/>
      <c r="AB116" s="407"/>
      <c r="AC116" s="407"/>
      <c r="AD116" s="407"/>
      <c r="AE116" s="407"/>
      <c r="AF116" s="407"/>
      <c r="AG116" s="407"/>
      <c r="AH116" s="407"/>
      <c r="AI116" s="407"/>
      <c r="AJ116" s="407"/>
      <c r="AK116" s="407"/>
      <c r="AL116" s="407"/>
      <c r="AM116" s="407"/>
      <c r="AN116" s="407"/>
      <c r="AO116" s="407"/>
      <c r="AP116" s="407"/>
      <c r="AQ116" s="407"/>
      <c r="AR116" s="407"/>
      <c r="AS116" s="407"/>
      <c r="AT116" s="407"/>
      <c r="AU116" s="407"/>
      <c r="AV116" s="407"/>
      <c r="AW116" s="407"/>
      <c r="AX116" s="407"/>
      <c r="AY116" s="407"/>
      <c r="AZ116" s="407"/>
      <c r="BA116" s="407"/>
      <c r="BB116" s="407"/>
      <c r="BC116" s="407"/>
      <c r="BD116" s="407"/>
      <c r="BE116" s="407"/>
      <c r="BF116" s="407"/>
      <c r="BG116" s="407"/>
      <c r="BH116" s="407"/>
      <c r="BI116" s="407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35" customFormat="1" ht="15" x14ac:dyDescent="0.2">
      <c r="A117" s="132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434"/>
      <c r="N117" s="232"/>
      <c r="O117" s="232"/>
      <c r="P117" s="232"/>
      <c r="Q117" s="232"/>
      <c r="R117" s="232">
        <f>+R118/Q118</f>
        <v>0.9777227722772277</v>
      </c>
      <c r="S117" s="232"/>
      <c r="T117" s="232"/>
      <c r="U117" s="232"/>
      <c r="V117" s="232"/>
      <c r="W117" s="232"/>
      <c r="X117" s="232"/>
      <c r="Y117" s="232"/>
      <c r="Z117" s="232"/>
      <c r="AA117" s="232"/>
      <c r="AB117" s="232"/>
      <c r="AC117" s="232"/>
      <c r="AD117" s="232"/>
      <c r="AE117" s="232"/>
      <c r="AF117" s="232"/>
      <c r="AG117" s="232"/>
      <c r="AH117" s="232"/>
      <c r="AI117" s="232"/>
      <c r="AJ117" s="232"/>
      <c r="AK117" s="232"/>
      <c r="AL117" s="232"/>
      <c r="AM117" s="232"/>
      <c r="AN117" s="232"/>
      <c r="AO117" s="232"/>
      <c r="AP117" s="232"/>
      <c r="AQ117" s="232"/>
      <c r="AR117" s="232"/>
      <c r="AS117" s="232"/>
      <c r="AT117" s="232"/>
      <c r="AU117" s="232"/>
      <c r="AV117" s="232"/>
      <c r="AW117" s="232"/>
      <c r="AX117" s="232"/>
      <c r="AY117" s="232"/>
      <c r="AZ117" s="232"/>
      <c r="BA117" s="232"/>
      <c r="BB117" s="232"/>
      <c r="BC117" s="232"/>
      <c r="BD117" s="232"/>
      <c r="BE117" s="232"/>
      <c r="BF117" s="232"/>
      <c r="BG117" s="232"/>
      <c r="BH117" s="232"/>
      <c r="BI117" s="232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08" customFormat="1" ht="15" x14ac:dyDescent="0.2">
      <c r="A118" s="382" t="s">
        <v>967</v>
      </c>
      <c r="B118" s="476">
        <v>0</v>
      </c>
      <c r="C118" s="476">
        <v>9.9942147064251596</v>
      </c>
      <c r="D118" s="476">
        <v>48.096041961936649</v>
      </c>
      <c r="E118" s="476">
        <v>110.59398723631982</v>
      </c>
      <c r="F118" s="476">
        <v>233.94935599053753</v>
      </c>
      <c r="G118" s="476">
        <v>339.76805314882228</v>
      </c>
      <c r="H118" s="476">
        <v>395.79173718574327</v>
      </c>
      <c r="I118" s="476">
        <v>374.71175607071785</v>
      </c>
      <c r="J118" s="476">
        <v>403.56245905854087</v>
      </c>
      <c r="K118" s="476">
        <v>419.85509970481468</v>
      </c>
      <c r="L118" s="476">
        <v>425.80446662505955</v>
      </c>
      <c r="M118" s="476">
        <v>425.80724998740214</v>
      </c>
      <c r="N118" s="476">
        <v>422.97942985617249</v>
      </c>
      <c r="O118" s="476">
        <v>418.43242488488926</v>
      </c>
      <c r="P118" s="476">
        <v>411.86970500908546</v>
      </c>
      <c r="Q118" s="407">
        <v>404</v>
      </c>
      <c r="R118" s="407">
        <v>395</v>
      </c>
      <c r="S118" s="407">
        <v>385</v>
      </c>
      <c r="T118" s="407">
        <v>375</v>
      </c>
      <c r="U118" s="407">
        <v>365</v>
      </c>
      <c r="V118" s="407">
        <v>355</v>
      </c>
      <c r="W118" s="407">
        <f>+V118*0.9</f>
        <v>319.5</v>
      </c>
      <c r="X118" s="407">
        <f t="shared" ref="X118:BI118" si="69">+W118*0.9</f>
        <v>287.55</v>
      </c>
      <c r="Y118" s="407">
        <f t="shared" si="69"/>
        <v>258.79500000000002</v>
      </c>
      <c r="Z118" s="407">
        <f t="shared" si="69"/>
        <v>232.91550000000001</v>
      </c>
      <c r="AA118" s="407">
        <f t="shared" si="69"/>
        <v>209.62395000000001</v>
      </c>
      <c r="AB118" s="407">
        <f t="shared" si="69"/>
        <v>188.66155500000002</v>
      </c>
      <c r="AC118" s="407">
        <f t="shared" si="69"/>
        <v>169.79539950000003</v>
      </c>
      <c r="AD118" s="407">
        <f t="shared" si="69"/>
        <v>152.81585955000003</v>
      </c>
      <c r="AE118" s="407">
        <f t="shared" si="69"/>
        <v>137.53427359500003</v>
      </c>
      <c r="AF118" s="407">
        <f t="shared" si="69"/>
        <v>123.78084623550004</v>
      </c>
      <c r="AG118" s="407">
        <f t="shared" si="69"/>
        <v>111.40276161195004</v>
      </c>
      <c r="AH118" s="407">
        <f t="shared" si="69"/>
        <v>100.26248545075504</v>
      </c>
      <c r="AI118" s="407">
        <f t="shared" si="69"/>
        <v>90.236236905679533</v>
      </c>
      <c r="AJ118" s="407">
        <f t="shared" si="69"/>
        <v>81.212613215111588</v>
      </c>
      <c r="AK118" s="407">
        <f t="shared" si="69"/>
        <v>73.091351893600432</v>
      </c>
      <c r="AL118" s="407">
        <f t="shared" si="69"/>
        <v>65.782216704240398</v>
      </c>
      <c r="AM118" s="407">
        <f t="shared" si="69"/>
        <v>59.203995033816362</v>
      </c>
      <c r="AN118" s="407">
        <f t="shared" si="69"/>
        <v>53.283595530434724</v>
      </c>
      <c r="AO118" s="407">
        <f t="shared" si="69"/>
        <v>47.955235977391254</v>
      </c>
      <c r="AP118" s="407">
        <f t="shared" si="69"/>
        <v>43.159712379652127</v>
      </c>
      <c r="AQ118" s="407">
        <f t="shared" si="69"/>
        <v>38.843741141686912</v>
      </c>
      <c r="AR118" s="407">
        <f t="shared" si="69"/>
        <v>34.959367027518219</v>
      </c>
      <c r="AS118" s="407">
        <f t="shared" si="69"/>
        <v>31.463430324766399</v>
      </c>
      <c r="AT118" s="407">
        <f t="shared" si="69"/>
        <v>28.317087292289759</v>
      </c>
      <c r="AU118" s="407">
        <f t="shared" si="69"/>
        <v>25.485378563060785</v>
      </c>
      <c r="AV118" s="407">
        <f t="shared" si="69"/>
        <v>22.936840706754708</v>
      </c>
      <c r="AW118" s="407">
        <f t="shared" si="69"/>
        <v>20.643156636079237</v>
      </c>
      <c r="AX118" s="407">
        <f t="shared" si="69"/>
        <v>18.578840972471312</v>
      </c>
      <c r="AY118" s="407">
        <f t="shared" si="69"/>
        <v>16.720956875224182</v>
      </c>
      <c r="AZ118" s="407">
        <f t="shared" si="69"/>
        <v>15.048861187701764</v>
      </c>
      <c r="BA118" s="407">
        <f t="shared" si="69"/>
        <v>13.543975068931587</v>
      </c>
      <c r="BB118" s="407">
        <f t="shared" si="69"/>
        <v>12.189577562038428</v>
      </c>
      <c r="BC118" s="407">
        <f t="shared" si="69"/>
        <v>10.970619805834586</v>
      </c>
      <c r="BD118" s="407">
        <f t="shared" si="69"/>
        <v>9.8735578252511278</v>
      </c>
      <c r="BE118" s="407">
        <f t="shared" si="69"/>
        <v>8.8862020427260155</v>
      </c>
      <c r="BF118" s="407">
        <f t="shared" si="69"/>
        <v>7.9975818384534145</v>
      </c>
      <c r="BG118" s="407">
        <f t="shared" si="69"/>
        <v>7.1978236546080732</v>
      </c>
      <c r="BH118" s="407">
        <f t="shared" si="69"/>
        <v>6.4780412891472663</v>
      </c>
      <c r="BI118" s="407">
        <f t="shared" si="69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08" customFormat="1" ht="15" x14ac:dyDescent="0.2">
      <c r="A119" s="382" t="s">
        <v>968</v>
      </c>
      <c r="B119" s="407">
        <f>+B236/B167</f>
        <v>0</v>
      </c>
      <c r="C119" s="407">
        <f t="shared" ref="C119:M119" si="70">+C118*C113/C167</f>
        <v>5.6243286226454359</v>
      </c>
      <c r="D119" s="407">
        <f t="shared" si="70"/>
        <v>28.344626134629031</v>
      </c>
      <c r="E119" s="407">
        <f t="shared" si="70"/>
        <v>79.659359699131898</v>
      </c>
      <c r="F119" s="407">
        <f t="shared" si="70"/>
        <v>200.34265164827272</v>
      </c>
      <c r="G119" s="407">
        <f t="shared" si="70"/>
        <v>314.61953719240307</v>
      </c>
      <c r="H119" s="407">
        <f t="shared" si="70"/>
        <v>362.45788192648746</v>
      </c>
      <c r="I119" s="407">
        <f t="shared" si="70"/>
        <v>374.71175607071785</v>
      </c>
      <c r="J119" s="407">
        <f t="shared" si="70"/>
        <v>403.56245905854087</v>
      </c>
      <c r="K119" s="407">
        <f t="shared" si="70"/>
        <v>419.85509970481468</v>
      </c>
      <c r="L119" s="407">
        <f t="shared" si="70"/>
        <v>425.80446662505955</v>
      </c>
      <c r="M119" s="407">
        <f t="shared" si="70"/>
        <v>425.80724998740209</v>
      </c>
      <c r="N119" s="407">
        <f t="shared" ref="N119:BI119" si="71">+N118*N113/N56</f>
        <v>112.54666575979167</v>
      </c>
      <c r="O119" s="407">
        <f t="shared" si="71"/>
        <v>105.22810668148736</v>
      </c>
      <c r="P119" s="407">
        <f t="shared" si="71"/>
        <v>98.52228163539003</v>
      </c>
      <c r="Q119" s="407">
        <f t="shared" si="71"/>
        <v>92.190030138891018</v>
      </c>
      <c r="R119" s="407">
        <f t="shared" si="71"/>
        <v>86.191283752077197</v>
      </c>
      <c r="S119" s="407">
        <f t="shared" si="71"/>
        <v>80.540947128235004</v>
      </c>
      <c r="T119" s="407">
        <f t="shared" si="71"/>
        <v>75.392847113630125</v>
      </c>
      <c r="U119" s="407">
        <f t="shared" si="71"/>
        <v>71.001400294962721</v>
      </c>
      <c r="V119" s="407">
        <f t="shared" si="71"/>
        <v>66.918239512487844</v>
      </c>
      <c r="W119" s="407">
        <f t="shared" si="71"/>
        <v>69.173318005967872</v>
      </c>
      <c r="X119" s="407">
        <f t="shared" si="71"/>
        <v>70.098466222835327</v>
      </c>
      <c r="Y119" s="407">
        <f t="shared" si="71"/>
        <v>70.075839266528334</v>
      </c>
      <c r="Z119" s="407">
        <f t="shared" si="71"/>
        <v>69.26265131831903</v>
      </c>
      <c r="AA119" s="407">
        <f t="shared" si="71"/>
        <v>67.845276585862322</v>
      </c>
      <c r="AB119" s="407" t="e">
        <f t="shared" si="71"/>
        <v>#DIV/0!</v>
      </c>
      <c r="AC119" s="407" t="e">
        <f t="shared" si="71"/>
        <v>#DIV/0!</v>
      </c>
      <c r="AD119" s="407" t="e">
        <f t="shared" si="71"/>
        <v>#DIV/0!</v>
      </c>
      <c r="AE119" s="407" t="e">
        <f t="shared" si="71"/>
        <v>#DIV/0!</v>
      </c>
      <c r="AF119" s="407" t="e">
        <f t="shared" si="71"/>
        <v>#DIV/0!</v>
      </c>
      <c r="AG119" s="407" t="e">
        <f t="shared" si="71"/>
        <v>#DIV/0!</v>
      </c>
      <c r="AH119" s="407" t="e">
        <f t="shared" si="71"/>
        <v>#DIV/0!</v>
      </c>
      <c r="AI119" s="407" t="e">
        <f t="shared" si="71"/>
        <v>#DIV/0!</v>
      </c>
      <c r="AJ119" s="407" t="e">
        <f t="shared" si="71"/>
        <v>#DIV/0!</v>
      </c>
      <c r="AK119" s="407" t="e">
        <f t="shared" si="71"/>
        <v>#DIV/0!</v>
      </c>
      <c r="AL119" s="407" t="e">
        <f t="shared" si="71"/>
        <v>#DIV/0!</v>
      </c>
      <c r="AM119" s="407" t="e">
        <f t="shared" si="71"/>
        <v>#DIV/0!</v>
      </c>
      <c r="AN119" s="407" t="e">
        <f t="shared" si="71"/>
        <v>#DIV/0!</v>
      </c>
      <c r="AO119" s="407" t="e">
        <f t="shared" si="71"/>
        <v>#DIV/0!</v>
      </c>
      <c r="AP119" s="407" t="e">
        <f t="shared" si="71"/>
        <v>#DIV/0!</v>
      </c>
      <c r="AQ119" s="407" t="e">
        <f t="shared" si="71"/>
        <v>#DIV/0!</v>
      </c>
      <c r="AR119" s="407" t="e">
        <f t="shared" si="71"/>
        <v>#DIV/0!</v>
      </c>
      <c r="AS119" s="407" t="e">
        <f t="shared" si="71"/>
        <v>#DIV/0!</v>
      </c>
      <c r="AT119" s="407" t="e">
        <f t="shared" si="71"/>
        <v>#DIV/0!</v>
      </c>
      <c r="AU119" s="407" t="e">
        <f t="shared" si="71"/>
        <v>#DIV/0!</v>
      </c>
      <c r="AV119" s="407" t="e">
        <f t="shared" si="71"/>
        <v>#DIV/0!</v>
      </c>
      <c r="AW119" s="407" t="e">
        <f t="shared" si="71"/>
        <v>#DIV/0!</v>
      </c>
      <c r="AX119" s="407" t="e">
        <f t="shared" si="71"/>
        <v>#DIV/0!</v>
      </c>
      <c r="AY119" s="407" t="e">
        <f t="shared" si="71"/>
        <v>#DIV/0!</v>
      </c>
      <c r="AZ119" s="407" t="e">
        <f t="shared" si="71"/>
        <v>#DIV/0!</v>
      </c>
      <c r="BA119" s="407" t="e">
        <f t="shared" si="71"/>
        <v>#DIV/0!</v>
      </c>
      <c r="BB119" s="407" t="e">
        <f t="shared" si="71"/>
        <v>#DIV/0!</v>
      </c>
      <c r="BC119" s="407" t="e">
        <f t="shared" si="71"/>
        <v>#DIV/0!</v>
      </c>
      <c r="BD119" s="407" t="e">
        <f t="shared" si="71"/>
        <v>#DIV/0!</v>
      </c>
      <c r="BE119" s="407" t="e">
        <f t="shared" si="71"/>
        <v>#DIV/0!</v>
      </c>
      <c r="BF119" s="407" t="e">
        <f t="shared" si="71"/>
        <v>#DIV/0!</v>
      </c>
      <c r="BG119" s="407" t="e">
        <f t="shared" si="71"/>
        <v>#DIV/0!</v>
      </c>
      <c r="BH119" s="407" t="e">
        <f t="shared" si="71"/>
        <v>#DIV/0!</v>
      </c>
      <c r="BI119" s="407" t="e">
        <f t="shared" si="71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35" customFormat="1" ht="15" x14ac:dyDescent="0.2"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434"/>
      <c r="N120" s="232"/>
      <c r="O120" s="232"/>
      <c r="P120" s="232"/>
      <c r="Q120" s="232"/>
      <c r="R120" s="232"/>
      <c r="S120" s="232"/>
      <c r="T120" s="232"/>
      <c r="U120" s="232"/>
      <c r="V120" s="232"/>
      <c r="W120" s="232"/>
      <c r="X120" s="232"/>
      <c r="Y120" s="232"/>
      <c r="Z120" s="232"/>
      <c r="AA120" s="232"/>
      <c r="AB120" s="232"/>
      <c r="AC120" s="232"/>
      <c r="AD120" s="232"/>
      <c r="AE120" s="232"/>
      <c r="AF120" s="232"/>
      <c r="AG120" s="232"/>
      <c r="AH120" s="232"/>
      <c r="AI120" s="232"/>
      <c r="AJ120" s="232"/>
      <c r="AK120" s="232"/>
      <c r="AL120" s="232"/>
      <c r="AM120" s="232"/>
      <c r="AN120" s="232"/>
      <c r="AO120" s="232"/>
      <c r="AP120" s="232"/>
      <c r="AQ120" s="232"/>
      <c r="AR120" s="232"/>
      <c r="AS120" s="232"/>
      <c r="AT120" s="232"/>
      <c r="AU120" s="232"/>
      <c r="AV120" s="232"/>
      <c r="AW120" s="232"/>
      <c r="AX120" s="232"/>
      <c r="AY120" s="232"/>
      <c r="AZ120" s="232"/>
      <c r="BA120" s="232"/>
      <c r="BB120" s="232"/>
      <c r="BC120" s="232"/>
      <c r="BD120" s="232"/>
      <c r="BE120" s="232"/>
      <c r="BF120" s="232"/>
      <c r="BG120" s="232"/>
      <c r="BH120" s="232"/>
      <c r="BI120" s="232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35" customFormat="1" ht="15" x14ac:dyDescent="0.2">
      <c r="A121" s="61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434"/>
      <c r="N121" s="232"/>
      <c r="O121" s="232"/>
      <c r="P121" s="232"/>
      <c r="Q121" s="232"/>
      <c r="R121" s="232"/>
      <c r="S121" s="232"/>
      <c r="T121" s="232"/>
      <c r="U121" s="232"/>
      <c r="V121" s="232"/>
      <c r="W121" s="232"/>
      <c r="X121" s="232"/>
      <c r="Y121" s="232"/>
      <c r="Z121" s="232"/>
      <c r="AA121" s="232"/>
      <c r="AB121" s="232"/>
      <c r="AC121" s="232"/>
      <c r="AD121" s="232"/>
      <c r="AE121" s="232"/>
      <c r="AF121" s="232"/>
      <c r="AG121" s="232"/>
      <c r="AH121" s="232"/>
      <c r="AI121" s="232"/>
      <c r="AJ121" s="232"/>
      <c r="AK121" s="232"/>
      <c r="AL121" s="232"/>
      <c r="AM121" s="232"/>
      <c r="AN121" s="23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  <c r="BB121" s="232"/>
      <c r="BC121" s="232"/>
      <c r="BD121" s="232"/>
      <c r="BE121" s="232"/>
      <c r="BF121" s="232"/>
      <c r="BG121" s="232"/>
      <c r="BH121" s="232"/>
      <c r="BI121" s="232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35" customFormat="1" ht="17" x14ac:dyDescent="0.2">
      <c r="A122" s="388" t="s">
        <v>953</v>
      </c>
      <c r="B122" s="232">
        <f>+US!B98</f>
        <v>1</v>
      </c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434"/>
      <c r="N122" s="232"/>
      <c r="O122" s="232"/>
      <c r="P122" s="232"/>
      <c r="Q122" s="232"/>
      <c r="R122" s="232"/>
      <c r="S122" s="232"/>
      <c r="T122" s="232"/>
      <c r="U122" s="232"/>
      <c r="V122" s="232"/>
      <c r="W122" s="232"/>
      <c r="X122" s="232"/>
      <c r="Y122" s="232"/>
      <c r="Z122" s="232"/>
      <c r="AA122" s="232"/>
      <c r="AB122" s="232"/>
      <c r="AC122" s="232"/>
      <c r="AD122" s="232"/>
      <c r="AE122" s="232"/>
      <c r="AF122" s="232"/>
      <c r="AG122" s="232"/>
      <c r="AH122" s="232"/>
      <c r="AI122" s="232"/>
      <c r="AJ122" s="232"/>
      <c r="AK122" s="232"/>
      <c r="AL122" s="232"/>
      <c r="AM122" s="232"/>
      <c r="AN122" s="232"/>
      <c r="AO122" s="232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  <c r="BB122" s="232"/>
      <c r="BC122" s="232"/>
      <c r="BD122" s="232"/>
      <c r="BE122" s="232"/>
      <c r="BF122" s="232"/>
      <c r="BG122" s="232"/>
      <c r="BH122" s="232"/>
      <c r="BI122" s="232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35" customFormat="1" ht="15" x14ac:dyDescent="0.2">
      <c r="A123" s="59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434"/>
      <c r="N123" s="232"/>
      <c r="O123" s="232"/>
      <c r="P123" s="232"/>
      <c r="Q123" s="232"/>
      <c r="R123" s="232"/>
      <c r="S123" s="232"/>
      <c r="T123" s="232"/>
      <c r="U123" s="232"/>
      <c r="V123" s="232"/>
      <c r="W123" s="232"/>
      <c r="X123" s="232"/>
      <c r="Y123" s="232"/>
      <c r="Z123" s="232"/>
      <c r="AA123" s="232"/>
      <c r="AB123" s="232"/>
      <c r="AC123" s="232"/>
      <c r="AD123" s="232"/>
      <c r="AE123" s="232"/>
      <c r="AF123" s="232"/>
      <c r="AG123" s="232"/>
      <c r="AH123" s="232"/>
      <c r="AI123" s="232"/>
      <c r="AJ123" s="232"/>
      <c r="AK123" s="232"/>
      <c r="AL123" s="232"/>
      <c r="AM123" s="232"/>
      <c r="AN123" s="232"/>
      <c r="AO123" s="232"/>
      <c r="AP123" s="232"/>
      <c r="AQ123" s="232"/>
      <c r="AR123" s="232"/>
      <c r="AS123" s="232"/>
      <c r="AT123" s="232"/>
      <c r="AU123" s="232"/>
      <c r="AV123" s="232"/>
      <c r="AW123" s="232"/>
      <c r="AX123" s="232"/>
      <c r="AY123" s="232"/>
      <c r="AZ123" s="232"/>
      <c r="BA123" s="232"/>
      <c r="BB123" s="232"/>
      <c r="BC123" s="232"/>
      <c r="BD123" s="232"/>
      <c r="BE123" s="232"/>
      <c r="BF123" s="232"/>
      <c r="BG123" s="232"/>
      <c r="BH123" s="232"/>
      <c r="BI123" s="232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18" customFormat="1" ht="16" x14ac:dyDescent="0.2">
      <c r="A124" s="415" t="s">
        <v>955</v>
      </c>
      <c r="B124" s="416">
        <f>SUM(US:OthAsia!B121)</f>
        <v>6.8339766621317741</v>
      </c>
      <c r="C124" s="416">
        <f>SUM(US:OthAsia!C121)</f>
        <v>5.1431042229571124</v>
      </c>
      <c r="D124" s="416">
        <f>SUM(US:OthAsia!D121)</f>
        <v>4.0807961629064184</v>
      </c>
      <c r="E124" s="416">
        <f>SUM(US:OthAsia!E121)</f>
        <v>3.1103549843605425</v>
      </c>
      <c r="F124" s="416">
        <f>SUM(US:OthAsia!F121)</f>
        <v>2.149914245802548</v>
      </c>
      <c r="G124" s="416">
        <f>SUM(US:OthAsia!G121)</f>
        <v>1.5425100709959343</v>
      </c>
      <c r="H124" s="416">
        <f>SUM(US:OthAsia!H121)</f>
        <v>1.2427555845482676</v>
      </c>
      <c r="I124" s="416">
        <f>SUM(US:OthAsia!I121)</f>
        <v>1.1148890399810938</v>
      </c>
      <c r="J124" s="416">
        <f>SUM(US:OthAsia!J121)</f>
        <v>0.92569389360448273</v>
      </c>
      <c r="K124" s="416">
        <f>SUM(US:OthAsia!K121)</f>
        <v>0.80072790865804511</v>
      </c>
      <c r="L124" s="416">
        <f>SUM(US:OthAsia!L121)</f>
        <v>0.71928481082489348</v>
      </c>
      <c r="M124" s="438">
        <f>SUM(US:OthAsia!M121)</f>
        <v>0.64159459614880832</v>
      </c>
      <c r="N124" s="416">
        <f>SUM(US:OthAsia!N121)</f>
        <v>0.58025319291943667</v>
      </c>
      <c r="O124" s="416">
        <f>SUM(US:OthAsia!O121)</f>
        <v>0.53353913773100792</v>
      </c>
      <c r="P124" s="416">
        <f>SUM(US:OthAsia!P121)</f>
        <v>0.50189584484640926</v>
      </c>
      <c r="Q124" s="416">
        <f>SUM(US:OthAsia!Q121)</f>
        <v>0.47291911237108686</v>
      </c>
      <c r="R124" s="416">
        <f>SUM(US:OthAsia!R121)</f>
        <v>0.45088209555932857</v>
      </c>
      <c r="S124" s="416">
        <f>SUM(US:OthAsia!S121)</f>
        <v>0.43265183311579808</v>
      </c>
      <c r="T124" s="416">
        <f>SUM(US:OthAsia!T121)</f>
        <v>0.40762522450355398</v>
      </c>
      <c r="U124" s="416">
        <f>SUM(US:OthAsia!U121)</f>
        <v>0.37416883221047237</v>
      </c>
      <c r="V124" s="416">
        <f>SUM(US:OthAsia!V121)</f>
        <v>0.36447359252306555</v>
      </c>
      <c r="W124" s="416">
        <f>SUM(US:OthAsia!W121)</f>
        <v>0.41746570193848453</v>
      </c>
      <c r="X124" s="416">
        <f>SUM(US:OthAsia!X121)</f>
        <v>0.46649396820295258</v>
      </c>
      <c r="Y124" s="416">
        <f>SUM(US:OthAsia!Y121)</f>
        <v>0.51476066333404769</v>
      </c>
      <c r="Z124" s="416">
        <f>SUM(US:OthAsia!Z121)</f>
        <v>0.56284629140401243</v>
      </c>
      <c r="AA124" s="416">
        <f>SUM(US:OthAsia!AA121)</f>
        <v>0.60989512823056258</v>
      </c>
      <c r="AB124" s="416">
        <f>SUM(US:OthAsia!AB121)</f>
        <v>0.65544454438174204</v>
      </c>
      <c r="AC124" s="416">
        <f>SUM(US:OthAsia!AC121)</f>
        <v>0.70290555522948128</v>
      </c>
      <c r="AD124" s="416">
        <f>SUM(US:OthAsia!AD121)</f>
        <v>0.74901253337772655</v>
      </c>
      <c r="AE124" s="416">
        <f>SUM(US:OthAsia!AE121)</f>
        <v>0.78835961680883826</v>
      </c>
      <c r="AF124" s="416">
        <f>SUM(US:OthAsia!AF121)</f>
        <v>0.77915408234088235</v>
      </c>
      <c r="AG124" s="416">
        <f>SUM(US:OthAsia!AG121)</f>
        <v>0.84167021720138679</v>
      </c>
      <c r="AH124" s="416">
        <f>SUM(US:OthAsia!AH121)</f>
        <v>0.88193201766077989</v>
      </c>
      <c r="AI124" s="416">
        <f>SUM(US:OthAsia!AI121)</f>
        <v>6.3729486424239905</v>
      </c>
      <c r="AJ124" s="416">
        <f>SUM(US:OthAsia!AJ121)</f>
        <v>11.642254482140721</v>
      </c>
      <c r="AK124" s="416">
        <f>SUM(US:OthAsia!AK121)</f>
        <v>14.990813839304494</v>
      </c>
      <c r="AL124" s="416">
        <f>SUM(US:OthAsia!AL121)</f>
        <v>17.151756294891744</v>
      </c>
      <c r="AM124" s="416">
        <f>SUM(US:OthAsia!AM121)</f>
        <v>18.6793266564531</v>
      </c>
      <c r="AN124" s="416">
        <f>SUM(US:OthAsia!AN121)</f>
        <v>19.862412326549943</v>
      </c>
      <c r="AO124" s="416">
        <f>SUM(US:OthAsia!AO121)</f>
        <v>20.853129153103581</v>
      </c>
      <c r="AP124" s="416">
        <f>SUM(US:OthAsia!AP121)</f>
        <v>21.733455306177596</v>
      </c>
      <c r="AQ124" s="416">
        <f>SUM(US:OthAsia!AQ121)</f>
        <v>22.548211519470943</v>
      </c>
      <c r="AR124" s="416">
        <f>SUM(US:OthAsia!AR121)</f>
        <v>23.32210026486667</v>
      </c>
      <c r="AS124" s="416">
        <f>SUM(US:OthAsia!AS121)</f>
        <v>24.068805400758386</v>
      </c>
      <c r="AT124" s="416">
        <f>SUM(US:OthAsia!AT121)</f>
        <v>24.795944988846166</v>
      </c>
      <c r="AU124" s="416">
        <f>SUM(US:OthAsia!AU121)</f>
        <v>25.507793049669843</v>
      </c>
      <c r="AV124" s="416">
        <f>SUM(US:OthAsia!AV121)</f>
        <v>26.206781514977507</v>
      </c>
      <c r="AW124" s="416">
        <f>SUM(US:OthAsia!AW121)</f>
        <v>26.894330020598943</v>
      </c>
      <c r="AX124" s="416">
        <f>SUM(US:OthAsia!AX121)</f>
        <v>27.571304114360416</v>
      </c>
      <c r="AY124" s="416">
        <f>SUM(US:OthAsia!AY121)</f>
        <v>28.238267888694239</v>
      </c>
      <c r="AZ124" s="416">
        <f>SUM(US:OthAsia!AZ121)</f>
        <v>28.895622944835935</v>
      </c>
      <c r="BA124" s="416">
        <f>SUM(US:OthAsia!BA121)</f>
        <v>29.543684586603533</v>
      </c>
      <c r="BB124" s="416">
        <f>SUM(US:OthAsia!BB121)</f>
        <v>30.182723409773089</v>
      </c>
      <c r="BC124" s="416">
        <f>SUM(US:OthAsia!BC121)</f>
        <v>30.812987853043339</v>
      </c>
      <c r="BD124" s="416">
        <f>SUM(US:OthAsia!BD121)</f>
        <v>31.434716298997444</v>
      </c>
      <c r="BE124" s="416">
        <f>SUM(US:OthAsia!BE121)</f>
        <v>28.867258690135415</v>
      </c>
      <c r="BF124" s="416">
        <f>SUM(US:OthAsia!BF121)</f>
        <v>25.150551219565973</v>
      </c>
      <c r="BG124" s="416">
        <f>SUM(US:OthAsia!BG121)</f>
        <v>19.825288027776018</v>
      </c>
      <c r="BH124" s="416">
        <f>SUM(US:OthAsia!BH121)</f>
        <v>12.251871857427773</v>
      </c>
      <c r="BI124" s="416">
        <f>SUM(US:OthAsia!BI121)</f>
        <v>3.3664150680936142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 x14ac:dyDescent="0.15">
      <c r="A126" s="19" t="s">
        <v>295</v>
      </c>
      <c r="C126" s="18"/>
    </row>
    <row r="127" spans="1:309 16384:16384" ht="14.25" customHeight="1" x14ac:dyDescent="0.15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2">+B127*(C81/B81)</f>
        <v>1202.5622262359598</v>
      </c>
      <c r="D127" s="18">
        <f t="shared" si="72"/>
        <v>1148.7302522342975</v>
      </c>
      <c r="E127" s="18">
        <f t="shared" si="72"/>
        <v>1097.5898769327184</v>
      </c>
      <c r="F127" s="18">
        <f t="shared" si="72"/>
        <v>1049.0065203962185</v>
      </c>
      <c r="G127" s="18">
        <f t="shared" si="72"/>
        <v>1002.8523316865435</v>
      </c>
      <c r="H127" s="18">
        <f t="shared" si="72"/>
        <v>959.00585241235228</v>
      </c>
      <c r="I127" s="18">
        <f t="shared" si="72"/>
        <v>917.35169710187051</v>
      </c>
      <c r="J127" s="18">
        <f t="shared" si="72"/>
        <v>877.78024955691285</v>
      </c>
      <c r="K127" s="18">
        <f t="shared" si="72"/>
        <v>840.18737438920311</v>
      </c>
      <c r="L127" s="18">
        <f t="shared" si="72"/>
        <v>804.47414297987893</v>
      </c>
      <c r="M127" s="430">
        <f t="shared" si="72"/>
        <v>770.54657314102099</v>
      </c>
      <c r="N127" s="18">
        <f t="shared" si="72"/>
        <v>738.31538179410575</v>
      </c>
      <c r="O127" s="18">
        <f t="shared" si="72"/>
        <v>707.69575001453643</v>
      </c>
      <c r="P127" s="18">
        <f t="shared" si="72"/>
        <v>678.60709982394553</v>
      </c>
      <c r="Q127" s="18">
        <f t="shared" si="72"/>
        <v>650.97288214288415</v>
      </c>
      <c r="R127" s="18">
        <f t="shared" si="72"/>
        <v>624.72037534587594</v>
      </c>
      <c r="S127" s="18">
        <f t="shared" si="72"/>
        <v>599.78049388871796</v>
      </c>
      <c r="T127" s="18">
        <f t="shared" si="72"/>
        <v>576.08760650441798</v>
      </c>
      <c r="U127" s="18">
        <f t="shared" si="72"/>
        <v>553.57936348933299</v>
      </c>
      <c r="V127" s="18">
        <f t="shared" si="72"/>
        <v>532.19653262500219</v>
      </c>
      <c r="W127" s="18">
        <f t="shared" si="72"/>
        <v>511.88284330388797</v>
      </c>
      <c r="X127" s="18">
        <f t="shared" si="72"/>
        <v>492.58483844882954</v>
      </c>
      <c r="Y127" s="18">
        <f t="shared" si="72"/>
        <v>474.2517338365239</v>
      </c>
      <c r="Z127" s="18">
        <f t="shared" si="72"/>
        <v>456.83528445483358</v>
      </c>
      <c r="AA127" s="18">
        <f t="shared" si="72"/>
        <v>440.28965754222781</v>
      </c>
      <c r="AB127" s="18">
        <f t="shared" ref="AB127:BI127" si="73">+AA127</f>
        <v>440.28965754222781</v>
      </c>
      <c r="AC127" s="18">
        <f t="shared" si="73"/>
        <v>440.28965754222781</v>
      </c>
      <c r="AD127" s="18">
        <f t="shared" si="73"/>
        <v>440.28965754222781</v>
      </c>
      <c r="AE127" s="18">
        <f t="shared" si="73"/>
        <v>440.28965754222781</v>
      </c>
      <c r="AF127" s="18">
        <f t="shared" si="73"/>
        <v>440.28965754222781</v>
      </c>
      <c r="AG127" s="18">
        <f t="shared" si="73"/>
        <v>440.28965754222781</v>
      </c>
      <c r="AH127" s="18">
        <f t="shared" si="73"/>
        <v>440.28965754222781</v>
      </c>
      <c r="AI127" s="18">
        <f t="shared" si="73"/>
        <v>440.28965754222781</v>
      </c>
      <c r="AJ127" s="18">
        <f t="shared" si="73"/>
        <v>440.28965754222781</v>
      </c>
      <c r="AK127" s="18">
        <f t="shared" si="73"/>
        <v>440.28965754222781</v>
      </c>
      <c r="AL127" s="18">
        <f t="shared" si="73"/>
        <v>440.28965754222781</v>
      </c>
      <c r="AM127" s="18">
        <f t="shared" si="73"/>
        <v>440.28965754222781</v>
      </c>
      <c r="AN127" s="18">
        <f t="shared" si="73"/>
        <v>440.28965754222781</v>
      </c>
      <c r="AO127" s="18">
        <f t="shared" si="73"/>
        <v>440.28965754222781</v>
      </c>
      <c r="AP127" s="18">
        <f t="shared" si="73"/>
        <v>440.28965754222781</v>
      </c>
      <c r="AQ127" s="18">
        <f t="shared" si="73"/>
        <v>440.28965754222781</v>
      </c>
      <c r="AR127" s="18">
        <f t="shared" si="73"/>
        <v>440.28965754222781</v>
      </c>
      <c r="AS127" s="18">
        <f t="shared" si="73"/>
        <v>440.28965754222781</v>
      </c>
      <c r="AT127" s="18">
        <f t="shared" si="73"/>
        <v>440.28965754222781</v>
      </c>
      <c r="AU127" s="18">
        <f t="shared" si="73"/>
        <v>440.28965754222781</v>
      </c>
      <c r="AV127" s="18">
        <f t="shared" si="73"/>
        <v>440.28965754222781</v>
      </c>
      <c r="AW127" s="18">
        <f t="shared" si="73"/>
        <v>440.28965754222781</v>
      </c>
      <c r="AX127" s="18">
        <f t="shared" si="73"/>
        <v>440.28965754222781</v>
      </c>
      <c r="AY127" s="18">
        <f t="shared" si="73"/>
        <v>440.28965754222781</v>
      </c>
      <c r="AZ127" s="18">
        <f t="shared" si="73"/>
        <v>440.28965754222781</v>
      </c>
      <c r="BA127" s="18">
        <f t="shared" si="73"/>
        <v>440.28965754222781</v>
      </c>
      <c r="BB127" s="18">
        <f t="shared" si="73"/>
        <v>440.28965754222781</v>
      </c>
      <c r="BC127" s="18">
        <f t="shared" si="73"/>
        <v>440.28965754222781</v>
      </c>
      <c r="BD127" s="18">
        <f t="shared" si="73"/>
        <v>440.28965754222781</v>
      </c>
      <c r="BE127" s="18">
        <f t="shared" si="73"/>
        <v>440.28965754222781</v>
      </c>
      <c r="BF127" s="18">
        <f t="shared" si="73"/>
        <v>440.28965754222781</v>
      </c>
      <c r="BG127" s="18">
        <f t="shared" si="73"/>
        <v>440.28965754222781</v>
      </c>
      <c r="BH127" s="18">
        <f t="shared" si="73"/>
        <v>440.28965754222781</v>
      </c>
      <c r="BI127" s="18">
        <f t="shared" si="73"/>
        <v>440.28965754222781</v>
      </c>
    </row>
    <row r="128" spans="1:309 16384:16384" ht="14.25" customHeight="1" x14ac:dyDescent="0.15">
      <c r="C128" s="18"/>
      <c r="BJ128" s="412"/>
      <c r="BK128" s="412"/>
      <c r="BL128" s="412"/>
      <c r="BM128" s="412"/>
      <c r="BN128" s="412"/>
      <c r="BO128" s="412"/>
      <c r="BP128" s="412"/>
      <c r="BQ128" s="412"/>
      <c r="BR128" s="412"/>
      <c r="BS128" s="412"/>
      <c r="BT128" s="412"/>
      <c r="BU128" s="412"/>
      <c r="BV128" s="412"/>
      <c r="BW128" s="412"/>
      <c r="BX128" s="412"/>
      <c r="BY128" s="412"/>
      <c r="BZ128" s="412"/>
      <c r="CA128" s="412"/>
      <c r="CB128" s="412"/>
      <c r="CC128" s="412"/>
      <c r="CD128" s="412"/>
      <c r="CE128" s="412"/>
      <c r="CF128" s="412"/>
      <c r="CG128" s="412"/>
      <c r="CH128" s="412"/>
      <c r="CI128" s="412"/>
      <c r="CJ128" s="412"/>
      <c r="CK128" s="412"/>
      <c r="CL128" s="412"/>
      <c r="CM128" s="412"/>
      <c r="CN128" s="412"/>
      <c r="CO128" s="412"/>
      <c r="CP128" s="412"/>
      <c r="CQ128" s="412"/>
      <c r="CR128" s="412"/>
      <c r="CS128" s="412"/>
      <c r="CT128" s="412"/>
      <c r="CU128" s="412"/>
      <c r="CV128" s="412"/>
      <c r="CW128" s="412"/>
      <c r="CX128" s="412"/>
      <c r="CY128" s="412"/>
      <c r="CZ128" s="412"/>
      <c r="DA128" s="412"/>
      <c r="DB128" s="412"/>
      <c r="DC128" s="412"/>
      <c r="DD128" s="412"/>
      <c r="DE128" s="412"/>
      <c r="DF128" s="412"/>
      <c r="DG128" s="412"/>
      <c r="DH128" s="412"/>
      <c r="DI128" s="412"/>
      <c r="DJ128" s="412"/>
      <c r="DK128" s="412"/>
      <c r="DL128" s="412"/>
      <c r="DM128" s="412"/>
      <c r="DN128" s="412"/>
      <c r="DO128" s="412"/>
      <c r="DP128" s="412"/>
      <c r="DQ128" s="412"/>
      <c r="DR128" s="412"/>
      <c r="DS128" s="412"/>
      <c r="DT128" s="412"/>
      <c r="DU128" s="412"/>
      <c r="DV128" s="412"/>
      <c r="DW128" s="412"/>
      <c r="DX128" s="412"/>
      <c r="DY128" s="412"/>
      <c r="DZ128" s="412"/>
      <c r="EA128" s="412"/>
      <c r="EB128" s="412"/>
      <c r="EC128" s="412"/>
      <c r="ED128" s="412"/>
      <c r="EE128" s="412"/>
      <c r="EF128" s="412"/>
      <c r="EG128" s="412"/>
      <c r="EH128" s="412"/>
      <c r="EI128" s="412"/>
      <c r="EJ128" s="412"/>
      <c r="EK128" s="412"/>
      <c r="EL128" s="412"/>
      <c r="EM128" s="412"/>
      <c r="EN128" s="412"/>
      <c r="EO128" s="412"/>
      <c r="EP128" s="412"/>
      <c r="EQ128" s="412"/>
      <c r="ER128" s="412"/>
      <c r="ES128" s="412"/>
      <c r="ET128" s="412"/>
      <c r="EU128" s="412"/>
      <c r="EV128" s="412"/>
      <c r="EW128" s="412"/>
      <c r="EX128" s="412"/>
      <c r="EY128" s="412"/>
      <c r="EZ128" s="412"/>
      <c r="FA128" s="412"/>
      <c r="FB128" s="412"/>
      <c r="FC128" s="412"/>
      <c r="FD128" s="412"/>
      <c r="FE128" s="412"/>
      <c r="FF128" s="412"/>
      <c r="FG128" s="412"/>
      <c r="FH128" s="412"/>
      <c r="FI128" s="412"/>
      <c r="FJ128" s="412"/>
      <c r="FK128" s="412"/>
      <c r="FL128" s="412"/>
      <c r="FM128" s="412"/>
      <c r="FN128" s="412"/>
      <c r="FO128" s="412"/>
      <c r="FP128" s="412"/>
      <c r="FQ128" s="412"/>
      <c r="FR128" s="412"/>
      <c r="FS128" s="412"/>
      <c r="FT128" s="412"/>
      <c r="FU128" s="412"/>
      <c r="FV128" s="412"/>
      <c r="FW128" s="412"/>
      <c r="FX128" s="412"/>
      <c r="FY128" s="412"/>
      <c r="FZ128" s="412"/>
      <c r="GA128" s="412"/>
      <c r="GB128" s="412"/>
      <c r="GC128" s="412"/>
      <c r="GD128" s="412"/>
      <c r="GE128" s="412"/>
      <c r="GF128" s="412"/>
      <c r="GG128" s="412"/>
      <c r="GH128" s="412"/>
      <c r="GI128" s="412"/>
      <c r="GJ128" s="412"/>
      <c r="GK128" s="412"/>
      <c r="GL128" s="412"/>
      <c r="GM128" s="412"/>
      <c r="GN128" s="412"/>
      <c r="GO128" s="412"/>
      <c r="GP128" s="412"/>
      <c r="GQ128" s="412"/>
      <c r="GR128" s="412"/>
      <c r="GS128" s="412"/>
      <c r="GT128" s="412"/>
      <c r="GU128" s="412"/>
      <c r="GV128" s="412"/>
      <c r="GW128" s="412"/>
      <c r="GX128" s="412"/>
      <c r="GY128" s="412"/>
      <c r="GZ128" s="412"/>
      <c r="HA128" s="412"/>
      <c r="HB128" s="412"/>
      <c r="HC128" s="412"/>
      <c r="HD128" s="412"/>
      <c r="HE128" s="412"/>
      <c r="HF128" s="412"/>
      <c r="HG128" s="412"/>
      <c r="HH128" s="412"/>
      <c r="HI128" s="412"/>
      <c r="HJ128" s="412"/>
      <c r="HK128" s="412"/>
      <c r="HL128" s="412"/>
      <c r="HM128" s="412"/>
      <c r="HN128" s="412"/>
      <c r="HO128" s="412"/>
      <c r="HP128" s="412"/>
      <c r="HQ128" s="412"/>
      <c r="HR128" s="412"/>
      <c r="HS128" s="412"/>
      <c r="HT128" s="412"/>
      <c r="HU128" s="412"/>
      <c r="HV128" s="412"/>
      <c r="HW128" s="412"/>
      <c r="HX128" s="412"/>
      <c r="HY128" s="412"/>
      <c r="HZ128" s="412"/>
      <c r="IA128" s="412"/>
      <c r="IB128" s="412"/>
      <c r="IC128" s="412"/>
      <c r="ID128" s="412"/>
      <c r="IE128" s="412"/>
      <c r="IF128" s="412"/>
      <c r="IG128" s="412"/>
      <c r="IH128" s="412"/>
      <c r="II128" s="412"/>
      <c r="IJ128" s="412"/>
      <c r="IK128" s="412"/>
      <c r="IL128" s="412"/>
      <c r="IM128" s="412"/>
      <c r="IN128" s="412"/>
      <c r="IO128" s="412"/>
      <c r="IP128" s="412"/>
      <c r="IQ128" s="412"/>
      <c r="IR128" s="412"/>
      <c r="IS128" s="412"/>
      <c r="IT128" s="412"/>
      <c r="IU128" s="412"/>
      <c r="IV128" s="412"/>
      <c r="IW128" s="412"/>
      <c r="IX128" s="412"/>
      <c r="IY128" s="412"/>
      <c r="IZ128" s="412"/>
      <c r="JA128" s="412"/>
      <c r="JB128" s="412"/>
      <c r="JC128" s="412"/>
      <c r="JD128" s="412"/>
      <c r="JE128" s="412"/>
      <c r="JF128" s="412"/>
      <c r="JG128" s="412"/>
      <c r="JH128" s="412"/>
      <c r="JI128" s="412"/>
      <c r="JJ128" s="412"/>
      <c r="JK128" s="412"/>
      <c r="JL128" s="412"/>
      <c r="JM128" s="412"/>
      <c r="JN128" s="412"/>
      <c r="JO128" s="412"/>
      <c r="JP128" s="412"/>
      <c r="JQ128" s="412"/>
      <c r="JR128" s="412"/>
      <c r="JS128" s="412"/>
      <c r="JT128" s="412"/>
      <c r="JU128" s="412"/>
      <c r="JV128" s="412"/>
      <c r="JW128" s="412"/>
      <c r="JX128" s="412"/>
      <c r="JY128" s="412"/>
      <c r="JZ128" s="412"/>
      <c r="KA128" s="412"/>
      <c r="KB128" s="412"/>
      <c r="KC128" s="412"/>
      <c r="KD128" s="412"/>
      <c r="KE128" s="412"/>
      <c r="KF128" s="412"/>
      <c r="KG128" s="412"/>
      <c r="KH128" s="412"/>
      <c r="KI128" s="412"/>
      <c r="KJ128" s="412"/>
      <c r="KK128" s="412"/>
      <c r="KL128" s="412"/>
      <c r="KM128" s="412"/>
      <c r="KN128" s="412"/>
      <c r="KO128" s="412"/>
      <c r="KP128" s="412"/>
      <c r="KQ128" s="412"/>
      <c r="KR128" s="412"/>
      <c r="KS128" s="412"/>
      <c r="KT128" s="412"/>
      <c r="KU128" s="412"/>
      <c r="KV128" s="412"/>
      <c r="KW128" s="412"/>
    </row>
    <row r="129" spans="1:309" ht="14.25" customHeight="1" x14ac:dyDescent="0.15">
      <c r="C129" s="18"/>
    </row>
    <row r="130" spans="1:309" ht="14.25" customHeight="1" x14ac:dyDescent="0.15">
      <c r="E130" s="19">
        <v>0.75</v>
      </c>
    </row>
    <row r="131" spans="1:309" ht="14.25" customHeight="1" x14ac:dyDescent="0.2">
      <c r="A131" s="253" t="s">
        <v>777</v>
      </c>
    </row>
    <row r="132" spans="1:309" ht="14.25" customHeight="1" x14ac:dyDescent="0.2">
      <c r="A132" s="170" t="s">
        <v>743</v>
      </c>
      <c r="B132" s="83">
        <f>+SLR!B59</f>
        <v>9.8517493766526229E-2</v>
      </c>
      <c r="C132" s="83">
        <f>+SLR!C59</f>
        <v>0.10421107996627985</v>
      </c>
      <c r="D132" s="83">
        <f>+SLR!D59</f>
        <v>0.10760073387746941</v>
      </c>
      <c r="E132" s="83">
        <f>+SLR!E59</f>
        <v>0.11102915870839468</v>
      </c>
      <c r="F132" s="83">
        <f>+SLR!F59</f>
        <v>0.11533808594519483</v>
      </c>
      <c r="G132" s="83">
        <f>+SLR!G59</f>
        <v>0.12110822001643053</v>
      </c>
      <c r="H132" s="83">
        <f>+SLR!H59</f>
        <v>0.12541524376201885</v>
      </c>
      <c r="I132" s="83">
        <f>+SLR!I59</f>
        <v>0.13118352017076582</v>
      </c>
      <c r="J132" s="83">
        <f>+SLR!J59</f>
        <v>0.13849824862304994</v>
      </c>
      <c r="K132" s="83">
        <f>+SLR!K59</f>
        <v>0.14298849111405826</v>
      </c>
      <c r="L132" s="83">
        <f>+SLR!L59</f>
        <v>0.14749100659880571</v>
      </c>
      <c r="M132" s="428">
        <f>+SLR!M59</f>
        <v>0.15357044876575959</v>
      </c>
      <c r="N132" s="83">
        <f>+SLR!N59</f>
        <v>0.16070732848252034</v>
      </c>
      <c r="O132" s="83">
        <f>+SLR!O59</f>
        <v>0.16755199897009102</v>
      </c>
      <c r="P132" s="83">
        <f>+SLR!P59</f>
        <v>0.17314844985309027</v>
      </c>
      <c r="Q132" s="83">
        <f>+SLR!Q59</f>
        <v>0.1802954896752379</v>
      </c>
      <c r="R132" s="83">
        <f>+SLR!R59</f>
        <v>0.18690931424055685</v>
      </c>
      <c r="S132" s="83">
        <f>+SLR!S59</f>
        <v>0.19360466484360228</v>
      </c>
      <c r="T132" s="83">
        <f>+SLR!T59</f>
        <v>0.19869424877143191</v>
      </c>
      <c r="U132" s="83">
        <f>+SLR!U59</f>
        <v>0.20498548292150637</v>
      </c>
      <c r="V132" s="83">
        <f>+SLR!V59</f>
        <v>0.21196791337044665</v>
      </c>
      <c r="W132" s="83">
        <f>+SLR!W59</f>
        <v>0.21745804607503344</v>
      </c>
      <c r="X132" s="83">
        <f>+SLR!X59</f>
        <v>0.22329752039270284</v>
      </c>
      <c r="Y132" s="83">
        <f>+SLR!Y59</f>
        <v>0.22935754481971485</v>
      </c>
      <c r="Z132" s="83">
        <f>+SLR!Z59</f>
        <v>0.23599395147776694</v>
      </c>
      <c r="AA132" s="83">
        <f>+SLR!AA59</f>
        <v>0.24439667036444396</v>
      </c>
      <c r="AB132" s="83">
        <f>+SLR!AB59</f>
        <v>0.25392127196844522</v>
      </c>
      <c r="AC132" s="83">
        <f>+SLR!AC59</f>
        <v>0.26213313156804163</v>
      </c>
      <c r="AD132" s="83">
        <f>+SLR!AD59</f>
        <v>0.26930461633653302</v>
      </c>
      <c r="AE132" s="83">
        <f>+SLR!AE59</f>
        <v>0.27786838860027485</v>
      </c>
      <c r="AF132" s="83">
        <f>+SLR!AF59</f>
        <v>0.28658712039147305</v>
      </c>
      <c r="AG132" s="83">
        <f>+SLR!AG59</f>
        <v>0.29316984747335328</v>
      </c>
      <c r="AH132" s="83">
        <f>+SLR!AH59</f>
        <v>0.30007561071186795</v>
      </c>
      <c r="AI132" s="83">
        <f>+SLR!AI59</f>
        <v>0.31018576958099975</v>
      </c>
      <c r="AJ132" s="83">
        <f>+SLR!AJ59</f>
        <v>0.30271769320962227</v>
      </c>
      <c r="AK132" s="83">
        <f>+SLR!AK59</f>
        <v>0.29542941929908645</v>
      </c>
      <c r="AL132" s="83">
        <f>+SLR!AL59</f>
        <v>0.28831661889996579</v>
      </c>
      <c r="AM132" s="83">
        <f>+SLR!AM59</f>
        <v>0.28137506728723127</v>
      </c>
      <c r="AN132" s="83">
        <f>+SLR!AN59</f>
        <v>0.27460064145092999</v>
      </c>
      <c r="AO132" s="83">
        <f>+SLR!AO59</f>
        <v>0.26798931764727862</v>
      </c>
      <c r="AP132" s="83">
        <f>+SLR!AP59</f>
        <v>0.2615371690087171</v>
      </c>
      <c r="AQ132" s="83">
        <f>+SLR!AQ59</f>
        <v>0.25524036321150301</v>
      </c>
      <c r="AR132" s="83">
        <f>+SLR!AR59</f>
        <v>0.24909516019946132</v>
      </c>
      <c r="AS132" s="83">
        <f>+SLR!AS59</f>
        <v>0.24309790996253738</v>
      </c>
      <c r="AT132" s="83">
        <f>+SLR!AT59</f>
        <v>0.23724505036883384</v>
      </c>
      <c r="AU132" s="83">
        <f>+SLR!AU59</f>
        <v>0.23153310504884364</v>
      </c>
      <c r="AV132" s="83">
        <f>+SLR!AV59</f>
        <v>0.22595868133062275</v>
      </c>
      <c r="AW132" s="83">
        <f>+SLR!AW59</f>
        <v>0.22051846822467566</v>
      </c>
      <c r="AX132" s="83">
        <f>+SLR!AX59</f>
        <v>0.21520923445735737</v>
      </c>
      <c r="AY132" s="83">
        <f>+SLR!AY59</f>
        <v>0.21002782655162322</v>
      </c>
      <c r="AZ132" s="83">
        <f>+SLR!AZ59</f>
        <v>0.20497116695398698</v>
      </c>
      <c r="BA132" s="83">
        <f>+SLR!BA59</f>
        <v>0.20003625220657459</v>
      </c>
      <c r="BB132" s="83">
        <f>+SLR!BB59</f>
        <v>0.19522015116318767</v>
      </c>
      <c r="BC132" s="83">
        <f>+SLR!BC59</f>
        <v>0.19052000324831747</v>
      </c>
      <c r="BD132" s="83">
        <f>+SLR!BD59</f>
        <v>0.18593301675807497</v>
      </c>
      <c r="BE132" s="83">
        <f>+SLR!BE59</f>
        <v>0.18145646720202799</v>
      </c>
      <c r="BF132" s="83">
        <f>+SLR!BF59</f>
        <v>0.17708769568496061</v>
      </c>
      <c r="BG132" s="83">
        <f>+SLR!BG59</f>
        <v>0.1728241073275934</v>
      </c>
      <c r="BH132" s="83">
        <f>+SLR!BH59</f>
        <v>0.16866316972532674</v>
      </c>
      <c r="BI132" s="83">
        <f>+SLR!BI59</f>
        <v>0.1646024114440916</v>
      </c>
      <c r="BJ132" s="83">
        <f>+SLR!BJ59</f>
        <v>0.16063942055241442</v>
      </c>
      <c r="BK132" s="83">
        <f>+SLR!BK59</f>
        <v>0.15677184318882431</v>
      </c>
      <c r="BL132" s="83">
        <f>+SLR!BL59</f>
        <v>0.15299738216375133</v>
      </c>
      <c r="BM132" s="83">
        <f>+SLR!BM59</f>
        <v>0.1493137955950859</v>
      </c>
      <c r="BN132" s="83">
        <f>+SLR!BN59</f>
        <v>0.14571889557658857</v>
      </c>
      <c r="BO132" s="83">
        <f>+SLR!BO59</f>
        <v>0.1422105468783593</v>
      </c>
      <c r="BP132" s="83">
        <f>+SLR!BP59</f>
        <v>0.13878666567859455</v>
      </c>
      <c r="BQ132" s="83">
        <f>+SLR!BQ59</f>
        <v>0.13544521832587864</v>
      </c>
      <c r="BR132" s="83">
        <f>+SLR!BR59</f>
        <v>0.13218422013127443</v>
      </c>
      <c r="BS132" s="83">
        <f>+SLR!BS59</f>
        <v>0.12900173418949576</v>
      </c>
      <c r="BT132" s="83">
        <f>+SLR!BT59</f>
        <v>0.12589587022846155</v>
      </c>
      <c r="BU132" s="83">
        <f>+SLR!BU59</f>
        <v>0.12286478348654813</v>
      </c>
      <c r="BV132" s="83">
        <f>+SLR!BV59</f>
        <v>0.1199066736168731</v>
      </c>
      <c r="BW132" s="83">
        <f>+SLR!BW59</f>
        <v>0.11701978361795971</v>
      </c>
      <c r="BX132" s="83">
        <f>+SLR!BX59</f>
        <v>0.11420239879014676</v>
      </c>
      <c r="BY132" s="83">
        <f>+SLR!BY59</f>
        <v>0.11145284571712415</v>
      </c>
      <c r="BZ132" s="83">
        <f>+SLR!BZ59</f>
        <v>0.10876949127198902</v>
      </c>
      <c r="CA132" s="83">
        <f>+SLR!CA59</f>
        <v>0.10615074164723239</v>
      </c>
      <c r="CB132" s="83">
        <f>+SLR!CB59</f>
        <v>0.10359504140807979</v>
      </c>
      <c r="CC132" s="83">
        <f>+SLR!CC59</f>
        <v>0.10110087256862398</v>
      </c>
      <c r="CD132" s="83">
        <f>+SLR!CD59</f>
        <v>9.8666753690200629E-2</v>
      </c>
      <c r="CE132" s="83">
        <f>+SLR!CE59</f>
        <v>9.6291239001471837E-2</v>
      </c>
      <c r="CF132" s="83">
        <f>+SLR!CF59</f>
        <v>9.39729175396945E-2</v>
      </c>
      <c r="CG132" s="83">
        <f>+SLR!CG59</f>
        <v>9.171041231266365E-2</v>
      </c>
      <c r="CH132" s="83">
        <f>+SLR!CH59</f>
        <v>8.9502379480833047E-2</v>
      </c>
      <c r="CI132" s="83">
        <f>+SLR!CI59</f>
        <v>8.7347507559127027E-2</v>
      </c>
      <c r="CJ132" s="83">
        <f>+SLR!CJ59</f>
        <v>8.5244516637969725E-2</v>
      </c>
      <c r="CK132" s="83">
        <f>+SLR!CK59</f>
        <v>8.3192157623068891E-2</v>
      </c>
      <c r="CL132" s="83">
        <f>+SLR!CL59</f>
        <v>8.1189211493502778E-2</v>
      </c>
      <c r="CM132" s="83">
        <f>+SLR!CM59</f>
        <v>7.923448857766939E-2</v>
      </c>
      <c r="CN132" s="83">
        <f>+SLR!CN59</f>
        <v>7.7326827846668153E-2</v>
      </c>
      <c r="CO132" s="83">
        <f>+SLR!CO59</f>
        <v>7.5465096224694189E-2</v>
      </c>
      <c r="CP132" s="83">
        <f>+SLR!CP59</f>
        <v>7.364818791603564E-2</v>
      </c>
      <c r="CQ132" s="83">
        <f>+SLR!CQ59</f>
        <v>7.1875023748274272E-2</v>
      </c>
      <c r="CR132" s="83">
        <f>+SLR!CR59</f>
        <v>7.0144550531299324E-2</v>
      </c>
      <c r="CS132" s="83">
        <f>+SLR!CS59</f>
        <v>6.8455740431753814E-2</v>
      </c>
      <c r="CT132" s="83">
        <f>+SLR!CT59</f>
        <v>6.6807590362541719E-2</v>
      </c>
      <c r="CU132" s="83">
        <f>+SLR!CU59</f>
        <v>6.5199121387033543E-2</v>
      </c>
      <c r="CV132" s="83">
        <f>+SLR!CV59</f>
        <v>6.3629378137616266E-2</v>
      </c>
      <c r="CW132" s="83">
        <f>+SLR!CW59</f>
        <v>6.2097428248242353E-2</v>
      </c>
      <c r="CX132" s="83">
        <f>+SLR!CX59</f>
        <v>6.0602361800640839E-2</v>
      </c>
      <c r="CY132" s="83">
        <f>+SLR!CY59</f>
        <v>5.9143290783861484E-2</v>
      </c>
      <c r="CZ132" s="83">
        <f>+SLR!CZ59</f>
        <v>5.7719348566831037E-2</v>
      </c>
      <c r="DA132" s="83">
        <f>+SLR!DA59</f>
        <v>5.6329689383608286E-2</v>
      </c>
      <c r="DB132" s="83">
        <f>+SLR!DB59</f>
        <v>5.497348783103221E-2</v>
      </c>
      <c r="DC132" s="83">
        <f>+SLR!DC59</f>
        <v>5.3649938378464782E-2</v>
      </c>
      <c r="DD132" s="83">
        <f>+SLR!DD59</f>
        <v>5.2358254889337326E-2</v>
      </c>
      <c r="DE132" s="83">
        <f>+SLR!DE59</f>
        <v>5.1097670154216158E-2</v>
      </c>
      <c r="DF132" s="83">
        <f>+SLR!DF59</f>
        <v>4.9867435435110213E-2</v>
      </c>
      <c r="DG132" s="83">
        <f>+SLR!DG59</f>
        <v>4.8666820020749985E-2</v>
      </c>
      <c r="DH132" s="83">
        <f>+SLR!DH59</f>
        <v>4.7495110792573625E-2</v>
      </c>
      <c r="DI132" s="83">
        <f>+SLR!DI59</f>
        <v>4.6351611801162443E-2</v>
      </c>
      <c r="DJ132" s="83">
        <f>+SLR!DJ59</f>
        <v>4.5235643852874187E-2</v>
      </c>
      <c r="DK132" s="83">
        <f>+SLR!DK59</f>
        <v>4.4146544106428598E-2</v>
      </c>
      <c r="DL132" s="83">
        <f>+SLR!DL59</f>
        <v>4.308366567920565E-2</v>
      </c>
      <c r="DM132" s="83">
        <f>+SLR!DM59</f>
        <v>4.2046377263022579E-2</v>
      </c>
      <c r="DN132" s="83">
        <f>+SLR!DN59</f>
        <v>4.1034062749161541E-2</v>
      </c>
      <c r="DO132" s="83">
        <f>+SLR!DO59</f>
        <v>4.0046120862425143E-2</v>
      </c>
      <c r="DP132" s="83">
        <f>+SLR!DP59</f>
        <v>3.9081964804002521E-2</v>
      </c>
      <c r="DQ132" s="83">
        <f>+SLR!DQ59</f>
        <v>3.8141021902933808E-2</v>
      </c>
      <c r="DR132" s="83">
        <f>+SLR!DR59</f>
        <v>3.7222733275965994E-2</v>
      </c>
      <c r="DS132" s="83"/>
      <c r="DT132" s="83"/>
      <c r="DU132" s="83"/>
      <c r="DV132" s="83"/>
      <c r="DW132" s="83"/>
    </row>
    <row r="133" spans="1:309" ht="14.25" customHeight="1" x14ac:dyDescent="0.2">
      <c r="A133" s="170" t="s">
        <v>1120</v>
      </c>
      <c r="B133" s="83">
        <f>+SLR!B60</f>
        <v>0.11227749376652622</v>
      </c>
      <c r="C133" s="83">
        <f>+SLR!C60</f>
        <v>0.12304741227397215</v>
      </c>
      <c r="D133" s="83">
        <f>+SLR!D60</f>
        <v>0.13007307225190728</v>
      </c>
      <c r="E133" s="83">
        <f>+SLR!E60</f>
        <v>0.13715576880014888</v>
      </c>
      <c r="F133" s="83">
        <f>+SLR!F60</f>
        <v>0.14563843653377312</v>
      </c>
      <c r="G133" s="83">
        <f>+SLR!G60</f>
        <v>0.15642662448445832</v>
      </c>
      <c r="H133" s="83">
        <f>+SLR!H60</f>
        <v>0.16488161614755997</v>
      </c>
      <c r="I133" s="83">
        <f>+SLR!I60</f>
        <v>0.17560341711503172</v>
      </c>
      <c r="J133" s="83">
        <f>+SLR!J60</f>
        <v>0.18868905909526934</v>
      </c>
      <c r="K133" s="83">
        <f>+SLR!K60</f>
        <v>0.19737548537683328</v>
      </c>
      <c r="L133" s="83">
        <f>+SLR!L60</f>
        <v>0.20605352651655207</v>
      </c>
      <c r="M133" s="428">
        <f>+SLR!M60</f>
        <v>0.21709142973168449</v>
      </c>
      <c r="N133" s="83">
        <f>+SLR!N60</f>
        <v>0.22966926689861963</v>
      </c>
      <c r="O133" s="83">
        <f>+SLR!O60</f>
        <v>0.24174544122648789</v>
      </c>
      <c r="P133" s="83">
        <f>+SLR!P60</f>
        <v>0.25191559199240665</v>
      </c>
      <c r="Q133" s="83">
        <f>+SLR!Q60</f>
        <v>0.26430444370344786</v>
      </c>
      <c r="R133" s="83">
        <f>+SLR!R60</f>
        <v>0.27584601755597693</v>
      </c>
      <c r="S133" s="83">
        <f>+SLR!S60</f>
        <v>0.28743641018722726</v>
      </c>
      <c r="T133" s="83">
        <f>+SLR!T60</f>
        <v>0.29666741830803117</v>
      </c>
      <c r="U133" s="83">
        <f>+SLR!U60</f>
        <v>0.30754525812045419</v>
      </c>
      <c r="V133" s="83">
        <f>+SLR!V60</f>
        <v>0.31932356003256501</v>
      </c>
      <c r="W133" s="83">
        <f>+SLR!W60</f>
        <v>0.32894683215060827</v>
      </c>
      <c r="X133" s="83">
        <f>+SLR!X60</f>
        <v>0.33899031621629216</v>
      </c>
      <c r="Y133" s="83">
        <f>+SLR!Y60</f>
        <v>0.34926855122692235</v>
      </c>
      <c r="Z133" s="83">
        <f>+SLR!Z60</f>
        <v>0.36025849276278121</v>
      </c>
      <c r="AA133" s="83">
        <f>+SLR!AA60</f>
        <v>0.37354768816319772</v>
      </c>
      <c r="AB133" s="83">
        <f>+SLR!AB60</f>
        <v>0.38822572660466342</v>
      </c>
      <c r="AC133" s="83">
        <f>+SLR!AC60</f>
        <v>0.40103997694219523</v>
      </c>
      <c r="AD133" s="83">
        <f>+SLR!AD60</f>
        <v>0.41238451811625426</v>
      </c>
      <c r="AE133" s="83">
        <f>+SLR!AE60</f>
        <v>0.4254452172346222</v>
      </c>
      <c r="AF133" s="83">
        <f>+SLR!AF60</f>
        <v>0.43859169239037532</v>
      </c>
      <c r="AG133" s="83">
        <f>+SLR!AG60</f>
        <v>0.44889610806798569</v>
      </c>
      <c r="AH133" s="83">
        <f>+SLR!AH60</f>
        <v>0.45952364169758425</v>
      </c>
      <c r="AI133" s="83">
        <f>+SLR!AI60</f>
        <v>0.47408902627073357</v>
      </c>
      <c r="AJ133" s="83">
        <f>+SLR!AJ60</f>
        <v>0.4666209498993561</v>
      </c>
      <c r="AK133" s="83">
        <f>+SLR!AK60</f>
        <v>0.45933267598882022</v>
      </c>
      <c r="AL133" s="83">
        <f>+SLR!AL60</f>
        <v>0.45221987558969956</v>
      </c>
      <c r="AM133" s="83">
        <f>+SLR!AM60</f>
        <v>0.4452783239769651</v>
      </c>
      <c r="AN133" s="83">
        <f>+SLR!AN60</f>
        <v>0.43850389814066382</v>
      </c>
      <c r="AO133" s="83">
        <f>+SLR!AO60</f>
        <v>0.43189257433701245</v>
      </c>
      <c r="AP133" s="83">
        <f>+SLR!AP60</f>
        <v>0.42544042569845086</v>
      </c>
      <c r="AQ133" s="83">
        <f>+SLR!AQ60</f>
        <v>0.41914361990123683</v>
      </c>
      <c r="AR133" s="83">
        <f>+SLR!AR60</f>
        <v>0.41299841688919514</v>
      </c>
      <c r="AS133" s="83">
        <f>+SLR!AS60</f>
        <v>0.40700116665227115</v>
      </c>
      <c r="AT133" s="83">
        <f>+SLR!AT60</f>
        <v>0.40114830705856763</v>
      </c>
      <c r="AU133" s="83">
        <f>+SLR!AU60</f>
        <v>0.39543636173857744</v>
      </c>
      <c r="AV133" s="83">
        <f>+SLR!AV60</f>
        <v>0.38986193802035651</v>
      </c>
      <c r="AW133" s="83">
        <f>+SLR!AW60</f>
        <v>0.38442172491440946</v>
      </c>
      <c r="AX133" s="83">
        <f>+SLR!AX60</f>
        <v>0.37911249114709117</v>
      </c>
      <c r="AY133" s="83">
        <f>+SLR!AY60</f>
        <v>0.37393108324135704</v>
      </c>
      <c r="AZ133" s="83">
        <f>+SLR!AZ60</f>
        <v>0.36887442364372081</v>
      </c>
      <c r="BA133" s="83">
        <f>+SLR!BA60</f>
        <v>0.36393950889630838</v>
      </c>
      <c r="BB133" s="83">
        <f>+SLR!BB60</f>
        <v>0.35912340785292146</v>
      </c>
      <c r="BC133" s="83">
        <f>+SLR!BC60</f>
        <v>0.35442325993805124</v>
      </c>
      <c r="BD133" s="83">
        <f>+SLR!BD60</f>
        <v>0.34983627344780877</v>
      </c>
      <c r="BE133" s="83">
        <f>+SLR!BE60</f>
        <v>0.34535972389176178</v>
      </c>
      <c r="BF133" s="83">
        <f>+SLR!BF60</f>
        <v>0.3409909523746944</v>
      </c>
      <c r="BG133" s="83">
        <f>+SLR!BG60</f>
        <v>0.33672736401732717</v>
      </c>
      <c r="BH133" s="83">
        <f>+SLR!BH60</f>
        <v>0.33256642641506051</v>
      </c>
      <c r="BI133" s="83">
        <f>+SLR!BI60</f>
        <v>0.32850566813382542</v>
      </c>
      <c r="BJ133" s="83">
        <f>+SLR!BJ60</f>
        <v>0.32454267724214825</v>
      </c>
      <c r="BK133" s="83">
        <f>+SLR!BK60</f>
        <v>0.32067509987855813</v>
      </c>
      <c r="BL133" s="83">
        <f>+SLR!BL60</f>
        <v>0.31690063885348513</v>
      </c>
      <c r="BM133" s="83">
        <f>+SLR!BM60</f>
        <v>0.31321705228481966</v>
      </c>
      <c r="BN133" s="83">
        <f>+SLR!BN60</f>
        <v>0.30962215226632239</v>
      </c>
      <c r="BO133" s="83">
        <f>+SLR!BO60</f>
        <v>0.30611380356809309</v>
      </c>
      <c r="BP133" s="83">
        <f>+SLR!BP60</f>
        <v>0.30268992236832837</v>
      </c>
      <c r="BQ133" s="83">
        <f>+SLR!BQ60</f>
        <v>0.29934847501561246</v>
      </c>
      <c r="BR133" s="83">
        <f>+SLR!BR60</f>
        <v>0.29608747682100822</v>
      </c>
      <c r="BS133" s="83">
        <f>+SLR!BS60</f>
        <v>0.29290499087922955</v>
      </c>
      <c r="BT133" s="83">
        <f>+SLR!BT60</f>
        <v>0.28979912691819532</v>
      </c>
      <c r="BU133" s="83">
        <f>+SLR!BU60</f>
        <v>0.28676804017628194</v>
      </c>
      <c r="BV133" s="83">
        <f>+SLR!BV60</f>
        <v>0.28380993030660689</v>
      </c>
      <c r="BW133" s="83">
        <f>+SLR!BW60</f>
        <v>0.28092304030769349</v>
      </c>
      <c r="BX133" s="83">
        <f>+SLR!BX60</f>
        <v>0.27810565547988053</v>
      </c>
      <c r="BY133" s="83">
        <f>+SLR!BY60</f>
        <v>0.27535610240685793</v>
      </c>
      <c r="BZ133" s="83">
        <f>+SLR!BZ60</f>
        <v>0.27267274796172281</v>
      </c>
      <c r="CA133" s="83">
        <f>+SLR!CA60</f>
        <v>0.27005399833696619</v>
      </c>
      <c r="CB133" s="83">
        <f>+SLR!CB60</f>
        <v>0.26749829809781356</v>
      </c>
      <c r="CC133" s="83">
        <f>+SLR!CC60</f>
        <v>0.26500412925835776</v>
      </c>
      <c r="CD133" s="83">
        <f>+SLR!CD60</f>
        <v>0.26257001037993444</v>
      </c>
      <c r="CE133" s="83">
        <f>+SLR!CE60</f>
        <v>0.26019449569120562</v>
      </c>
      <c r="CF133" s="83">
        <f>+SLR!CF60</f>
        <v>0.25787617422942832</v>
      </c>
      <c r="CG133" s="83">
        <f>+SLR!CG60</f>
        <v>0.25561366900239746</v>
      </c>
      <c r="CH133" s="83">
        <f>+SLR!CH60</f>
        <v>0.25340563617056683</v>
      </c>
      <c r="CI133" s="83">
        <f>+SLR!CI60</f>
        <v>0.25125076424886084</v>
      </c>
      <c r="CJ133" s="83">
        <f>+SLR!CJ60</f>
        <v>0.24914777332770352</v>
      </c>
      <c r="CK133" s="83">
        <f>+SLR!CK60</f>
        <v>0.24709541431280269</v>
      </c>
      <c r="CL133" s="83">
        <f>+SLR!CL60</f>
        <v>0.24509246818323657</v>
      </c>
      <c r="CM133" s="83">
        <f>+SLR!CM60</f>
        <v>0.24313774526740317</v>
      </c>
      <c r="CN133" s="83">
        <f>+SLR!CN60</f>
        <v>0.24123008453640193</v>
      </c>
      <c r="CO133" s="83">
        <f>+SLR!CO60</f>
        <v>0.23936835291442798</v>
      </c>
      <c r="CP133" s="83">
        <f>+SLR!CP60</f>
        <v>0.23755144460576944</v>
      </c>
      <c r="CQ133" s="83">
        <f>+SLR!CQ60</f>
        <v>0.23577828043800808</v>
      </c>
      <c r="CR133" s="83">
        <f>+SLR!CR60</f>
        <v>0.23404780722103313</v>
      </c>
      <c r="CS133" s="83">
        <f>+SLR!CS60</f>
        <v>0.23235899712148761</v>
      </c>
      <c r="CT133" s="83">
        <f>+SLR!CT60</f>
        <v>0.23071084705227551</v>
      </c>
      <c r="CU133" s="83">
        <f>+SLR!CU60</f>
        <v>0.22910237807676734</v>
      </c>
      <c r="CV133" s="83">
        <f>+SLR!CV60</f>
        <v>0.22753263482735006</v>
      </c>
      <c r="CW133" s="83">
        <f>+SLR!CW60</f>
        <v>0.22600068493797615</v>
      </c>
      <c r="CX133" s="83">
        <f>+SLR!CX60</f>
        <v>0.22450561849037465</v>
      </c>
      <c r="CY133" s="83">
        <f>+SLR!CY60</f>
        <v>0.22304654747359529</v>
      </c>
      <c r="CZ133" s="83">
        <f>+SLR!CZ60</f>
        <v>0.22162260525656483</v>
      </c>
      <c r="DA133" s="83">
        <f>+SLR!DA60</f>
        <v>0.2202329460733421</v>
      </c>
      <c r="DB133" s="83">
        <f>+SLR!DB60</f>
        <v>0.218876744520766</v>
      </c>
      <c r="DC133" s="83">
        <f>+SLR!DC60</f>
        <v>0.21755319506819859</v>
      </c>
      <c r="DD133" s="83">
        <f>+SLR!DD60</f>
        <v>0.21626151157907111</v>
      </c>
      <c r="DE133" s="83">
        <f>+SLR!DE60</f>
        <v>0.21500092684394995</v>
      </c>
      <c r="DF133" s="83">
        <f>+SLR!DF60</f>
        <v>0.21377069212484401</v>
      </c>
      <c r="DG133" s="83">
        <f>+SLR!DG60</f>
        <v>0.21257007671048378</v>
      </c>
      <c r="DH133" s="83">
        <f>+SLR!DH60</f>
        <v>0.21139836748230742</v>
      </c>
      <c r="DI133" s="83">
        <f>+SLR!DI60</f>
        <v>0.21025486849089625</v>
      </c>
      <c r="DJ133" s="83">
        <f>+SLR!DJ60</f>
        <v>0.20913890054260798</v>
      </c>
      <c r="DK133" s="83">
        <f>+SLR!DK60</f>
        <v>0.20804980079616239</v>
      </c>
      <c r="DL133" s="83">
        <f>+SLR!DL60</f>
        <v>0.20698692236893945</v>
      </c>
      <c r="DM133" s="83">
        <f>+SLR!DM60</f>
        <v>0.20594963395275637</v>
      </c>
      <c r="DN133" s="83">
        <f>+SLR!DN60</f>
        <v>0.20493731943889534</v>
      </c>
      <c r="DO133" s="83">
        <f>+SLR!DO60</f>
        <v>0.20394937755215894</v>
      </c>
      <c r="DP133" s="83">
        <f>+SLR!DP60</f>
        <v>0.20298522149373632</v>
      </c>
      <c r="DQ133" s="83">
        <f>+SLR!DQ60</f>
        <v>0.2020442785926676</v>
      </c>
      <c r="DR133" s="83">
        <f>+SLR!DR60</f>
        <v>0.2011259899656998</v>
      </c>
      <c r="DS133" s="83"/>
      <c r="DT133" s="83"/>
      <c r="DU133" s="83"/>
      <c r="DV133" s="83"/>
      <c r="DW133" s="83"/>
    </row>
    <row r="134" spans="1:309" ht="14.25" customHeight="1" x14ac:dyDescent="0.2">
      <c r="A134" s="170" t="s">
        <v>1121</v>
      </c>
      <c r="B134" s="83">
        <f>+SLR!B61</f>
        <v>0.11827749376652623</v>
      </c>
      <c r="C134" s="83">
        <f>+SLR!C61</f>
        <v>0.13504741227397216</v>
      </c>
      <c r="D134" s="83">
        <f>+SLR!D61</f>
        <v>0.15355421624925447</v>
      </c>
      <c r="E134" s="83">
        <f>+SLR!E61</f>
        <v>0.17219262687667669</v>
      </c>
      <c r="F134" s="83">
        <f>+SLR!F61</f>
        <v>0.1931032428699348</v>
      </c>
      <c r="G134" s="83">
        <f>+SLR!G61</f>
        <v>0.21774284490683876</v>
      </c>
      <c r="H134" s="83">
        <f>+SLR!H61</f>
        <v>0.23880267056497367</v>
      </c>
      <c r="I134" s="83">
        <f>+SLR!I61</f>
        <v>0.26354681230487392</v>
      </c>
      <c r="J134" s="83">
        <f>+SLR!J61</f>
        <v>0.29217475942525339</v>
      </c>
      <c r="K134" s="83">
        <f>+SLR!K61</f>
        <v>0.31394396101911209</v>
      </c>
      <c r="L134" s="83">
        <f>+SLR!L61</f>
        <v>0.33579106774017553</v>
      </c>
      <c r="M134" s="428">
        <f>+SLR!M61</f>
        <v>0.36151210331680173</v>
      </c>
      <c r="N134" s="83">
        <f>+SLR!N61</f>
        <v>0.38983947579962397</v>
      </c>
      <c r="O134" s="83">
        <f>+SLR!O61</f>
        <v>0.41752111473896053</v>
      </c>
      <c r="P134" s="83">
        <f>+SLR!P61</f>
        <v>0.44228012182083648</v>
      </c>
      <c r="Q134" s="83">
        <f>+SLR!Q61</f>
        <v>0.47075315802058959</v>
      </c>
      <c r="R134" s="83">
        <f>+SLR!R61</f>
        <v>0.49801643916550253</v>
      </c>
      <c r="S134" s="83">
        <f>+SLR!S61</f>
        <v>0.52551060586741549</v>
      </c>
      <c r="T134" s="83">
        <f>+SLR!T61</f>
        <v>0.54931110852908271</v>
      </c>
      <c r="U134" s="83">
        <f>+SLR!U61</f>
        <v>0.57591626070004664</v>
      </c>
      <c r="V134" s="83">
        <f>+SLR!V61</f>
        <v>0.60414101120385211</v>
      </c>
      <c r="W134" s="83">
        <f>+SLR!W61</f>
        <v>0.62898981178855085</v>
      </c>
      <c r="X134" s="83">
        <f>+SLR!X61</f>
        <v>0.65465482905283756</v>
      </c>
      <c r="Y134" s="83">
        <f>+SLR!Y61</f>
        <v>0.68084080447069151</v>
      </c>
      <c r="Z134" s="83">
        <f>+SLR!Z61</f>
        <v>0.7083429302530404</v>
      </c>
      <c r="AA134" s="83">
        <f>+SLR!AA61</f>
        <v>0.73980960358265202</v>
      </c>
      <c r="AB134" s="83">
        <f>+SLR!AB61</f>
        <v>0.7737863156548016</v>
      </c>
      <c r="AC134" s="83">
        <f>+SLR!AC61</f>
        <v>0.80489195743049047</v>
      </c>
      <c r="AD134" s="83">
        <f>+SLR!AD61</f>
        <v>0.83373980001298231</v>
      </c>
      <c r="AE134" s="83">
        <f>+SLR!AE61</f>
        <v>0.86562962080576122</v>
      </c>
      <c r="AF134" s="83">
        <f>+SLR!AF61</f>
        <v>0.8978690211264494</v>
      </c>
      <c r="AG134" s="83">
        <f>+SLR!AG61</f>
        <v>0.92553606162415614</v>
      </c>
      <c r="AH134" s="83">
        <f>+SLR!AH61</f>
        <v>0.95390037706267217</v>
      </c>
      <c r="AI134" s="83">
        <f>+SLR!AI61</f>
        <v>0.98907640686630993</v>
      </c>
      <c r="AJ134" s="83">
        <f>+SLR!AJ61</f>
        <v>0.98718505319581284</v>
      </c>
      <c r="AK134" s="83">
        <f>+SLR!AK61</f>
        <v>0.98546891837845796</v>
      </c>
      <c r="AL134" s="83">
        <f>+SLR!AL61</f>
        <v>0.98392367723216778</v>
      </c>
      <c r="AM134" s="83">
        <f>+SLR!AM61</f>
        <v>0.98254510879616552</v>
      </c>
      <c r="AN134" s="83">
        <f>+SLR!AN61</f>
        <v>0.98132909382165667</v>
      </c>
      <c r="AO134" s="83">
        <f>+SLR!AO61</f>
        <v>0.98027161232292503</v>
      </c>
      <c r="AP134" s="83">
        <f>+SLR!AP61</f>
        <v>0.9793687411873887</v>
      </c>
      <c r="AQ134" s="83">
        <f>+SLR!AQ61</f>
        <v>0.97861665184319746</v>
      </c>
      <c r="AR134" s="83">
        <f>+SLR!AR61</f>
        <v>0.97801160798298425</v>
      </c>
      <c r="AS134" s="83">
        <f>+SLR!AS61</f>
        <v>0.9775499633424215</v>
      </c>
      <c r="AT134" s="83">
        <f>+SLR!AT61</f>
        <v>0.97722815953226028</v>
      </c>
      <c r="AU134" s="83">
        <f>+SLR!AU61</f>
        <v>0.97704272392256564</v>
      </c>
      <c r="AV134" s="83">
        <f>+SLR!AV61</f>
        <v>0.97699026757789209</v>
      </c>
      <c r="AW134" s="83">
        <f>+SLR!AW61</f>
        <v>0.97706748324217174</v>
      </c>
      <c r="AX134" s="83">
        <f>+SLR!AX61</f>
        <v>0.97727114337211818</v>
      </c>
      <c r="AY134" s="83">
        <f>+SLR!AY61</f>
        <v>0.97759809821797994</v>
      </c>
      <c r="AZ134" s="83">
        <f>+SLR!AZ61</f>
        <v>0.97804527395049989</v>
      </c>
      <c r="BA134" s="83">
        <f>+SLR!BA61</f>
        <v>0.97860967083297234</v>
      </c>
      <c r="BB134" s="83">
        <f>+SLR!BB61</f>
        <v>0.97928836143730869</v>
      </c>
      <c r="BC134" s="83">
        <f>+SLR!BC61</f>
        <v>0.98007848890305393</v>
      </c>
      <c r="BD134" s="83">
        <f>+SLR!BD61</f>
        <v>0.98097726523831963</v>
      </c>
      <c r="BE134" s="83">
        <f>+SLR!BE61</f>
        <v>0.98198196966162299</v>
      </c>
      <c r="BF134" s="83">
        <f>+SLR!BF61</f>
        <v>0.98308994698364871</v>
      </c>
      <c r="BG134" s="83">
        <f>+SLR!BG61</f>
        <v>0.98429860602797281</v>
      </c>
      <c r="BH134" s="83">
        <f>+SLR!BH61</f>
        <v>0.98560541808980695</v>
      </c>
      <c r="BI134" s="83">
        <f>+SLR!BI61</f>
        <v>0.98700791543185284</v>
      </c>
      <c r="BJ134" s="83">
        <f>+SLR!BJ61</f>
        <v>0.98850368981636905</v>
      </c>
      <c r="BK134" s="83">
        <f>+SLR!BK61</f>
        <v>0.9900903910725809</v>
      </c>
      <c r="BL134" s="83">
        <f>+SLR!BL61</f>
        <v>0.99176572569858124</v>
      </c>
      <c r="BM134" s="83">
        <f>+SLR!BM61</f>
        <v>0.99352745549689248</v>
      </c>
      <c r="BN134" s="83">
        <f>+SLR!BN61</f>
        <v>0.99537339624287846</v>
      </c>
      <c r="BO134" s="83">
        <f>+SLR!BO61</f>
        <v>0.9973014163852163</v>
      </c>
      <c r="BP134" s="83">
        <f>+SLR!BP61</f>
        <v>0.99930943577765674</v>
      </c>
      <c r="BQ134" s="83">
        <f>+SLR!BQ61</f>
        <v>1.0013954244413168</v>
      </c>
      <c r="BR134" s="83">
        <f>+SLR!BR61</f>
        <v>1.0035574013567734</v>
      </c>
      <c r="BS134" s="83">
        <f>+SLR!BS61</f>
        <v>1.0057934332852394</v>
      </c>
      <c r="BT134" s="83">
        <f>+SLR!BT61</f>
        <v>1.0081016336181181</v>
      </c>
      <c r="BU134" s="83">
        <f>+SLR!BU61</f>
        <v>1.0104801612542595</v>
      </c>
      <c r="BV134" s="83">
        <f>+SLR!BV61</f>
        <v>1.0129272195042465</v>
      </c>
      <c r="BW134" s="83">
        <f>+SLR!BW61</f>
        <v>1.0154410550210611</v>
      </c>
      <c r="BX134" s="83">
        <f>+SLR!BX61</f>
        <v>1.0180199567564974</v>
      </c>
      <c r="BY134" s="83">
        <f>+SLR!BY61</f>
        <v>1.0206622549426996</v>
      </c>
      <c r="BZ134" s="83">
        <f>+SLR!BZ61</f>
        <v>1.0233663200982199</v>
      </c>
      <c r="CA134" s="83">
        <f>+SLR!CA61</f>
        <v>1.0261305620580088</v>
      </c>
      <c r="CB134" s="83">
        <f>+SLR!CB61</f>
        <v>1.0289534290267566</v>
      </c>
      <c r="CC134" s="83">
        <f>+SLR!CC61</f>
        <v>1.0318334066550303</v>
      </c>
      <c r="CD134" s="83">
        <f>+SLR!CD61</f>
        <v>1.0347690171376509</v>
      </c>
      <c r="CE134" s="83">
        <f>+SLR!CE61</f>
        <v>1.0377588183337787</v>
      </c>
      <c r="CF134" s="83">
        <f>+SLR!CF61</f>
        <v>1.0408014029081856</v>
      </c>
      <c r="CG134" s="83">
        <f>+SLR!CG61</f>
        <v>1.0438953974931997</v>
      </c>
      <c r="CH134" s="83">
        <f>+SLR!CH61</f>
        <v>1.0470394618708287</v>
      </c>
      <c r="CI134" s="83">
        <f>+SLR!CI61</f>
        <v>1.0502322881745747</v>
      </c>
      <c r="CJ134" s="83">
        <f>+SLR!CJ61</f>
        <v>1.0534726001104646</v>
      </c>
      <c r="CK134" s="83">
        <f>+SLR!CK61</f>
        <v>1.0567591521968382</v>
      </c>
      <c r="CL134" s="83">
        <f>+SLR!CL61</f>
        <v>1.060090729022436</v>
      </c>
      <c r="CM134" s="83">
        <f>+SLR!CM61</f>
        <v>1.063466144522351</v>
      </c>
      <c r="CN134" s="83">
        <f>+SLR!CN61</f>
        <v>1.0668842412714143</v>
      </c>
      <c r="CO134" s="83">
        <f>+SLR!CO61</f>
        <v>1.0703438897945896</v>
      </c>
      <c r="CP134" s="83">
        <f>+SLR!CP61</f>
        <v>1.0738439878939747</v>
      </c>
      <c r="CQ134" s="83">
        <f>+SLR!CQ61</f>
        <v>1.0773834599920038</v>
      </c>
      <c r="CR134" s="83">
        <f>+SLR!CR61</f>
        <v>1.080961256490464</v>
      </c>
      <c r="CS134" s="83">
        <f>+SLR!CS61</f>
        <v>1.0845763531449437</v>
      </c>
      <c r="CT134" s="83">
        <f>+SLR!CT61</f>
        <v>1.0882277504543425</v>
      </c>
      <c r="CU134" s="83">
        <f>+SLR!CU61</f>
        <v>1.0919144730650792</v>
      </c>
      <c r="CV134" s="83">
        <f>+SLR!CV61</f>
        <v>1.095635569189644</v>
      </c>
      <c r="CW134" s="83">
        <f>+SLR!CW61</f>
        <v>1.0993901100391505</v>
      </c>
      <c r="CX134" s="83">
        <f>+SLR!CX61</f>
        <v>1.1031771892695481</v>
      </c>
      <c r="CY134" s="83">
        <f>+SLR!CY61</f>
        <v>1.1069959224411692</v>
      </c>
      <c r="CZ134" s="83">
        <f>+SLR!CZ61</f>
        <v>1.1108454464912887</v>
      </c>
      <c r="DA134" s="83">
        <f>+SLR!DA61</f>
        <v>1.11472491921938</v>
      </c>
      <c r="DB134" s="83">
        <f>+SLR!DB61</f>
        <v>1.118633518784766</v>
      </c>
      <c r="DC134" s="83">
        <f>+SLR!DC61</f>
        <v>1.1225704432163652</v>
      </c>
      <c r="DD134" s="83">
        <f>+SLR!DD61</f>
        <v>1.1265349099342392</v>
      </c>
      <c r="DE134" s="83">
        <f>+SLR!DE61</f>
        <v>1.1305261552826618</v>
      </c>
      <c r="DF134" s="83">
        <f>+SLR!DF61</f>
        <v>1.1345434340744283</v>
      </c>
      <c r="DG134" s="83">
        <f>+SLR!DG61</f>
        <v>1.1385860191461368</v>
      </c>
      <c r="DH134" s="83">
        <f>+SLR!DH61</f>
        <v>1.1426532009241777</v>
      </c>
      <c r="DI134" s="83">
        <f>+SLR!DI61</f>
        <v>1.1467442870011704</v>
      </c>
      <c r="DJ134" s="83">
        <f>+SLR!DJ61</f>
        <v>1.1508586017225997</v>
      </c>
      <c r="DK134" s="83">
        <f>+SLR!DK61</f>
        <v>1.1549954857834035</v>
      </c>
      <c r="DL134" s="83">
        <f>+SLR!DL61</f>
        <v>1.1591542958342731</v>
      </c>
      <c r="DM134" s="83">
        <f>+SLR!DM61</f>
        <v>1.1633344040974336</v>
      </c>
      <c r="DN134" s="83">
        <f>+SLR!DN61</f>
        <v>1.1675351979916728</v>
      </c>
      <c r="DO134" s="83">
        <f>+SLR!DO61</f>
        <v>1.1717560797663999</v>
      </c>
      <c r="DP134" s="83">
        <f>+SLR!DP61</f>
        <v>1.1759964661445137</v>
      </c>
      <c r="DQ134" s="83">
        <f>+SLR!DQ61</f>
        <v>1.1802557879738689</v>
      </c>
      <c r="DR134" s="83">
        <f>+SLR!DR61</f>
        <v>1.1845334898871358</v>
      </c>
      <c r="DS134" s="83"/>
      <c r="DT134" s="83"/>
      <c r="DU134" s="83"/>
      <c r="DV134" s="83"/>
      <c r="DW134" s="83"/>
    </row>
    <row r="135" spans="1:309" ht="14.25" customHeight="1" x14ac:dyDescent="0.2">
      <c r="A135" s="170" t="s">
        <v>1122</v>
      </c>
      <c r="B135" s="83">
        <f>+SLR!B62</f>
        <v>0.12036101040599263</v>
      </c>
      <c r="C135" s="83">
        <f>+SLR!C62</f>
        <v>0.1396047102233087</v>
      </c>
      <c r="D135" s="83">
        <f>+SLR!D62</f>
        <v>0.16199024832191464</v>
      </c>
      <c r="E135" s="83">
        <f>+SLR!E62</f>
        <v>0.18442934013857976</v>
      </c>
      <c r="F135" s="83">
        <f>+SLR!F62</f>
        <v>0.20851621384843474</v>
      </c>
      <c r="G135" s="83">
        <f>+SLR!G62</f>
        <v>0.23531738545888586</v>
      </c>
      <c r="H135" s="83">
        <f>+SLR!H62</f>
        <v>0.25939736296545618</v>
      </c>
      <c r="I135" s="83">
        <f>+SLR!I62</f>
        <v>0.28614696841074205</v>
      </c>
      <c r="J135" s="83">
        <f>+SLR!J62</f>
        <v>0.31568763815937667</v>
      </c>
      <c r="K135" s="83">
        <f>+SLR!K62</f>
        <v>0.34008672693126701</v>
      </c>
      <c r="L135" s="83">
        <f>+SLR!L62</f>
        <v>0.36448566789628134</v>
      </c>
      <c r="M135" s="428">
        <f>+SLR!M62</f>
        <v>0.38606246874644762</v>
      </c>
      <c r="N135" s="83">
        <f>+SLR!N62</f>
        <v>0.40946507716200242</v>
      </c>
      <c r="O135" s="83">
        <f>+SLR!O62</f>
        <v>0.4323000049681523</v>
      </c>
      <c r="P135" s="83">
        <f>+SLR!P62</f>
        <v>0.45291477732356833</v>
      </c>
      <c r="Q135" s="83">
        <f>+SLR!Q62</f>
        <v>0.47615083771973099</v>
      </c>
      <c r="R135" s="83">
        <f>+SLR!R62</f>
        <v>0.49841130186329574</v>
      </c>
      <c r="S135" s="83">
        <f>+SLR!S62</f>
        <v>0.520746545695699</v>
      </c>
      <c r="T135" s="83">
        <f>+SLR!T62</f>
        <v>0.54032476069682556</v>
      </c>
      <c r="U135" s="83">
        <f>+SLR!U62</f>
        <v>0.5618490429323606</v>
      </c>
      <c r="V135" s="83">
        <f>+SLR!V62</f>
        <v>0.58444655296217185</v>
      </c>
      <c r="W135" s="83">
        <f>+SLR!W62</f>
        <v>0.60452669534776471</v>
      </c>
      <c r="X135" s="83">
        <f>+SLR!X62</f>
        <v>0.62511084267662242</v>
      </c>
      <c r="Y135" s="83">
        <f>+SLR!Y62</f>
        <v>0.64598178935680517</v>
      </c>
      <c r="Z135" s="83">
        <f>+SLR!Z62</f>
        <v>0.66770056879699846</v>
      </c>
      <c r="AA135" s="83">
        <f>+SLR!AA62</f>
        <v>0.69213504883916244</v>
      </c>
      <c r="AB135" s="83">
        <f>+SLR!AB62</f>
        <v>0.71822098534897605</v>
      </c>
      <c r="AC135" s="83">
        <f>+SLR!AC62</f>
        <v>0.74213832796905577</v>
      </c>
      <c r="AD135" s="83">
        <f>+SLR!AD62</f>
        <v>0.76434424193450368</v>
      </c>
      <c r="AE135" s="83">
        <f>+SLR!AE62</f>
        <v>0.78857744596718893</v>
      </c>
      <c r="AF135" s="83">
        <f>+SLR!AF62</f>
        <v>0.81292607072554124</v>
      </c>
      <c r="AG135" s="83">
        <f>+SLR!AG62</f>
        <v>0.83395118260620404</v>
      </c>
      <c r="AH135" s="83">
        <f>+SLR!AH62</f>
        <v>0.85536135769135313</v>
      </c>
      <c r="AI135" s="83">
        <f>+SLR!AI62</f>
        <v>0.881397764987363</v>
      </c>
      <c r="AJ135" s="83">
        <f>+SLR!AJ62</f>
        <v>0.88160641131686601</v>
      </c>
      <c r="AK135" s="83">
        <f>+SLR!AK62</f>
        <v>0.88199027649951112</v>
      </c>
      <c r="AL135" s="83">
        <f>+SLR!AL62</f>
        <v>0.88254503535322093</v>
      </c>
      <c r="AM135" s="83">
        <f>+SLR!AM62</f>
        <v>0.88326646691721866</v>
      </c>
      <c r="AN135" s="83">
        <f>+SLR!AN62</f>
        <v>0.8841504519427098</v>
      </c>
      <c r="AO135" s="83">
        <f>+SLR!AO62</f>
        <v>0.88519297044397816</v>
      </c>
      <c r="AP135" s="83">
        <f>+SLR!AP62</f>
        <v>0.88639009930844181</v>
      </c>
      <c r="AQ135" s="83">
        <f>+SLR!AQ62</f>
        <v>0.88773800996425056</v>
      </c>
      <c r="AR135" s="83">
        <f>+SLR!AR62</f>
        <v>0.88923296610403746</v>
      </c>
      <c r="AS135" s="83">
        <f>+SLR!AS62</f>
        <v>0.8908713214634747</v>
      </c>
      <c r="AT135" s="83">
        <f>+SLR!AT62</f>
        <v>0.89264951765331346</v>
      </c>
      <c r="AU135" s="83">
        <f>+SLR!AU62</f>
        <v>0.89456408204361881</v>
      </c>
      <c r="AV135" s="83">
        <f>+SLR!AV62</f>
        <v>0.89661162569894526</v>
      </c>
      <c r="AW135" s="83">
        <f>+SLR!AW62</f>
        <v>0.8987888413632249</v>
      </c>
      <c r="AX135" s="83">
        <f>+SLR!AX62</f>
        <v>0.90109250149317133</v>
      </c>
      <c r="AY135" s="83">
        <f>+SLR!AY62</f>
        <v>0.90351945633903308</v>
      </c>
      <c r="AZ135" s="83">
        <f>+SLR!AZ62</f>
        <v>0.90606663207155314</v>
      </c>
      <c r="BA135" s="83">
        <f>+SLR!BA62</f>
        <v>0.90873102895402558</v>
      </c>
      <c r="BB135" s="83">
        <f>+SLR!BB62</f>
        <v>0.91150971955836191</v>
      </c>
      <c r="BC135" s="83">
        <f>+SLR!BC62</f>
        <v>0.91439984702410715</v>
      </c>
      <c r="BD135" s="83">
        <f>+SLR!BD62</f>
        <v>0.91739862335937283</v>
      </c>
      <c r="BE135" s="83">
        <f>+SLR!BE62</f>
        <v>0.92050332778267618</v>
      </c>
      <c r="BF135" s="83">
        <f>+SLR!BF62</f>
        <v>0.9237113051047019</v>
      </c>
      <c r="BG135" s="83">
        <f>+SLR!BG62</f>
        <v>0.92701996414902599</v>
      </c>
      <c r="BH135" s="83">
        <f>+SLR!BH62</f>
        <v>0.93042677621086012</v>
      </c>
      <c r="BI135" s="83">
        <f>+SLR!BI62</f>
        <v>0.933929273552906</v>
      </c>
      <c r="BJ135" s="83">
        <f>+SLR!BJ62</f>
        <v>0.9375250479374222</v>
      </c>
      <c r="BK135" s="83">
        <f>+SLR!BK62</f>
        <v>0.94121174919363404</v>
      </c>
      <c r="BL135" s="83">
        <f>+SLR!BL62</f>
        <v>0.94498708381963437</v>
      </c>
      <c r="BM135" s="83">
        <f>+SLR!BM62</f>
        <v>0.94884881361794571</v>
      </c>
      <c r="BN135" s="83">
        <f>+SLR!BN62</f>
        <v>0.95279475436393168</v>
      </c>
      <c r="BO135" s="83">
        <f>+SLR!BO62</f>
        <v>0.95682277450626951</v>
      </c>
      <c r="BP135" s="83">
        <f>+SLR!BP62</f>
        <v>0.96093079389870995</v>
      </c>
      <c r="BQ135" s="83">
        <f>+SLR!BQ62</f>
        <v>0.96511678256236999</v>
      </c>
      <c r="BR135" s="83">
        <f>+SLR!BR62</f>
        <v>0.96937875947782659</v>
      </c>
      <c r="BS135" s="83">
        <f>+SLR!BS62</f>
        <v>0.97371479140629258</v>
      </c>
      <c r="BT135" s="83">
        <f>+SLR!BT62</f>
        <v>0.97812299173917128</v>
      </c>
      <c r="BU135" s="83">
        <f>+SLR!BU62</f>
        <v>0.9826015193753127</v>
      </c>
      <c r="BV135" s="83">
        <f>+SLR!BV62</f>
        <v>0.98714857762529962</v>
      </c>
      <c r="BW135" s="83">
        <f>+SLR!BW62</f>
        <v>0.99176241314211422</v>
      </c>
      <c r="BX135" s="83">
        <f>+SLR!BX62</f>
        <v>0.9964413148775505</v>
      </c>
      <c r="BY135" s="83">
        <f>+SLR!BY62</f>
        <v>1.0011836130637528</v>
      </c>
      <c r="BZ135" s="83">
        <f>+SLR!BZ62</f>
        <v>1.0059876782192732</v>
      </c>
      <c r="CA135" s="83">
        <f>+SLR!CA62</f>
        <v>1.010851920179062</v>
      </c>
      <c r="CB135" s="83">
        <f>+SLR!CB62</f>
        <v>1.0157747871478098</v>
      </c>
      <c r="CC135" s="83">
        <f>+SLR!CC62</f>
        <v>1.0207547647760835</v>
      </c>
      <c r="CD135" s="83">
        <f>+SLR!CD62</f>
        <v>1.0257903752587041</v>
      </c>
      <c r="CE135" s="83">
        <f>+SLR!CE62</f>
        <v>1.0308801764548319</v>
      </c>
      <c r="CF135" s="83">
        <f>+SLR!CF62</f>
        <v>1.0360227610292387</v>
      </c>
      <c r="CG135" s="83">
        <f>+SLR!CG62</f>
        <v>1.0412167556142529</v>
      </c>
      <c r="CH135" s="83">
        <f>+SLR!CH62</f>
        <v>1.0464608199918819</v>
      </c>
      <c r="CI135" s="83">
        <f>+SLR!CI62</f>
        <v>1.0517536462956278</v>
      </c>
      <c r="CJ135" s="83">
        <f>+SLR!CJ62</f>
        <v>1.0570939582315177</v>
      </c>
      <c r="CK135" s="83">
        <f>+SLR!CK62</f>
        <v>1.0624805103178914</v>
      </c>
      <c r="CL135" s="83">
        <f>+SLR!CL62</f>
        <v>1.0679120871434891</v>
      </c>
      <c r="CM135" s="83">
        <f>+SLR!CM62</f>
        <v>1.0733875026434041</v>
      </c>
      <c r="CN135" s="83">
        <f>+SLR!CN62</f>
        <v>1.0789055993924674</v>
      </c>
      <c r="CO135" s="83">
        <f>+SLR!CO62</f>
        <v>1.0844652479156427</v>
      </c>
      <c r="CP135" s="83">
        <f>+SLR!CP62</f>
        <v>1.0900653460150278</v>
      </c>
      <c r="CQ135" s="83">
        <f>+SLR!CQ62</f>
        <v>1.0957048181130569</v>
      </c>
      <c r="CR135" s="83">
        <f>+SLR!CR62</f>
        <v>1.1013826146115173</v>
      </c>
      <c r="CS135" s="83">
        <f>+SLR!CS62</f>
        <v>1.107097711265997</v>
      </c>
      <c r="CT135" s="83">
        <f>+SLR!CT62</f>
        <v>1.1128491085753958</v>
      </c>
      <c r="CU135" s="83">
        <f>+SLR!CU62</f>
        <v>1.1186358311861324</v>
      </c>
      <c r="CV135" s="83">
        <f>+SLR!CV62</f>
        <v>1.1244569273106972</v>
      </c>
      <c r="CW135" s="83">
        <f>+SLR!CW62</f>
        <v>1.1303114681602038</v>
      </c>
      <c r="CX135" s="83">
        <f>+SLR!CX62</f>
        <v>1.1361985473906013</v>
      </c>
      <c r="CY135" s="83">
        <f>+SLR!CY62</f>
        <v>1.1421172805622224</v>
      </c>
      <c r="CZ135" s="83">
        <f>+SLR!CZ62</f>
        <v>1.1480668046123419</v>
      </c>
      <c r="DA135" s="83">
        <f>+SLR!DA62</f>
        <v>1.1540462773404332</v>
      </c>
      <c r="DB135" s="83">
        <f>+SLR!DB62</f>
        <v>1.1600548769058192</v>
      </c>
      <c r="DC135" s="83">
        <f>+SLR!DC62</f>
        <v>1.1660918013374184</v>
      </c>
      <c r="DD135" s="83">
        <f>+SLR!DD62</f>
        <v>1.1721562680552924</v>
      </c>
      <c r="DE135" s="83">
        <f>+SLR!DE62</f>
        <v>1.1782475134037149</v>
      </c>
      <c r="DF135" s="83">
        <f>+SLR!DF62</f>
        <v>1.1843647921954814</v>
      </c>
      <c r="DG135" s="83">
        <f>+SLR!DG62</f>
        <v>1.1905073772671899</v>
      </c>
      <c r="DH135" s="83">
        <f>+SLR!DH62</f>
        <v>1.1966745590452308</v>
      </c>
      <c r="DI135" s="83">
        <f>+SLR!DI62</f>
        <v>1.2028656451222235</v>
      </c>
      <c r="DJ135" s="83">
        <f>+SLR!DJ62</f>
        <v>1.2090799598436528</v>
      </c>
      <c r="DK135" s="83">
        <f>+SLR!DK62</f>
        <v>1.2153168439044566</v>
      </c>
      <c r="DL135" s="83">
        <f>+SLR!DL62</f>
        <v>1.2215756539553262</v>
      </c>
      <c r="DM135" s="83">
        <f>+SLR!DM62</f>
        <v>1.2278557622184867</v>
      </c>
      <c r="DN135" s="83">
        <f>+SLR!DN62</f>
        <v>1.2341565561127259</v>
      </c>
      <c r="DO135" s="83">
        <f>+SLR!DO62</f>
        <v>1.240477437887453</v>
      </c>
      <c r="DP135" s="83">
        <f>+SLR!DP62</f>
        <v>1.246817824265567</v>
      </c>
      <c r="DQ135" s="83">
        <f>+SLR!DQ62</f>
        <v>1.2531771460949221</v>
      </c>
      <c r="DR135" s="83">
        <f>+SLR!DR62</f>
        <v>1.2595548480081891</v>
      </c>
      <c r="DS135" s="83"/>
      <c r="DT135" s="83"/>
      <c r="DU135" s="83"/>
      <c r="DV135" s="83"/>
      <c r="DW135" s="83"/>
    </row>
    <row r="136" spans="1:309" ht="14.25" customHeight="1" x14ac:dyDescent="0.15"/>
    <row r="137" spans="1:309" ht="14.25" customHeight="1" x14ac:dyDescent="0.15"/>
    <row r="139" spans="1:309" s="66" customFormat="1" ht="17.25" customHeight="1" x14ac:dyDescent="0.2">
      <c r="A139" s="27"/>
      <c r="B139" s="66">
        <v>2005</v>
      </c>
      <c r="C139" s="66">
        <f t="shared" ref="C139:AH139" si="74">+B139+10</f>
        <v>2015</v>
      </c>
      <c r="D139" s="66">
        <f t="shared" si="74"/>
        <v>2025</v>
      </c>
      <c r="E139" s="66">
        <f t="shared" si="74"/>
        <v>2035</v>
      </c>
      <c r="F139" s="66">
        <f t="shared" si="74"/>
        <v>2045</v>
      </c>
      <c r="G139" s="66">
        <f t="shared" si="74"/>
        <v>2055</v>
      </c>
      <c r="H139" s="66">
        <f t="shared" si="74"/>
        <v>2065</v>
      </c>
      <c r="I139" s="66">
        <f t="shared" si="74"/>
        <v>2075</v>
      </c>
      <c r="J139" s="66">
        <f t="shared" si="74"/>
        <v>2085</v>
      </c>
      <c r="K139" s="66">
        <f t="shared" si="74"/>
        <v>2095</v>
      </c>
      <c r="L139" s="66">
        <f t="shared" si="74"/>
        <v>2105</v>
      </c>
      <c r="M139" s="429">
        <f t="shared" si="74"/>
        <v>2115</v>
      </c>
      <c r="N139" s="66">
        <f t="shared" si="74"/>
        <v>2125</v>
      </c>
      <c r="O139" s="66">
        <f t="shared" si="74"/>
        <v>2135</v>
      </c>
      <c r="P139" s="66">
        <f t="shared" si="74"/>
        <v>2145</v>
      </c>
      <c r="Q139" s="66">
        <f t="shared" si="74"/>
        <v>2155</v>
      </c>
      <c r="R139" s="66">
        <f t="shared" si="74"/>
        <v>2165</v>
      </c>
      <c r="S139" s="66">
        <f t="shared" si="74"/>
        <v>2175</v>
      </c>
      <c r="T139" s="66">
        <f t="shared" si="74"/>
        <v>2185</v>
      </c>
      <c r="U139" s="66">
        <f t="shared" si="74"/>
        <v>2195</v>
      </c>
      <c r="V139" s="66">
        <f t="shared" si="74"/>
        <v>2205</v>
      </c>
      <c r="W139" s="66">
        <f t="shared" si="74"/>
        <v>2215</v>
      </c>
      <c r="X139" s="66">
        <f t="shared" si="74"/>
        <v>2225</v>
      </c>
      <c r="Y139" s="66">
        <f t="shared" si="74"/>
        <v>2235</v>
      </c>
      <c r="Z139" s="66">
        <f t="shared" si="74"/>
        <v>2245</v>
      </c>
      <c r="AA139" s="66">
        <f t="shared" si="74"/>
        <v>2255</v>
      </c>
      <c r="AB139" s="66">
        <f t="shared" si="74"/>
        <v>2265</v>
      </c>
      <c r="AC139" s="66">
        <f t="shared" si="74"/>
        <v>2275</v>
      </c>
      <c r="AD139" s="66">
        <f t="shared" si="74"/>
        <v>2285</v>
      </c>
      <c r="AE139" s="66">
        <f t="shared" si="74"/>
        <v>2295</v>
      </c>
      <c r="AF139" s="66">
        <f t="shared" si="74"/>
        <v>2305</v>
      </c>
      <c r="AG139" s="66">
        <f t="shared" si="74"/>
        <v>2315</v>
      </c>
      <c r="AH139" s="66">
        <f t="shared" si="74"/>
        <v>2325</v>
      </c>
      <c r="AI139" s="66">
        <f t="shared" ref="AI139:BI139" si="75">+AH139+10</f>
        <v>2335</v>
      </c>
      <c r="AJ139" s="66">
        <f t="shared" si="75"/>
        <v>2345</v>
      </c>
      <c r="AK139" s="66">
        <f t="shared" si="75"/>
        <v>2355</v>
      </c>
      <c r="AL139" s="66">
        <f t="shared" si="75"/>
        <v>2365</v>
      </c>
      <c r="AM139" s="66">
        <f t="shared" si="75"/>
        <v>2375</v>
      </c>
      <c r="AN139" s="66">
        <f t="shared" si="75"/>
        <v>2385</v>
      </c>
      <c r="AO139" s="66">
        <f t="shared" si="75"/>
        <v>2395</v>
      </c>
      <c r="AP139" s="66">
        <f t="shared" si="75"/>
        <v>2405</v>
      </c>
      <c r="AQ139" s="66">
        <f t="shared" si="75"/>
        <v>2415</v>
      </c>
      <c r="AR139" s="66">
        <f t="shared" si="75"/>
        <v>2425</v>
      </c>
      <c r="AS139" s="66">
        <f t="shared" si="75"/>
        <v>2435</v>
      </c>
      <c r="AT139" s="66">
        <f t="shared" si="75"/>
        <v>2445</v>
      </c>
      <c r="AU139" s="66">
        <f t="shared" si="75"/>
        <v>2455</v>
      </c>
      <c r="AV139" s="66">
        <f t="shared" si="75"/>
        <v>2465</v>
      </c>
      <c r="AW139" s="66">
        <f t="shared" si="75"/>
        <v>2475</v>
      </c>
      <c r="AX139" s="66">
        <f t="shared" si="75"/>
        <v>2485</v>
      </c>
      <c r="AY139" s="66">
        <f t="shared" si="75"/>
        <v>2495</v>
      </c>
      <c r="AZ139" s="66">
        <f t="shared" si="75"/>
        <v>2505</v>
      </c>
      <c r="BA139" s="66">
        <f t="shared" si="75"/>
        <v>2515</v>
      </c>
      <c r="BB139" s="66">
        <f t="shared" si="75"/>
        <v>2525</v>
      </c>
      <c r="BC139" s="66">
        <f t="shared" si="75"/>
        <v>2535</v>
      </c>
      <c r="BD139" s="66">
        <f t="shared" si="75"/>
        <v>2545</v>
      </c>
      <c r="BE139" s="66">
        <f t="shared" si="75"/>
        <v>2555</v>
      </c>
      <c r="BF139" s="66">
        <f t="shared" si="75"/>
        <v>2565</v>
      </c>
      <c r="BG139" s="66">
        <f t="shared" si="75"/>
        <v>2575</v>
      </c>
      <c r="BH139" s="66">
        <f t="shared" si="75"/>
        <v>2585</v>
      </c>
      <c r="BI139" s="66">
        <f t="shared" si="75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 x14ac:dyDescent="0.15">
      <c r="A140" s="19" t="s">
        <v>974</v>
      </c>
    </row>
    <row r="141" spans="1:309" x14ac:dyDescent="0.15">
      <c r="A141" s="12" t="s">
        <v>104</v>
      </c>
      <c r="B141" s="12">
        <f>+US!B120</f>
        <v>1.6621334550980102</v>
      </c>
      <c r="C141" s="207">
        <f>+US!C120</f>
        <v>1.3842794390922046</v>
      </c>
      <c r="D141" s="207">
        <f>+US!D120</f>
        <v>1.3529484199086483</v>
      </c>
      <c r="E141" s="207">
        <f>+US!E120</f>
        <v>1.0650404885241216</v>
      </c>
      <c r="F141" s="207">
        <f>+US!F120</f>
        <v>0.7656926372213686</v>
      </c>
      <c r="G141" s="207">
        <f>+US!G120</f>
        <v>0.53914315712482919</v>
      </c>
      <c r="H141" s="207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41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0</v>
      </c>
      <c r="AJ141" s="12">
        <f>+US!AJ120</f>
        <v>0</v>
      </c>
      <c r="AK141" s="12">
        <f>+US!AK120</f>
        <v>0</v>
      </c>
      <c r="AL141" s="12">
        <f>+US!AL120</f>
        <v>0</v>
      </c>
      <c r="AM141" s="12">
        <f>+US!AM120</f>
        <v>0</v>
      </c>
      <c r="AN141" s="12">
        <f>+US!AN120</f>
        <v>0</v>
      </c>
      <c r="AO141" s="12">
        <f>+US!AO120</f>
        <v>0</v>
      </c>
      <c r="AP141" s="12">
        <f>+US!AP120</f>
        <v>0</v>
      </c>
      <c r="AQ141" s="12">
        <f>+US!AQ120</f>
        <v>0</v>
      </c>
      <c r="AR141" s="12">
        <f>+US!AR120</f>
        <v>0</v>
      </c>
      <c r="AS141" s="12">
        <f>+US!AS120</f>
        <v>0</v>
      </c>
      <c r="AT141" s="12">
        <f>+US!AT120</f>
        <v>0</v>
      </c>
      <c r="AU141" s="12">
        <f>+US!AU120</f>
        <v>0</v>
      </c>
      <c r="AV141" s="12">
        <f>+US!AV120</f>
        <v>0</v>
      </c>
      <c r="AW141" s="12">
        <f>+US!AW120</f>
        <v>0</v>
      </c>
      <c r="AX141" s="12">
        <f>+US!AX120</f>
        <v>0</v>
      </c>
      <c r="AY141" s="12">
        <f>+US!AY120</f>
        <v>0</v>
      </c>
      <c r="AZ141" s="12">
        <f>+US!AZ120</f>
        <v>0</v>
      </c>
      <c r="BA141" s="12">
        <f>+US!BA120</f>
        <v>0</v>
      </c>
      <c r="BB141" s="12">
        <f>+US!BB120</f>
        <v>0</v>
      </c>
      <c r="BC141" s="12">
        <f>+US!BC120</f>
        <v>0</v>
      </c>
      <c r="BD141" s="12">
        <f>+US!BD120</f>
        <v>0</v>
      </c>
      <c r="BE141" s="12">
        <f>+US!BE120</f>
        <v>0</v>
      </c>
      <c r="BF141" s="12">
        <f>+US!BF120</f>
        <v>0</v>
      </c>
      <c r="BG141" s="12">
        <f>+US!BG120</f>
        <v>0</v>
      </c>
      <c r="BH141" s="12">
        <f>+US!BH120</f>
        <v>0</v>
      </c>
      <c r="BI141" s="12">
        <f>+US!BI120</f>
        <v>0</v>
      </c>
    </row>
    <row r="142" spans="1:309" x14ac:dyDescent="0.15">
      <c r="A142" s="12" t="s">
        <v>105</v>
      </c>
      <c r="B142" s="12">
        <f>+EU!B120</f>
        <v>1.1460506191660516</v>
      </c>
      <c r="C142" s="207">
        <f>+EU!C120</f>
        <v>1.0537535277990626</v>
      </c>
      <c r="D142" s="207">
        <f>+EU!D120</f>
        <v>0.90645464756908634</v>
      </c>
      <c r="E142" s="207">
        <f>+EU!E120</f>
        <v>0.80990096886794261</v>
      </c>
      <c r="F142" s="207">
        <f>+EU!F120</f>
        <v>0.58226444480058026</v>
      </c>
      <c r="G142" s="207">
        <f>+EU!G120</f>
        <v>0.40998682211510207</v>
      </c>
      <c r="H142" s="207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41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 x14ac:dyDescent="0.15">
      <c r="A143" s="12" t="s">
        <v>51</v>
      </c>
      <c r="B143" s="12">
        <f>+Japan!B120</f>
        <v>0.36996592574248305</v>
      </c>
      <c r="C143" s="207">
        <f>+Japan!C120</f>
        <v>0.27014967320962396</v>
      </c>
      <c r="D143" s="207">
        <f>+Japan!D120</f>
        <v>0.26403525414455947</v>
      </c>
      <c r="E143" s="207">
        <f>+Japan!E120</f>
        <v>0.20784845299623433</v>
      </c>
      <c r="F143" s="207">
        <f>+Japan!F120</f>
        <v>0.14942908915848588</v>
      </c>
      <c r="G143" s="207">
        <f>+Japan!G120</f>
        <v>0.10521672402068818</v>
      </c>
      <c r="H143" s="207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41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 x14ac:dyDescent="0.15">
      <c r="A144" s="12" t="s">
        <v>52</v>
      </c>
      <c r="B144" s="12">
        <f>+Russia!B120</f>
        <v>0.43123618180564005</v>
      </c>
      <c r="C144" s="207">
        <f>+Russia!C120</f>
        <v>0.65</v>
      </c>
      <c r="D144" s="207">
        <f>+Russia!D120</f>
        <v>0.62712759012947861</v>
      </c>
      <c r="E144" s="207">
        <f>+Russia!E120</f>
        <v>0.4936746036508568</v>
      </c>
      <c r="F144" s="207">
        <f>+Russia!F120</f>
        <v>0.35491890991154296</v>
      </c>
      <c r="G144" s="207">
        <f>+Russia!G120</f>
        <v>0.2499071981512217</v>
      </c>
      <c r="H144" s="207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41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 x14ac:dyDescent="0.15">
      <c r="A145" s="12" t="s">
        <v>53</v>
      </c>
      <c r="B145" s="12">
        <f>+Eurasia!B120</f>
        <v>0.25666629327477047</v>
      </c>
      <c r="C145" s="207">
        <f>+Eurasia!C120</f>
        <v>0.49278319473092996</v>
      </c>
      <c r="D145" s="207">
        <f>+Eurasia!D120</f>
        <v>0.47544298056602108</v>
      </c>
      <c r="E145" s="207">
        <f>+Eurasia!E120</f>
        <v>0.37426853591476134</v>
      </c>
      <c r="F145" s="207">
        <f>+Eurasia!F120</f>
        <v>0.26907396045635273</v>
      </c>
      <c r="G145" s="207">
        <f>+Eurasia!G120</f>
        <v>0.18946164229417631</v>
      </c>
      <c r="H145" s="207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41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 x14ac:dyDescent="0.15">
      <c r="A146" s="12" t="s">
        <v>54</v>
      </c>
      <c r="B146" s="12">
        <f>+China!B120</f>
        <v>1.6007411280266048</v>
      </c>
      <c r="C146" s="207">
        <f>+China!C120</f>
        <v>2.843737175726925</v>
      </c>
      <c r="D146" s="207">
        <f>+China!D120</f>
        <v>3.2081467193314417</v>
      </c>
      <c r="E146" s="207">
        <f>+China!E120</f>
        <v>2.5254518937569852</v>
      </c>
      <c r="F146" s="207">
        <f>+China!F120</f>
        <v>1.8156304305258246</v>
      </c>
      <c r="G146" s="207">
        <f>+China!G120</f>
        <v>1.2784303712752059</v>
      </c>
      <c r="H146" s="207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41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 x14ac:dyDescent="0.15">
      <c r="A147" s="12" t="s">
        <v>55</v>
      </c>
      <c r="B147" s="12">
        <f>+India!B120</f>
        <v>0.40515158969265602</v>
      </c>
      <c r="C147" s="207">
        <f>+India!C120</f>
        <v>0.72309374310061081</v>
      </c>
      <c r="D147" s="207">
        <f>+India!D120</f>
        <v>0.95176955277897013</v>
      </c>
      <c r="E147" s="207">
        <f>+India!E120</f>
        <v>1.1736542267846262</v>
      </c>
      <c r="F147" s="207">
        <f>+India!F120</f>
        <v>0.84377862604833109</v>
      </c>
      <c r="G147" s="207">
        <f>+India!G120</f>
        <v>0.59412543656290517</v>
      </c>
      <c r="H147" s="207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41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 x14ac:dyDescent="0.15">
      <c r="A148" s="12" t="s">
        <v>56</v>
      </c>
      <c r="B148" s="12">
        <f>+MidEast!B120</f>
        <v>0.58967496043455159</v>
      </c>
      <c r="C148" s="207">
        <f>+MidEast!C120</f>
        <v>0.80742718953750414</v>
      </c>
      <c r="D148" s="207">
        <f>+MidEast!D120</f>
        <v>1.0442826029982819</v>
      </c>
      <c r="E148" s="207">
        <f>+MidEast!E120</f>
        <v>1.2745456100982464</v>
      </c>
      <c r="F148" s="207">
        <f>+MidEast!F120</f>
        <v>1.4943414327878348</v>
      </c>
      <c r="G148" s="207">
        <f>+MidEast!G120</f>
        <v>1.0522028275201363</v>
      </c>
      <c r="H148" s="207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41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 x14ac:dyDescent="0.15">
      <c r="A149" s="12" t="s">
        <v>57</v>
      </c>
      <c r="B149" s="12">
        <f>+Africa!B120</f>
        <v>0.19137708401697254</v>
      </c>
      <c r="C149" s="207">
        <f>+Africa!C120</f>
        <v>0.2440378886848312</v>
      </c>
      <c r="D149" s="207">
        <f>+Africa!D120</f>
        <v>0.35389319854131812</v>
      </c>
      <c r="E149" s="207">
        <f>+Africa!E120</f>
        <v>0.48200312688199881</v>
      </c>
      <c r="F149" s="207">
        <f>+Africa!F120</f>
        <v>0.62603054224477039</v>
      </c>
      <c r="G149" s="207">
        <f>+Africa!G120</f>
        <v>0.75868965138535882</v>
      </c>
      <c r="H149" s="207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41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 x14ac:dyDescent="0.15">
      <c r="A150" s="12" t="s">
        <v>58</v>
      </c>
      <c r="B150" s="12">
        <f>+LatAm!B120</f>
        <v>0.41227239850714797</v>
      </c>
      <c r="C150" s="207">
        <f>+LatAm!C120</f>
        <v>0.53297093331331402</v>
      </c>
      <c r="D150" s="207">
        <f>+LatAm!D120</f>
        <v>0.67605785971701871</v>
      </c>
      <c r="E150" s="207">
        <f>+LatAm!E120</f>
        <v>0.53219249351146902</v>
      </c>
      <c r="F150" s="207">
        <f>+LatAm!F120</f>
        <v>0.3826106878161033</v>
      </c>
      <c r="G150" s="207">
        <f>+LatAm!G120</f>
        <v>0.26940566508182101</v>
      </c>
      <c r="H150" s="207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41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 x14ac:dyDescent="0.15">
      <c r="A151" s="12" t="s">
        <v>114</v>
      </c>
      <c r="B151" s="12">
        <f>+OHI!B120</f>
        <v>0.54177826149727892</v>
      </c>
      <c r="C151" s="207">
        <f>+OHI!C120</f>
        <v>0.56968410834355332</v>
      </c>
      <c r="D151" s="207">
        <f>+OHI!D120</f>
        <v>0.55679019167974442</v>
      </c>
      <c r="E151" s="207">
        <f>+OHI!E120</f>
        <v>0.43830502998190735</v>
      </c>
      <c r="F151" s="207">
        <f>+OHI!F120</f>
        <v>0.3151119022520022</v>
      </c>
      <c r="G151" s="207">
        <f>+OHI!G120</f>
        <v>0.22187809777598549</v>
      </c>
      <c r="H151" s="207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41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 x14ac:dyDescent="0.15">
      <c r="A152" s="12" t="s">
        <v>224</v>
      </c>
      <c r="B152" s="12">
        <f>+OthAsia!B120</f>
        <v>0.36395210273783341</v>
      </c>
      <c r="C152" s="207">
        <f>+OthAsia!C120</f>
        <v>0.63080748393847597</v>
      </c>
      <c r="D152" s="207">
        <f>+OthAsia!D120</f>
        <v>0.87865736123542426</v>
      </c>
      <c r="E152" s="207">
        <f>+OthAsia!E120</f>
        <v>1.1513158345113612</v>
      </c>
      <c r="F152" s="207">
        <f>+OthAsia!F120</f>
        <v>0.82771882111574679</v>
      </c>
      <c r="G152" s="207">
        <f>+OthAsia!G120</f>
        <v>0.58281733000257119</v>
      </c>
      <c r="H152" s="207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41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 x14ac:dyDescent="0.15">
      <c r="A154" s="19" t="s">
        <v>1019</v>
      </c>
    </row>
    <row r="155" spans="1:309" x14ac:dyDescent="0.15">
      <c r="A155" s="12" t="s">
        <v>104</v>
      </c>
      <c r="B155" s="12">
        <f>+US!B124</f>
        <v>1.353745314615018</v>
      </c>
      <c r="C155" s="207">
        <f>+US!C124</f>
        <v>0.94946114093826617</v>
      </c>
      <c r="D155" s="207">
        <f>+US!D124</f>
        <v>0.74024761331230982</v>
      </c>
      <c r="E155" s="207">
        <f>+US!E124</f>
        <v>0.56525977359247404</v>
      </c>
      <c r="F155" s="207">
        <f>+US!F124</f>
        <v>0.39413654435154583</v>
      </c>
      <c r="G155" s="207">
        <f>+US!G124</f>
        <v>0.27791750154697276</v>
      </c>
      <c r="H155" s="207">
        <f>+US!H124</f>
        <v>0.21611983130261223</v>
      </c>
      <c r="I155" s="12">
        <f>+US!I124</f>
        <v>0.20545828851677922</v>
      </c>
      <c r="J155" s="12">
        <f>+US!J124</f>
        <v>0.17089394424713186</v>
      </c>
      <c r="K155" s="12">
        <f>+US!K124</f>
        <v>0.14662132216249976</v>
      </c>
      <c r="L155" s="12">
        <f>+US!L124</f>
        <v>0.12866371060127685</v>
      </c>
      <c r="M155" s="441">
        <f>+US!M124</f>
        <v>0.11175674419249916</v>
      </c>
      <c r="N155" s="12">
        <f>+US!N124</f>
        <v>9.889019240695486E-2</v>
      </c>
      <c r="O155" s="12">
        <f>+US!O124</f>
        <v>8.9156981337399341E-2</v>
      </c>
      <c r="P155" s="12">
        <f>+US!P124</f>
        <v>8.2099141857673558E-2</v>
      </c>
      <c r="Q155" s="12">
        <f>+US!Q124</f>
        <v>7.6001320214741902E-2</v>
      </c>
      <c r="R155" s="12">
        <f>+US!R124</f>
        <v>7.0528669963745433E-2</v>
      </c>
      <c r="S155" s="12">
        <f>+US!S124</f>
        <v>6.5602052173110603E-2</v>
      </c>
      <c r="T155" s="12">
        <f>+US!T124</f>
        <v>6.0125296360822693E-2</v>
      </c>
      <c r="U155" s="12">
        <f>+US!U124</f>
        <v>5.3825717702820242E-2</v>
      </c>
      <c r="V155" s="12">
        <f>+US!V124</f>
        <v>5.1030512646089023E-2</v>
      </c>
      <c r="W155" s="12">
        <f>+US!W124</f>
        <v>5.9542012842958167E-2</v>
      </c>
      <c r="X155" s="12">
        <f>+US!X124</f>
        <v>6.7873069034604841E-2</v>
      </c>
      <c r="Y155" s="12">
        <f>+US!Y124</f>
        <v>7.5398913903845496E-2</v>
      </c>
      <c r="Z155" s="12">
        <f>+US!Z124</f>
        <v>8.2796723970411365E-2</v>
      </c>
      <c r="AA155" s="12">
        <f>+MAX(US!AA124,0.001)</f>
        <v>9.0182360598198119E-2</v>
      </c>
      <c r="AB155" s="12">
        <f>+MAX(US!AB124,0.001)</f>
        <v>9.6297335402709683E-2</v>
      </c>
      <c r="AC155" s="12">
        <f>+MAX(US!AC124,0.001)</f>
        <v>0.10260174165730515</v>
      </c>
      <c r="AD155" s="12">
        <f>+MAX(US!AD124,0.001)</f>
        <v>0.10936243756814232</v>
      </c>
      <c r="AE155" s="12">
        <f>+MAX(US!AE124,0.001)</f>
        <v>0.11520561502473421</v>
      </c>
      <c r="AF155" s="12">
        <f>+MAX(US!AF124,0.001)</f>
        <v>0.11482453318169362</v>
      </c>
      <c r="AG155" s="12">
        <f>+MAX(US!AG124,0.001)</f>
        <v>0.12420601163108064</v>
      </c>
      <c r="AH155" s="12">
        <f>+MAX(US!AH124,0.001)</f>
        <v>0.12882228088278078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 x14ac:dyDescent="0.15">
      <c r="A156" s="12" t="s">
        <v>105</v>
      </c>
      <c r="B156" s="12">
        <f>+EU!B124</f>
        <v>1.2439679091220597</v>
      </c>
      <c r="C156" s="207">
        <f>+EU!C124</f>
        <v>0.82983986567046175</v>
      </c>
      <c r="D156" s="207">
        <f>+EU!D124</f>
        <v>0.67346369593886857</v>
      </c>
      <c r="E156" s="207">
        <f>+EU!E124</f>
        <v>0.53546042495483259</v>
      </c>
      <c r="F156" s="207">
        <f>+EU!F124</f>
        <v>0.40812866154537641</v>
      </c>
      <c r="G156" s="207">
        <f>+EU!G124</f>
        <v>0.32312342969616986</v>
      </c>
      <c r="H156" s="207">
        <f>+EU!H124</f>
        <v>0.27136943054113494</v>
      </c>
      <c r="I156" s="12">
        <f>+EU!I124</f>
        <v>0.25816428050298418</v>
      </c>
      <c r="J156" s="12">
        <f>+EU!J124</f>
        <v>0.22812397076849961</v>
      </c>
      <c r="K156" s="12">
        <f>+EU!K124</f>
        <v>0.2049054143722239</v>
      </c>
      <c r="L156" s="12">
        <f>+EU!L124</f>
        <v>0.19031514529102381</v>
      </c>
      <c r="M156" s="441">
        <f>+EU!M124</f>
        <v>0.17507000990769925</v>
      </c>
      <c r="N156" s="12">
        <f>+EU!N124</f>
        <v>0.1617762269069799</v>
      </c>
      <c r="O156" s="12">
        <f>+EU!O124</f>
        <v>0.15049785287058223</v>
      </c>
      <c r="P156" s="12">
        <f>+EU!P124</f>
        <v>0.14308198455720261</v>
      </c>
      <c r="Q156" s="12">
        <f>+EU!Q124</f>
        <v>0.13618282770763965</v>
      </c>
      <c r="R156" s="12">
        <f>+EU!R124</f>
        <v>0.13173878787551679</v>
      </c>
      <c r="S156" s="12">
        <f>+EU!S124</f>
        <v>0.12772153893342791</v>
      </c>
      <c r="T156" s="12">
        <f>+EU!T124</f>
        <v>0.12104471951231628</v>
      </c>
      <c r="U156" s="12">
        <f>+EU!U124</f>
        <v>0.10964913939859136</v>
      </c>
      <c r="V156" s="12">
        <f>+EU!V124</f>
        <v>0.10667458169157405</v>
      </c>
      <c r="W156" s="12">
        <f>+EU!W124</f>
        <v>0.11240686516900066</v>
      </c>
      <c r="X156" s="12">
        <f>+EU!X124</f>
        <v>0.11515972439614473</v>
      </c>
      <c r="Y156" s="12">
        <f>+EU!Y124</f>
        <v>0.11852139997882892</v>
      </c>
      <c r="Z156" s="12">
        <f>+EU!Z124</f>
        <v>0.12309132732896011</v>
      </c>
      <c r="AA156" s="12">
        <f>+EU!AA124</f>
        <v>0.12809705346013267</v>
      </c>
      <c r="AB156" s="12">
        <f>+EU!AB124</f>
        <v>0.1322277266228474</v>
      </c>
      <c r="AC156" s="12">
        <f>+EU!AC124</f>
        <v>0.13766152895397896</v>
      </c>
      <c r="AD156" s="12">
        <f>+EU!AD124</f>
        <v>0.14152769100124316</v>
      </c>
      <c r="AE156" s="12">
        <f>+EU!AE124</f>
        <v>0.14463260660440586</v>
      </c>
      <c r="AF156" s="12">
        <f>+EU!AF124</f>
        <v>0.13712481041288227</v>
      </c>
      <c r="AG156" s="12">
        <f>+EU!AG124</f>
        <v>0.14670720795933606</v>
      </c>
      <c r="AH156" s="12">
        <f>+EU!AH124</f>
        <v>0.15235166683505882</v>
      </c>
      <c r="AI156" s="12">
        <f>+EU!AI124</f>
        <v>0.72755144382850567</v>
      </c>
      <c r="AJ156" s="12">
        <f>+EU!AJ124</f>
        <v>1.0874540702030371</v>
      </c>
      <c r="AK156" s="12">
        <f>+EU!AK124</f>
        <v>1.3041837056788375</v>
      </c>
      <c r="AL156" s="12">
        <f>+EU!AL124</f>
        <v>1.4432030745306281</v>
      </c>
      <c r="AM156" s="12">
        <f>+EU!AM124</f>
        <v>1.5411046265415806</v>
      </c>
      <c r="AN156" s="12">
        <f>+EU!AN124</f>
        <v>1.616710750789617</v>
      </c>
      <c r="AO156" s="12">
        <f>+EU!AO124</f>
        <v>1.6799497146082862</v>
      </c>
      <c r="AP156" s="12">
        <f>+EU!AP124</f>
        <v>1.7361659297758398</v>
      </c>
      <c r="AQ156" s="12">
        <f>+EU!AQ124</f>
        <v>1.7882705915785024</v>
      </c>
      <c r="AR156" s="12">
        <f>+EU!AR124</f>
        <v>1.8378602745902823</v>
      </c>
      <c r="AS156" s="12">
        <f>+EU!AS124</f>
        <v>1.8858146761091212</v>
      </c>
      <c r="AT156" s="12">
        <f>+EU!AT124</f>
        <v>1.93262087735941</v>
      </c>
      <c r="AU156" s="12">
        <f>+EU!AU124</f>
        <v>1.9785506073297108</v>
      </c>
      <c r="AV156" s="12">
        <f>+EU!AV124</f>
        <v>2.0237574928263222</v>
      </c>
      <c r="AW156" s="12">
        <f>+EU!AW124</f>
        <v>2.0683304809372154</v>
      </c>
      <c r="AX156" s="12">
        <f>+EU!AX124</f>
        <v>2.1123231880040709</v>
      </c>
      <c r="AY156" s="12">
        <f>+EU!AY124</f>
        <v>2.1557700135014564</v>
      </c>
      <c r="AZ156" s="12">
        <f>+EU!AZ124</f>
        <v>2.1986949779792568</v>
      </c>
      <c r="BA156" s="12">
        <f>+EU!BA124</f>
        <v>2.2411165632599328</v>
      </c>
      <c r="BB156" s="12">
        <f>+EU!BB124</f>
        <v>2.2830503577351062</v>
      </c>
      <c r="BC156" s="12">
        <f>+EU!BC124</f>
        <v>2.3245104975344395</v>
      </c>
      <c r="BD156" s="12">
        <f>+EU!BD124</f>
        <v>2.3655104475558231</v>
      </c>
      <c r="BE156" s="12">
        <f>+EU!BE124</f>
        <v>2.2132090905526534</v>
      </c>
      <c r="BF156" s="12">
        <f>+EU!BF124</f>
        <v>1.9913746016163418</v>
      </c>
      <c r="BG156" s="12">
        <f>+EU!BG124</f>
        <v>1.6721639098847834</v>
      </c>
      <c r="BH156" s="12">
        <f>+EU!BH124</f>
        <v>1.2168255759480078</v>
      </c>
      <c r="BI156" s="12">
        <f>+EU!BI124</f>
        <v>0.57125740093336064</v>
      </c>
    </row>
    <row r="157" spans="1:309" x14ac:dyDescent="0.15">
      <c r="A157" s="12" t="s">
        <v>51</v>
      </c>
      <c r="B157" s="12">
        <f>+Japan!B124</f>
        <v>0.38770030891268675</v>
      </c>
      <c r="C157" s="207">
        <f>+Japan!C124</f>
        <v>0.34151373352683312</v>
      </c>
      <c r="D157" s="207">
        <f>+Japan!D124</f>
        <v>0.26738359536221723</v>
      </c>
      <c r="E157" s="207">
        <f>+Japan!E124</f>
        <v>0.20592770863216125</v>
      </c>
      <c r="F157" s="207">
        <f>+Japan!F124</f>
        <v>0.15154660821102767</v>
      </c>
      <c r="G157" s="207">
        <f>+Japan!G124</f>
        <v>0.11723719007178916</v>
      </c>
      <c r="H157" s="207">
        <f>+Japan!H124</f>
        <v>9.7517431723906436E-2</v>
      </c>
      <c r="I157" s="12">
        <f>+Japan!I124</f>
        <v>8.9211055755280599E-2</v>
      </c>
      <c r="J157" s="12">
        <f>+Japan!J124</f>
        <v>7.4436675094724347E-2</v>
      </c>
      <c r="K157" s="12">
        <f>+Japan!K124</f>
        <v>6.4083753114296982E-2</v>
      </c>
      <c r="L157" s="12">
        <f>+Japan!L124</f>
        <v>5.8060483510449006E-2</v>
      </c>
      <c r="M157" s="441">
        <f>+Japan!M124</f>
        <v>5.2128276482757384E-2</v>
      </c>
      <c r="N157" s="12">
        <f>+Japan!N124</f>
        <v>4.7074016366003647E-2</v>
      </c>
      <c r="O157" s="12">
        <f>+Japan!O124</f>
        <v>4.3456208029731866E-2</v>
      </c>
      <c r="P157" s="12">
        <f>+Japan!P124</f>
        <v>4.0697865566703177E-2</v>
      </c>
      <c r="Q157" s="12">
        <f>+Japan!Q124</f>
        <v>3.8224638639601086E-2</v>
      </c>
      <c r="R157" s="12">
        <f>+Japan!R124</f>
        <v>3.597721792815084E-2</v>
      </c>
      <c r="S157" s="12">
        <f>+Japan!S124</f>
        <v>3.4109246681669238E-2</v>
      </c>
      <c r="T157" s="12">
        <f>+Japan!T124</f>
        <v>3.1587932188988505E-2</v>
      </c>
      <c r="U157" s="12">
        <f>+Japan!U124</f>
        <v>2.8024975865741188E-2</v>
      </c>
      <c r="V157" s="12">
        <f>+Japan!V124</f>
        <v>2.7535688545123657E-2</v>
      </c>
      <c r="W157" s="12">
        <f>+Japan!W124</f>
        <v>2.825090177188528E-2</v>
      </c>
      <c r="X157" s="12">
        <f>+Japan!X124</f>
        <v>2.9246896987700503E-2</v>
      </c>
      <c r="Y157" s="12">
        <f>+Japan!Y124</f>
        <v>3.0353592925399221E-2</v>
      </c>
      <c r="Z157" s="12">
        <f>+Japan!Z124</f>
        <v>3.087671938876712E-2</v>
      </c>
      <c r="AA157" s="12">
        <f>+Japan!AA124</f>
        <v>3.1718169426665332E-2</v>
      </c>
      <c r="AB157" s="12">
        <f>+Japan!AB124</f>
        <v>3.2246719215905238E-2</v>
      </c>
      <c r="AC157" s="12">
        <f>+Japan!AC124</f>
        <v>3.3014286867066131E-2</v>
      </c>
      <c r="AD157" s="12">
        <f>+Japan!AD124</f>
        <v>3.3394238395743236E-2</v>
      </c>
      <c r="AE157" s="12">
        <f>+Japan!AE124</f>
        <v>3.337113151216918E-2</v>
      </c>
      <c r="AF157" s="12">
        <f>+Japan!AF124</f>
        <v>3.2044899196453924E-2</v>
      </c>
      <c r="AG157" s="12">
        <f>+Japan!AG124</f>
        <v>3.2878170628671627E-2</v>
      </c>
      <c r="AH157" s="12">
        <f>+Japan!AH124</f>
        <v>3.316253492682731E-2</v>
      </c>
      <c r="AI157" s="12">
        <f>+Japan!AI124</f>
        <v>0.14552879292531137</v>
      </c>
      <c r="AJ157" s="12">
        <f>+Japan!AJ124</f>
        <v>0.21165685740707271</v>
      </c>
      <c r="AK157" s="12">
        <f>+Japan!AK124</f>
        <v>0.25163967839989548</v>
      </c>
      <c r="AL157" s="12">
        <f>+Japan!AL124</f>
        <v>0.27738981481541419</v>
      </c>
      <c r="AM157" s="12">
        <f>+Japan!AM124</f>
        <v>0.29557861090010812</v>
      </c>
      <c r="AN157" s="12">
        <f>+Japan!AN124</f>
        <v>0.30965771206329212</v>
      </c>
      <c r="AO157" s="12">
        <f>+Japan!AO124</f>
        <v>0.32145572194349814</v>
      </c>
      <c r="AP157" s="12">
        <f>+Japan!AP124</f>
        <v>0.33195986752333989</v>
      </c>
      <c r="AQ157" s="12">
        <f>+Japan!AQ124</f>
        <v>0.34170903292277766</v>
      </c>
      <c r="AR157" s="12">
        <f>+Japan!AR124</f>
        <v>0.3509992031064188</v>
      </c>
      <c r="AS157" s="12">
        <f>+Japan!AS124</f>
        <v>0.35999361005984432</v>
      </c>
      <c r="AT157" s="12">
        <f>+Japan!AT124</f>
        <v>0.36878263225891883</v>
      </c>
      <c r="AU157" s="12">
        <f>+Japan!AU124</f>
        <v>0.37741660937768928</v>
      </c>
      <c r="AV157" s="12">
        <f>+Japan!AV124</f>
        <v>0.38592388157075813</v>
      </c>
      <c r="AW157" s="12">
        <f>+Japan!AW124</f>
        <v>0.39432071966824356</v>
      </c>
      <c r="AX157" s="12">
        <f>+Japan!AX124</f>
        <v>0.402616792727163</v>
      </c>
      <c r="AY157" s="12">
        <f>+Japan!AY124</f>
        <v>0.41081817726255282</v>
      </c>
      <c r="AZ157" s="12">
        <f>+Japan!AZ124</f>
        <v>0.41892901216066192</v>
      </c>
      <c r="BA157" s="12">
        <f>+Japan!BA124</f>
        <v>0.42695240773368304</v>
      </c>
      <c r="BB157" s="12">
        <f>+Japan!BB124</f>
        <v>0.4348909442051348</v>
      </c>
      <c r="BC157" s="12">
        <f>+Japan!BC124</f>
        <v>0.44274694428417494</v>
      </c>
      <c r="BD157" s="12">
        <f>+Japan!BD124</f>
        <v>0.45052262145558508</v>
      </c>
      <c r="BE157" s="12">
        <f>+Japan!BE124</f>
        <v>0.42149222442308726</v>
      </c>
      <c r="BF157" s="12">
        <f>+Japan!BF124</f>
        <v>0.3792311130898835</v>
      </c>
      <c r="BG157" s="12">
        <f>+Japan!BG124</f>
        <v>0.31843448324513368</v>
      </c>
      <c r="BH157" s="12">
        <f>+Japan!BH124</f>
        <v>0.23172094292444717</v>
      </c>
      <c r="BI157" s="12">
        <f>+Japan!BI124</f>
        <v>0.10878511340348331</v>
      </c>
    </row>
    <row r="158" spans="1:309" s="413" customFormat="1" x14ac:dyDescent="0.15">
      <c r="A158" s="8" t="s">
        <v>52</v>
      </c>
      <c r="B158" s="8">
        <f>+Russia!B124</f>
        <v>0.80732866294805539</v>
      </c>
      <c r="C158" s="17">
        <f>+Russia!C124</f>
        <v>0.51586182430170824</v>
      </c>
      <c r="D158" s="17">
        <f>+Russia!D124</f>
        <v>0.32045702037596918</v>
      </c>
      <c r="E158" s="17">
        <f>+Russia!E124</f>
        <v>0.20628447891605431</v>
      </c>
      <c r="F158" s="17">
        <f>+Russia!F124</f>
        <v>0.10625150043170456</v>
      </c>
      <c r="G158" s="17">
        <f>+Russia!G124</f>
        <v>5.8016141692188161E-2</v>
      </c>
      <c r="H158" s="17">
        <f>+Russia!H124</f>
        <v>3.4454925441485242E-2</v>
      </c>
      <c r="I158" s="8">
        <f>+Russia!I124</f>
        <v>3.2280217740465154E-2</v>
      </c>
      <c r="J158" s="8">
        <f>+Russia!J124</f>
        <v>1.9872588784471928E-2</v>
      </c>
      <c r="K158" s="8">
        <f>+Russia!K124</f>
        <v>1.3612507310934129E-2</v>
      </c>
      <c r="L158" s="8">
        <f>+Russia!L124</f>
        <v>9.6199067273853248E-3</v>
      </c>
      <c r="M158" s="8">
        <f>+Russia!M124</f>
        <v>6.2358721627521147E-3</v>
      </c>
      <c r="N158" s="8">
        <f>+Russia!N124</f>
        <v>3.4688939941991811E-3</v>
      </c>
      <c r="O158" s="8">
        <f>+Russia!O124</f>
        <v>1.1464246095161566E-3</v>
      </c>
      <c r="P158" s="8">
        <f>+Russia!P124</f>
        <v>-8.2743149785873091E-4</v>
      </c>
      <c r="Q158" s="8">
        <f>+Russia!Q124</f>
        <v>-2.5463959648780641E-3</v>
      </c>
      <c r="R158" s="8">
        <f>+Russia!R124</f>
        <v>-4.0927809419327391E-3</v>
      </c>
      <c r="S158" s="8">
        <f>+Russia!S124</f>
        <v>-5.4654832317141636E-3</v>
      </c>
      <c r="T158" s="8">
        <f>+Russia!T124</f>
        <v>-6.6411952335982145E-3</v>
      </c>
      <c r="U158" s="8">
        <f>+Russia!U124</f>
        <v>-6.7916786377599488E-3</v>
      </c>
      <c r="V158" s="8">
        <f>+Russia!V124</f>
        <v>-7.651070898653127E-3</v>
      </c>
      <c r="W158" s="8">
        <f>+Russia!W124</f>
        <v>-2.7697325746650478E-3</v>
      </c>
      <c r="X158" s="8">
        <f>+Russia!X124</f>
        <v>1.9588898381833787E-3</v>
      </c>
      <c r="Y158" s="8">
        <f>+Russia!Y124</f>
        <v>6.400434369302199E-3</v>
      </c>
      <c r="Z158" s="8">
        <f>+Russia!Z124</f>
        <v>1.0426569309747391E-2</v>
      </c>
      <c r="AA158" s="8">
        <f>+Russia!AA124</f>
        <v>1.3720518878588691E-2</v>
      </c>
      <c r="AB158" s="8">
        <f>+Russia!AB124</f>
        <v>1.6895007259332562E-2</v>
      </c>
      <c r="AC158" s="8">
        <f>+Russia!AC124</f>
        <v>2.0081433541602203E-2</v>
      </c>
      <c r="AD158" s="8">
        <f>+Russia!AD124</f>
        <v>2.3300617610118091E-2</v>
      </c>
      <c r="AE158" s="8">
        <f>+Russia!AE124</f>
        <v>2.6246151605301998E-2</v>
      </c>
      <c r="AF158" s="8">
        <f>+Russia!AF124</f>
        <v>2.7670523835830817E-2</v>
      </c>
      <c r="AG158" s="8">
        <f>+Russia!AG124</f>
        <v>3.1225324205941676E-2</v>
      </c>
      <c r="AH158" s="8">
        <f>+Russia!AH124</f>
        <v>3.2325323114458945E-2</v>
      </c>
      <c r="AI158" s="8">
        <f>+Russia!AI124</f>
        <v>0.15218957911634998</v>
      </c>
      <c r="AJ158" s="8">
        <f>+Russia!AJ124</f>
        <v>0.23224512503272085</v>
      </c>
      <c r="AK158" s="8">
        <f>+Russia!AK124</f>
        <v>0.28745928192270181</v>
      </c>
      <c r="AL158" s="8">
        <f>+Russia!AL124</f>
        <v>0.32826567453933619</v>
      </c>
      <c r="AM158" s="8">
        <f>+Russia!AM124</f>
        <v>0.36095821175190224</v>
      </c>
      <c r="AN158" s="8">
        <f>+Russia!AN124</f>
        <v>0.38896751368017563</v>
      </c>
      <c r="AO158" s="8">
        <f>+Russia!AO124</f>
        <v>0.41419809802568558</v>
      </c>
      <c r="AP158" s="8">
        <f>+Russia!AP124</f>
        <v>0.43772289264073488</v>
      </c>
      <c r="AQ158" s="8">
        <f>+Russia!AQ124</f>
        <v>0.4601504682516005</v>
      </c>
      <c r="AR158" s="8">
        <f>+Russia!AR124</f>
        <v>0.48182680456336674</v>
      </c>
      <c r="AS158" s="8">
        <f>+Russia!AS124</f>
        <v>0.50294875434570163</v>
      </c>
      <c r="AT158" s="8">
        <f>+Russia!AT124</f>
        <v>0.52362853117282337</v>
      </c>
      <c r="AU158" s="8">
        <f>+Russia!AU124</f>
        <v>0.54393047700088415</v>
      </c>
      <c r="AV158" s="8">
        <f>+Russia!AV124</f>
        <v>0.5638920090163283</v>
      </c>
      <c r="AW158" s="8">
        <f>+Russia!AW124</f>
        <v>0.58353552074123993</v>
      </c>
      <c r="AX158" s="8">
        <f>+Russia!AX124</f>
        <v>0.60287511852243947</v>
      </c>
      <c r="AY158" s="8">
        <f>+Russia!AY124</f>
        <v>0.62192041788442631</v>
      </c>
      <c r="AZ158" s="8">
        <f>+Russia!AZ124</f>
        <v>0.6406786719389217</v>
      </c>
      <c r="BA158" s="8">
        <f>+Russia!BA124</f>
        <v>0.65915595701047758</v>
      </c>
      <c r="BB158" s="8">
        <f>+Russia!BB124</f>
        <v>0.67735782729275174</v>
      </c>
      <c r="BC158" s="8">
        <f>+Russia!BC124</f>
        <v>0.69528967152555743</v>
      </c>
      <c r="BD158" s="8">
        <f>+Russia!BD124</f>
        <v>0.7129569030265851</v>
      </c>
      <c r="BE158" s="8">
        <f>+Russia!BE124</f>
        <v>0.62552848486339796</v>
      </c>
      <c r="BF158" s="8">
        <f>+Russia!BF124</f>
        <v>0.500222852222588</v>
      </c>
      <c r="BG158" s="8">
        <f>+Russia!BG124</f>
        <v>0.32191497719899803</v>
      </c>
      <c r="BH158" s="8">
        <f>+Russia!BH124</f>
        <v>6.9518455255318343E-2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 x14ac:dyDescent="0.15">
      <c r="A159" s="12" t="s">
        <v>53</v>
      </c>
      <c r="B159" s="12">
        <f>+Eurasia!B124</f>
        <v>0.60192147686379238</v>
      </c>
      <c r="C159" s="207">
        <f>+Eurasia!C124</f>
        <v>0.36731683901123108</v>
      </c>
      <c r="D159" s="207">
        <f>+Eurasia!D124</f>
        <v>0.20305835069691791</v>
      </c>
      <c r="E159" s="207">
        <f>+Eurasia!E124</f>
        <v>0.12274056556398417</v>
      </c>
      <c r="F159" s="207">
        <f>+Eurasia!F124</f>
        <v>6.0438940728804014E-2</v>
      </c>
      <c r="G159" s="207">
        <f>+Eurasia!G124</f>
        <v>3.8602990427758846E-2</v>
      </c>
      <c r="H159" s="207">
        <f>+Eurasia!H124</f>
        <v>2.2922190695170538E-2</v>
      </c>
      <c r="I159" s="12">
        <f>+Eurasia!I124</f>
        <v>2.0535643183685552E-2</v>
      </c>
      <c r="J159" s="12">
        <f>+Eurasia!J124</f>
        <v>1.3090435384371444E-2</v>
      </c>
      <c r="K159" s="12">
        <f>+Eurasia!K124</f>
        <v>8.2179232908439395E-3</v>
      </c>
      <c r="L159" s="12">
        <f>+Eurasia!L124</f>
        <v>5.4184372005353304E-3</v>
      </c>
      <c r="M159" s="441">
        <f>+Eurasia!M124</f>
        <v>3.4837162187705511E-3</v>
      </c>
      <c r="N159" s="12">
        <f>+Eurasia!N124</f>
        <v>1.9200641786283874E-3</v>
      </c>
      <c r="O159" s="12">
        <f>+Eurasia!O124</f>
        <v>6.1898064702438761E-4</v>
      </c>
      <c r="P159" s="12">
        <f>+Eurasia!P124</f>
        <v>-4.4719114559859399E-4</v>
      </c>
      <c r="Q159" s="12">
        <f>+Eurasia!Q124</f>
        <v>-1.3547896428525027E-3</v>
      </c>
      <c r="R159" s="12">
        <f>+Eurasia!R124</f>
        <v>-2.1569163227114748E-3</v>
      </c>
      <c r="S159" s="12">
        <f>+Eurasia!S124</f>
        <v>-2.8470458727249252E-3</v>
      </c>
      <c r="T159" s="12">
        <f>+Eurasia!T124</f>
        <v>-3.4217658022331716E-3</v>
      </c>
      <c r="U159" s="12">
        <f>+Eurasia!U124</f>
        <v>-3.5477555736687675E-3</v>
      </c>
      <c r="V159" s="12">
        <f>+Eurasia!V124</f>
        <v>-3.8955070590450287E-3</v>
      </c>
      <c r="W159" s="12">
        <f>+Eurasia!W124</f>
        <v>-1.4051797862411355E-3</v>
      </c>
      <c r="X159" s="12">
        <f>+Eurasia!X124</f>
        <v>9.6848126288685843E-4</v>
      </c>
      <c r="Y159" s="12">
        <f>+Eurasia!Y124</f>
        <v>3.1653297364756744E-3</v>
      </c>
      <c r="Z159" s="12">
        <f>+Eurasia!Z124</f>
        <v>5.1170456990389584E-3</v>
      </c>
      <c r="AA159" s="12">
        <f>+Eurasia!AA124</f>
        <v>6.8424289688850497E-3</v>
      </c>
      <c r="AB159" s="12">
        <f>+Eurasia!AB124</f>
        <v>8.560985702427042E-3</v>
      </c>
      <c r="AC159" s="12">
        <f>+Eurasia!AC124</f>
        <v>1.0367435927667184E-2</v>
      </c>
      <c r="AD159" s="12">
        <f>+Eurasia!AD124</f>
        <v>1.2154373893296499E-2</v>
      </c>
      <c r="AE159" s="12">
        <f>+Eurasia!AE124</f>
        <v>1.38704234589571E-2</v>
      </c>
      <c r="AF159" s="12">
        <f>+Eurasia!AF124</f>
        <v>1.4519751869620226E-2</v>
      </c>
      <c r="AG159" s="12">
        <f>+Eurasia!AG124</f>
        <v>1.6384382000759402E-2</v>
      </c>
      <c r="AH159" s="12">
        <f>+Eurasia!AH124</f>
        <v>1.7002901635922645E-2</v>
      </c>
      <c r="AI159" s="12">
        <f>+Eurasia!AI124</f>
        <v>0.10734375032673876</v>
      </c>
      <c r="AJ159" s="12">
        <f>+Eurasia!AJ124</f>
        <v>0.17761589007557557</v>
      </c>
      <c r="AK159" s="12">
        <f>+Eurasia!AK124</f>
        <v>0.2257628808523639</v>
      </c>
      <c r="AL159" s="12">
        <f>+Eurasia!AL124</f>
        <v>0.26069854092571232</v>
      </c>
      <c r="AM159" s="12">
        <f>+Eurasia!AM124</f>
        <v>0.28823490791942935</v>
      </c>
      <c r="AN159" s="12">
        <f>+Eurasia!AN124</f>
        <v>0.31153172746745905</v>
      </c>
      <c r="AO159" s="12">
        <f>+Eurasia!AO124</f>
        <v>0.3323321201291673</v>
      </c>
      <c r="AP159" s="12">
        <f>+Eurasia!AP124</f>
        <v>0.35161359889834592</v>
      </c>
      <c r="AQ159" s="12">
        <f>+Eurasia!AQ124</f>
        <v>0.36992881268323885</v>
      </c>
      <c r="AR159" s="12">
        <f>+Eurasia!AR124</f>
        <v>0.38759111295582249</v>
      </c>
      <c r="AS159" s="12">
        <f>+Eurasia!AS124</f>
        <v>0.40477831281318088</v>
      </c>
      <c r="AT159" s="12">
        <f>+Eurasia!AT124</f>
        <v>0.42159144903115225</v>
      </c>
      <c r="AU159" s="12">
        <f>+Eurasia!AU124</f>
        <v>0.43808820707447571</v>
      </c>
      <c r="AV159" s="12">
        <f>+Eurasia!AV124</f>
        <v>0.45430193103461092</v>
      </c>
      <c r="AW159" s="12">
        <f>+Eurasia!AW124</f>
        <v>0.47025240824043663</v>
      </c>
      <c r="AX159" s="12">
        <f>+Eurasia!AX124</f>
        <v>0.48595196442665439</v>
      </c>
      <c r="AY159" s="12">
        <f>+Eurasia!AY124</f>
        <v>0.50140889241595599</v>
      </c>
      <c r="AZ159" s="12">
        <f>+Eurasia!AZ124</f>
        <v>0.51662936981046614</v>
      </c>
      <c r="BA159" s="12">
        <f>+Eurasia!BA124</f>
        <v>0.53161852369866658</v>
      </c>
      <c r="BB159" s="12">
        <f>+Eurasia!BB124</f>
        <v>0.5463810157414799</v>
      </c>
      <c r="BC159" s="12">
        <f>+Eurasia!BC124</f>
        <v>0.5609213586960432</v>
      </c>
      <c r="BD159" s="12">
        <f>+Eurasia!BD124</f>
        <v>0.57524408323537812</v>
      </c>
      <c r="BE159" s="12">
        <f>+Eurasia!BE124</f>
        <v>0.50475799698882795</v>
      </c>
      <c r="BF159" s="12">
        <f>+Eurasia!BF124</f>
        <v>0.40367635860055012</v>
      </c>
      <c r="BG159" s="12">
        <f>+Eurasia!BG124</f>
        <v>0.25980074724084218</v>
      </c>
      <c r="BH159" s="12">
        <f>+Eurasia!BH124</f>
        <v>5.6108311582030418E-2</v>
      </c>
      <c r="BI159" s="12">
        <f>+Eurasia!BI124</f>
        <v>0</v>
      </c>
    </row>
    <row r="160" spans="1:309" x14ac:dyDescent="0.15">
      <c r="A160" s="12" t="s">
        <v>54</v>
      </c>
      <c r="B160" s="12">
        <f>+China!B124</f>
        <v>0.48514949840032612</v>
      </c>
      <c r="C160" s="207">
        <f>+China!C124</f>
        <v>0.42058472889531207</v>
      </c>
      <c r="D160" s="207">
        <f>+China!D124</f>
        <v>0.38313544863605559</v>
      </c>
      <c r="E160" s="207">
        <f>+China!E124</f>
        <v>0.23413980581993837</v>
      </c>
      <c r="F160" s="207">
        <f>+China!F124</f>
        <v>0.15646115240149497</v>
      </c>
      <c r="G160" s="207">
        <f>+China!G124</f>
        <v>0.10317743830256426</v>
      </c>
      <c r="H160" s="207">
        <f>+China!H124</f>
        <v>7.433667407621046E-2</v>
      </c>
      <c r="I160" s="12">
        <f>+China!I124</f>
        <v>7.1501551734375043E-2</v>
      </c>
      <c r="J160" s="12">
        <f>+China!J124</f>
        <v>5.4440731876457621E-2</v>
      </c>
      <c r="K160" s="12">
        <f>+China!K124</f>
        <v>4.2580525729376019E-2</v>
      </c>
      <c r="L160" s="12">
        <f>+China!L124</f>
        <v>3.4815538803712423E-2</v>
      </c>
      <c r="M160" s="441">
        <f>+China!M124</f>
        <v>2.9131128720020525E-2</v>
      </c>
      <c r="N160" s="12">
        <f>+China!N124</f>
        <v>2.4749598510853243E-2</v>
      </c>
      <c r="O160" s="12">
        <f>+China!O124</f>
        <v>2.1203595324354205E-2</v>
      </c>
      <c r="P160" s="12">
        <f>+China!P124</f>
        <v>1.8322131678206319E-2</v>
      </c>
      <c r="Q160" s="12">
        <f>+China!Q124</f>
        <v>1.606977163255785E-2</v>
      </c>
      <c r="R160" s="12">
        <f>+China!R124</f>
        <v>1.4346583488151045E-2</v>
      </c>
      <c r="S160" s="12">
        <f>+China!S124</f>
        <v>1.3127349808148864E-2</v>
      </c>
      <c r="T160" s="12">
        <f>+China!T124</f>
        <v>1.1400902724524637E-2</v>
      </c>
      <c r="U160" s="12">
        <f>+China!U124</f>
        <v>9.7383525167694541E-3</v>
      </c>
      <c r="V160" s="12">
        <f>+China!V124</f>
        <v>8.2631904042684383E-3</v>
      </c>
      <c r="W160" s="12">
        <f>+China!W124</f>
        <v>1.9914506876128397E-2</v>
      </c>
      <c r="X160" s="12">
        <f>+China!X124</f>
        <v>3.1726651640957892E-2</v>
      </c>
      <c r="Y160" s="12">
        <f>+China!Y124</f>
        <v>4.387934212118208E-2</v>
      </c>
      <c r="Z160" s="12">
        <f>+China!Z124</f>
        <v>5.6294800770920035E-2</v>
      </c>
      <c r="AA160" s="12">
        <f>+China!AA124</f>
        <v>6.889922010026045E-2</v>
      </c>
      <c r="AB160" s="12">
        <f>+China!AB124</f>
        <v>8.1766506478360673E-2</v>
      </c>
      <c r="AC160" s="12">
        <f>+China!AC124</f>
        <v>9.514252913505751E-2</v>
      </c>
      <c r="AD160" s="12">
        <f>+China!AD124</f>
        <v>0.10881678662630692</v>
      </c>
      <c r="AE160" s="12">
        <f>+China!AE124</f>
        <v>0.1220680255725433</v>
      </c>
      <c r="AF160" s="12">
        <f>+China!AF124</f>
        <v>0.1308978244441836</v>
      </c>
      <c r="AG160" s="12">
        <f>+China!AG124</f>
        <v>0.14775867955562186</v>
      </c>
      <c r="AH160" s="12">
        <f>+China!AH124</f>
        <v>0.15739673450961753</v>
      </c>
      <c r="AI160" s="12">
        <f>+China!AI124</f>
        <v>1.0868418816915053</v>
      </c>
      <c r="AJ160" s="12">
        <f>+China!AJ124</f>
        <v>1.8348125680202683</v>
      </c>
      <c r="AK160" s="12">
        <f>+China!AK124</f>
        <v>2.3131375421938953</v>
      </c>
      <c r="AL160" s="12">
        <f>+China!AL124</f>
        <v>2.6411411298874179</v>
      </c>
      <c r="AM160" s="12">
        <f>+China!AM124</f>
        <v>2.8891388655275723</v>
      </c>
      <c r="AN160" s="12">
        <f>+China!AN124</f>
        <v>3.0930768392672947</v>
      </c>
      <c r="AO160" s="12">
        <f>+China!AO124</f>
        <v>3.2719483050381104</v>
      </c>
      <c r="AP160" s="12">
        <f>+China!AP124</f>
        <v>3.4360464456952502</v>
      </c>
      <c r="AQ160" s="12">
        <f>+China!AQ124</f>
        <v>3.5910214459795364</v>
      </c>
      <c r="AR160" s="12">
        <f>+China!AR124</f>
        <v>3.7399928290242079</v>
      </c>
      <c r="AS160" s="12">
        <f>+China!AS124</f>
        <v>3.8846878197629739</v>
      </c>
      <c r="AT160" s="12">
        <f>+China!AT124</f>
        <v>4.0260655145333883</v>
      </c>
      <c r="AU160" s="12">
        <f>+China!AU124</f>
        <v>4.1646616399269956</v>
      </c>
      <c r="AV160" s="12">
        <f>+China!AV124</f>
        <v>4.3007793705810968</v>
      </c>
      <c r="AW160" s="12">
        <f>+China!AW124</f>
        <v>4.4345948706480955</v>
      </c>
      <c r="AX160" s="12">
        <f>+China!AX124</f>
        <v>4.5662155442482923</v>
      </c>
      <c r="AY160" s="12">
        <f>+China!AY124</f>
        <v>4.6957120876144494</v>
      </c>
      <c r="AZ160" s="12">
        <f>+China!AZ124</f>
        <v>4.823136057612941</v>
      </c>
      <c r="BA160" s="12">
        <f>+China!BA124</f>
        <v>4.9485294528769508</v>
      </c>
      <c r="BB160" s="12">
        <f>+China!BB124</f>
        <v>5.0719299016396864</v>
      </c>
      <c r="BC160" s="12">
        <f>+China!BC124</f>
        <v>5.1933734395073774</v>
      </c>
      <c r="BD160" s="12">
        <f>+China!BD124</f>
        <v>5.3128959685527235</v>
      </c>
      <c r="BE160" s="12">
        <f>+China!BE124</f>
        <v>4.7330732584238708</v>
      </c>
      <c r="BF160" s="12">
        <f>+China!BF124</f>
        <v>3.9020152467739435</v>
      </c>
      <c r="BG160" s="12">
        <f>+China!BG124</f>
        <v>2.7196845016872926</v>
      </c>
      <c r="BH160" s="12">
        <f>+China!BH124</f>
        <v>1.0466797393910097</v>
      </c>
      <c r="BI160" s="12">
        <f>+China!BI124</f>
        <v>0</v>
      </c>
    </row>
    <row r="161" spans="1:61" x14ac:dyDescent="0.15">
      <c r="A161" s="12" t="s">
        <v>55</v>
      </c>
      <c r="B161" s="12">
        <f>+India!B124</f>
        <v>0.26282248101341321</v>
      </c>
      <c r="C161" s="207">
        <f>+India!C124</f>
        <v>0.25145390782829641</v>
      </c>
      <c r="D161" s="207">
        <f>+India!D124</f>
        <v>0.21689701209588536</v>
      </c>
      <c r="E161" s="207">
        <f>+India!E124</f>
        <v>0.18909443916215482</v>
      </c>
      <c r="F161" s="207">
        <f>+India!F124</f>
        <v>0.10029041540594216</v>
      </c>
      <c r="G161" s="207">
        <f>+India!G124</f>
        <v>7.5587239884656474E-2</v>
      </c>
      <c r="H161" s="207">
        <f>+India!H124</f>
        <v>6.1776977314485379E-2</v>
      </c>
      <c r="I161" s="12">
        <f>+India!I124</f>
        <v>5.6942538947138716E-2</v>
      </c>
      <c r="J161" s="12">
        <f>+India!J124</f>
        <v>4.8734246563708221E-2</v>
      </c>
      <c r="K161" s="12">
        <f>+India!K124</f>
        <v>4.3942964797214899E-2</v>
      </c>
      <c r="L161" s="12">
        <f>+India!L124</f>
        <v>3.8821237832530213E-2</v>
      </c>
      <c r="M161" s="441">
        <f>+India!M124</f>
        <v>3.5280523419825675E-2</v>
      </c>
      <c r="N161" s="12">
        <f>+India!N124</f>
        <v>3.2132228293630688E-2</v>
      </c>
      <c r="O161" s="12">
        <f>+India!O124</f>
        <v>3.0690583125410471E-2</v>
      </c>
      <c r="P161" s="12">
        <f>+India!P124</f>
        <v>2.9644607176560436E-2</v>
      </c>
      <c r="Q161" s="12">
        <f>+India!Q124</f>
        <v>2.8888557339960381E-2</v>
      </c>
      <c r="R161" s="12">
        <f>+India!R124</f>
        <v>2.8431585933356353E-2</v>
      </c>
      <c r="S161" s="12">
        <f>+India!S124</f>
        <v>2.8117838125114088E-2</v>
      </c>
      <c r="T161" s="12">
        <f>+India!T124</f>
        <v>2.6750848775816041E-2</v>
      </c>
      <c r="U161" s="12">
        <f>+India!U124</f>
        <v>2.6749905932685128E-2</v>
      </c>
      <c r="V161" s="12">
        <f>+India!V124</f>
        <v>2.7025808131727763E-2</v>
      </c>
      <c r="W161" s="12">
        <f>+India!W124</f>
        <v>3.0147643134884217E-2</v>
      </c>
      <c r="X161" s="12">
        <f>+India!X124</f>
        <v>3.3340864975236272E-2</v>
      </c>
      <c r="Y161" s="12">
        <f>+India!Y124</f>
        <v>3.6887701307913877E-2</v>
      </c>
      <c r="Z161" s="12">
        <f>+India!Z124</f>
        <v>4.0929534902667646E-2</v>
      </c>
      <c r="AA161" s="12">
        <f>+India!AA124</f>
        <v>4.5412458530095359E-2</v>
      </c>
      <c r="AB161" s="12">
        <f>+India!AB124</f>
        <v>5.0277874156044913E-2</v>
      </c>
      <c r="AC161" s="12">
        <f>+India!AC124</f>
        <v>5.4702086602450482E-2</v>
      </c>
      <c r="AD161" s="12">
        <f>+India!AD124</f>
        <v>5.9129632200232166E-2</v>
      </c>
      <c r="AE161" s="12">
        <f>+India!AE124</f>
        <v>6.2186580000856397E-2</v>
      </c>
      <c r="AF161" s="12">
        <f>+India!AF124</f>
        <v>5.9143635423221583E-2</v>
      </c>
      <c r="AG161" s="12">
        <f>+India!AG124</f>
        <v>6.4993679671612389E-2</v>
      </c>
      <c r="AH161" s="12">
        <f>+India!AH124</f>
        <v>7.0096802051412638E-2</v>
      </c>
      <c r="AI161" s="12">
        <f>+India!AI124</f>
        <v>0.85990474876123979</v>
      </c>
      <c r="AJ161" s="12">
        <f>+India!AJ124</f>
        <v>1.6918826114421321</v>
      </c>
      <c r="AK161" s="12">
        <f>+India!AK124</f>
        <v>2.2252374707786604</v>
      </c>
      <c r="AL161" s="12">
        <f>+India!AL124</f>
        <v>2.5650141296809394</v>
      </c>
      <c r="AM161" s="12">
        <f>+India!AM124</f>
        <v>2.8012824730382535</v>
      </c>
      <c r="AN161" s="12">
        <f>+India!AN124</f>
        <v>2.9813266331574138</v>
      </c>
      <c r="AO161" s="12">
        <f>+India!AO124</f>
        <v>3.1300484365688996</v>
      </c>
      <c r="AP161" s="12">
        <f>+India!AP124</f>
        <v>3.2608639568571975</v>
      </c>
      <c r="AQ161" s="12">
        <f>+India!AQ124</f>
        <v>3.3811095062913448</v>
      </c>
      <c r="AR161" s="12">
        <f>+India!AR124</f>
        <v>3.4948311369353413</v>
      </c>
      <c r="AS161" s="12">
        <f>+India!AS124</f>
        <v>3.6042726335814637</v>
      </c>
      <c r="AT161" s="12">
        <f>+India!AT124</f>
        <v>3.7106850096172583</v>
      </c>
      <c r="AU161" s="12">
        <f>+India!AU124</f>
        <v>3.8147714046816805</v>
      </c>
      <c r="AV161" s="12">
        <f>+India!AV124</f>
        <v>3.9169327322985805</v>
      </c>
      <c r="AW161" s="12">
        <f>+India!AW124</f>
        <v>4.0174035142994864</v>
      </c>
      <c r="AX161" s="12">
        <f>+India!AX124</f>
        <v>4.1163269702395375</v>
      </c>
      <c r="AY161" s="12">
        <f>+India!AY124</f>
        <v>4.2137964686216636</v>
      </c>
      <c r="AZ161" s="12">
        <f>+India!AZ124</f>
        <v>4.3098783570781434</v>
      </c>
      <c r="BA161" s="12">
        <f>+India!BA124</f>
        <v>4.4046244964118761</v>
      </c>
      <c r="BB161" s="12">
        <f>+India!BB124</f>
        <v>4.4980791111328458</v>
      </c>
      <c r="BC161" s="12">
        <f>+India!BC124</f>
        <v>4.5902825093150996</v>
      </c>
      <c r="BD161" s="12">
        <f>+India!BD124</f>
        <v>4.6812730824390671</v>
      </c>
      <c r="BE161" s="12">
        <f>+India!BE124</f>
        <v>4.3225116418929383</v>
      </c>
      <c r="BF161" s="12">
        <f>+India!BF124</f>
        <v>3.8013790342738463</v>
      </c>
      <c r="BG161" s="12">
        <f>+India!BG124</f>
        <v>3.0529528829219337</v>
      </c>
      <c r="BH161" s="12">
        <f>+India!BH124</f>
        <v>1.9868017187083793</v>
      </c>
      <c r="BI161" s="12">
        <f>+India!BI124</f>
        <v>0.47662285647934494</v>
      </c>
    </row>
    <row r="162" spans="1:61" x14ac:dyDescent="0.15">
      <c r="A162" s="12" t="s">
        <v>56</v>
      </c>
      <c r="B162" s="12">
        <f>+MidEast!B124</f>
        <v>0.28461117512839895</v>
      </c>
      <c r="C162" s="207">
        <f>+MidEast!C124</f>
        <v>0.24945660288561047</v>
      </c>
      <c r="D162" s="207">
        <f>+MidEast!D124</f>
        <v>0.23105005744895576</v>
      </c>
      <c r="E162" s="207">
        <f>+MidEast!E124</f>
        <v>0.20313825693076035</v>
      </c>
      <c r="F162" s="207">
        <f>+MidEast!F124</f>
        <v>0.17999911344289629</v>
      </c>
      <c r="G162" s="207">
        <f>+MidEast!G124</f>
        <v>7.897674554352685E-2</v>
      </c>
      <c r="H162" s="207">
        <f>+MidEast!H124</f>
        <v>6.3382173775644285E-2</v>
      </c>
      <c r="I162" s="12">
        <f>+MidEast!I124</f>
        <v>5.9458403426002698E-2</v>
      </c>
      <c r="J162" s="12">
        <f>+MidEast!J124</f>
        <v>5.0240715291917364E-2</v>
      </c>
      <c r="K162" s="12">
        <f>+MidEast!K124</f>
        <v>4.2300060075849917E-2</v>
      </c>
      <c r="L162" s="12">
        <f>+MidEast!L124</f>
        <v>3.9582828422075569E-2</v>
      </c>
      <c r="M162" s="441">
        <f>+MidEast!M124</f>
        <v>3.4886306509471443E-2</v>
      </c>
      <c r="N162" s="12">
        <f>+MidEast!N124</f>
        <v>3.1192754550478256E-2</v>
      </c>
      <c r="O162" s="12">
        <f>+MidEast!O124</f>
        <v>2.9198483173808111E-2</v>
      </c>
      <c r="P162" s="12">
        <f>+MidEast!P124</f>
        <v>2.8563784040229964E-2</v>
      </c>
      <c r="Q162" s="12">
        <f>+MidEast!Q124</f>
        <v>2.7071221296984083E-2</v>
      </c>
      <c r="R162" s="12">
        <f>+MidEast!R124</f>
        <v>2.6102651730859981E-2</v>
      </c>
      <c r="S162" s="12">
        <f>+MidEast!S124</f>
        <v>2.5266111932222515E-2</v>
      </c>
      <c r="T162" s="12">
        <f>+MidEast!T124</f>
        <v>2.4369718373085849E-2</v>
      </c>
      <c r="U162" s="12">
        <f>+MidEast!U124</f>
        <v>2.2571716624621048E-2</v>
      </c>
      <c r="V162" s="12">
        <f>+MidEast!V124</f>
        <v>2.2095429548737833E-2</v>
      </c>
      <c r="W162" s="12">
        <f>+MidEast!W124</f>
        <v>2.5823516095811162E-2</v>
      </c>
      <c r="X162" s="12">
        <f>+MidEast!X124</f>
        <v>2.8570260011399576E-2</v>
      </c>
      <c r="Y162" s="12">
        <f>+MidEast!Y124</f>
        <v>3.1117953341330981E-2</v>
      </c>
      <c r="Z162" s="12">
        <f>+MidEast!Z124</f>
        <v>3.3934841346451701E-2</v>
      </c>
      <c r="AA162" s="12">
        <f>+MidEast!AA124</f>
        <v>3.6436737518900773E-2</v>
      </c>
      <c r="AB162" s="12">
        <f>+MidEast!AB124</f>
        <v>3.9772718540230165E-2</v>
      </c>
      <c r="AC162" s="12">
        <f>+MidEast!AC124</f>
        <v>4.1279871302982225E-2</v>
      </c>
      <c r="AD162" s="12">
        <f>+MidEast!AD124</f>
        <v>4.2870054189878735E-2</v>
      </c>
      <c r="AE162" s="12">
        <f>+MidEast!AE124</f>
        <v>4.3912553475337096E-2</v>
      </c>
      <c r="AF162" s="12">
        <f>+MidEast!AF124</f>
        <v>4.3133931318126796E-2</v>
      </c>
      <c r="AG162" s="12">
        <f>+MidEast!AG124</f>
        <v>4.5540951197482006E-2</v>
      </c>
      <c r="AH162" s="12">
        <f>+MidEast!AH124</f>
        <v>4.8420011908010416E-2</v>
      </c>
      <c r="AI162" s="12">
        <f>+MidEast!AI124</f>
        <v>0.65495189674523469</v>
      </c>
      <c r="AJ162" s="12">
        <f>+MidEast!AJ124</f>
        <v>1.3219274747291416</v>
      </c>
      <c r="AK162" s="12">
        <f>+MidEast!AK124</f>
        <v>1.7503878415622469</v>
      </c>
      <c r="AL162" s="12">
        <f>+MidEast!AL124</f>
        <v>2.0232311451870597</v>
      </c>
      <c r="AM162" s="12">
        <f>+MidEast!AM124</f>
        <v>2.2129241096900198</v>
      </c>
      <c r="AN162" s="12">
        <f>+MidEast!AN124</f>
        <v>2.3574937209712141</v>
      </c>
      <c r="AO162" s="12">
        <f>+MidEast!AO124</f>
        <v>2.4769512966953595</v>
      </c>
      <c r="AP162" s="12">
        <f>+MidEast!AP124</f>
        <v>2.5820794718693523</v>
      </c>
      <c r="AQ162" s="12">
        <f>+MidEast!AQ124</f>
        <v>2.6787772806980263</v>
      </c>
      <c r="AR162" s="12">
        <f>+MidEast!AR124</f>
        <v>2.7702992183876631</v>
      </c>
      <c r="AS162" s="12">
        <f>+MidEast!AS124</f>
        <v>2.8584496826928802</v>
      </c>
      <c r="AT162" s="12">
        <f>+MidEast!AT124</f>
        <v>2.9442332893231882</v>
      </c>
      <c r="AU162" s="12">
        <f>+MidEast!AU124</f>
        <v>3.0282126941576668</v>
      </c>
      <c r="AV162" s="12">
        <f>+MidEast!AV124</f>
        <v>3.1107064232448711</v>
      </c>
      <c r="AW162" s="12">
        <f>+MidEast!AW124</f>
        <v>3.1918984239127535</v>
      </c>
      <c r="AX162" s="12">
        <f>+MidEast!AX124</f>
        <v>3.2718987226533964</v>
      </c>
      <c r="AY162" s="12">
        <f>+MidEast!AY124</f>
        <v>3.3507769734977533</v>
      </c>
      <c r="AZ162" s="12">
        <f>+MidEast!AZ124</f>
        <v>3.4285809793475952</v>
      </c>
      <c r="BA162" s="12">
        <f>+MidEast!BA124</f>
        <v>3.5053468919077244</v>
      </c>
      <c r="BB162" s="12">
        <f>+MidEast!BB124</f>
        <v>3.5811048097384246</v>
      </c>
      <c r="BC162" s="12">
        <f>+MidEast!BC124</f>
        <v>3.6558818352606806</v>
      </c>
      <c r="BD162" s="12">
        <f>+MidEast!BD124</f>
        <v>3.7297037309125707</v>
      </c>
      <c r="BE162" s="12">
        <f>+MidEast!BE124</f>
        <v>3.4213514833617928</v>
      </c>
      <c r="BF162" s="12">
        <f>+MidEast!BF124</f>
        <v>2.9753602175496305</v>
      </c>
      <c r="BG162" s="12">
        <f>+MidEast!BG124</f>
        <v>2.3366290022262861</v>
      </c>
      <c r="BH162" s="12">
        <f>+MidEast!BH124</f>
        <v>1.4284629190428375</v>
      </c>
      <c r="BI162" s="12">
        <f>+MidEast!BI124</f>
        <v>0.14377448612469501</v>
      </c>
    </row>
    <row r="163" spans="1:61" x14ac:dyDescent="0.15">
      <c r="A163" s="12" t="s">
        <v>57</v>
      </c>
      <c r="B163" s="12">
        <f>+Africa!B124</f>
        <v>0.31819492120877468</v>
      </c>
      <c r="C163" s="207">
        <f>+Africa!C124</f>
        <v>0.21706058143238599</v>
      </c>
      <c r="D163" s="207">
        <f>+Africa!D124</f>
        <v>0.17939277613857282</v>
      </c>
      <c r="E163" s="207">
        <f>+Africa!E124</f>
        <v>0.14945607407338213</v>
      </c>
      <c r="F163" s="207">
        <f>+Africa!F124</f>
        <v>0.12883495927338756</v>
      </c>
      <c r="G163" s="207">
        <f>+Africa!G124</f>
        <v>0.11417153194325561</v>
      </c>
      <c r="H163" s="207">
        <f>+Africa!H124</f>
        <v>0.10466573929137593</v>
      </c>
      <c r="I163" s="12">
        <f>+Africa!I124</f>
        <v>4.0555892765506828E-2</v>
      </c>
      <c r="J163" s="12">
        <f>+Africa!J124</f>
        <v>3.3881569490397924E-2</v>
      </c>
      <c r="K163" s="12">
        <f>+Africa!K124</f>
        <v>3.0407169206321954E-2</v>
      </c>
      <c r="L163" s="12">
        <f>+Africa!L124</f>
        <v>2.6992792869996014E-2</v>
      </c>
      <c r="M163" s="441">
        <f>+Africa!M124</f>
        <v>2.4330399042151576E-2</v>
      </c>
      <c r="N163" s="12">
        <f>+Africa!N124</f>
        <v>2.2375321992839783E-2</v>
      </c>
      <c r="O163" s="12">
        <f>+Africa!O124</f>
        <v>2.0748261259296939E-2</v>
      </c>
      <c r="P163" s="12">
        <f>+Africa!P124</f>
        <v>1.9633119760460407E-2</v>
      </c>
      <c r="Q163" s="12">
        <f>+Africa!Q124</f>
        <v>1.8763097435561031E-2</v>
      </c>
      <c r="R163" s="12">
        <f>+Africa!R124</f>
        <v>1.8106040196468491E-2</v>
      </c>
      <c r="S163" s="12">
        <f>+Africa!S124</f>
        <v>1.7630946658254987E-2</v>
      </c>
      <c r="T163" s="12">
        <f>+Africa!T124</f>
        <v>1.7097886988070694E-2</v>
      </c>
      <c r="U163" s="12">
        <f>+Africa!U124</f>
        <v>1.6295062808173603E-2</v>
      </c>
      <c r="V163" s="12">
        <f>+Africa!V124</f>
        <v>1.5982350508303985E-2</v>
      </c>
      <c r="W163" s="12">
        <f>+Africa!W124</f>
        <v>1.7177292523721768E-2</v>
      </c>
      <c r="X163" s="12">
        <f>+Africa!X124</f>
        <v>1.8904432349181745E-2</v>
      </c>
      <c r="Y163" s="12">
        <f>+Africa!Y124</f>
        <v>2.0394021671168053E-2</v>
      </c>
      <c r="Z163" s="12">
        <f>+Africa!Z124</f>
        <v>2.1799421227350121E-2</v>
      </c>
      <c r="AA163" s="12">
        <f>+Africa!AA124</f>
        <v>2.31172703440094E-2</v>
      </c>
      <c r="AB163" s="12">
        <f>+Africa!AB124</f>
        <v>2.4144843203111551E-2</v>
      </c>
      <c r="AC163" s="12">
        <f>+Africa!AC124</f>
        <v>2.5467685790192689E-2</v>
      </c>
      <c r="AD163" s="12">
        <f>+Africa!AD124</f>
        <v>2.6705800887979469E-2</v>
      </c>
      <c r="AE163" s="12">
        <f>+Africa!AE124</f>
        <v>2.7776557853885168E-2</v>
      </c>
      <c r="AF163" s="12">
        <f>+Africa!AF124</f>
        <v>2.7451058573483768E-2</v>
      </c>
      <c r="AG163" s="12">
        <f>+Africa!AG124</f>
        <v>2.89320107032244E-2</v>
      </c>
      <c r="AH163" s="12">
        <f>+Africa!AH124</f>
        <v>3.0233956853222315E-2</v>
      </c>
      <c r="AI163" s="12">
        <f>+Africa!AI124</f>
        <v>0.44955974588070297</v>
      </c>
      <c r="AJ163" s="12">
        <f>+Africa!AJ124</f>
        <v>0.93146910447477038</v>
      </c>
      <c r="AK163" s="12">
        <f>+Africa!AK124</f>
        <v>1.2411179609281828</v>
      </c>
      <c r="AL163" s="12">
        <f>+Africa!AL124</f>
        <v>1.4367185179136688</v>
      </c>
      <c r="AM163" s="12">
        <f>+Africa!AM124</f>
        <v>1.5717766136600497</v>
      </c>
      <c r="AN163" s="12">
        <f>+Africa!AN124</f>
        <v>1.6741640722643023</v>
      </c>
      <c r="AO163" s="12">
        <f>+Africa!AO124</f>
        <v>1.7584378874267703</v>
      </c>
      <c r="AP163" s="12">
        <f>+Africa!AP124</f>
        <v>1.8323939456427516</v>
      </c>
      <c r="AQ163" s="12">
        <f>+Africa!AQ124</f>
        <v>1.900275141002197</v>
      </c>
      <c r="AR163" s="12">
        <f>+Africa!AR124</f>
        <v>1.9644118148750997</v>
      </c>
      <c r="AS163" s="12">
        <f>+Africa!AS124</f>
        <v>2.0260913139369214</v>
      </c>
      <c r="AT163" s="12">
        <f>+Africa!AT124</f>
        <v>2.0860287496930052</v>
      </c>
      <c r="AU163" s="12">
        <f>+Africa!AU124</f>
        <v>2.1446246490973451</v>
      </c>
      <c r="AV163" s="12">
        <f>+Africa!AV124</f>
        <v>2.2021066648085035</v>
      </c>
      <c r="AW163" s="12">
        <f>+Africa!AW124</f>
        <v>2.2586076405568236</v>
      </c>
      <c r="AX163" s="12">
        <f>+Africa!AX124</f>
        <v>2.3142086022871493</v>
      </c>
      <c r="AY163" s="12">
        <f>+Africa!AY124</f>
        <v>2.3689623981002397</v>
      </c>
      <c r="AZ163" s="12">
        <f>+Africa!AZ124</f>
        <v>2.4229066656181595</v>
      </c>
      <c r="BA163" s="12">
        <f>+Africa!BA124</f>
        <v>2.4760709204357703</v>
      </c>
      <c r="BB163" s="12">
        <f>+Africa!BB124</f>
        <v>2.5284804120533688</v>
      </c>
      <c r="BC163" s="12">
        <f>+Africa!BC124</f>
        <v>2.5801582065073592</v>
      </c>
      <c r="BD163" s="12">
        <f>+Africa!BD124</f>
        <v>2.6311262989991246</v>
      </c>
      <c r="BE163" s="12">
        <f>+Africa!BE124</f>
        <v>2.4293009528151384</v>
      </c>
      <c r="BF163" s="12">
        <f>+Africa!BF124</f>
        <v>2.136203187677149</v>
      </c>
      <c r="BG163" s="12">
        <f>+Africa!BG124</f>
        <v>1.715437663219417</v>
      </c>
      <c r="BH163" s="12">
        <f>+Africa!BH124</f>
        <v>1.1162521042703479</v>
      </c>
      <c r="BI163" s="12">
        <f>+Africa!BI124</f>
        <v>0.26775351799869884</v>
      </c>
    </row>
    <row r="164" spans="1:61" x14ac:dyDescent="0.15">
      <c r="A164" s="12" t="s">
        <v>58</v>
      </c>
      <c r="B164" s="12">
        <f>+LatAm!B124</f>
        <v>0.39636108079041299</v>
      </c>
      <c r="C164" s="207">
        <f>+LatAm!C124</f>
        <v>0.33899153374093355</v>
      </c>
      <c r="D164" s="207">
        <f>+LatAm!D124</f>
        <v>0.30401508976940378</v>
      </c>
      <c r="E164" s="207">
        <f>+LatAm!E124</f>
        <v>0.21274405232047183</v>
      </c>
      <c r="F164" s="207">
        <f>+LatAm!F124</f>
        <v>0.16419760075122666</v>
      </c>
      <c r="G164" s="207">
        <f>+LatAm!G124</f>
        <v>0.12509626290733819</v>
      </c>
      <c r="H164" s="207">
        <f>+LatAm!H124</f>
        <v>0.10560991425835677</v>
      </c>
      <c r="I164" s="12">
        <f>+LatAm!I124</f>
        <v>0.10233582512269443</v>
      </c>
      <c r="J164" s="12">
        <f>+LatAm!J124</f>
        <v>8.9615965838267697E-2</v>
      </c>
      <c r="K164" s="12">
        <f>+LatAm!K124</f>
        <v>7.8214677132253788E-2</v>
      </c>
      <c r="L164" s="12">
        <f>+LatAm!L124</f>
        <v>7.1838695253641199E-2</v>
      </c>
      <c r="M164" s="441">
        <f>+LatAm!M124</f>
        <v>6.4748544119389281E-2</v>
      </c>
      <c r="N164" s="12">
        <f>+LatAm!N124</f>
        <v>5.8993240418251498E-2</v>
      </c>
      <c r="O164" s="12">
        <f>+LatAm!O124</f>
        <v>5.5190316726360961E-2</v>
      </c>
      <c r="P164" s="12">
        <f>+LatAm!P124</f>
        <v>5.3432295442953755E-2</v>
      </c>
      <c r="Q164" s="12">
        <f>+LatAm!Q124</f>
        <v>5.1419408914609395E-2</v>
      </c>
      <c r="R164" s="12">
        <f>+LatAm!R124</f>
        <v>5.039686026513876E-2</v>
      </c>
      <c r="S164" s="12">
        <f>+LatAm!S124</f>
        <v>4.9684149797933279E-2</v>
      </c>
      <c r="T164" s="12">
        <f>+LatAm!T124</f>
        <v>4.841638003766751E-2</v>
      </c>
      <c r="U164" s="12">
        <f>+LatAm!U124</f>
        <v>4.4544425968220377E-2</v>
      </c>
      <c r="V164" s="12">
        <f>+LatAm!V124</f>
        <v>4.4862262888436762E-2</v>
      </c>
      <c r="W164" s="12">
        <f>+LatAm!W124</f>
        <v>4.8705207361164127E-2</v>
      </c>
      <c r="X164" s="12">
        <f>+LatAm!X124</f>
        <v>5.1628965863611181E-2</v>
      </c>
      <c r="Y164" s="12">
        <f>+LatAm!Y124</f>
        <v>5.4499643940171955E-2</v>
      </c>
      <c r="Z164" s="12">
        <f>+LatAm!Z124</f>
        <v>5.6570257617375691E-2</v>
      </c>
      <c r="AA164" s="12">
        <f>+LatAm!AA124</f>
        <v>5.7959915426173028E-2</v>
      </c>
      <c r="AB164" s="12">
        <f>+LatAm!AB124</f>
        <v>5.8774812030053226E-2</v>
      </c>
      <c r="AC164" s="12">
        <f>+LatAm!AC124</f>
        <v>6.0673751494777398E-2</v>
      </c>
      <c r="AD164" s="12">
        <f>+LatAm!AD124</f>
        <v>6.2357163558544593E-2</v>
      </c>
      <c r="AE164" s="12">
        <f>+LatAm!AE124</f>
        <v>6.3311123612483561E-2</v>
      </c>
      <c r="AF164" s="12">
        <f>+LatAm!AF124</f>
        <v>5.9409667620949375E-2</v>
      </c>
      <c r="AG164" s="12">
        <f>+LatAm!AG124</f>
        <v>6.4033449714983884E-2</v>
      </c>
      <c r="AH164" s="12">
        <f>+LatAm!AH124</f>
        <v>6.6745169675709856E-2</v>
      </c>
      <c r="AI164" s="12">
        <f>+LatAm!AI124</f>
        <v>0.64106131988022386</v>
      </c>
      <c r="AJ164" s="12">
        <f>+LatAm!AJ124</f>
        <v>1.1675668402552088</v>
      </c>
      <c r="AK164" s="12">
        <f>+LatAm!AK124</f>
        <v>1.4940825134722169</v>
      </c>
      <c r="AL164" s="12">
        <f>+LatAm!AL124</f>
        <v>1.7001057500841756</v>
      </c>
      <c r="AM164" s="12">
        <f>+LatAm!AM124</f>
        <v>1.8420628637869421</v>
      </c>
      <c r="AN164" s="12">
        <f>+LatAm!AN124</f>
        <v>1.9493097130401413</v>
      </c>
      <c r="AO164" s="12">
        <f>+LatAm!AO124</f>
        <v>2.0372901613151395</v>
      </c>
      <c r="AP164" s="12">
        <f>+LatAm!AP124</f>
        <v>2.1143132524321859</v>
      </c>
      <c r="AQ164" s="12">
        <f>+LatAm!AQ124</f>
        <v>2.1849139255738526</v>
      </c>
      <c r="AR164" s="12">
        <f>+LatAm!AR124</f>
        <v>2.2515881598980947</v>
      </c>
      <c r="AS164" s="12">
        <f>+LatAm!AS124</f>
        <v>2.3157175989008354</v>
      </c>
      <c r="AT164" s="12">
        <f>+LatAm!AT124</f>
        <v>2.3780714868156698</v>
      </c>
      <c r="AU164" s="12">
        <f>+LatAm!AU124</f>
        <v>2.4390818048109972</v>
      </c>
      <c r="AV164" s="12">
        <f>+LatAm!AV124</f>
        <v>2.4989947725030346</v>
      </c>
      <c r="AW164" s="12">
        <f>+LatAm!AW124</f>
        <v>2.5579544090632975</v>
      </c>
      <c r="AX164" s="12">
        <f>+LatAm!AX124</f>
        <v>2.6160486238438136</v>
      </c>
      <c r="AY164" s="12">
        <f>+LatAm!AY124</f>
        <v>2.6733346162600489</v>
      </c>
      <c r="AZ164" s="12">
        <f>+LatAm!AZ124</f>
        <v>2.7298528515580553</v>
      </c>
      <c r="BA164" s="12">
        <f>+LatAm!BA124</f>
        <v>2.7856347340181205</v>
      </c>
      <c r="BB164" s="12">
        <f>+LatAm!BB124</f>
        <v>2.8407068074002062</v>
      </c>
      <c r="BC164" s="12">
        <f>+LatAm!BC124</f>
        <v>2.8950930448145362</v>
      </c>
      <c r="BD164" s="12">
        <f>+LatAm!BD124</f>
        <v>2.9488160893618591</v>
      </c>
      <c r="BE164" s="12">
        <f>+LatAm!BE124</f>
        <v>2.7493018990593328</v>
      </c>
      <c r="BF164" s="12">
        <f>+LatAm!BF124</f>
        <v>2.458441747898112</v>
      </c>
      <c r="BG164" s="12">
        <f>+LatAm!BG124</f>
        <v>2.0396648713864822</v>
      </c>
      <c r="BH164" s="12">
        <f>+LatAm!BH124</f>
        <v>1.4420634829044372</v>
      </c>
      <c r="BI164" s="12">
        <f>+LatAm!BI124</f>
        <v>0.59454693209262965</v>
      </c>
    </row>
    <row r="165" spans="1:61" x14ac:dyDescent="0.15">
      <c r="A165" s="12" t="s">
        <v>114</v>
      </c>
      <c r="B165" s="12">
        <f>+OHI!B124</f>
        <v>0.34046711788931838</v>
      </c>
      <c r="C165" s="207">
        <f>+OHI!C124</f>
        <v>0.25764871675063628</v>
      </c>
      <c r="D165" s="207">
        <f>+OHI!D124</f>
        <v>0.20034108519184657</v>
      </c>
      <c r="E165" s="207">
        <f>+OHI!E124</f>
        <v>0.15779000002913729</v>
      </c>
      <c r="F165" s="207">
        <f>+OHI!F124</f>
        <v>0.1161017116115127</v>
      </c>
      <c r="G165" s="207">
        <f>+OHI!G124</f>
        <v>8.739364738315733E-2</v>
      </c>
      <c r="H165" s="207">
        <f>+OHI!H124</f>
        <v>7.0745341284014565E-2</v>
      </c>
      <c r="I165" s="12">
        <f>+OHI!I124</f>
        <v>6.6961232618550304E-2</v>
      </c>
      <c r="J165" s="12">
        <f>+OHI!J124</f>
        <v>5.4969111685044959E-2</v>
      </c>
      <c r="K165" s="12">
        <f>+OHI!K124</f>
        <v>4.9285748197194092E-2</v>
      </c>
      <c r="L165" s="12">
        <f>+OHI!L124</f>
        <v>4.517591472558305E-2</v>
      </c>
      <c r="M165" s="441">
        <f>+OHI!M124</f>
        <v>4.0651190669496698E-2</v>
      </c>
      <c r="N165" s="12">
        <f>+OHI!N124</f>
        <v>3.7731930525627788E-2</v>
      </c>
      <c r="O165" s="12">
        <f>+OHI!O124</f>
        <v>3.4703301276460249E-2</v>
      </c>
      <c r="P165" s="12">
        <f>+OHI!P124</f>
        <v>3.2868718146821616E-2</v>
      </c>
      <c r="Q165" s="12">
        <f>+OHI!Q124</f>
        <v>3.1140823212687827E-2</v>
      </c>
      <c r="R165" s="12">
        <f>+OHI!R124</f>
        <v>2.9781602065643349E-2</v>
      </c>
      <c r="S165" s="12">
        <f>+OHI!S124</f>
        <v>2.8760379126344771E-2</v>
      </c>
      <c r="T165" s="12">
        <f>+OHI!T124</f>
        <v>2.728467548566859E-2</v>
      </c>
      <c r="U165" s="12">
        <f>+OHI!U124</f>
        <v>2.5314188388147758E-2</v>
      </c>
      <c r="V165" s="12">
        <f>+OHI!V124</f>
        <v>2.4947418692851595E-2</v>
      </c>
      <c r="W165" s="12">
        <f>+OHI!W124</f>
        <v>2.7542291331253528E-2</v>
      </c>
      <c r="X165" s="12">
        <f>+OHI!X124</f>
        <v>2.9774597221989305E-2</v>
      </c>
      <c r="Y165" s="12">
        <f>+OHI!Y124</f>
        <v>3.2015053412466535E-2</v>
      </c>
      <c r="Z165" s="12">
        <f>+OHI!Z124</f>
        <v>3.4153032637006947E-2</v>
      </c>
      <c r="AA165" s="12">
        <f>+OHI!AA124</f>
        <v>3.5785110220338194E-2</v>
      </c>
      <c r="AB165" s="12">
        <f>+OHI!AB124</f>
        <v>3.7551920033636665E-2</v>
      </c>
      <c r="AC165" s="12">
        <f>+OHI!AC124</f>
        <v>3.9573272738662672E-2</v>
      </c>
      <c r="AD165" s="12">
        <f>+OHI!AD124</f>
        <v>4.1461084339325549E-2</v>
      </c>
      <c r="AE165" s="12">
        <f>+OHI!AE124</f>
        <v>4.2782509447197394E-2</v>
      </c>
      <c r="AF165" s="12">
        <f>+OHI!AF124</f>
        <v>4.1906117296662396E-2</v>
      </c>
      <c r="AG165" s="12">
        <f>+OHI!AG124</f>
        <v>4.4325174720439196E-2</v>
      </c>
      <c r="AH165" s="12">
        <f>+OHI!AH124</f>
        <v>4.588124306056976E-2</v>
      </c>
      <c r="AI165" s="12">
        <f>+OHI!AI124</f>
        <v>0.23514490630803059</v>
      </c>
      <c r="AJ165" s="12">
        <f>+OHI!AJ124</f>
        <v>0.35909354981244335</v>
      </c>
      <c r="AK165" s="12">
        <f>+OHI!AK124</f>
        <v>0.43468081696354932</v>
      </c>
      <c r="AL165" s="12">
        <f>+OHI!AL124</f>
        <v>0.48390581583354492</v>
      </c>
      <c r="AM165" s="12">
        <f>+OHI!AM124</f>
        <v>0.51915224027683071</v>
      </c>
      <c r="AN165" s="12">
        <f>+OHI!AN124</f>
        <v>0.54679516465432865</v>
      </c>
      <c r="AO165" s="12">
        <f>+OHI!AO124</f>
        <v>0.57020271788025767</v>
      </c>
      <c r="AP165" s="12">
        <f>+OHI!AP124</f>
        <v>0.59119208743723406</v>
      </c>
      <c r="AQ165" s="12">
        <f>+OHI!AQ124</f>
        <v>0.6107554076985704</v>
      </c>
      <c r="AR165" s="12">
        <f>+OHI!AR124</f>
        <v>0.62943781752393058</v>
      </c>
      <c r="AS165" s="12">
        <f>+OHI!AS124</f>
        <v>0.64753999911160076</v>
      </c>
      <c r="AT165" s="12">
        <f>+OHI!AT124</f>
        <v>0.66522838434725196</v>
      </c>
      <c r="AU165" s="12">
        <f>+OHI!AU124</f>
        <v>0.68259558979162893</v>
      </c>
      <c r="AV165" s="12">
        <f>+OHI!AV124</f>
        <v>0.69969367321501152</v>
      </c>
      <c r="AW165" s="12">
        <f>+OHI!AW124</f>
        <v>0.71655245541621249</v>
      </c>
      <c r="AX165" s="12">
        <f>+OHI!AX124</f>
        <v>0.73318961364910507</v>
      </c>
      <c r="AY165" s="12">
        <f>+OHI!AY124</f>
        <v>0.74961623822734424</v>
      </c>
      <c r="AZ165" s="12">
        <f>+OHI!AZ124</f>
        <v>0.76583988821693383</v>
      </c>
      <c r="BA165" s="12">
        <f>+OHI!BA124</f>
        <v>0.78186626934787151</v>
      </c>
      <c r="BB165" s="12">
        <f>+OHI!BB124</f>
        <v>0.79770015341415534</v>
      </c>
      <c r="BC165" s="12">
        <f>+OHI!BC124</f>
        <v>0.81334588031260646</v>
      </c>
      <c r="BD165" s="12">
        <f>+OHI!BD124</f>
        <v>0.82880763046820427</v>
      </c>
      <c r="BE165" s="12">
        <f>+OHI!BE124</f>
        <v>0.76472844748698621</v>
      </c>
      <c r="BF165" s="12">
        <f>+OHI!BF124</f>
        <v>0.67207530133793758</v>
      </c>
      <c r="BG165" s="12">
        <f>+OHI!BG124</f>
        <v>0.53941682016518611</v>
      </c>
      <c r="BH165" s="12">
        <f>+OHI!BH124</f>
        <v>0.35083759795070812</v>
      </c>
      <c r="BI165" s="12">
        <f>+OHI!BI124</f>
        <v>8.4118436657179038E-2</v>
      </c>
    </row>
    <row r="166" spans="1:61" x14ac:dyDescent="0.15">
      <c r="A166" s="12" t="s">
        <v>224</v>
      </c>
      <c r="B166" s="12">
        <f>+OthAsia!B124</f>
        <v>0.35170671523951819</v>
      </c>
      <c r="C166" s="207">
        <f>+OthAsia!C124</f>
        <v>0.40391474797543764</v>
      </c>
      <c r="D166" s="207">
        <f>+OthAsia!D124</f>
        <v>0.36135441793941575</v>
      </c>
      <c r="E166" s="207">
        <f>+OthAsia!E124</f>
        <v>0.32831940436519169</v>
      </c>
      <c r="F166" s="207">
        <f>+OthAsia!F124</f>
        <v>0.18352703764762934</v>
      </c>
      <c r="G166" s="207">
        <f>+OthAsia!G124</f>
        <v>0.14320995159655683</v>
      </c>
      <c r="H166" s="207">
        <f>+OthAsia!H124</f>
        <v>0.11985495484387072</v>
      </c>
      <c r="I166" s="12">
        <f>+OthAsia!I124</f>
        <v>0.11148410966763095</v>
      </c>
      <c r="J166" s="12">
        <f>+OthAsia!J124</f>
        <v>8.7393938579490002E-2</v>
      </c>
      <c r="K166" s="12">
        <f>+OthAsia!K124</f>
        <v>7.6555843269035653E-2</v>
      </c>
      <c r="L166" s="12">
        <f>+OthAsia!L124</f>
        <v>6.9980119586684666E-2</v>
      </c>
      <c r="M166" s="441">
        <f>+OthAsia!M124</f>
        <v>6.389188470397468E-2</v>
      </c>
      <c r="N166" s="12">
        <f>+OthAsia!N124</f>
        <v>5.9948724774989449E-2</v>
      </c>
      <c r="O166" s="12">
        <f>+OthAsia!O124</f>
        <v>5.6928149351062961E-2</v>
      </c>
      <c r="P166" s="12">
        <f>+OthAsia!P124</f>
        <v>5.4826819263054813E-2</v>
      </c>
      <c r="Q166" s="12">
        <f>+OthAsia!Q124</f>
        <v>5.3058631584474228E-2</v>
      </c>
      <c r="R166" s="12">
        <f>+OthAsia!R124</f>
        <v>5.1721793376941778E-2</v>
      </c>
      <c r="S166" s="12">
        <f>+OthAsia!S124</f>
        <v>5.0944748984010892E-2</v>
      </c>
      <c r="T166" s="12">
        <f>+OthAsia!T124</f>
        <v>4.9609825092424585E-2</v>
      </c>
      <c r="U166" s="12">
        <f>+OthAsia!U124</f>
        <v>4.7794781216130913E-2</v>
      </c>
      <c r="V166" s="12">
        <f>+OthAsia!V124</f>
        <v>4.7602927423650632E-2</v>
      </c>
      <c r="W166" s="12">
        <f>+OthAsia!W124</f>
        <v>5.2130377192583455E-2</v>
      </c>
      <c r="X166" s="12">
        <f>+OthAsia!X124</f>
        <v>5.7341134621056264E-2</v>
      </c>
      <c r="Y166" s="12">
        <f>+OthAsia!Y124</f>
        <v>6.2127276625962687E-2</v>
      </c>
      <c r="Z166" s="12">
        <f>+OthAsia!Z124</f>
        <v>6.6856017205315352E-2</v>
      </c>
      <c r="AA166" s="12">
        <f>+OthAsia!AA124</f>
        <v>7.1723884758315565E-2</v>
      </c>
      <c r="AB166" s="12">
        <f>+OthAsia!AB124</f>
        <v>7.6928095737083035E-2</v>
      </c>
      <c r="AC166" s="12">
        <f>+OthAsia!AC124</f>
        <v>8.2339931217738777E-2</v>
      </c>
      <c r="AD166" s="12">
        <f>+OthAsia!AD124</f>
        <v>8.7932653106915934E-2</v>
      </c>
      <c r="AE166" s="12">
        <f>+OthAsia!AE124</f>
        <v>9.2996338640966861E-2</v>
      </c>
      <c r="AF166" s="12">
        <f>+OthAsia!AF124</f>
        <v>9.1027329167774132E-2</v>
      </c>
      <c r="AG166" s="12">
        <f>+OthAsia!AG124</f>
        <v>9.4685175212233602E-2</v>
      </c>
      <c r="AH166" s="12">
        <f>+OthAsia!AH124</f>
        <v>9.9493392207188933E-2</v>
      </c>
      <c r="AI166" s="12">
        <f>+OthAsia!AI124</f>
        <v>1.3128705769601472</v>
      </c>
      <c r="AJ166" s="12">
        <f>+OthAsia!AJ124</f>
        <v>2.6265303906883508</v>
      </c>
      <c r="AK166" s="12">
        <f>+OthAsia!AK124</f>
        <v>3.463124146551944</v>
      </c>
      <c r="AL166" s="12">
        <f>+OthAsia!AL124</f>
        <v>3.9920827014938483</v>
      </c>
      <c r="AM166" s="12">
        <f>+OthAsia!AM124</f>
        <v>4.3571131333604054</v>
      </c>
      <c r="AN166" s="12">
        <f>+OthAsia!AN124</f>
        <v>4.6333784791947039</v>
      </c>
      <c r="AO166" s="12">
        <f>+OthAsia!AO124</f>
        <v>4.8603146934724046</v>
      </c>
      <c r="AP166" s="12">
        <f>+OthAsia!AP124</f>
        <v>5.0591038574053639</v>
      </c>
      <c r="AQ166" s="12">
        <f>+OthAsia!AQ124</f>
        <v>5.2412999067912942</v>
      </c>
      <c r="AR166" s="12">
        <f>+OthAsia!AR124</f>
        <v>5.4132618930064407</v>
      </c>
      <c r="AS166" s="12">
        <f>+OthAsia!AS124</f>
        <v>5.5785109994438615</v>
      </c>
      <c r="AT166" s="12">
        <f>+OthAsia!AT124</f>
        <v>5.7390090646941028</v>
      </c>
      <c r="AU166" s="12">
        <f>+OthAsia!AU124</f>
        <v>5.8958593664207672</v>
      </c>
      <c r="AV166" s="12">
        <f>+OthAsia!AV124</f>
        <v>6.0496925638783861</v>
      </c>
      <c r="AW166" s="12">
        <f>+OthAsia!AW124</f>
        <v>6.2008795771151366</v>
      </c>
      <c r="AX166" s="12">
        <f>+OthAsia!AX124</f>
        <v>6.349648973758792</v>
      </c>
      <c r="AY166" s="12">
        <f>+OthAsia!AY124</f>
        <v>6.4961516053083486</v>
      </c>
      <c r="AZ166" s="12">
        <f>+OthAsia!AZ124</f>
        <v>6.6404961135148053</v>
      </c>
      <c r="BA166" s="12">
        <f>+OthAsia!BA124</f>
        <v>6.7827683699024544</v>
      </c>
      <c r="BB166" s="12">
        <f>+OthAsia!BB124</f>
        <v>6.9230420694199291</v>
      </c>
      <c r="BC166" s="12">
        <f>+OthAsia!BC124</f>
        <v>7.061384465285462</v>
      </c>
      <c r="BD166" s="12">
        <f>+OthAsia!BD124</f>
        <v>7.1978594429905218</v>
      </c>
      <c r="BE166" s="12">
        <f>+OthAsia!BE124</f>
        <v>6.6820032102673874</v>
      </c>
      <c r="BF166" s="12">
        <f>+OthAsia!BF124</f>
        <v>5.9305715585259913</v>
      </c>
      <c r="BG166" s="12">
        <f>+OthAsia!BG124</f>
        <v>4.8491881685996603</v>
      </c>
      <c r="BH166" s="12">
        <f>+OthAsia!BH124</f>
        <v>3.30660100945025</v>
      </c>
      <c r="BI166" s="12">
        <f>+OthAsia!BI124</f>
        <v>1.1195563244042226</v>
      </c>
    </row>
    <row r="167" spans="1:61" x14ac:dyDescent="0.15">
      <c r="A167" s="207" t="s">
        <v>106</v>
      </c>
      <c r="B167" s="414">
        <f t="shared" ref="B167:AG167" si="76">SUM(B155:B166)</f>
        <v>6.8339766621317741</v>
      </c>
      <c r="C167" s="414">
        <f t="shared" si="76"/>
        <v>5.1431042229571124</v>
      </c>
      <c r="D167" s="414">
        <f t="shared" si="76"/>
        <v>4.0807961629064184</v>
      </c>
      <c r="E167" s="414">
        <f t="shared" si="76"/>
        <v>3.1103549843605425</v>
      </c>
      <c r="F167" s="414">
        <f t="shared" si="76"/>
        <v>2.149914245802548</v>
      </c>
      <c r="G167" s="414">
        <f t="shared" si="76"/>
        <v>1.5425100709959343</v>
      </c>
      <c r="H167" s="414">
        <f t="shared" si="76"/>
        <v>1.2427555845482676</v>
      </c>
      <c r="I167" s="414">
        <f t="shared" si="76"/>
        <v>1.1148890399810938</v>
      </c>
      <c r="J167" s="414">
        <f t="shared" si="76"/>
        <v>0.92569389360448273</v>
      </c>
      <c r="K167" s="414">
        <f t="shared" si="76"/>
        <v>0.80072790865804511</v>
      </c>
      <c r="L167" s="414">
        <f t="shared" si="76"/>
        <v>0.71928481082489348</v>
      </c>
      <c r="M167" s="414">
        <f t="shared" si="76"/>
        <v>0.64159459614880832</v>
      </c>
      <c r="N167" s="414">
        <f t="shared" si="76"/>
        <v>0.58025319291943667</v>
      </c>
      <c r="O167" s="414">
        <f t="shared" si="76"/>
        <v>0.53353913773100792</v>
      </c>
      <c r="P167" s="414">
        <f t="shared" si="76"/>
        <v>0.50189584484640926</v>
      </c>
      <c r="Q167" s="414">
        <f t="shared" si="76"/>
        <v>0.47291911237108686</v>
      </c>
      <c r="R167" s="414">
        <f t="shared" si="76"/>
        <v>0.45088209555932857</v>
      </c>
      <c r="S167" s="414">
        <f t="shared" si="76"/>
        <v>0.43265183311579808</v>
      </c>
      <c r="T167" s="414">
        <f t="shared" si="76"/>
        <v>0.40762522450355398</v>
      </c>
      <c r="U167" s="414">
        <f t="shared" si="76"/>
        <v>0.37416883221047237</v>
      </c>
      <c r="V167" s="414">
        <f t="shared" si="76"/>
        <v>0.36447359252306555</v>
      </c>
      <c r="W167" s="414">
        <f t="shared" si="76"/>
        <v>0.41746570193848453</v>
      </c>
      <c r="X167" s="414">
        <f t="shared" si="76"/>
        <v>0.46649396820295258</v>
      </c>
      <c r="Y167" s="414">
        <f t="shared" si="76"/>
        <v>0.51476066333404769</v>
      </c>
      <c r="Z167" s="414">
        <f t="shared" si="76"/>
        <v>0.56284629140401243</v>
      </c>
      <c r="AA167" s="414">
        <f t="shared" si="76"/>
        <v>0.60989512823056258</v>
      </c>
      <c r="AB167" s="414">
        <f t="shared" si="76"/>
        <v>0.65544454438174204</v>
      </c>
      <c r="AC167" s="414">
        <f t="shared" si="76"/>
        <v>0.70290555522948128</v>
      </c>
      <c r="AD167" s="414">
        <f t="shared" si="76"/>
        <v>0.74901253337772655</v>
      </c>
      <c r="AE167" s="414">
        <f t="shared" si="76"/>
        <v>0.78835961680883826</v>
      </c>
      <c r="AF167" s="414">
        <f t="shared" si="76"/>
        <v>0.77915408234088235</v>
      </c>
      <c r="AG167" s="414">
        <f t="shared" si="76"/>
        <v>0.84167021720138679</v>
      </c>
      <c r="AH167" s="414">
        <f t="shared" ref="AH167:BI167" si="77">SUM(AH155:AH166)</f>
        <v>0.88193201766077989</v>
      </c>
      <c r="AI167" s="414">
        <f t="shared" si="77"/>
        <v>6.3739486424239908</v>
      </c>
      <c r="AJ167" s="414">
        <f t="shared" si="77"/>
        <v>11.643254482140723</v>
      </c>
      <c r="AK167" s="414">
        <f t="shared" si="77"/>
        <v>14.991813839304495</v>
      </c>
      <c r="AL167" s="414">
        <f t="shared" si="77"/>
        <v>17.152756294891745</v>
      </c>
      <c r="AM167" s="414">
        <f t="shared" si="77"/>
        <v>18.680326656453097</v>
      </c>
      <c r="AN167" s="414">
        <f t="shared" si="77"/>
        <v>19.863412326549941</v>
      </c>
      <c r="AO167" s="414">
        <f t="shared" si="77"/>
        <v>20.854129153103578</v>
      </c>
      <c r="AP167" s="414">
        <f t="shared" si="77"/>
        <v>21.734455306177598</v>
      </c>
      <c r="AQ167" s="414">
        <f t="shared" si="77"/>
        <v>22.549211519470941</v>
      </c>
      <c r="AR167" s="414">
        <f t="shared" si="77"/>
        <v>23.323100264866667</v>
      </c>
      <c r="AS167" s="414">
        <f t="shared" si="77"/>
        <v>24.069805400758383</v>
      </c>
      <c r="AT167" s="414">
        <f t="shared" si="77"/>
        <v>24.796944988846171</v>
      </c>
      <c r="AU167" s="414">
        <f t="shared" si="77"/>
        <v>25.508793049669841</v>
      </c>
      <c r="AV167" s="414">
        <f t="shared" si="77"/>
        <v>26.207781514977505</v>
      </c>
      <c r="AW167" s="414">
        <f t="shared" si="77"/>
        <v>26.895330020598948</v>
      </c>
      <c r="AX167" s="414">
        <f t="shared" si="77"/>
        <v>27.572304114360417</v>
      </c>
      <c r="AY167" s="414">
        <f t="shared" si="77"/>
        <v>28.239267888694236</v>
      </c>
      <c r="AZ167" s="414">
        <f t="shared" si="77"/>
        <v>28.89662294483594</v>
      </c>
      <c r="BA167" s="414">
        <f t="shared" si="77"/>
        <v>29.54468458660353</v>
      </c>
      <c r="BB167" s="414">
        <f t="shared" si="77"/>
        <v>30.183723409773087</v>
      </c>
      <c r="BC167" s="414">
        <f t="shared" si="77"/>
        <v>30.813987853043336</v>
      </c>
      <c r="BD167" s="414">
        <f t="shared" si="77"/>
        <v>31.435716298997441</v>
      </c>
      <c r="BE167" s="414">
        <f t="shared" si="77"/>
        <v>28.86825869013542</v>
      </c>
      <c r="BF167" s="414">
        <f t="shared" si="77"/>
        <v>25.15155121956597</v>
      </c>
      <c r="BG167" s="414">
        <f t="shared" si="77"/>
        <v>19.826288027776016</v>
      </c>
      <c r="BH167" s="414">
        <f t="shared" si="77"/>
        <v>12.252871857427774</v>
      </c>
      <c r="BI167" s="414">
        <f t="shared" si="77"/>
        <v>3.3674150680936137</v>
      </c>
    </row>
    <row r="168" spans="1:61" x14ac:dyDescent="0.15">
      <c r="A168" s="12"/>
    </row>
    <row r="169" spans="1:61" x14ac:dyDescent="0.15">
      <c r="A169" s="19" t="s">
        <v>975</v>
      </c>
    </row>
    <row r="170" spans="1:61" x14ac:dyDescent="0.15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30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 x14ac:dyDescent="0.15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30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 x14ac:dyDescent="0.15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30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 x14ac:dyDescent="0.15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30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 x14ac:dyDescent="0.15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30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 x14ac:dyDescent="0.15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30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 x14ac:dyDescent="0.15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30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 x14ac:dyDescent="0.15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30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 x14ac:dyDescent="0.15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30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 x14ac:dyDescent="0.15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30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 x14ac:dyDescent="0.15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30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 x14ac:dyDescent="0.15">
      <c r="A181" s="207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30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12" customFormat="1" x14ac:dyDescent="0.15">
      <c r="A183" s="412" t="s">
        <v>976</v>
      </c>
      <c r="B183" s="412">
        <f t="shared" ref="B183:AG183" si="78">+SUMPRODUCT(B141:B152*B170:B181)</f>
        <v>0</v>
      </c>
      <c r="C183" s="412">
        <f t="shared" si="78"/>
        <v>3.9278667484444445</v>
      </c>
      <c r="D183" s="412">
        <f t="shared" si="78"/>
        <v>4.1827990839975389</v>
      </c>
      <c r="E183" s="412">
        <f t="shared" si="78"/>
        <v>6.446682467204278</v>
      </c>
      <c r="F183" s="412">
        <f t="shared" si="78"/>
        <v>6.3062295093063385</v>
      </c>
      <c r="G183" s="412">
        <f t="shared" si="78"/>
        <v>5.4925752719246423</v>
      </c>
      <c r="H183" s="412">
        <f t="shared" si="78"/>
        <v>4.4620193848119944</v>
      </c>
      <c r="I183" s="412">
        <f t="shared" si="78"/>
        <v>4.4263578967006181</v>
      </c>
      <c r="J183" s="412">
        <f t="shared" si="78"/>
        <v>3.7508584760422421</v>
      </c>
      <c r="K183" s="412">
        <f t="shared" si="78"/>
        <v>3.2507759657845918</v>
      </c>
      <c r="L183" s="412">
        <f t="shared" si="78"/>
        <v>2.8953163953079377</v>
      </c>
      <c r="M183" s="442">
        <f t="shared" si="78"/>
        <v>2.6130230467654134</v>
      </c>
      <c r="N183" s="412">
        <f t="shared" si="78"/>
        <v>2.3582532997057859</v>
      </c>
      <c r="O183" s="412">
        <f t="shared" si="78"/>
        <v>2.1283236029844708</v>
      </c>
      <c r="P183" s="412">
        <f t="shared" si="78"/>
        <v>1.920812051693485</v>
      </c>
      <c r="Q183" s="412">
        <f t="shared" si="78"/>
        <v>1.73353287665337</v>
      </c>
      <c r="R183" s="412">
        <f t="shared" si="78"/>
        <v>1.5645134211796661</v>
      </c>
      <c r="S183" s="412">
        <f t="shared" si="78"/>
        <v>1.4119733626146489</v>
      </c>
      <c r="T183" s="412">
        <f t="shared" si="78"/>
        <v>1.2743059597597204</v>
      </c>
      <c r="U183" s="412">
        <f t="shared" si="78"/>
        <v>1.1500611286831475</v>
      </c>
      <c r="V183" s="412">
        <f t="shared" si="78"/>
        <v>1.0379301686365405</v>
      </c>
      <c r="W183" s="412">
        <f t="shared" si="78"/>
        <v>0.98603366020471361</v>
      </c>
      <c r="X183" s="412">
        <f t="shared" si="78"/>
        <v>0.93673197719447787</v>
      </c>
      <c r="Y183" s="412">
        <f t="shared" si="78"/>
        <v>0.88989537833475385</v>
      </c>
      <c r="Z183" s="412">
        <f t="shared" si="78"/>
        <v>0.84540060941801609</v>
      </c>
      <c r="AA183" s="412">
        <f t="shared" si="78"/>
        <v>0.80313057894711526</v>
      </c>
      <c r="AB183" s="412">
        <f t="shared" si="78"/>
        <v>0.76297404999975948</v>
      </c>
      <c r="AC183" s="412">
        <f t="shared" si="78"/>
        <v>0.72482534749977146</v>
      </c>
      <c r="AD183" s="412">
        <f t="shared" si="78"/>
        <v>0.68858408012478289</v>
      </c>
      <c r="AE183" s="412">
        <f t="shared" si="78"/>
        <v>0.65415487611854362</v>
      </c>
      <c r="AF183" s="412">
        <f t="shared" si="78"/>
        <v>0.62144713231261639</v>
      </c>
      <c r="AG183" s="412">
        <f t="shared" si="78"/>
        <v>0.5903747756969856</v>
      </c>
      <c r="AH183" s="412">
        <f t="shared" ref="AH183:BI183" si="79">+SUMPRODUCT(AH141:AH152*AH170:AH181)</f>
        <v>0.56085603691213626</v>
      </c>
      <c r="AI183" s="412">
        <f t="shared" si="79"/>
        <v>0.48910960394059161</v>
      </c>
      <c r="AJ183" s="412">
        <f t="shared" si="79"/>
        <v>0.46465412374356208</v>
      </c>
      <c r="AK183" s="412">
        <f t="shared" si="79"/>
        <v>0.44142141755638387</v>
      </c>
      <c r="AL183" s="412">
        <f t="shared" si="79"/>
        <v>0.41935034667856469</v>
      </c>
      <c r="AM183" s="412">
        <f t="shared" si="79"/>
        <v>0.39838282934463642</v>
      </c>
      <c r="AN183" s="412">
        <f t="shared" si="79"/>
        <v>0.37846368787740459</v>
      </c>
      <c r="AO183" s="412">
        <f t="shared" si="79"/>
        <v>0.35954050348353433</v>
      </c>
      <c r="AP183" s="412">
        <f t="shared" si="79"/>
        <v>0.34156347830935763</v>
      </c>
      <c r="AQ183" s="412">
        <f t="shared" si="79"/>
        <v>0.32448530439388967</v>
      </c>
      <c r="AR183" s="412">
        <f t="shared" si="79"/>
        <v>0.30826103917419523</v>
      </c>
      <c r="AS183" s="412">
        <f t="shared" si="79"/>
        <v>0.29284798721548544</v>
      </c>
      <c r="AT183" s="412">
        <f t="shared" si="79"/>
        <v>0.27820558785471117</v>
      </c>
      <c r="AU183" s="412">
        <f t="shared" si="79"/>
        <v>0.26429530846197558</v>
      </c>
      <c r="AV183" s="412">
        <f t="shared" si="79"/>
        <v>0.25108054303887684</v>
      </c>
      <c r="AW183" s="412">
        <f t="shared" si="79"/>
        <v>0.23852651588693294</v>
      </c>
      <c r="AX183" s="412">
        <f t="shared" si="79"/>
        <v>0.22660019009258625</v>
      </c>
      <c r="AY183" s="412">
        <f t="shared" si="79"/>
        <v>0.21527018058795694</v>
      </c>
      <c r="AZ183" s="412">
        <f t="shared" si="79"/>
        <v>0.20450667155855912</v>
      </c>
      <c r="BA183" s="412">
        <f t="shared" si="79"/>
        <v>0.19428133798063113</v>
      </c>
      <c r="BB183" s="412">
        <f t="shared" si="79"/>
        <v>0.18456727108159957</v>
      </c>
      <c r="BC183" s="412">
        <f t="shared" si="79"/>
        <v>0.1753389075275196</v>
      </c>
      <c r="BD183" s="412">
        <f t="shared" si="79"/>
        <v>0.16657196215114359</v>
      </c>
      <c r="BE183" s="412">
        <f t="shared" si="79"/>
        <v>0.15824336404358644</v>
      </c>
      <c r="BF183" s="412">
        <f t="shared" si="79"/>
        <v>0.15033119584140708</v>
      </c>
      <c r="BG183" s="412">
        <f t="shared" si="79"/>
        <v>0.14281463604933672</v>
      </c>
      <c r="BH183" s="412">
        <f t="shared" si="79"/>
        <v>0.1356739042468699</v>
      </c>
      <c r="BI183" s="412">
        <f t="shared" si="79"/>
        <v>0.12889020903452639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 x14ac:dyDescent="0.15">
      <c r="A184" s="19" t="s">
        <v>979</v>
      </c>
      <c r="B184" s="412">
        <f t="shared" ref="B184:AG184" si="80">+SUMPRODUCT(B155:B166*B170:B181)</f>
        <v>0</v>
      </c>
      <c r="C184" s="412">
        <f t="shared" si="80"/>
        <v>2.8943252811879057</v>
      </c>
      <c r="D184" s="412">
        <f t="shared" si="80"/>
        <v>2.4049513608781288</v>
      </c>
      <c r="E184" s="412">
        <f t="shared" si="80"/>
        <v>2.2403468098290542</v>
      </c>
      <c r="F184" s="412">
        <f t="shared" si="80"/>
        <v>1.8410801730862643</v>
      </c>
      <c r="G184" s="412">
        <f t="shared" si="80"/>
        <v>1.4283385390526786</v>
      </c>
      <c r="H184" s="412">
        <f t="shared" si="80"/>
        <v>1.1380898452568917</v>
      </c>
      <c r="I184" s="412">
        <f t="shared" si="80"/>
        <v>1.1148890399810938</v>
      </c>
      <c r="J184" s="412">
        <f t="shared" si="80"/>
        <v>0.92569389360448273</v>
      </c>
      <c r="K184" s="412">
        <f t="shared" si="80"/>
        <v>0.80072790865804511</v>
      </c>
      <c r="L184" s="412">
        <f t="shared" si="80"/>
        <v>0.71928481082489348</v>
      </c>
      <c r="M184" s="442">
        <f t="shared" si="80"/>
        <v>0.64159459614880832</v>
      </c>
      <c r="N184" s="412">
        <f t="shared" si="80"/>
        <v>0.58025319291943667</v>
      </c>
      <c r="O184" s="412">
        <f t="shared" si="80"/>
        <v>0.53353913773100792</v>
      </c>
      <c r="P184" s="412">
        <f t="shared" si="80"/>
        <v>0.50189584484640926</v>
      </c>
      <c r="Q184" s="412">
        <f t="shared" si="80"/>
        <v>0.47291911237108686</v>
      </c>
      <c r="R184" s="412">
        <f t="shared" si="80"/>
        <v>0.45088209555932857</v>
      </c>
      <c r="S184" s="412">
        <f t="shared" si="80"/>
        <v>0.43265183311579808</v>
      </c>
      <c r="T184" s="412">
        <f t="shared" si="80"/>
        <v>0.40762522450355398</v>
      </c>
      <c r="U184" s="412">
        <f t="shared" si="80"/>
        <v>0.37416883221047237</v>
      </c>
      <c r="V184" s="412">
        <f t="shared" si="80"/>
        <v>0.36447359252306555</v>
      </c>
      <c r="W184" s="412">
        <f t="shared" si="80"/>
        <v>0.41746570193848453</v>
      </c>
      <c r="X184" s="412">
        <f t="shared" si="80"/>
        <v>0.46649396820295258</v>
      </c>
      <c r="Y184" s="412">
        <f t="shared" si="80"/>
        <v>0.51476066333404769</v>
      </c>
      <c r="Z184" s="412">
        <f t="shared" si="80"/>
        <v>0.56284629140401243</v>
      </c>
      <c r="AA184" s="412">
        <f t="shared" si="80"/>
        <v>0.60989512823056258</v>
      </c>
      <c r="AB184" s="412">
        <f t="shared" si="80"/>
        <v>0.65544454438174204</v>
      </c>
      <c r="AC184" s="412">
        <f t="shared" si="80"/>
        <v>0.70290555522948128</v>
      </c>
      <c r="AD184" s="412">
        <f t="shared" si="80"/>
        <v>0.74901253337772655</v>
      </c>
      <c r="AE184" s="412">
        <f t="shared" si="80"/>
        <v>0.78835961680883826</v>
      </c>
      <c r="AF184" s="412">
        <f t="shared" si="80"/>
        <v>0.77915408234088235</v>
      </c>
      <c r="AG184" s="412">
        <f t="shared" si="80"/>
        <v>0.84167021720138679</v>
      </c>
      <c r="AH184" s="412">
        <f t="shared" ref="AH184:BI184" si="81">+SUMPRODUCT(AH155:AH166*AH170:AH181)</f>
        <v>0.88193201766077989</v>
      </c>
      <c r="AI184" s="412">
        <f t="shared" si="81"/>
        <v>6.3739486424239908</v>
      </c>
      <c r="AJ184" s="412">
        <f t="shared" si="81"/>
        <v>11.643254482140723</v>
      </c>
      <c r="AK184" s="412">
        <f t="shared" si="81"/>
        <v>14.991813839304495</v>
      </c>
      <c r="AL184" s="412">
        <f t="shared" si="81"/>
        <v>17.152756294891745</v>
      </c>
      <c r="AM184" s="412">
        <f t="shared" si="81"/>
        <v>18.680326656453097</v>
      </c>
      <c r="AN184" s="412">
        <f t="shared" si="81"/>
        <v>19.863412326549941</v>
      </c>
      <c r="AO184" s="412">
        <f t="shared" si="81"/>
        <v>20.854129153103578</v>
      </c>
      <c r="AP184" s="412">
        <f t="shared" si="81"/>
        <v>21.734455306177598</v>
      </c>
      <c r="AQ184" s="412">
        <f t="shared" si="81"/>
        <v>22.549211519470941</v>
      </c>
      <c r="AR184" s="412">
        <f t="shared" si="81"/>
        <v>23.323100264866667</v>
      </c>
      <c r="AS184" s="412">
        <f t="shared" si="81"/>
        <v>24.069805400758383</v>
      </c>
      <c r="AT184" s="412">
        <f t="shared" si="81"/>
        <v>24.796944988846171</v>
      </c>
      <c r="AU184" s="412">
        <f t="shared" si="81"/>
        <v>25.508793049669841</v>
      </c>
      <c r="AV184" s="412">
        <f t="shared" si="81"/>
        <v>26.207781514977505</v>
      </c>
      <c r="AW184" s="412">
        <f t="shared" si="81"/>
        <v>26.895330020598948</v>
      </c>
      <c r="AX184" s="412">
        <f t="shared" si="81"/>
        <v>27.572304114360417</v>
      </c>
      <c r="AY184" s="412">
        <f t="shared" si="81"/>
        <v>28.239267888694236</v>
      </c>
      <c r="AZ184" s="412">
        <f t="shared" si="81"/>
        <v>28.89662294483594</v>
      </c>
      <c r="BA184" s="412">
        <f t="shared" si="81"/>
        <v>29.54468458660353</v>
      </c>
      <c r="BB184" s="412">
        <f t="shared" si="81"/>
        <v>30.183723409773087</v>
      </c>
      <c r="BC184" s="412">
        <f t="shared" si="81"/>
        <v>30.813987853043336</v>
      </c>
      <c r="BD184" s="412">
        <f t="shared" si="81"/>
        <v>31.435716298997441</v>
      </c>
      <c r="BE184" s="412">
        <f t="shared" si="81"/>
        <v>28.86825869013542</v>
      </c>
      <c r="BF184" s="412">
        <f t="shared" si="81"/>
        <v>25.15155121956597</v>
      </c>
      <c r="BG184" s="412">
        <f t="shared" si="81"/>
        <v>19.826288027776016</v>
      </c>
      <c r="BH184" s="412">
        <f t="shared" si="81"/>
        <v>12.252871857427774</v>
      </c>
      <c r="BI184" s="412">
        <f t="shared" si="81"/>
        <v>3.3674150680936137</v>
      </c>
    </row>
    <row r="185" spans="1:309" x14ac:dyDescent="0.15">
      <c r="A185" s="19" t="s">
        <v>960</v>
      </c>
      <c r="B185" s="412">
        <f t="shared" ref="B185:AG185" si="82">+(B183-B184)</f>
        <v>0</v>
      </c>
      <c r="C185" s="412">
        <f t="shared" si="82"/>
        <v>1.0335414672565388</v>
      </c>
      <c r="D185" s="412">
        <f t="shared" si="82"/>
        <v>1.7778477231194101</v>
      </c>
      <c r="E185" s="412">
        <f t="shared" si="82"/>
        <v>4.2063356573752237</v>
      </c>
      <c r="F185" s="412">
        <f t="shared" si="82"/>
        <v>4.4651493362200743</v>
      </c>
      <c r="G185" s="412">
        <f t="shared" si="82"/>
        <v>4.0642367328719633</v>
      </c>
      <c r="H185" s="412">
        <f t="shared" si="82"/>
        <v>3.3239295395551025</v>
      </c>
      <c r="I185" s="412">
        <f t="shared" si="82"/>
        <v>3.3114688567195243</v>
      </c>
      <c r="J185" s="412">
        <f t="shared" si="82"/>
        <v>2.8251645824377594</v>
      </c>
      <c r="K185" s="412">
        <f t="shared" si="82"/>
        <v>2.4500480571265468</v>
      </c>
      <c r="L185" s="412">
        <f t="shared" si="82"/>
        <v>2.1760315844830442</v>
      </c>
      <c r="M185" s="442">
        <f t="shared" si="82"/>
        <v>1.9714284506166051</v>
      </c>
      <c r="N185" s="412">
        <f t="shared" si="82"/>
        <v>1.7780001067863491</v>
      </c>
      <c r="O185" s="412">
        <f t="shared" si="82"/>
        <v>1.5947844652534628</v>
      </c>
      <c r="P185" s="412">
        <f t="shared" si="82"/>
        <v>1.4189162068470758</v>
      </c>
      <c r="Q185" s="412">
        <f t="shared" si="82"/>
        <v>1.260613764282283</v>
      </c>
      <c r="R185" s="412">
        <f t="shared" si="82"/>
        <v>1.1136313256203376</v>
      </c>
      <c r="S185" s="412">
        <f t="shared" si="82"/>
        <v>0.97932152949885087</v>
      </c>
      <c r="T185" s="412">
        <f t="shared" si="82"/>
        <v>0.8666807352561664</v>
      </c>
      <c r="U185" s="412">
        <f t="shared" si="82"/>
        <v>0.7758922964726751</v>
      </c>
      <c r="V185" s="412">
        <f t="shared" si="82"/>
        <v>0.67345657611347498</v>
      </c>
      <c r="W185" s="412">
        <f t="shared" si="82"/>
        <v>0.56856795826622908</v>
      </c>
      <c r="X185" s="412">
        <f t="shared" si="82"/>
        <v>0.47023800899152529</v>
      </c>
      <c r="Y185" s="412">
        <f t="shared" si="82"/>
        <v>0.37513471500070616</v>
      </c>
      <c r="Z185" s="412">
        <f t="shared" si="82"/>
        <v>0.28255431801400366</v>
      </c>
      <c r="AA185" s="412">
        <f t="shared" si="82"/>
        <v>0.19323545071655268</v>
      </c>
      <c r="AB185" s="412">
        <f t="shared" si="82"/>
        <v>0.10752950561801744</v>
      </c>
      <c r="AC185" s="412">
        <f t="shared" si="82"/>
        <v>2.1919792270290173E-2</v>
      </c>
      <c r="AD185" s="412">
        <f t="shared" si="82"/>
        <v>-6.0428453252943659E-2</v>
      </c>
      <c r="AE185" s="412">
        <f t="shared" si="82"/>
        <v>-0.13420474069029464</v>
      </c>
      <c r="AF185" s="412">
        <f t="shared" si="82"/>
        <v>-0.15770695002826596</v>
      </c>
      <c r="AG185" s="412">
        <f t="shared" si="82"/>
        <v>-0.2512954415044012</v>
      </c>
      <c r="AH185" s="412">
        <f t="shared" ref="AH185:BI185" si="83">+(AH183-AH184)</f>
        <v>-0.32107598074864363</v>
      </c>
      <c r="AI185" s="412">
        <f t="shared" si="83"/>
        <v>-5.8848390384833991</v>
      </c>
      <c r="AJ185" s="412">
        <f t="shared" si="83"/>
        <v>-11.17860035839716</v>
      </c>
      <c r="AK185" s="412">
        <f t="shared" si="83"/>
        <v>-14.550392421748111</v>
      </c>
      <c r="AL185" s="412">
        <f t="shared" si="83"/>
        <v>-16.733405948213179</v>
      </c>
      <c r="AM185" s="412">
        <f t="shared" si="83"/>
        <v>-18.28194382710846</v>
      </c>
      <c r="AN185" s="412">
        <f t="shared" si="83"/>
        <v>-19.484948638672538</v>
      </c>
      <c r="AO185" s="412">
        <f t="shared" si="83"/>
        <v>-20.494588649620045</v>
      </c>
      <c r="AP185" s="412">
        <f t="shared" si="83"/>
        <v>-21.39289182786824</v>
      </c>
      <c r="AQ185" s="412">
        <f t="shared" si="83"/>
        <v>-22.224726215077052</v>
      </c>
      <c r="AR185" s="412">
        <f t="shared" si="83"/>
        <v>-23.014839225692473</v>
      </c>
      <c r="AS185" s="412">
        <f t="shared" si="83"/>
        <v>-23.776957413542899</v>
      </c>
      <c r="AT185" s="412">
        <f t="shared" si="83"/>
        <v>-24.518739400991461</v>
      </c>
      <c r="AU185" s="412">
        <f t="shared" si="83"/>
        <v>-25.244497741207866</v>
      </c>
      <c r="AV185" s="412">
        <f t="shared" si="83"/>
        <v>-25.956700971938627</v>
      </c>
      <c r="AW185" s="412">
        <f t="shared" si="83"/>
        <v>-26.656803504712016</v>
      </c>
      <c r="AX185" s="412">
        <f t="shared" si="83"/>
        <v>-27.345703924267831</v>
      </c>
      <c r="AY185" s="412">
        <f t="shared" si="83"/>
        <v>-28.023997708106279</v>
      </c>
      <c r="AZ185" s="412">
        <f t="shared" si="83"/>
        <v>-28.692116273277382</v>
      </c>
      <c r="BA185" s="412">
        <f t="shared" si="83"/>
        <v>-29.3504032486229</v>
      </c>
      <c r="BB185" s="412">
        <f t="shared" si="83"/>
        <v>-29.999156138691486</v>
      </c>
      <c r="BC185" s="412">
        <f t="shared" si="83"/>
        <v>-30.638648945515818</v>
      </c>
      <c r="BD185" s="412">
        <f t="shared" si="83"/>
        <v>-31.269144336846299</v>
      </c>
      <c r="BE185" s="412">
        <f t="shared" si="83"/>
        <v>-28.710015326091835</v>
      </c>
      <c r="BF185" s="412">
        <f t="shared" si="83"/>
        <v>-25.001220023724564</v>
      </c>
      <c r="BG185" s="412">
        <f t="shared" si="83"/>
        <v>-19.683473391726679</v>
      </c>
      <c r="BH185" s="412">
        <f t="shared" si="83"/>
        <v>-12.117197953180904</v>
      </c>
      <c r="BI185" s="412">
        <f t="shared" si="83"/>
        <v>-3.2385248590590874</v>
      </c>
    </row>
    <row r="186" spans="1:309" x14ac:dyDescent="0.15">
      <c r="A186" s="19" t="s">
        <v>980</v>
      </c>
      <c r="B186" s="413">
        <f t="shared" ref="B186:AG186" si="84">+(B183-B184)</f>
        <v>0</v>
      </c>
      <c r="C186" s="413">
        <f t="shared" si="84"/>
        <v>1.0335414672565388</v>
      </c>
      <c r="D186" s="413">
        <f t="shared" si="84"/>
        <v>1.7778477231194101</v>
      </c>
      <c r="E186" s="413">
        <f t="shared" si="84"/>
        <v>4.2063356573752237</v>
      </c>
      <c r="F186" s="413">
        <f t="shared" si="84"/>
        <v>4.4651493362200743</v>
      </c>
      <c r="G186" s="413">
        <f t="shared" si="84"/>
        <v>4.0642367328719633</v>
      </c>
      <c r="H186" s="413">
        <f t="shared" si="84"/>
        <v>3.3239295395551025</v>
      </c>
      <c r="I186" s="413">
        <f t="shared" si="84"/>
        <v>3.3114688567195243</v>
      </c>
      <c r="J186" s="413">
        <f t="shared" si="84"/>
        <v>2.8251645824377594</v>
      </c>
      <c r="K186" s="413">
        <f t="shared" si="84"/>
        <v>2.4500480571265468</v>
      </c>
      <c r="L186" s="413">
        <f t="shared" si="84"/>
        <v>2.1760315844830442</v>
      </c>
      <c r="M186" s="430">
        <f t="shared" si="84"/>
        <v>1.9714284506166051</v>
      </c>
      <c r="N186" s="413">
        <f t="shared" si="84"/>
        <v>1.7780001067863491</v>
      </c>
      <c r="O186" s="413">
        <f t="shared" si="84"/>
        <v>1.5947844652534628</v>
      </c>
      <c r="P186" s="413">
        <f t="shared" si="84"/>
        <v>1.4189162068470758</v>
      </c>
      <c r="Q186" s="413">
        <f t="shared" si="84"/>
        <v>1.260613764282283</v>
      </c>
      <c r="R186" s="413">
        <f t="shared" si="84"/>
        <v>1.1136313256203376</v>
      </c>
      <c r="S186" s="413">
        <f t="shared" si="84"/>
        <v>0.97932152949885087</v>
      </c>
      <c r="T186" s="413">
        <f t="shared" si="84"/>
        <v>0.8666807352561664</v>
      </c>
      <c r="U186" s="413">
        <f t="shared" si="84"/>
        <v>0.7758922964726751</v>
      </c>
      <c r="V186" s="413">
        <f t="shared" si="84"/>
        <v>0.67345657611347498</v>
      </c>
      <c r="W186" s="413">
        <f t="shared" si="84"/>
        <v>0.56856795826622908</v>
      </c>
      <c r="X186" s="413">
        <f t="shared" si="84"/>
        <v>0.47023800899152529</v>
      </c>
      <c r="Y186" s="413">
        <f t="shared" si="84"/>
        <v>0.37513471500070616</v>
      </c>
      <c r="Z186" s="413">
        <f t="shared" si="84"/>
        <v>0.28255431801400366</v>
      </c>
      <c r="AA186" s="413">
        <f t="shared" si="84"/>
        <v>0.19323545071655268</v>
      </c>
      <c r="AB186" s="413">
        <f t="shared" si="84"/>
        <v>0.10752950561801744</v>
      </c>
      <c r="AC186" s="413">
        <f t="shared" si="84"/>
        <v>2.1919792270290173E-2</v>
      </c>
      <c r="AD186" s="413">
        <f t="shared" si="84"/>
        <v>-6.0428453252943659E-2</v>
      </c>
      <c r="AE186" s="413">
        <f t="shared" si="84"/>
        <v>-0.13420474069029464</v>
      </c>
      <c r="AF186" s="413">
        <f t="shared" si="84"/>
        <v>-0.15770695002826596</v>
      </c>
      <c r="AG186" s="413">
        <f t="shared" si="84"/>
        <v>-0.2512954415044012</v>
      </c>
      <c r="AH186" s="413">
        <f t="shared" ref="AH186:BI186" si="85">+(AH183-AH184)</f>
        <v>-0.32107598074864363</v>
      </c>
      <c r="AI186" s="413">
        <f t="shared" si="85"/>
        <v>-5.8848390384833991</v>
      </c>
      <c r="AJ186" s="413">
        <f t="shared" si="85"/>
        <v>-11.17860035839716</v>
      </c>
      <c r="AK186" s="413">
        <f t="shared" si="85"/>
        <v>-14.550392421748111</v>
      </c>
      <c r="AL186" s="413">
        <f t="shared" si="85"/>
        <v>-16.733405948213179</v>
      </c>
      <c r="AM186" s="413">
        <f t="shared" si="85"/>
        <v>-18.28194382710846</v>
      </c>
      <c r="AN186" s="413">
        <f t="shared" si="85"/>
        <v>-19.484948638672538</v>
      </c>
      <c r="AO186" s="413">
        <f t="shared" si="85"/>
        <v>-20.494588649620045</v>
      </c>
      <c r="AP186" s="413">
        <f t="shared" si="85"/>
        <v>-21.39289182786824</v>
      </c>
      <c r="AQ186" s="413">
        <f t="shared" si="85"/>
        <v>-22.224726215077052</v>
      </c>
      <c r="AR186" s="413">
        <f t="shared" si="85"/>
        <v>-23.014839225692473</v>
      </c>
      <c r="AS186" s="413">
        <f t="shared" si="85"/>
        <v>-23.776957413542899</v>
      </c>
      <c r="AT186" s="413">
        <f t="shared" si="85"/>
        <v>-24.518739400991461</v>
      </c>
      <c r="AU186" s="413">
        <f t="shared" si="85"/>
        <v>-25.244497741207866</v>
      </c>
      <c r="AV186" s="413">
        <f t="shared" si="85"/>
        <v>-25.956700971938627</v>
      </c>
      <c r="AW186" s="413">
        <f t="shared" si="85"/>
        <v>-26.656803504712016</v>
      </c>
      <c r="AX186" s="413">
        <f t="shared" si="85"/>
        <v>-27.345703924267831</v>
      </c>
      <c r="AY186" s="413">
        <f t="shared" si="85"/>
        <v>-28.023997708106279</v>
      </c>
      <c r="AZ186" s="413">
        <f t="shared" si="85"/>
        <v>-28.692116273277382</v>
      </c>
      <c r="BA186" s="413">
        <f t="shared" si="85"/>
        <v>-29.3504032486229</v>
      </c>
      <c r="BB186" s="413">
        <f t="shared" si="85"/>
        <v>-29.999156138691486</v>
      </c>
      <c r="BC186" s="413">
        <f t="shared" si="85"/>
        <v>-30.638648945515818</v>
      </c>
      <c r="BD186" s="413">
        <f t="shared" si="85"/>
        <v>-31.269144336846299</v>
      </c>
      <c r="BE186" s="413">
        <f t="shared" si="85"/>
        <v>-28.710015326091835</v>
      </c>
      <c r="BF186" s="413">
        <f t="shared" si="85"/>
        <v>-25.001220023724564</v>
      </c>
      <c r="BG186" s="413">
        <f t="shared" si="85"/>
        <v>-19.683473391726679</v>
      </c>
      <c r="BH186" s="413">
        <f t="shared" si="85"/>
        <v>-12.117197953180904</v>
      </c>
      <c r="BI186" s="413">
        <f t="shared" si="85"/>
        <v>-3.2385248590590874</v>
      </c>
    </row>
    <row r="189" spans="1:309" x14ac:dyDescent="0.15">
      <c r="A189" s="19" t="s">
        <v>950</v>
      </c>
      <c r="B189" s="414">
        <f>+Copen!BS2</f>
        <v>2005</v>
      </c>
      <c r="C189" s="414">
        <f>+Copen!BT2</f>
        <v>2015</v>
      </c>
      <c r="D189" s="414">
        <f>+Copen!BU2</f>
        <v>2025</v>
      </c>
      <c r="E189" s="414">
        <f>+Copen!BV2</f>
        <v>2035</v>
      </c>
      <c r="F189" s="414">
        <f>+Copen!BW2</f>
        <v>2045</v>
      </c>
      <c r="G189" s="414">
        <f>+Copen!BX2</f>
        <v>2055</v>
      </c>
      <c r="H189" s="414">
        <f>+Copen!BY2</f>
        <v>2065</v>
      </c>
      <c r="I189" s="414">
        <f>+Copen!BZ2</f>
        <v>2075</v>
      </c>
      <c r="J189" s="414">
        <f>+Copen!CA2</f>
        <v>2085</v>
      </c>
      <c r="K189" s="414">
        <f>+Copen!CB2</f>
        <v>2095</v>
      </c>
      <c r="L189" s="414">
        <f>+Copen!CC2</f>
        <v>2105</v>
      </c>
      <c r="M189" s="430">
        <f>+Copen!CD2</f>
        <v>2115</v>
      </c>
      <c r="N189" s="414">
        <f>+Copen!CE2</f>
        <v>2125</v>
      </c>
      <c r="O189" s="414">
        <f>+Copen!CF2</f>
        <v>2135</v>
      </c>
      <c r="P189" s="414">
        <f>+Copen!CG2</f>
        <v>2145</v>
      </c>
      <c r="Q189" s="414">
        <f>+Copen!CH2</f>
        <v>2155</v>
      </c>
      <c r="R189" s="414">
        <f>+Copen!CI2</f>
        <v>2165</v>
      </c>
      <c r="S189" s="414">
        <f>+Copen!CJ2</f>
        <v>2175</v>
      </c>
      <c r="T189" s="414">
        <f>+Copen!CK2</f>
        <v>2185</v>
      </c>
      <c r="U189" s="414">
        <f>+Copen!CL2</f>
        <v>2195</v>
      </c>
      <c r="V189" s="414">
        <f>+Copen!CM2</f>
        <v>2205</v>
      </c>
      <c r="W189" s="414">
        <f>+Copen!CN2</f>
        <v>2215</v>
      </c>
      <c r="X189" s="414">
        <f>+Copen!CO2</f>
        <v>2225</v>
      </c>
      <c r="Y189" s="414">
        <f>+Copen!CP2</f>
        <v>2235</v>
      </c>
      <c r="Z189" s="414">
        <f>+Copen!CQ2</f>
        <v>2245</v>
      </c>
      <c r="AA189" s="414">
        <f>+Copen!CR2</f>
        <v>2255</v>
      </c>
      <c r="AB189" s="414">
        <f>+Copen!CS2</f>
        <v>2265</v>
      </c>
      <c r="AC189" s="414">
        <f>+Copen!CT2</f>
        <v>2275</v>
      </c>
      <c r="AD189" s="414">
        <f>+Copen!CU2</f>
        <v>2285</v>
      </c>
      <c r="AE189" s="414">
        <f>+Copen!CV2</f>
        <v>2295</v>
      </c>
      <c r="AF189" s="414">
        <f>+Copen!CW2</f>
        <v>2305</v>
      </c>
      <c r="AG189" s="414">
        <f>+Copen!CX2</f>
        <v>2315</v>
      </c>
      <c r="AH189" s="414">
        <f>+Copen!CY2</f>
        <v>2325</v>
      </c>
      <c r="AI189" s="414">
        <f>+Copen!CZ2</f>
        <v>2335</v>
      </c>
      <c r="AJ189" s="414">
        <f>+Copen!DA2</f>
        <v>2345</v>
      </c>
      <c r="AK189" s="414">
        <f>+Copen!DB2</f>
        <v>2355</v>
      </c>
      <c r="AL189" s="414">
        <f>+Copen!DC2</f>
        <v>2365</v>
      </c>
      <c r="AM189" s="414">
        <f>+Copen!DD2</f>
        <v>2375</v>
      </c>
      <c r="AN189" s="414">
        <f>+Copen!DE2</f>
        <v>2385</v>
      </c>
      <c r="AO189" s="414">
        <f>+Copen!DF2</f>
        <v>2395</v>
      </c>
      <c r="AP189" s="414">
        <f>+Copen!DG2</f>
        <v>2405</v>
      </c>
      <c r="AQ189" s="414">
        <f>+Copen!DH2</f>
        <v>2415</v>
      </c>
      <c r="AR189" s="414">
        <f>+Copen!DI2</f>
        <v>2425</v>
      </c>
      <c r="AS189" s="414">
        <f>+Copen!DJ2</f>
        <v>2435</v>
      </c>
      <c r="AT189" s="414">
        <f>+Copen!DK2</f>
        <v>2445</v>
      </c>
      <c r="AU189" s="414">
        <f>+Copen!DL2</f>
        <v>2455</v>
      </c>
      <c r="AV189" s="414">
        <f>+Copen!DM2</f>
        <v>2465</v>
      </c>
      <c r="AW189" s="414">
        <f>+Copen!DN2</f>
        <v>2475</v>
      </c>
      <c r="AX189" s="414">
        <f>+Copen!DO2</f>
        <v>2485</v>
      </c>
      <c r="AY189" s="414">
        <f>+Copen!DP2</f>
        <v>2495</v>
      </c>
      <c r="AZ189" s="414">
        <f>+Copen!DQ2</f>
        <v>2505</v>
      </c>
      <c r="BA189" s="414">
        <f>+Copen!DR2</f>
        <v>2515</v>
      </c>
      <c r="BB189" s="414">
        <f>+Copen!DS2</f>
        <v>2525</v>
      </c>
      <c r="BC189" s="414">
        <f>+Copen!DT2</f>
        <v>2535</v>
      </c>
      <c r="BD189" s="414">
        <f>+Copen!DU2</f>
        <v>2545</v>
      </c>
      <c r="BE189" s="414">
        <f>+Copen!DV2</f>
        <v>2555</v>
      </c>
      <c r="BF189" s="414">
        <f>+Copen!DW2</f>
        <v>2565</v>
      </c>
      <c r="BG189" s="414">
        <f>+Copen!DX2</f>
        <v>2575</v>
      </c>
      <c r="BH189" s="414">
        <f>+Copen!DY2</f>
        <v>2585</v>
      </c>
      <c r="BI189" s="414">
        <f>+Copen!DZ2</f>
        <v>2595</v>
      </c>
    </row>
    <row r="190" spans="1:309" x14ac:dyDescent="0.15">
      <c r="A190" s="12" t="s">
        <v>104</v>
      </c>
      <c r="B190" s="414">
        <f>+Copen!BS3</f>
        <v>1.6621334550980102</v>
      </c>
      <c r="C190" s="414">
        <f>+Copen!BT3</f>
        <v>1.6238890395326826</v>
      </c>
      <c r="D190" s="414">
        <f>+Copen!BU3</f>
        <v>1.7936992966779222</v>
      </c>
      <c r="E190" s="414">
        <f>+Copen!BV3</f>
        <v>1.9159711959057728</v>
      </c>
      <c r="F190" s="414">
        <f>+Copen!BW3</f>
        <v>2.0064006216085652</v>
      </c>
      <c r="G190" s="414">
        <f>+Copen!BX3</f>
        <v>2.0633899388603818</v>
      </c>
      <c r="H190" s="414">
        <f>+Copen!BY3</f>
        <v>2.0996012665134169</v>
      </c>
      <c r="I190" s="414">
        <f>+Copen!BZ3</f>
        <v>2.1359057731545312</v>
      </c>
      <c r="J190" s="414">
        <f>+Copen!CA3</f>
        <v>2.1740156887022444</v>
      </c>
      <c r="K190" s="414">
        <f>+Copen!CB3</f>
        <v>2.2150522955676837</v>
      </c>
      <c r="L190" s="414">
        <f>+Copen!CC3</f>
        <v>2.253220858510971</v>
      </c>
      <c r="M190" s="430">
        <f>+Copen!CD3</f>
        <v>2.285772871257143</v>
      </c>
      <c r="N190" s="414">
        <f>+Copen!CE3</f>
        <v>2.3162981175333015</v>
      </c>
      <c r="O190" s="414">
        <f>+Copen!CF3</f>
        <v>2.3671375823659626</v>
      </c>
      <c r="P190" s="414">
        <f>+Copen!CG3</f>
        <v>2.4066439243410249</v>
      </c>
      <c r="Q190" s="414">
        <f>+Copen!CH3</f>
        <v>2.4408186136343044</v>
      </c>
      <c r="R190" s="414">
        <f>+Copen!CI3</f>
        <v>2.4727367507347946</v>
      </c>
      <c r="S190" s="414">
        <f>+Copen!CJ3</f>
        <v>2.5039662163307019</v>
      </c>
      <c r="T190" s="414">
        <f>+Copen!CK3</f>
        <v>2.5352941187916924</v>
      </c>
      <c r="U190" s="414">
        <f>+Copen!CL3</f>
        <v>2.5671024837270617</v>
      </c>
      <c r="V190" s="414">
        <f>+Copen!CM3</f>
        <v>2.5973208853119116</v>
      </c>
      <c r="W190" s="414">
        <f>+Copen!CN3</f>
        <v>2.6254784802230571</v>
      </c>
      <c r="X190" s="414">
        <f>+Copen!CO3</f>
        <v>2.6535402138276587</v>
      </c>
      <c r="Y190" s="414">
        <f>+Copen!CP3</f>
        <v>2.6817967893741437</v>
      </c>
      <c r="Z190" s="414">
        <f>+Copen!CQ3</f>
        <v>2.7103855005081932</v>
      </c>
      <c r="AA190" s="414">
        <f>+Copen!CR3</f>
        <v>2.7393697000443304</v>
      </c>
      <c r="AB190" s="414">
        <f>+Copen!CS3</f>
        <v>2.7688111155226935</v>
      </c>
      <c r="AC190" s="414">
        <f>+Copen!CT3</f>
        <v>2.7989077783966358</v>
      </c>
      <c r="AD190" s="414">
        <f>+Copen!CU3</f>
        <v>2.8309199667077691</v>
      </c>
      <c r="AE190" s="414">
        <f>+Copen!CV3</f>
        <v>2.8645992458159606</v>
      </c>
      <c r="AF190" s="414">
        <f>+Copen!CW3</f>
        <v>2.8947847986793338</v>
      </c>
      <c r="AG190" s="414">
        <f>+Copen!CX3</f>
        <v>2.9200422125680339</v>
      </c>
      <c r="AH190" s="414">
        <f>+Copen!CY3</f>
        <v>2.9443612995334396</v>
      </c>
      <c r="AI190" s="414">
        <f>+Copen!CZ3</f>
        <v>0</v>
      </c>
      <c r="AJ190" s="414">
        <f>+Copen!DA3</f>
        <v>0</v>
      </c>
      <c r="AK190" s="414">
        <f>+Copen!DB3</f>
        <v>0</v>
      </c>
      <c r="AL190" s="414">
        <f>+Copen!DC3</f>
        <v>0</v>
      </c>
      <c r="AM190" s="414">
        <f>+Copen!DD3</f>
        <v>0</v>
      </c>
      <c r="AN190" s="414">
        <f>+Copen!DE3</f>
        <v>0</v>
      </c>
      <c r="AO190" s="414">
        <f>+Copen!DF3</f>
        <v>0</v>
      </c>
      <c r="AP190" s="414">
        <f>+Copen!DG3</f>
        <v>0</v>
      </c>
      <c r="AQ190" s="414">
        <f>+Copen!DH3</f>
        <v>0</v>
      </c>
      <c r="AR190" s="414">
        <f>+Copen!DI3</f>
        <v>0</v>
      </c>
      <c r="AS190" s="414">
        <f>+Copen!DJ3</f>
        <v>0</v>
      </c>
      <c r="AT190" s="414">
        <f>+Copen!DK3</f>
        <v>0</v>
      </c>
      <c r="AU190" s="414">
        <f>+Copen!DL3</f>
        <v>0</v>
      </c>
      <c r="AV190" s="414">
        <f>+Copen!DM3</f>
        <v>0</v>
      </c>
      <c r="AW190" s="414">
        <f>+Copen!DN3</f>
        <v>0</v>
      </c>
      <c r="AX190" s="414">
        <f>+Copen!DO3</f>
        <v>0</v>
      </c>
      <c r="AY190" s="414">
        <f>+Copen!DP3</f>
        <v>0</v>
      </c>
      <c r="AZ190" s="414">
        <f>+Copen!DQ3</f>
        <v>0</v>
      </c>
      <c r="BA190" s="414">
        <f>+Copen!DR3</f>
        <v>0</v>
      </c>
      <c r="BB190" s="414">
        <f>+Copen!DS3</f>
        <v>0</v>
      </c>
      <c r="BC190" s="414">
        <f>+Copen!DT3</f>
        <v>0</v>
      </c>
      <c r="BD190" s="414">
        <f>+Copen!DU3</f>
        <v>0</v>
      </c>
      <c r="BE190" s="414">
        <f>+Copen!DV3</f>
        <v>0</v>
      </c>
      <c r="BF190" s="414">
        <f>+Copen!DW3</f>
        <v>0</v>
      </c>
      <c r="BG190" s="414">
        <f>+Copen!DX3</f>
        <v>0</v>
      </c>
      <c r="BH190" s="414">
        <f>+Copen!DY3</f>
        <v>0</v>
      </c>
      <c r="BI190" s="414">
        <f>+Copen!DZ3</f>
        <v>0</v>
      </c>
    </row>
    <row r="191" spans="1:309" x14ac:dyDescent="0.15">
      <c r="A191" s="12" t="s">
        <v>105</v>
      </c>
      <c r="B191" s="414">
        <f>+Copen!BS4</f>
        <v>1.1460506191660516</v>
      </c>
      <c r="C191" s="414">
        <f>+Copen!BT4</f>
        <v>0.99417387994039974</v>
      </c>
      <c r="D191" s="414">
        <f>+Copen!BU4</f>
        <v>1.106587115461948</v>
      </c>
      <c r="E191" s="414">
        <f>+Copen!BV4</f>
        <v>1.1896400885691427</v>
      </c>
      <c r="F191" s="414">
        <f>+Copen!BW4</f>
        <v>1.2528505333136899</v>
      </c>
      <c r="G191" s="414">
        <f>+Copen!BX4</f>
        <v>1.293255969876953</v>
      </c>
      <c r="H191" s="414">
        <f>+Copen!BY4</f>
        <v>1.3187352765116875</v>
      </c>
      <c r="I191" s="414">
        <f>+Copen!BZ4</f>
        <v>1.3389632943621592</v>
      </c>
      <c r="J191" s="414">
        <f>+Copen!CA4</f>
        <v>1.355254647399603</v>
      </c>
      <c r="K191" s="414">
        <f>+Copen!CB4</f>
        <v>1.3684115841880125</v>
      </c>
      <c r="L191" s="414">
        <f>+Copen!CC4</f>
        <v>1.3991011379823655</v>
      </c>
      <c r="M191" s="430">
        <f>+Copen!CD4</f>
        <v>1.4476806924761045</v>
      </c>
      <c r="N191" s="414">
        <f>+Copen!CE4</f>
        <v>1.4936353702349152</v>
      </c>
      <c r="O191" s="414">
        <f>+Copen!CF4</f>
        <v>1.5463329468040414</v>
      </c>
      <c r="P191" s="414">
        <f>+Copen!CG4</f>
        <v>1.59179762788544</v>
      </c>
      <c r="Q191" s="414">
        <f>+Copen!CH4</f>
        <v>1.6328222246683857</v>
      </c>
      <c r="R191" s="414">
        <f>+Copen!CI4</f>
        <v>1.6709301510743901</v>
      </c>
      <c r="S191" s="414">
        <f>+Copen!CJ4</f>
        <v>1.7069617206503647</v>
      </c>
      <c r="T191" s="414">
        <f>+Copen!CK4</f>
        <v>1.7413946061227932</v>
      </c>
      <c r="U191" s="414">
        <f>+Copen!CL4</f>
        <v>1.774513180184881</v>
      </c>
      <c r="V191" s="414">
        <f>+Copen!CM4</f>
        <v>1.8076876652666076</v>
      </c>
      <c r="W191" s="414">
        <f>+Copen!CN4</f>
        <v>1.8413495696023228</v>
      </c>
      <c r="X191" s="414">
        <f>+Copen!CO4</f>
        <v>1.8745614887804296</v>
      </c>
      <c r="Y191" s="414">
        <f>+Copen!CP4</f>
        <v>1.9072302598582984</v>
      </c>
      <c r="Z191" s="414">
        <f>+Copen!CQ4</f>
        <v>1.9393328133387358</v>
      </c>
      <c r="AA191" s="414">
        <f>+Copen!CR4</f>
        <v>1.9708864440438998</v>
      </c>
      <c r="AB191" s="414">
        <f>+Copen!CS4</f>
        <v>2.0019617509467444</v>
      </c>
      <c r="AC191" s="414">
        <f>+Copen!CT4</f>
        <v>2.0327502451666342</v>
      </c>
      <c r="AD191" s="414">
        <f>+Copen!CU4</f>
        <v>2.0644624050034022</v>
      </c>
      <c r="AE191" s="414">
        <f>+Copen!CV4</f>
        <v>2.0969687113073889</v>
      </c>
      <c r="AF191" s="414">
        <f>+Copen!CW4</f>
        <v>2.1253980134083577</v>
      </c>
      <c r="AG191" s="414">
        <f>+Copen!CX4</f>
        <v>2.1484250153854871</v>
      </c>
      <c r="AH191" s="414">
        <f>+Copen!CY4</f>
        <v>2.1699855980340605</v>
      </c>
      <c r="AI191" s="414">
        <f>+Copen!CZ4</f>
        <v>2.1906250887055272</v>
      </c>
      <c r="AJ191" s="414">
        <f>+Copen!DA4</f>
        <v>2.2106067237250948</v>
      </c>
      <c r="AK191" s="414">
        <f>+Copen!DB4</f>
        <v>2.2300675101663834</v>
      </c>
      <c r="AL191" s="414">
        <f>+Copen!DC4</f>
        <v>2.2490846573638215</v>
      </c>
      <c r="AM191" s="414">
        <f>+Copen!DD4</f>
        <v>2.2677079133032905</v>
      </c>
      <c r="AN191" s="414">
        <f>+Copen!DE4</f>
        <v>2.2859747837501896</v>
      </c>
      <c r="AO191" s="414">
        <f>+Copen!DF4</f>
        <v>2.303917311648465</v>
      </c>
      <c r="AP191" s="414">
        <f>+Copen!DG4</f>
        <v>2.3215648357593124</v>
      </c>
      <c r="AQ191" s="414">
        <f>+Copen!DH4</f>
        <v>2.3389449324583791</v>
      </c>
      <c r="AR191" s="414">
        <f>+Copen!DI4</f>
        <v>2.3560836077041061</v>
      </c>
      <c r="AS191" s="414">
        <f>+Copen!DJ4</f>
        <v>2.3730052332316456</v>
      </c>
      <c r="AT191" s="414">
        <f>+Copen!DK4</f>
        <v>2.3897324394322141</v>
      </c>
      <c r="AU191" s="414">
        <f>+Copen!DL4</f>
        <v>2.4062860439308889</v>
      </c>
      <c r="AV191" s="414">
        <f>+Copen!DM4</f>
        <v>2.4226850351735174</v>
      </c>
      <c r="AW191" s="414">
        <f>+Copen!DN4</f>
        <v>2.4389466062619753</v>
      </c>
      <c r="AX191" s="414">
        <f>+Copen!DO4</f>
        <v>2.4550862266652294</v>
      </c>
      <c r="AY191" s="414">
        <f>+Copen!DP4</f>
        <v>2.4711177388728376</v>
      </c>
      <c r="AZ191" s="414">
        <f>+Copen!DQ4</f>
        <v>2.4870534690925501</v>
      </c>
      <c r="BA191" s="414">
        <f>+Copen!DR4</f>
        <v>2.5029043437302101</v>
      </c>
      <c r="BB191" s="414">
        <f>+Copen!DS4</f>
        <v>2.5186800058219112</v>
      </c>
      <c r="BC191" s="414">
        <f>+Copen!DT4</f>
        <v>2.5343889275580866</v>
      </c>
      <c r="BD191" s="414">
        <f>+Copen!DU4</f>
        <v>2.5500385165254369</v>
      </c>
      <c r="BE191" s="414">
        <f>+Copen!DV4</f>
        <v>2.5656352143619037</v>
      </c>
      <c r="BF191" s="414">
        <f>+Copen!DW4</f>
        <v>2.581184587260307</v>
      </c>
      <c r="BG191" s="414">
        <f>+Copen!DX4</f>
        <v>2.5966914082500296</v>
      </c>
      <c r="BH191" s="414">
        <f>+Copen!DY4</f>
        <v>2.612159731501468</v>
      </c>
      <c r="BI191" s="414">
        <f>+Copen!DZ4</f>
        <v>2.6275929590873344</v>
      </c>
    </row>
    <row r="192" spans="1:309" x14ac:dyDescent="0.15">
      <c r="A192" s="12" t="s">
        <v>51</v>
      </c>
      <c r="B192" s="414">
        <f>+Copen!BS5</f>
        <v>0.36996592574248305</v>
      </c>
      <c r="C192" s="414">
        <f>+Copen!BT5</f>
        <v>0.38212689739253547</v>
      </c>
      <c r="D192" s="414">
        <f>+Copen!BU5</f>
        <v>0.38413431767823225</v>
      </c>
      <c r="E192" s="414">
        <f>+Copen!BV5</f>
        <v>0.37226152206942442</v>
      </c>
      <c r="F192" s="414">
        <f>+Copen!BW5</f>
        <v>0.34678851685106582</v>
      </c>
      <c r="G192" s="414">
        <f>+Copen!BX5</f>
        <v>0.33340003152526643</v>
      </c>
      <c r="H192" s="414">
        <f>+Copen!BY5</f>
        <v>0.32645083316216339</v>
      </c>
      <c r="I192" s="414">
        <f>+Copen!BZ5</f>
        <v>0.3190829939845985</v>
      </c>
      <c r="J192" s="414">
        <f>+Copen!CA5</f>
        <v>0.31162614441390923</v>
      </c>
      <c r="K192" s="414">
        <f>+Copen!CB5</f>
        <v>0.30427782345739995</v>
      </c>
      <c r="L192" s="414">
        <f>+Copen!CC5</f>
        <v>0.30398130303469717</v>
      </c>
      <c r="M192" s="430">
        <f>+Copen!CD5</f>
        <v>0.31034744642650725</v>
      </c>
      <c r="N192" s="414">
        <f>+Copen!CE5</f>
        <v>0.31629412063685058</v>
      </c>
      <c r="O192" s="414">
        <f>+Copen!CF5</f>
        <v>0.32476946072060414</v>
      </c>
      <c r="P192" s="414">
        <f>+Copen!CG5</f>
        <v>0.33158975324013151</v>
      </c>
      <c r="Q192" s="414">
        <f>+Copen!CH5</f>
        <v>0.337540655438131</v>
      </c>
      <c r="R192" s="414">
        <f>+Copen!CI5</f>
        <v>0.34303349192837185</v>
      </c>
      <c r="S192" s="414">
        <f>+Copen!CJ5</f>
        <v>0.34828502770958741</v>
      </c>
      <c r="T192" s="414">
        <f>+Copen!CK5</f>
        <v>0.35341033755910906</v>
      </c>
      <c r="U192" s="414">
        <f>+Copen!CL5</f>
        <v>0.35847113369146172</v>
      </c>
      <c r="V192" s="414">
        <f>+Copen!CM5</f>
        <v>0.36364275515515498</v>
      </c>
      <c r="W192" s="414">
        <f>+Copen!CN5</f>
        <v>0.36897899617307173</v>
      </c>
      <c r="X192" s="414">
        <f>+Copen!CO5</f>
        <v>0.37436771050527334</v>
      </c>
      <c r="Y192" s="414">
        <f>+Copen!CP5</f>
        <v>0.37979612522017631</v>
      </c>
      <c r="Z192" s="414">
        <f>+Copen!CQ5</f>
        <v>0.38525910365053145</v>
      </c>
      <c r="AA192" s="414">
        <f>+Copen!CR5</f>
        <v>0.39075655364667533</v>
      </c>
      <c r="AB192" s="414">
        <f>+Copen!CS5</f>
        <v>0.39629727651075652</v>
      </c>
      <c r="AC192" s="414">
        <f>+Copen!CT5</f>
        <v>0.40190717097410328</v>
      </c>
      <c r="AD192" s="414">
        <f>+Copen!CU5</f>
        <v>0.40781804984180631</v>
      </c>
      <c r="AE192" s="414">
        <f>+Copen!CV5</f>
        <v>0.41398764670250238</v>
      </c>
      <c r="AF192" s="414">
        <f>+Copen!CW5</f>
        <v>0.41945909897960815</v>
      </c>
      <c r="AG192" s="414">
        <f>+Copen!CX5</f>
        <v>0.42396567283805758</v>
      </c>
      <c r="AH192" s="414">
        <f>+Copen!CY5</f>
        <v>0.42825844086731946</v>
      </c>
      <c r="AI192" s="414">
        <f>+Copen!CZ5</f>
        <v>0.4324333500171656</v>
      </c>
      <c r="AJ192" s="414">
        <f>+Copen!DA5</f>
        <v>0.43653699316345984</v>
      </c>
      <c r="AK192" s="414">
        <f>+Copen!DB5</f>
        <v>0.4405923446957844</v>
      </c>
      <c r="AL192" s="414">
        <f>+Copen!DC5</f>
        <v>0.44461132611018828</v>
      </c>
      <c r="AM192" s="414">
        <f>+Copen!DD5</f>
        <v>0.4486009261592927</v>
      </c>
      <c r="AN192" s="414">
        <f>+Copen!DE5</f>
        <v>0.45256606626055623</v>
      </c>
      <c r="AO192" s="414">
        <f>+Copen!DF5</f>
        <v>0.45651086202813462</v>
      </c>
      <c r="AP192" s="414">
        <f>+Copen!DG5</f>
        <v>0.46043912231937362</v>
      </c>
      <c r="AQ192" s="414">
        <f>+Copen!DH5</f>
        <v>0.46435450560398328</v>
      </c>
      <c r="AR192" s="414">
        <f>+Copen!DI5</f>
        <v>0.46826053683601015</v>
      </c>
      <c r="AS192" s="414">
        <f>+Copen!DJ5</f>
        <v>0.47216057870236461</v>
      </c>
      <c r="AT192" s="414">
        <f>+Copen!DK5</f>
        <v>0.47605779734746118</v>
      </c>
      <c r="AU192" s="414">
        <f>+Copen!DL5</f>
        <v>0.47995513718873622</v>
      </c>
      <c r="AV192" s="414">
        <f>+Copen!DM5</f>
        <v>0.48385530806333799</v>
      </c>
      <c r="AW192" s="414">
        <f>+Copen!DN5</f>
        <v>0.48776078340138906</v>
      </c>
      <c r="AX192" s="414">
        <f>+Copen!DO5</f>
        <v>0.49167380673318856</v>
      </c>
      <c r="AY192" s="414">
        <f>+Copen!DP5</f>
        <v>0.49559640379867276</v>
      </c>
      <c r="AZ192" s="414">
        <f>+Copen!DQ5</f>
        <v>0.49953039797891113</v>
      </c>
      <c r="BA192" s="414">
        <f>+Copen!DR5</f>
        <v>0.50347742732648204</v>
      </c>
      <c r="BB192" s="414">
        <f>+Copen!DS5</f>
        <v>0.50743896197896021</v>
      </c>
      <c r="BC192" s="414">
        <f>+Copen!DT5</f>
        <v>0.51141632114871682</v>
      </c>
      <c r="BD192" s="414">
        <f>+Copen!DU5</f>
        <v>0.51541068919001765</v>
      </c>
      <c r="BE192" s="414">
        <f>+Copen!DV5</f>
        <v>0.5194231304653355</v>
      </c>
      <c r="BF192" s="414">
        <f>+Copen!DW5</f>
        <v>0.52345460288529155</v>
      </c>
      <c r="BG192" s="414">
        <f>+Copen!DX5</f>
        <v>0.52750597009792999</v>
      </c>
      <c r="BH192" s="414">
        <f>+Copen!DY5</f>
        <v>0.53157801236722957</v>
      </c>
      <c r="BI192" s="414">
        <f>+Copen!DZ5</f>
        <v>0.53567143621893931</v>
      </c>
    </row>
    <row r="193" spans="1:61" x14ac:dyDescent="0.15">
      <c r="A193" s="12" t="s">
        <v>52</v>
      </c>
      <c r="B193" s="414">
        <f>+Copen!BS6</f>
        <v>0.43123618180564005</v>
      </c>
      <c r="C193" s="414">
        <f>+Copen!BT6</f>
        <v>0.42330360015769258</v>
      </c>
      <c r="D193" s="414">
        <f>+Copen!BU6</f>
        <v>0.44350907056613081</v>
      </c>
      <c r="E193" s="414">
        <f>+Copen!BV6</f>
        <v>0.44937555168341392</v>
      </c>
      <c r="F193" s="414">
        <f>+Copen!BW6</f>
        <v>0.45134076722900468</v>
      </c>
      <c r="G193" s="414">
        <f>+Copen!BX6</f>
        <v>0.45182363842797318</v>
      </c>
      <c r="H193" s="414">
        <f>+Copen!BY6</f>
        <v>0.45092789480458334</v>
      </c>
      <c r="I193" s="414">
        <f>+Copen!BZ6</f>
        <v>0.44798158497969987</v>
      </c>
      <c r="J193" s="414">
        <f>+Copen!CA6</f>
        <v>0.44359071308541204</v>
      </c>
      <c r="K193" s="414">
        <f>+Copen!CB6</f>
        <v>0.4381890465122264</v>
      </c>
      <c r="L193" s="414">
        <f>+Copen!CC6</f>
        <v>0.44472140509603325</v>
      </c>
      <c r="M193" s="430">
        <f>+Copen!CD6</f>
        <v>0.46331090338611408</v>
      </c>
      <c r="N193" s="414">
        <f>+Copen!CE6</f>
        <v>0.48124881704608979</v>
      </c>
      <c r="O193" s="414">
        <f>+Copen!CF6</f>
        <v>0.50213680114158188</v>
      </c>
      <c r="P193" s="414">
        <f>+Copen!CG6</f>
        <v>0.52084907063603214</v>
      </c>
      <c r="Q193" s="414">
        <f>+Copen!CH6</f>
        <v>0.53828709765627192</v>
      </c>
      <c r="R193" s="414">
        <f>+Copen!CI6</f>
        <v>0.55493762454945894</v>
      </c>
      <c r="S193" s="414">
        <f>+Copen!CJ6</f>
        <v>0.57106896882870573</v>
      </c>
      <c r="T193" s="414">
        <f>+Copen!CK6</f>
        <v>0.58683378034155553</v>
      </c>
      <c r="U193" s="414">
        <f>+Copen!CL6</f>
        <v>0.60232326645039336</v>
      </c>
      <c r="V193" s="414">
        <f>+Copen!CM6</f>
        <v>0.61691018740471359</v>
      </c>
      <c r="W193" s="414">
        <f>+Copen!CN6</f>
        <v>0.63044572505749075</v>
      </c>
      <c r="X193" s="414">
        <f>+Copen!CO6</f>
        <v>0.64354694346164809</v>
      </c>
      <c r="Y193" s="414">
        <f>+Copen!CP6</f>
        <v>0.65633379434564643</v>
      </c>
      <c r="Z193" s="414">
        <f>+Copen!CQ6</f>
        <v>0.66888083671717513</v>
      </c>
      <c r="AA193" s="414">
        <f>+Copen!CR6</f>
        <v>0.68123889569720819</v>
      </c>
      <c r="AB193" s="414">
        <f>+Copen!CS6</f>
        <v>0.69345185106125562</v>
      </c>
      <c r="AC193" s="414">
        <f>+Copen!CT6</f>
        <v>0.70555620670616959</v>
      </c>
      <c r="AD193" s="414">
        <f>+Copen!CU6</f>
        <v>0.71790259794327305</v>
      </c>
      <c r="AE193" s="414">
        <f>+Copen!CV6</f>
        <v>0.73043819516861863</v>
      </c>
      <c r="AF193" s="414">
        <f>+Copen!CW6</f>
        <v>0.74168110026719269</v>
      </c>
      <c r="AG193" s="414">
        <f>+Copen!CX6</f>
        <v>0.75122995825534689</v>
      </c>
      <c r="AH193" s="414">
        <f>+Copen!CY6</f>
        <v>0.76028984675385713</v>
      </c>
      <c r="AI193" s="414">
        <f>+Copen!CZ6</f>
        <v>0.76903347490787222</v>
      </c>
      <c r="AJ193" s="414">
        <f>+Copen!DA6</f>
        <v>0.77755294156777777</v>
      </c>
      <c r="AK193" s="414">
        <f>+Copen!DB6</f>
        <v>0.78589974973528265</v>
      </c>
      <c r="AL193" s="414">
        <f>+Copen!DC6</f>
        <v>0.79410516995977309</v>
      </c>
      <c r="AM193" s="414">
        <f>+Copen!DD6</f>
        <v>0.80219048699273099</v>
      </c>
      <c r="AN193" s="414">
        <f>+Copen!DE6</f>
        <v>0.81017203371976731</v>
      </c>
      <c r="AO193" s="414">
        <f>+Copen!DF6</f>
        <v>0.81806358554875491</v>
      </c>
      <c r="AP193" s="414">
        <f>+Copen!DG6</f>
        <v>0.82587745009250135</v>
      </c>
      <c r="AQ193" s="414">
        <f>+Copen!DH6</f>
        <v>0.83362493392529813</v>
      </c>
      <c r="AR193" s="414">
        <f>+Copen!DI6</f>
        <v>0.84131652728767947</v>
      </c>
      <c r="AS193" s="414">
        <f>+Copen!DJ6</f>
        <v>0.84896197204372847</v>
      </c>
      <c r="AT193" s="414">
        <f>+Copen!DK6</f>
        <v>0.85657028940181967</v>
      </c>
      <c r="AU193" s="414">
        <f>+Copen!DL6</f>
        <v>0.86414980013043763</v>
      </c>
      <c r="AV193" s="414">
        <f>+Copen!DM6</f>
        <v>0.87170814921591311</v>
      </c>
      <c r="AW193" s="414">
        <f>+Copen!DN6</f>
        <v>0.8792523376268615</v>
      </c>
      <c r="AX193" s="414">
        <f>+Copen!DO6</f>
        <v>0.88678876015144215</v>
      </c>
      <c r="AY193" s="414">
        <f>+Copen!DP6</f>
        <v>0.8943232471617768</v>
      </c>
      <c r="AZ193" s="414">
        <f>+Copen!DQ6</f>
        <v>0.90186110815420006</v>
      </c>
      <c r="BA193" s="414">
        <f>+Copen!DR6</f>
        <v>0.90940717530851622</v>
      </c>
      <c r="BB193" s="414">
        <f>+Copen!DS6</f>
        <v>0.91696584578634033</v>
      </c>
      <c r="BC193" s="414">
        <f>+Copen!DT6</f>
        <v>0.92454112191940441</v>
      </c>
      <c r="BD193" s="414">
        <f>+Copen!DU6</f>
        <v>0.93213664878319769</v>
      </c>
      <c r="BE193" s="414">
        <f>+Copen!DV6</f>
        <v>0.93975574890768565</v>
      </c>
      <c r="BF193" s="414">
        <f>+Copen!DW6</f>
        <v>0.94740145405762877</v>
      </c>
      <c r="BG193" s="414">
        <f>+Copen!DX6</f>
        <v>0.95507653413630267</v>
      </c>
      <c r="BH193" s="414">
        <f>+Copen!DY6</f>
        <v>0.96278352334316752</v>
      </c>
      <c r="BI193" s="414">
        <f>+Copen!DZ6</f>
        <v>0.97052474376068387</v>
      </c>
    </row>
    <row r="194" spans="1:61" x14ac:dyDescent="0.15">
      <c r="A194" s="12" t="s">
        <v>53</v>
      </c>
      <c r="B194" s="414">
        <f>+Copen!BS7</f>
        <v>0.25666629327477047</v>
      </c>
      <c r="C194" s="414">
        <f>+Copen!BT7</f>
        <v>0.23347990029250282</v>
      </c>
      <c r="D194" s="414">
        <f>+Copen!BU7</f>
        <v>0.26366163976737494</v>
      </c>
      <c r="E194" s="414">
        <f>+Copen!BV7</f>
        <v>0.28548421663134965</v>
      </c>
      <c r="F194" s="414">
        <f>+Copen!BW7</f>
        <v>0.30222282262733086</v>
      </c>
      <c r="G194" s="414">
        <f>+Copen!BX7</f>
        <v>0.31418853486415776</v>
      </c>
      <c r="H194" s="414">
        <f>+Copen!BY7</f>
        <v>0.32360863989673316</v>
      </c>
      <c r="I194" s="414">
        <f>+Copen!BZ7</f>
        <v>0.33128759965590066</v>
      </c>
      <c r="J194" s="414">
        <f>+Copen!CA7</f>
        <v>0.33756686125447877</v>
      </c>
      <c r="K194" s="414">
        <f>+Copen!CB7</f>
        <v>0.34270783644964598</v>
      </c>
      <c r="L194" s="414">
        <f>+Copen!CC7</f>
        <v>0.35271000836163591</v>
      </c>
      <c r="M194" s="430">
        <f>+Copen!CD7</f>
        <v>0.36782849078910845</v>
      </c>
      <c r="N194" s="414">
        <f>+Copen!CE7</f>
        <v>0.38221627300658229</v>
      </c>
      <c r="O194" s="414">
        <f>+Copen!CF7</f>
        <v>0.39776089051506131</v>
      </c>
      <c r="P194" s="414">
        <f>+Copen!CG7</f>
        <v>0.41175129761296825</v>
      </c>
      <c r="Q194" s="414">
        <f>+Copen!CH7</f>
        <v>0.42465911082934266</v>
      </c>
      <c r="R194" s="414">
        <f>+Copen!CI7</f>
        <v>0.43674325192891333</v>
      </c>
      <c r="S194" s="414">
        <f>+Copen!CJ7</f>
        <v>0.44815230103397913</v>
      </c>
      <c r="T194" s="414">
        <f>+Copen!CK7</f>
        <v>0.45897753330334473</v>
      </c>
      <c r="U194" s="414">
        <f>+Copen!CL7</f>
        <v>0.46928045599082846</v>
      </c>
      <c r="V194" s="414">
        <f>+Copen!CM7</f>
        <v>0.48000369075176819</v>
      </c>
      <c r="W194" s="414">
        <f>+Copen!CN7</f>
        <v>0.49142921629651676</v>
      </c>
      <c r="X194" s="414">
        <f>+Copen!CO7</f>
        <v>0.5028213122226517</v>
      </c>
      <c r="Y194" s="414">
        <f>+Copen!CP7</f>
        <v>0.5140839973786594</v>
      </c>
      <c r="Z194" s="414">
        <f>+Copen!CQ7</f>
        <v>0.52517665707587413</v>
      </c>
      <c r="AA194" s="414">
        <f>+Copen!CR7</f>
        <v>0.53608913246103473</v>
      </c>
      <c r="AB194" s="414">
        <f>+Copen!CS7</f>
        <v>0.54683357937571853</v>
      </c>
      <c r="AC194" s="414">
        <f>+Copen!CT7</f>
        <v>0.55746848116990999</v>
      </c>
      <c r="AD194" s="414">
        <f>+Copen!CU7</f>
        <v>0.56822664684753565</v>
      </c>
      <c r="AE194" s="414">
        <f>+Copen!CV7</f>
        <v>0.57908849434043752</v>
      </c>
      <c r="AF194" s="414">
        <f>+Copen!CW7</f>
        <v>0.58891509713899803</v>
      </c>
      <c r="AG194" s="414">
        <f>+Copen!CX7</f>
        <v>0.59738968380574742</v>
      </c>
      <c r="AH194" s="414">
        <f>+Copen!CY7</f>
        <v>0.60543705710302409</v>
      </c>
      <c r="AI194" s="414">
        <f>+Copen!CZ7</f>
        <v>0.6131894519314538</v>
      </c>
      <c r="AJ194" s="414">
        <f>+Copen!DA7</f>
        <v>0.6207182031295676</v>
      </c>
      <c r="AK194" s="414">
        <f>+Copen!DB7</f>
        <v>0.6280644941560054</v>
      </c>
      <c r="AL194" s="414">
        <f>+Copen!DC7</f>
        <v>0.63525478718929485</v>
      </c>
      <c r="AM194" s="414">
        <f>+Copen!DD7</f>
        <v>0.64230843033393015</v>
      </c>
      <c r="AN194" s="414">
        <f>+Copen!DE7</f>
        <v>0.64924128937996506</v>
      </c>
      <c r="AO194" s="414">
        <f>+Copen!DF7</f>
        <v>0.65606740343641645</v>
      </c>
      <c r="AP194" s="414">
        <f>+Copen!DG7</f>
        <v>0.66279968915622667</v>
      </c>
      <c r="AQ194" s="414">
        <f>+Copen!DH7</f>
        <v>0.66945020875070393</v>
      </c>
      <c r="AR194" s="414">
        <f>+Copen!DI7</f>
        <v>0.67603025380112525</v>
      </c>
      <c r="AS194" s="414">
        <f>+Copen!DJ7</f>
        <v>0.68255036312694028</v>
      </c>
      <c r="AT194" s="414">
        <f>+Copen!DK7</f>
        <v>0.68902032652967593</v>
      </c>
      <c r="AU194" s="414">
        <f>+Copen!DL7</f>
        <v>0.69544919430862151</v>
      </c>
      <c r="AV194" s="414">
        <f>+Copen!DM7</f>
        <v>0.70184529789376893</v>
      </c>
      <c r="AW194" s="414">
        <f>+Copen!DN7</f>
        <v>0.70821628090480748</v>
      </c>
      <c r="AX194" s="414">
        <f>+Copen!DO7</f>
        <v>0.71456913791629395</v>
      </c>
      <c r="AY194" s="414">
        <f>+Copen!DP7</f>
        <v>0.72091025794507202</v>
      </c>
      <c r="AZ194" s="414">
        <f>+Copen!DQ7</f>
        <v>0.72724547009402551</v>
      </c>
      <c r="BA194" s="414">
        <f>+Copen!DR7</f>
        <v>0.73358008938881902</v>
      </c>
      <c r="BB194" s="414">
        <f>+Copen!DS7</f>
        <v>0.73991896142157909</v>
      </c>
      <c r="BC194" s="414">
        <f>+Copen!DT7</f>
        <v>0.7462665048940863</v>
      </c>
      <c r="BD194" s="414">
        <f>+Copen!DU7</f>
        <v>0.75262675152037739</v>
      </c>
      <c r="BE194" s="414">
        <f>+Copen!DV7</f>
        <v>0.7590033830164129</v>
      </c>
      <c r="BF194" s="414">
        <f>+Copen!DW7</f>
        <v>0.76539976509160634</v>
      </c>
      <c r="BG194" s="414">
        <f>+Copen!DX7</f>
        <v>0.7718189784824806</v>
      </c>
      <c r="BH194" s="414">
        <f>+Copen!DY7</f>
        <v>0.77826384714875563</v>
      </c>
      <c r="BI194" s="414">
        <f>+Copen!DZ7</f>
        <v>0.78473696379969504</v>
      </c>
    </row>
    <row r="195" spans="1:61" x14ac:dyDescent="0.15">
      <c r="A195" s="12" t="s">
        <v>54</v>
      </c>
      <c r="B195" s="414">
        <f>+Copen!BS8</f>
        <v>1.6007411280266048</v>
      </c>
      <c r="C195" s="414">
        <f>+Copen!BT8</f>
        <v>2.843737175726925</v>
      </c>
      <c r="D195" s="414">
        <f>+Copen!BU8</f>
        <v>3.2081467193314417</v>
      </c>
      <c r="E195" s="414">
        <f>+Copen!BV8</f>
        <v>3.4276862276347724</v>
      </c>
      <c r="F195" s="414">
        <f>+Copen!BW8</f>
        <v>3.5457433176437498</v>
      </c>
      <c r="G195" s="414">
        <f>+Copen!BX8</f>
        <v>3.5874953694933125</v>
      </c>
      <c r="H195" s="414">
        <f>+Copen!BY8</f>
        <v>3.61449935941654</v>
      </c>
      <c r="I195" s="414">
        <f>+Copen!BZ8</f>
        <v>3.6262200939033429</v>
      </c>
      <c r="J195" s="414">
        <f>+Copen!CA8</f>
        <v>3.6266395866323307</v>
      </c>
      <c r="K195" s="414">
        <f>+Copen!CB8</f>
        <v>3.6169572235266667</v>
      </c>
      <c r="L195" s="414">
        <f>+Copen!CC8</f>
        <v>3.6630877109948066</v>
      </c>
      <c r="M195" s="430">
        <f>+Copen!CD8</f>
        <v>3.7692089053112832</v>
      </c>
      <c r="N195" s="414">
        <f>+Copen!CE8</f>
        <v>3.877051150349208</v>
      </c>
      <c r="O195" s="414">
        <f>+Copen!CF8</f>
        <v>3.9548842945345992</v>
      </c>
      <c r="P195" s="414">
        <f>+Copen!CG8</f>
        <v>4.0325055494369604</v>
      </c>
      <c r="Q195" s="414">
        <f>+Copen!CH8</f>
        <v>4.1075665183095573</v>
      </c>
      <c r="R195" s="414">
        <f>+Copen!CI8</f>
        <v>4.1788140622173744</v>
      </c>
      <c r="S195" s="414">
        <f>+Copen!CJ8</f>
        <v>4.2456543467324943</v>
      </c>
      <c r="T195" s="414">
        <f>+Copen!CK8</f>
        <v>4.3078414213470912</v>
      </c>
      <c r="U195" s="414">
        <f>+Copen!CL8</f>
        <v>4.3653124750578547</v>
      </c>
      <c r="V195" s="414">
        <f>+Copen!CM8</f>
        <v>4.4261293605790986</v>
      </c>
      <c r="W195" s="414">
        <f>+Copen!CN8</f>
        <v>4.4923171477038171</v>
      </c>
      <c r="X195" s="414">
        <f>+Copen!CO8</f>
        <v>4.55688397525212</v>
      </c>
      <c r="Y195" s="414">
        <f>+Copen!CP8</f>
        <v>4.6186982393960161</v>
      </c>
      <c r="Z195" s="414">
        <f>+Copen!CQ8</f>
        <v>4.6772200113824658</v>
      </c>
      <c r="AA195" s="414">
        <f>+Copen!CR8</f>
        <v>4.7321945713951461</v>
      </c>
      <c r="AB195" s="414">
        <f>+Copen!CS8</f>
        <v>4.7835847223994659</v>
      </c>
      <c r="AC195" s="414">
        <f>+Copen!CT8</f>
        <v>4.8317385717447339</v>
      </c>
      <c r="AD195" s="414">
        <f>+Copen!CU8</f>
        <v>4.8794873705333597</v>
      </c>
      <c r="AE195" s="414">
        <f>+Copen!CV8</f>
        <v>4.9267857064795599</v>
      </c>
      <c r="AF195" s="414">
        <f>+Copen!CW8</f>
        <v>4.9615973829865476</v>
      </c>
      <c r="AG195" s="414">
        <f>+Copen!CX8</f>
        <v>4.9810947396661716</v>
      </c>
      <c r="AH195" s="414">
        <f>+Copen!CY8</f>
        <v>4.995780146875707</v>
      </c>
      <c r="AI195" s="414">
        <f>+Copen!CZ8</f>
        <v>5.00738282225731</v>
      </c>
      <c r="AJ195" s="414">
        <f>+Copen!DA8</f>
        <v>5.0166190900477829</v>
      </c>
      <c r="AK195" s="414">
        <f>+Copen!DB8</f>
        <v>5.0238342849495075</v>
      </c>
      <c r="AL195" s="414">
        <f>+Copen!DC8</f>
        <v>5.0291994442294561</v>
      </c>
      <c r="AM195" s="414">
        <f>+Copen!DD8</f>
        <v>5.0328029930551796</v>
      </c>
      <c r="AN195" s="414">
        <f>+Copen!DE8</f>
        <v>5.0346947145670873</v>
      </c>
      <c r="AO195" s="414">
        <f>+Copen!DF8</f>
        <v>5.0349064489457058</v>
      </c>
      <c r="AP195" s="414">
        <f>+Copen!DG8</f>
        <v>5.0334616358395987</v>
      </c>
      <c r="AQ195" s="414">
        <f>+Copen!DH8</f>
        <v>5.0303797043138898</v>
      </c>
      <c r="AR195" s="414">
        <f>+Copen!DI8</f>
        <v>5.0256782347973674</v>
      </c>
      <c r="AS195" s="414">
        <f>+Copen!DJ8</f>
        <v>5.0193742864968334</v>
      </c>
      <c r="AT195" s="414">
        <f>+Copen!DK8</f>
        <v>5.0114855388569151</v>
      </c>
      <c r="AU195" s="414">
        <f>+Copen!DL8</f>
        <v>5.002031544016619</v>
      </c>
      <c r="AV195" s="414">
        <f>+Copen!DM8</f>
        <v>4.9910352286274415</v>
      </c>
      <c r="AW195" s="414">
        <f>+Copen!DN8</f>
        <v>4.9785247172539648</v>
      </c>
      <c r="AX195" s="414">
        <f>+Copen!DO8</f>
        <v>4.9645355262169337</v>
      </c>
      <c r="AY195" s="414">
        <f>+Copen!DP8</f>
        <v>4.9491131721954389</v>
      </c>
      <c r="AZ195" s="414">
        <f>+Copen!DQ8</f>
        <v>4.9323162429822709</v>
      </c>
      <c r="BA195" s="414">
        <f>+Copen!DR8</f>
        <v>4.9142199835524432</v>
      </c>
      <c r="BB195" s="414">
        <f>+Copen!DS8</f>
        <v>4.8949204572020157</v>
      </c>
      <c r="BC195" s="414">
        <f>+Copen!DT8</f>
        <v>4.874539348672756</v>
      </c>
      <c r="BD195" s="414">
        <f>+Copen!DU8</f>
        <v>4.8532294845926636</v>
      </c>
      <c r="BE195" s="414">
        <f>+Copen!DV8</f>
        <v>4.8311811577034316</v>
      </c>
      <c r="BF195" s="414">
        <f>+Copen!DW8</f>
        <v>4.8086293574766446</v>
      </c>
      <c r="BG195" s="414">
        <f>+Copen!DX8</f>
        <v>4.7858620339727356</v>
      </c>
      <c r="BH195" s="414">
        <f>+Copen!DY8</f>
        <v>4.7632295581928705</v>
      </c>
      <c r="BI195" s="414">
        <f>+Copen!DZ8</f>
        <v>4.7411555954502376</v>
      </c>
    </row>
    <row r="196" spans="1:61" x14ac:dyDescent="0.15">
      <c r="A196" s="12" t="s">
        <v>55</v>
      </c>
      <c r="B196" s="414">
        <f>+Copen!BS9</f>
        <v>0.40515158969265602</v>
      </c>
      <c r="C196" s="414">
        <f>+Copen!BT9</f>
        <v>0.72309374310061081</v>
      </c>
      <c r="D196" s="414">
        <f>+Copen!BU9</f>
        <v>0.95176955277897013</v>
      </c>
      <c r="E196" s="414">
        <f>+Copen!BV9</f>
        <v>1.1736542267846262</v>
      </c>
      <c r="F196" s="414">
        <f>+Copen!BW9</f>
        <v>1.3875149357994263</v>
      </c>
      <c r="G196" s="414">
        <f>+Copen!BX9</f>
        <v>1.5656463956313702</v>
      </c>
      <c r="H196" s="414">
        <f>+Copen!BY9</f>
        <v>1.7181344991488587</v>
      </c>
      <c r="I196" s="414">
        <f>+Copen!BZ9</f>
        <v>1.8663056144623387</v>
      </c>
      <c r="J196" s="414">
        <f>+Copen!CA9</f>
        <v>2.0102964682578959</v>
      </c>
      <c r="K196" s="414">
        <f>+Copen!CB9</f>
        <v>2.1502183359581082</v>
      </c>
      <c r="L196" s="414">
        <f>+Copen!CC9</f>
        <v>2.2846983207015983</v>
      </c>
      <c r="M196" s="430">
        <f>+Copen!CD9</f>
        <v>2.4122437831930847</v>
      </c>
      <c r="N196" s="414">
        <f>+Copen!CE9</f>
        <v>2.5321441508628455</v>
      </c>
      <c r="O196" s="414">
        <f>+Copen!CF9</f>
        <v>2.6502695652104582</v>
      </c>
      <c r="P196" s="414">
        <f>+Copen!CG9</f>
        <v>2.7574115283212026</v>
      </c>
      <c r="Q196" s="414">
        <f>+Copen!CH9</f>
        <v>2.8549567039130648</v>
      </c>
      <c r="R196" s="414">
        <f>+Copen!CI9</f>
        <v>2.9437300969521893</v>
      </c>
      <c r="S196" s="414">
        <f>+Copen!CJ9</f>
        <v>3.0242895680376849</v>
      </c>
      <c r="T196" s="414">
        <f>+Copen!CK9</f>
        <v>3.0970748114143465</v>
      </c>
      <c r="U196" s="414">
        <f>+Copen!CL9</f>
        <v>3.1624799113025901</v>
      </c>
      <c r="V196" s="414">
        <f>+Copen!CM9</f>
        <v>3.2391642687186324</v>
      </c>
      <c r="W196" s="414">
        <f>+Copen!CN9</f>
        <v>3.3325193151271053</v>
      </c>
      <c r="X196" s="414">
        <f>+Copen!CO9</f>
        <v>3.4272406666090145</v>
      </c>
      <c r="Y196" s="414">
        <f>+Copen!CP9</f>
        <v>3.5210552564454813</v>
      </c>
      <c r="Z196" s="414">
        <f>+Copen!CQ9</f>
        <v>3.6128140644712499</v>
      </c>
      <c r="AA196" s="414">
        <f>+Copen!CR9</f>
        <v>3.7019883092346406</v>
      </c>
      <c r="AB196" s="414">
        <f>+Copen!CS9</f>
        <v>3.7884633012147466</v>
      </c>
      <c r="AC196" s="414">
        <f>+Copen!CT9</f>
        <v>3.8726918870934472</v>
      </c>
      <c r="AD196" s="414">
        <f>+Copen!CU9</f>
        <v>3.9573161316956895</v>
      </c>
      <c r="AE196" s="414">
        <f>+Copen!CV9</f>
        <v>4.0420868071654077</v>
      </c>
      <c r="AF196" s="414">
        <f>+Copen!CW9</f>
        <v>4.1193358895215582</v>
      </c>
      <c r="AG196" s="414">
        <f>+Copen!CX9</f>
        <v>4.1867625071091288</v>
      </c>
      <c r="AH196" s="414">
        <f>+Copen!CY9</f>
        <v>4.2503015394710397</v>
      </c>
      <c r="AI196" s="414">
        <f>+Copen!CZ9</f>
        <v>4.3107434531229512</v>
      </c>
      <c r="AJ196" s="414">
        <f>+Copen!DA9</f>
        <v>4.3685092346346392</v>
      </c>
      <c r="AK196" s="414">
        <f>+Copen!DB9</f>
        <v>4.42385593976178</v>
      </c>
      <c r="AL196" s="414">
        <f>+Copen!DC9</f>
        <v>4.4769688317076168</v>
      </c>
      <c r="AM196" s="414">
        <f>+Copen!DD9</f>
        <v>4.5280033444041337</v>
      </c>
      <c r="AN196" s="414">
        <f>+Copen!DE9</f>
        <v>4.5771025308277666</v>
      </c>
      <c r="AO196" s="414">
        <f>+Copen!DF9</f>
        <v>4.6244030906039484</v>
      </c>
      <c r="AP196" s="414">
        <f>+Copen!DG9</f>
        <v>4.6700364930807563</v>
      </c>
      <c r="AQ196" s="414">
        <f>+Copen!DH9</f>
        <v>4.7141283125541067</v>
      </c>
      <c r="AR196" s="414">
        <f>+Copen!DI9</f>
        <v>4.7567971749050688</v>
      </c>
      <c r="AS196" s="414">
        <f>+Copen!DJ9</f>
        <v>4.7981538745310903</v>
      </c>
      <c r="AT196" s="414">
        <f>+Copen!DK9</f>
        <v>4.8383008286382969</v>
      </c>
      <c r="AU196" s="414">
        <f>+Copen!DL9</f>
        <v>4.8773318676785351</v>
      </c>
      <c r="AV196" s="414">
        <f>+Copen!DM9</f>
        <v>4.9153322997258151</v>
      </c>
      <c r="AW196" s="414">
        <f>+Copen!DN9</f>
        <v>4.9523791741345233</v>
      </c>
      <c r="AX196" s="414">
        <f>+Copen!DO9</f>
        <v>4.9885416770741875</v>
      </c>
      <c r="AY196" s="414">
        <f>+Copen!DP9</f>
        <v>5.0238816049604988</v>
      </c>
      <c r="AZ196" s="414">
        <f>+Copen!DQ9</f>
        <v>5.0584538755007848</v>
      </c>
      <c r="BA196" s="414">
        <f>+Copen!DR9</f>
        <v>5.0923070478254964</v>
      </c>
      <c r="BB196" s="414">
        <f>+Copen!DS9</f>
        <v>5.1254838324484293</v>
      </c>
      <c r="BC196" s="414">
        <f>+Copen!DT9</f>
        <v>5.1580215787489179</v>
      </c>
      <c r="BD196" s="414">
        <f>+Copen!DU9</f>
        <v>5.1899527326955619</v>
      </c>
      <c r="BE196" s="414">
        <f>+Copen!DV9</f>
        <v>5.2213052610598654</v>
      </c>
      <c r="BF196" s="414">
        <f>+Copen!DW9</f>
        <v>5.2521030407758547</v>
      </c>
      <c r="BG196" s="414">
        <f>+Copen!DX9</f>
        <v>5.2823662136923639</v>
      </c>
      <c r="BH196" s="414">
        <f>+Copen!DY9</f>
        <v>5.3121115079724843</v>
      </c>
      <c r="BI196" s="414">
        <f>+Copen!DZ9</f>
        <v>5.3413525279939966</v>
      </c>
    </row>
    <row r="197" spans="1:61" x14ac:dyDescent="0.15">
      <c r="A197" s="12" t="s">
        <v>56</v>
      </c>
      <c r="B197" s="414">
        <f>+Copen!BS10</f>
        <v>0.58967496043455159</v>
      </c>
      <c r="C197" s="414">
        <f>+Copen!BT10</f>
        <v>0.80742718953750414</v>
      </c>
      <c r="D197" s="414">
        <f>+Copen!BU10</f>
        <v>1.0442826029982819</v>
      </c>
      <c r="E197" s="414">
        <f>+Copen!BV10</f>
        <v>1.2745456100982464</v>
      </c>
      <c r="F197" s="414">
        <f>+Copen!BW10</f>
        <v>1.4943414327878348</v>
      </c>
      <c r="G197" s="414">
        <f>+Copen!BX10</f>
        <v>1.6740554412692989</v>
      </c>
      <c r="H197" s="414">
        <f>+Copen!BY10</f>
        <v>1.8331190047103108</v>
      </c>
      <c r="I197" s="414">
        <f>+Copen!BZ10</f>
        <v>1.9960889946045444</v>
      </c>
      <c r="J197" s="414">
        <f>+Copen!CA10</f>
        <v>2.1643188522795391</v>
      </c>
      <c r="K197" s="414">
        <f>+Copen!CB10</f>
        <v>2.3389053955486343</v>
      </c>
      <c r="L197" s="414">
        <f>+Copen!CC10</f>
        <v>2.4651296303415497</v>
      </c>
      <c r="M197" s="430">
        <f>+Copen!CD10</f>
        <v>2.5326764971053795</v>
      </c>
      <c r="N197" s="414">
        <f>+Copen!CE10</f>
        <v>2.5913912548341846</v>
      </c>
      <c r="O197" s="414">
        <f>+Copen!CF10</f>
        <v>2.662872535646879</v>
      </c>
      <c r="P197" s="414">
        <f>+Copen!CG10</f>
        <v>2.7192945817799106</v>
      </c>
      <c r="Q197" s="414">
        <f>+Copen!CH10</f>
        <v>2.7656515308938907</v>
      </c>
      <c r="R197" s="414">
        <f>+Copen!CI10</f>
        <v>2.8047150050248764</v>
      </c>
      <c r="S197" s="414">
        <f>+Copen!CJ10</f>
        <v>2.8380815341167644</v>
      </c>
      <c r="T197" s="414">
        <f>+Copen!CK10</f>
        <v>2.8667265502524404</v>
      </c>
      <c r="U197" s="414">
        <f>+Copen!CL10</f>
        <v>2.8912939256476213</v>
      </c>
      <c r="V197" s="414">
        <f>+Copen!CM10</f>
        <v>2.9276547861298039</v>
      </c>
      <c r="W197" s="414">
        <f>+Copen!CN10</f>
        <v>2.9798511656013207</v>
      </c>
      <c r="X197" s="414">
        <f>+Copen!CO10</f>
        <v>3.0347313741800495</v>
      </c>
      <c r="Y197" s="414">
        <f>+Copen!CP10</f>
        <v>3.0903650657186983</v>
      </c>
      <c r="Z197" s="414">
        <f>+Copen!CQ10</f>
        <v>3.1457809550254829</v>
      </c>
      <c r="AA197" s="414">
        <f>+Copen!CR10</f>
        <v>3.2005252593971001</v>
      </c>
      <c r="AB197" s="414">
        <f>+Copen!CS10</f>
        <v>3.2544777611231761</v>
      </c>
      <c r="AC197" s="414">
        <f>+Copen!CT10</f>
        <v>3.307805590533007</v>
      </c>
      <c r="AD197" s="414">
        <f>+Copen!CU10</f>
        <v>3.3627497017294945</v>
      </c>
      <c r="AE197" s="414">
        <f>+Copen!CV10</f>
        <v>3.4189569294207525</v>
      </c>
      <c r="AF197" s="414">
        <f>+Copen!CW10</f>
        <v>3.4703776639215316</v>
      </c>
      <c r="AG197" s="414">
        <f>+Copen!CX10</f>
        <v>3.5152383553145787</v>
      </c>
      <c r="AH197" s="414">
        <f>+Copen!CY10</f>
        <v>3.5581420927760092</v>
      </c>
      <c r="AI197" s="414">
        <f>+Copen!CZ10</f>
        <v>3.5996590031499025</v>
      </c>
      <c r="AJ197" s="414">
        <f>+Copen!DA10</f>
        <v>3.6400696925173452</v>
      </c>
      <c r="AK197" s="414">
        <f>+Copen!DB10</f>
        <v>3.679527117282078</v>
      </c>
      <c r="AL197" s="414">
        <f>+Copen!DC10</f>
        <v>3.7181293135146989</v>
      </c>
      <c r="AM197" s="414">
        <f>+Copen!DD10</f>
        <v>3.7559528139125464</v>
      </c>
      <c r="AN197" s="414">
        <f>+Copen!DE10</f>
        <v>3.7930667719178</v>
      </c>
      <c r="AO197" s="414">
        <f>+Copen!DF10</f>
        <v>3.829538019898076</v>
      </c>
      <c r="AP197" s="414">
        <f>+Copen!DG10</f>
        <v>3.865432165102888</v>
      </c>
      <c r="AQ197" s="414">
        <f>+Copen!DH10</f>
        <v>3.900813179100211</v>
      </c>
      <c r="AR197" s="414">
        <f>+Copen!DI10</f>
        <v>3.935742596847315</v>
      </c>
      <c r="AS197" s="414">
        <f>+Copen!DJ10</f>
        <v>3.970278783789051</v>
      </c>
      <c r="AT197" s="414">
        <f>+Copen!DK10</f>
        <v>4.00447642037199</v>
      </c>
      <c r="AU197" s="414">
        <f>+Copen!DL10</f>
        <v>4.0383862184328514</v>
      </c>
      <c r="AV197" s="414">
        <f>+Copen!DM10</f>
        <v>4.0720548329010606</v>
      </c>
      <c r="AW197" s="414">
        <f>+Copen!DN10</f>
        <v>4.1055249195582109</v>
      </c>
      <c r="AX197" s="414">
        <f>+Copen!DO10</f>
        <v>4.1388352928069843</v>
      </c>
      <c r="AY197" s="414">
        <f>+Copen!DP10</f>
        <v>4.1720211459431447</v>
      </c>
      <c r="AZ197" s="414">
        <f>+Copen!DQ10</f>
        <v>4.2051143056311204</v>
      </c>
      <c r="BA197" s="414">
        <f>+Copen!DR10</f>
        <v>4.2381435003469834</v>
      </c>
      <c r="BB197" s="414">
        <f>+Copen!DS10</f>
        <v>4.2711346289761343</v>
      </c>
      <c r="BC197" s="414">
        <f>+Copen!DT10</f>
        <v>4.3041110205951991</v>
      </c>
      <c r="BD197" s="414">
        <f>+Copen!DU10</f>
        <v>4.3370936799815434</v>
      </c>
      <c r="BE197" s="414">
        <f>+Copen!DV10</f>
        <v>4.3701015158676455</v>
      </c>
      <c r="BF197" s="414">
        <f>+Copen!DW10</f>
        <v>4.4031515506504455</v>
      </c>
      <c r="BG197" s="414">
        <f>+Copen!DX10</f>
        <v>4.4362591113887779</v>
      </c>
      <c r="BH197" s="414">
        <f>+Copen!DY10</f>
        <v>4.4694380026382117</v>
      </c>
      <c r="BI197" s="414">
        <f>+Copen!DZ10</f>
        <v>4.5027006621037744</v>
      </c>
    </row>
    <row r="198" spans="1:61" x14ac:dyDescent="0.15">
      <c r="A198" s="12" t="s">
        <v>57</v>
      </c>
      <c r="B198" s="414">
        <f>+Copen!BS11</f>
        <v>0.19137708401697254</v>
      </c>
      <c r="C198" s="414">
        <f>+Copen!BT11</f>
        <v>0.2440378886848312</v>
      </c>
      <c r="D198" s="414">
        <f>+Copen!BU11</f>
        <v>0.35389319854131812</v>
      </c>
      <c r="E198" s="414">
        <f>+Copen!BV11</f>
        <v>0.48200312688199881</v>
      </c>
      <c r="F198" s="414">
        <f>+Copen!BW11</f>
        <v>0.62603054224477039</v>
      </c>
      <c r="G198" s="414">
        <f>+Copen!BX11</f>
        <v>0.75868965138535882</v>
      </c>
      <c r="H198" s="414">
        <f>+Copen!BY11</f>
        <v>0.87768254899933362</v>
      </c>
      <c r="I198" s="414">
        <f>+Copen!BZ11</f>
        <v>1.0040365182506339</v>
      </c>
      <c r="J198" s="414">
        <f>+Copen!CA11</f>
        <v>1.1378816387861397</v>
      </c>
      <c r="K198" s="414">
        <f>+Copen!CB11</f>
        <v>1.2792329595342757</v>
      </c>
      <c r="L198" s="414">
        <f>+Copen!CC11</f>
        <v>1.3887465820645788</v>
      </c>
      <c r="M198" s="430">
        <f>+Copen!CD11</f>
        <v>1.4567924010075117</v>
      </c>
      <c r="N198" s="414">
        <f>+Copen!CE11</f>
        <v>1.5193518370551473</v>
      </c>
      <c r="O198" s="414">
        <f>+Copen!CF11</f>
        <v>1.5746848880942874</v>
      </c>
      <c r="P198" s="414">
        <f>+Copen!CG11</f>
        <v>1.6235722107456403</v>
      </c>
      <c r="Q198" s="414">
        <f>+Copen!CH11</f>
        <v>1.6661095947861382</v>
      </c>
      <c r="R198" s="414">
        <f>+Copen!CI11</f>
        <v>1.7024712819854848</v>
      </c>
      <c r="S198" s="414">
        <f>+Copen!CJ11</f>
        <v>1.7328965729657173</v>
      </c>
      <c r="T198" s="414">
        <f>+Copen!CK11</f>
        <v>1.7576747491247868</v>
      </c>
      <c r="U198" s="414">
        <f>+Copen!CL11</f>
        <v>1.77713119482853</v>
      </c>
      <c r="V198" s="414">
        <f>+Copen!CM11</f>
        <v>1.8020764172973329</v>
      </c>
      <c r="W198" s="414">
        <f>+Copen!CN11</f>
        <v>1.8353749510294461</v>
      </c>
      <c r="X198" s="414">
        <f>+Copen!CO11</f>
        <v>1.8812734678357719</v>
      </c>
      <c r="Y198" s="414">
        <f>+Copen!CP11</f>
        <v>1.9286250417622046</v>
      </c>
      <c r="Z198" s="414">
        <f>+Copen!CQ11</f>
        <v>1.9756446984818865</v>
      </c>
      <c r="AA198" s="414">
        <f>+Copen!CR11</f>
        <v>2.0214555428337588</v>
      </c>
      <c r="AB198" s="414">
        <f>+Copen!CS11</f>
        <v>2.0657017182389801</v>
      </c>
      <c r="AC198" s="414">
        <f>+Copen!CT11</f>
        <v>2.1087156458276421</v>
      </c>
      <c r="AD198" s="414">
        <f>+Copen!CU11</f>
        <v>2.1518230851481475</v>
      </c>
      <c r="AE198" s="414">
        <f>+Copen!CV11</f>
        <v>2.1950009495995837</v>
      </c>
      <c r="AF198" s="414">
        <f>+Copen!CW11</f>
        <v>2.234064926128033</v>
      </c>
      <c r="AG198" s="414">
        <f>+Copen!CX11</f>
        <v>2.2677562734660581</v>
      </c>
      <c r="AH198" s="414">
        <f>+Copen!CY11</f>
        <v>2.2993344091228587</v>
      </c>
      <c r="AI198" s="414">
        <f>+Copen!CZ11</f>
        <v>2.3292307216411072</v>
      </c>
      <c r="AJ198" s="414">
        <f>+Copen!DA11</f>
        <v>2.3576529635913746</v>
      </c>
      <c r="AK198" s="414">
        <f>+Copen!DB11</f>
        <v>2.384725120940872</v>
      </c>
      <c r="AL198" s="414">
        <f>+Copen!DC11</f>
        <v>2.4105381368168111</v>
      </c>
      <c r="AM198" s="414">
        <f>+Copen!DD11</f>
        <v>2.4351716916654316</v>
      </c>
      <c r="AN198" s="414">
        <f>+Copen!DE11</f>
        <v>2.4587024137596596</v>
      </c>
      <c r="AO198" s="414">
        <f>+Copen!DF11</f>
        <v>2.4812060252419248</v>
      </c>
      <c r="AP198" s="414">
        <f>+Copen!DG11</f>
        <v>2.5027570681195423</v>
      </c>
      <c r="AQ198" s="414">
        <f>+Copen!DH11</f>
        <v>2.5234278954271576</v>
      </c>
      <c r="AR198" s="414">
        <f>+Copen!DI11</f>
        <v>2.5432876439341054</v>
      </c>
      <c r="AS198" s="414">
        <f>+Copen!DJ11</f>
        <v>2.5624014442242991</v>
      </c>
      <c r="AT198" s="414">
        <f>+Copen!DK11</f>
        <v>2.5808299183006778</v>
      </c>
      <c r="AU198" s="414">
        <f>+Copen!DL11</f>
        <v>2.5986289329658554</v>
      </c>
      <c r="AV198" s="414">
        <f>+Copen!DM11</f>
        <v>2.615849552640038</v>
      </c>
      <c r="AW198" s="414">
        <f>+Copen!DN11</f>
        <v>2.6325381351847108</v>
      </c>
      <c r="AX198" s="414">
        <f>+Copen!DO11</f>
        <v>2.6487365231063782</v>
      </c>
      <c r="AY198" s="414">
        <f>+Copen!DP11</f>
        <v>2.6644822932253813</v>
      </c>
      <c r="AZ198" s="414">
        <f>+Copen!DQ11</f>
        <v>2.6798090376901329</v>
      </c>
      <c r="BA198" s="414">
        <f>+Copen!DR11</f>
        <v>2.6947466572105121</v>
      </c>
      <c r="BB198" s="414">
        <f>+Copen!DS11</f>
        <v>2.7093216535212354</v>
      </c>
      <c r="BC198" s="414">
        <f>+Copen!DT11</f>
        <v>2.7235574126210569</v>
      </c>
      <c r="BD198" s="414">
        <f>+Copen!DU11</f>
        <v>2.7374744735945544</v>
      </c>
      <c r="BE198" s="414">
        <f>+Copen!DV11</f>
        <v>2.7510907801166726</v>
      </c>
      <c r="BF198" s="414">
        <f>+Copen!DW11</f>
        <v>2.7644219133194996</v>
      </c>
      <c r="BG198" s="414">
        <f>+Copen!DX11</f>
        <v>2.7774813057636556</v>
      </c>
      <c r="BH198" s="414">
        <f>+Copen!DY11</f>
        <v>2.7902804369515519</v>
      </c>
      <c r="BI198" s="414">
        <f>+Copen!DZ11</f>
        <v>2.8028290112560286</v>
      </c>
    </row>
    <row r="199" spans="1:61" x14ac:dyDescent="0.15">
      <c r="A199" s="12" t="s">
        <v>58</v>
      </c>
      <c r="B199" s="414">
        <f>+Copen!BS12</f>
        <v>0.41227239850714797</v>
      </c>
      <c r="C199" s="414">
        <f>+Copen!BT12</f>
        <v>0.53297093331331402</v>
      </c>
      <c r="D199" s="414">
        <f>+Copen!BU12</f>
        <v>0.67605785971701871</v>
      </c>
      <c r="E199" s="414">
        <f>+Copen!BV12</f>
        <v>0.81226941073699011</v>
      </c>
      <c r="F199" s="414">
        <f>+Copen!BW12</f>
        <v>0.9344028017412308</v>
      </c>
      <c r="G199" s="414">
        <f>+Copen!BX12</f>
        <v>1.0349445168335478</v>
      </c>
      <c r="H199" s="414">
        <f>+Copen!BY12</f>
        <v>1.1250175431401195</v>
      </c>
      <c r="I199" s="414">
        <f>+Copen!BZ12</f>
        <v>1.2118045553438643</v>
      </c>
      <c r="J199" s="414">
        <f>+Copen!CA12</f>
        <v>1.2955955616409389</v>
      </c>
      <c r="K199" s="414">
        <f>+Copen!CB12</f>
        <v>1.3766493519866656</v>
      </c>
      <c r="L199" s="414">
        <f>+Copen!CC12</f>
        <v>1.4569213461207504</v>
      </c>
      <c r="M199" s="430">
        <f>+Copen!CD12</f>
        <v>1.5353451290035312</v>
      </c>
      <c r="N199" s="414">
        <f>+Copen!CE12</f>
        <v>1.6082507491690567</v>
      </c>
      <c r="O199" s="414">
        <f>+Copen!CF12</f>
        <v>1.6873843662768295</v>
      </c>
      <c r="P199" s="414">
        <f>+Copen!CG12</f>
        <v>1.7570151303216106</v>
      </c>
      <c r="Q199" s="414">
        <f>+Copen!CH12</f>
        <v>1.8196319918225901</v>
      </c>
      <c r="R199" s="414">
        <f>+Copen!CI12</f>
        <v>1.8766283257244134</v>
      </c>
      <c r="S199" s="414">
        <f>+Copen!CJ12</f>
        <v>1.9288236838982644</v>
      </c>
      <c r="T199" s="414">
        <f>+Copen!CK12</f>
        <v>1.9767388595471747</v>
      </c>
      <c r="U199" s="414">
        <f>+Copen!CL12</f>
        <v>2.0207405325497034</v>
      </c>
      <c r="V199" s="414">
        <f>+Copen!CM12</f>
        <v>2.0707433470425278</v>
      </c>
      <c r="W199" s="414">
        <f>+Copen!CN12</f>
        <v>2.1296506793097523</v>
      </c>
      <c r="X199" s="414">
        <f>+Copen!CO12</f>
        <v>2.1894571906702187</v>
      </c>
      <c r="Y199" s="414">
        <f>+Copen!CP12</f>
        <v>2.2490177979706871</v>
      </c>
      <c r="Z199" s="414">
        <f>+Copen!CQ12</f>
        <v>2.3077628955470297</v>
      </c>
      <c r="AA199" s="414">
        <f>+Copen!CR12</f>
        <v>2.3654417572552764</v>
      </c>
      <c r="AB199" s="414">
        <f>+Copen!CS12</f>
        <v>2.4220089566087535</v>
      </c>
      <c r="AC199" s="414">
        <f>+Copen!CT12</f>
        <v>2.4775440110023665</v>
      </c>
      <c r="AD199" s="414">
        <f>+Copen!CU12</f>
        <v>2.5334204542885832</v>
      </c>
      <c r="AE199" s="414">
        <f>+Copen!CV12</f>
        <v>2.5894627717624972</v>
      </c>
      <c r="AF199" s="414">
        <f>+Copen!CW12</f>
        <v>2.6399547858855641</v>
      </c>
      <c r="AG199" s="414">
        <f>+Copen!CX12</f>
        <v>2.6832873759454738</v>
      </c>
      <c r="AH199" s="414">
        <f>+Copen!CY12</f>
        <v>2.7241040128030165</v>
      </c>
      <c r="AI199" s="414">
        <f>+Copen!CZ12</f>
        <v>2.7630919105263496</v>
      </c>
      <c r="AJ199" s="414">
        <f>+Copen!DA12</f>
        <v>2.8006333038610594</v>
      </c>
      <c r="AK199" s="414">
        <f>+Copen!DB12</f>
        <v>2.8369577204277769</v>
      </c>
      <c r="AL199" s="414">
        <f>+Copen!DC12</f>
        <v>2.872218508205882</v>
      </c>
      <c r="AM199" s="414">
        <f>+Copen!DD12</f>
        <v>2.906531026206796</v>
      </c>
      <c r="AN199" s="414">
        <f>+Copen!DE12</f>
        <v>2.9399911509301475</v>
      </c>
      <c r="AO199" s="414">
        <f>+Copen!DF12</f>
        <v>2.9726838893404577</v>
      </c>
      <c r="AP199" s="414">
        <f>+Copen!DG12</f>
        <v>3.0046871678467832</v>
      </c>
      <c r="AQ199" s="414">
        <f>+Copen!DH12</f>
        <v>3.0360733733019769</v>
      </c>
      <c r="AR199" s="414">
        <f>+Copen!DI12</f>
        <v>3.0669099209845117</v>
      </c>
      <c r="AS199" s="414">
        <f>+Copen!DJ12</f>
        <v>3.0972594564752285</v>
      </c>
      <c r="AT199" s="414">
        <f>+Copen!DK12</f>
        <v>3.1271799627505019</v>
      </c>
      <c r="AU199" s="414">
        <f>+Copen!DL12</f>
        <v>3.1567248804496457</v>
      </c>
      <c r="AV199" s="414">
        <f>+Copen!DM12</f>
        <v>3.185943273524527</v>
      </c>
      <c r="AW199" s="414">
        <f>+Copen!DN12</f>
        <v>3.2148800401905611</v>
      </c>
      <c r="AX199" s="414">
        <f>+Copen!DO12</f>
        <v>3.2435761575796693</v>
      </c>
      <c r="AY199" s="414">
        <f>+Copen!DP12</f>
        <v>3.272068946321768</v>
      </c>
      <c r="AZ199" s="414">
        <f>+Copen!DQ12</f>
        <v>3.3003923428634785</v>
      </c>
      <c r="BA199" s="414">
        <f>+Copen!DR12</f>
        <v>3.3285771700560711</v>
      </c>
      <c r="BB199" s="414">
        <f>+Copen!DS12</f>
        <v>3.3566513992745248</v>
      </c>
      <c r="BC199" s="414">
        <f>+Copen!DT12</f>
        <v>3.3846403996440793</v>
      </c>
      <c r="BD199" s="414">
        <f>+Copen!DU12</f>
        <v>3.4125671717528707</v>
      </c>
      <c r="BE199" s="414">
        <f>+Copen!DV12</f>
        <v>3.4404525645572241</v>
      </c>
      <c r="BF199" s="414">
        <f>+Copen!DW12</f>
        <v>3.468315475122834</v>
      </c>
      <c r="BG199" s="414">
        <f>+Copen!DX12</f>
        <v>3.4961730314783805</v>
      </c>
      <c r="BH199" s="414">
        <f>+Copen!DY12</f>
        <v>3.5240407592654961</v>
      </c>
      <c r="BI199" s="414">
        <f>+Copen!DZ12</f>
        <v>3.551932733113059</v>
      </c>
    </row>
    <row r="200" spans="1:61" x14ac:dyDescent="0.15">
      <c r="A200" s="12" t="s">
        <v>114</v>
      </c>
      <c r="B200" s="414">
        <f>+Copen!BS13</f>
        <v>0.54177826149727892</v>
      </c>
      <c r="C200" s="414">
        <f>+Copen!BT13</f>
        <v>0.56968410834355332</v>
      </c>
      <c r="D200" s="414">
        <f>+Copen!BU13</f>
        <v>0.62018880218174111</v>
      </c>
      <c r="E200" s="414">
        <f>+Copen!BV13</f>
        <v>0.65030376777341481</v>
      </c>
      <c r="F200" s="414">
        <f>+Copen!BW13</f>
        <v>0.66267477073729719</v>
      </c>
      <c r="G200" s="414">
        <f>+Copen!BX13</f>
        <v>0.65991330028465633</v>
      </c>
      <c r="H200" s="414">
        <f>+Copen!BY13</f>
        <v>0.64909066969543161</v>
      </c>
      <c r="I200" s="414">
        <f>+Copen!BZ13</f>
        <v>0.63786769129927656</v>
      </c>
      <c r="J200" s="414">
        <f>+Copen!CA13</f>
        <v>0.62678969818869201</v>
      </c>
      <c r="K200" s="414">
        <f>+Copen!CB13</f>
        <v>0.61606291958563508</v>
      </c>
      <c r="L200" s="414">
        <f>+Copen!CC13</f>
        <v>0.61546075097428465</v>
      </c>
      <c r="M200" s="430">
        <f>+Copen!CD13</f>
        <v>0.62442480483872964</v>
      </c>
      <c r="N200" s="414">
        <f>+Copen!CE13</f>
        <v>0.63307888707162718</v>
      </c>
      <c r="O200" s="414">
        <f>+Copen!CF13</f>
        <v>0.64488907292344633</v>
      </c>
      <c r="P200" s="414">
        <f>+Copen!CG13</f>
        <v>0.65431842680574703</v>
      </c>
      <c r="Q200" s="414">
        <f>+Copen!CH13</f>
        <v>0.66254051259425917</v>
      </c>
      <c r="R200" s="414">
        <f>+Copen!CI13</f>
        <v>0.67016490057363187</v>
      </c>
      <c r="S200" s="414">
        <f>+Copen!CJ13</f>
        <v>0.6775033524862174</v>
      </c>
      <c r="T200" s="414">
        <f>+Copen!CK13</f>
        <v>0.68471336842491459</v>
      </c>
      <c r="U200" s="414">
        <f>+Copen!CL13</f>
        <v>0.69187251710599695</v>
      </c>
      <c r="V200" s="414">
        <f>+Copen!CM13</f>
        <v>0.69921541712714474</v>
      </c>
      <c r="W200" s="414">
        <f>+Copen!CN13</f>
        <v>0.7068035930425034</v>
      </c>
      <c r="X200" s="414">
        <f>+Copen!CO13</f>
        <v>0.7144669611683534</v>
      </c>
      <c r="Y200" s="414">
        <f>+Copen!CP13</f>
        <v>0.72217607273993822</v>
      </c>
      <c r="Z200" s="414">
        <f>+Copen!CQ13</f>
        <v>0.7299138169156093</v>
      </c>
      <c r="AA200" s="414">
        <f>+Copen!CR13</f>
        <v>0.73767151725791924</v>
      </c>
      <c r="AB200" s="414">
        <f>+Copen!CS13</f>
        <v>0.74545720021493278</v>
      </c>
      <c r="AC200" s="414">
        <f>+Copen!CT13</f>
        <v>0.75332028991627631</v>
      </c>
      <c r="AD200" s="414">
        <f>+Copen!CU13</f>
        <v>0.76170017983897398</v>
      </c>
      <c r="AE200" s="414">
        <f>+Copen!CV13</f>
        <v>0.77052960137620308</v>
      </c>
      <c r="AF200" s="414">
        <f>+Copen!CW13</f>
        <v>0.77807622195066772</v>
      </c>
      <c r="AG200" s="414">
        <f>+Copen!CX13</f>
        <v>0.78387641689080334</v>
      </c>
      <c r="AH200" s="414">
        <f>+Copen!CY13</f>
        <v>0.78931162744715355</v>
      </c>
      <c r="AI200" s="414">
        <f>+Copen!CZ13</f>
        <v>0.79456320358740762</v>
      </c>
      <c r="AJ200" s="414">
        <f>+Copen!DA13</f>
        <v>0.79970980893065524</v>
      </c>
      <c r="AK200" s="414">
        <f>+Copen!DB13</f>
        <v>0.80478643695865859</v>
      </c>
      <c r="AL200" s="414">
        <f>+Copen!DC13</f>
        <v>0.8098081000311147</v>
      </c>
      <c r="AM200" s="414">
        <f>+Copen!DD13</f>
        <v>0.81478120496326989</v>
      </c>
      <c r="AN200" s="414">
        <f>+Copen!DE13</f>
        <v>0.81970882528819511</v>
      </c>
      <c r="AO200" s="414">
        <f>+Copen!DF13</f>
        <v>0.82459299011809029</v>
      </c>
      <c r="AP200" s="414">
        <f>+Copen!DG13</f>
        <v>0.82943556602069191</v>
      </c>
      <c r="AQ200" s="414">
        <f>+Copen!DH13</f>
        <v>0.83423851179889363</v>
      </c>
      <c r="AR200" s="414">
        <f>+Copen!DI13</f>
        <v>0.83900388033142748</v>
      </c>
      <c r="AS200" s="414">
        <f>+Copen!DJ13</f>
        <v>0.84373373882433589</v>
      </c>
      <c r="AT200" s="414">
        <f>+Copen!DK13</f>
        <v>0.84843008005022102</v>
      </c>
      <c r="AU200" s="414">
        <f>+Copen!DL13</f>
        <v>0.85309475083991293</v>
      </c>
      <c r="AV200" s="414">
        <f>+Copen!DM13</f>
        <v>0.85772940365214256</v>
      </c>
      <c r="AW200" s="414">
        <f>+Copen!DN13</f>
        <v>0.86233546897549251</v>
      </c>
      <c r="AX200" s="414">
        <f>+Copen!DO13</f>
        <v>0.86691414388291699</v>
      </c>
      <c r="AY200" s="414">
        <f>+Copen!DP13</f>
        <v>0.871466391994974</v>
      </c>
      <c r="AZ200" s="414">
        <f>+Copen!DQ13</f>
        <v>0.8759929508865949</v>
      </c>
      <c r="BA200" s="414">
        <f>+Copen!DR13</f>
        <v>0.88049434392235915</v>
      </c>
      <c r="BB200" s="414">
        <f>+Copen!DS13</f>
        <v>0.88497089436309739</v>
      </c>
      <c r="BC200" s="414">
        <f>+Copen!DT13</f>
        <v>0.88942274027371371</v>
      </c>
      <c r="BD200" s="414">
        <f>+Copen!DU13</f>
        <v>0.89384984927744771</v>
      </c>
      <c r="BE200" s="414">
        <f>+Copen!DV13</f>
        <v>0.8982520325720611</v>
      </c>
      <c r="BF200" s="414">
        <f>+Copen!DW13</f>
        <v>0.9026289578807688</v>
      </c>
      <c r="BG200" s="414">
        <f>+Copen!DX13</f>
        <v>0.90698016118434088</v>
      </c>
      <c r="BH200" s="414">
        <f>+Copen!DY13</f>
        <v>0.91130505719426336</v>
      </c>
      <c r="BI200" s="414">
        <f>+Copen!DZ13</f>
        <v>0.91560294859811453</v>
      </c>
    </row>
    <row r="201" spans="1:61" x14ac:dyDescent="0.15">
      <c r="A201" s="207" t="s">
        <v>1012</v>
      </c>
      <c r="B201" s="414">
        <f>+Copen!BS14</f>
        <v>0.36395210273783341</v>
      </c>
      <c r="C201" s="414">
        <f>+Copen!BT14</f>
        <v>0.63080748393847597</v>
      </c>
      <c r="D201" s="414">
        <f>+Copen!BU14</f>
        <v>0.87865736123542426</v>
      </c>
      <c r="E201" s="414">
        <f>+Copen!BV14</f>
        <v>1.1513158345113612</v>
      </c>
      <c r="F201" s="414">
        <f>+Copen!BW14</f>
        <v>1.4382781501705377</v>
      </c>
      <c r="G201" s="414">
        <f>+Copen!BX14</f>
        <v>1.7044021041088468</v>
      </c>
      <c r="H201" s="414">
        <f>+Copen!BY14</f>
        <v>1.9543915150341058</v>
      </c>
      <c r="I201" s="414">
        <f>+Copen!BZ14</f>
        <v>2.2122581241175219</v>
      </c>
      <c r="J201" s="414">
        <f>+Copen!CA14</f>
        <v>2.4771235810407264</v>
      </c>
      <c r="K201" s="414">
        <f>+Copen!CB14</f>
        <v>2.7480430420037112</v>
      </c>
      <c r="L201" s="414">
        <f>+Copen!CC14</f>
        <v>2.9969273712478119</v>
      </c>
      <c r="M201" s="430">
        <f>+Copen!CD14</f>
        <v>3.216735212722722</v>
      </c>
      <c r="N201" s="414">
        <f>+Copen!CE14</f>
        <v>3.4333666988146292</v>
      </c>
      <c r="O201" s="414">
        <f>+Copen!CF14</f>
        <v>3.6207705852182794</v>
      </c>
      <c r="P201" s="414">
        <f>+Copen!CG14</f>
        <v>3.8016897695837373</v>
      </c>
      <c r="Q201" s="414">
        <f>+Copen!CH14</f>
        <v>3.9731075661677515</v>
      </c>
      <c r="R201" s="414">
        <f>+Copen!CI14</f>
        <v>4.133264330453315</v>
      </c>
      <c r="S201" s="414">
        <f>+Copen!CJ14</f>
        <v>4.2811754101312625</v>
      </c>
      <c r="T201" s="414">
        <f>+Copen!CK14</f>
        <v>4.4163432228611841</v>
      </c>
      <c r="U201" s="414">
        <f>+Copen!CL14</f>
        <v>4.5385866000632076</v>
      </c>
      <c r="V201" s="414">
        <f>+Copen!CM14</f>
        <v>4.6728570195977834</v>
      </c>
      <c r="W201" s="414">
        <f>+Copen!CN14</f>
        <v>4.8265024895825688</v>
      </c>
      <c r="X201" s="414">
        <f>+Copen!CO14</f>
        <v>4.9784372635034941</v>
      </c>
      <c r="Y201" s="414">
        <f>+Copen!CP14</f>
        <v>5.1252019748796833</v>
      </c>
      <c r="Z201" s="414">
        <f>+Copen!CQ14</f>
        <v>5.2649029565635317</v>
      </c>
      <c r="AA201" s="414">
        <f>+Copen!CR14</f>
        <v>5.396492028390397</v>
      </c>
      <c r="AB201" s="414">
        <f>+Copen!CS14</f>
        <v>5.5194902713348393</v>
      </c>
      <c r="AC201" s="414">
        <f>+Copen!CT14</f>
        <v>5.6338132159801377</v>
      </c>
      <c r="AD201" s="414">
        <f>+Copen!CU14</f>
        <v>5.7439351265724365</v>
      </c>
      <c r="AE201" s="414">
        <f>+Copen!CV14</f>
        <v>5.849326718069511</v>
      </c>
      <c r="AF201" s="414">
        <f>+Copen!CW14</f>
        <v>5.9391996188871437</v>
      </c>
      <c r="AG201" s="414">
        <f>+Copen!CX14</f>
        <v>6.0105915120143401</v>
      </c>
      <c r="AH201" s="414">
        <f>+Copen!CY14</f>
        <v>6.0722302665516761</v>
      </c>
      <c r="AI201" s="414">
        <f>+Copen!CZ14</f>
        <v>6.1254915788274777</v>
      </c>
      <c r="AJ201" s="414">
        <f>+Copen!DA14</f>
        <v>6.1710919279067467</v>
      </c>
      <c r="AK201" s="414">
        <f>+Copen!DB14</f>
        <v>6.209474223738682</v>
      </c>
      <c r="AL201" s="414">
        <f>+Copen!DC14</f>
        <v>6.240944548934432</v>
      </c>
      <c r="AM201" s="414">
        <f>+Copen!DD14</f>
        <v>6.2657356369611694</v>
      </c>
      <c r="AN201" s="414">
        <f>+Copen!DE14</f>
        <v>6.2840352703899756</v>
      </c>
      <c r="AO201" s="414">
        <f>+Copen!DF14</f>
        <v>6.2959981684155526</v>
      </c>
      <c r="AP201" s="414">
        <f>+Copen!DG14</f>
        <v>6.3017506591914465</v>
      </c>
      <c r="AQ201" s="414">
        <f>+Copen!DH14</f>
        <v>6.3013926754539611</v>
      </c>
      <c r="AR201" s="414">
        <f>+Copen!DI14</f>
        <v>6.2949992452639334</v>
      </c>
      <c r="AS201" s="414">
        <f>+Copen!DJ14</f>
        <v>6.2826225465760208</v>
      </c>
      <c r="AT201" s="414">
        <f>+Copen!DK14</f>
        <v>6.2642951564144296</v>
      </c>
      <c r="AU201" s="414">
        <f>+Copen!DL14</f>
        <v>6.2400350432069933</v>
      </c>
      <c r="AV201" s="414">
        <f>+Copen!DM14</f>
        <v>6.2098529710918386</v>
      </c>
      <c r="AW201" s="414">
        <f>+Copen!DN14</f>
        <v>6.173763237399986</v>
      </c>
      <c r="AX201" s="414">
        <f>+Copen!DO14</f>
        <v>6.1317990203245278</v>
      </c>
      <c r="AY201" s="414">
        <f>+Copen!DP14</f>
        <v>6.0840340614250383</v>
      </c>
      <c r="AZ201" s="414">
        <f>+Copen!DQ14</f>
        <v>6.0306129357040543</v>
      </c>
      <c r="BA201" s="414">
        <f>+Copen!DR14</f>
        <v>5.9717927449939534</v>
      </c>
      <c r="BB201" s="414">
        <f>+Copen!DS14</f>
        <v>5.9079996548434819</v>
      </c>
      <c r="BC201" s="414">
        <f>+Copen!DT14</f>
        <v>5.8399041881280054</v>
      </c>
      <c r="BD201" s="414">
        <f>+Copen!DU14</f>
        <v>5.7685194556340047</v>
      </c>
      <c r="BE201" s="414">
        <f>+Copen!DV14</f>
        <v>5.6953263882351592</v>
      </c>
      <c r="BF201" s="414">
        <f>+Copen!DW14</f>
        <v>5.6224294137030233</v>
      </c>
      <c r="BG201" s="414">
        <f>+Copen!DX14</f>
        <v>5.5527448864697178</v>
      </c>
      <c r="BH201" s="414">
        <f>+Copen!DY14</f>
        <v>5.4902230567225851</v>
      </c>
      <c r="BI201" s="414">
        <f>+Copen!DZ14</f>
        <v>5.4401023692746673</v>
      </c>
    </row>
    <row r="202" spans="1:61" x14ac:dyDescent="0.15">
      <c r="A202" s="414"/>
      <c r="B202" s="414">
        <f t="shared" ref="B202:AG202" si="86">SUM(B190:B201)</f>
        <v>7.9710000000000001</v>
      </c>
      <c r="C202" s="414">
        <f t="shared" si="86"/>
        <v>10.008731839961026</v>
      </c>
      <c r="D202" s="414">
        <f t="shared" si="86"/>
        <v>11.724587536935804</v>
      </c>
      <c r="E202" s="414">
        <f t="shared" si="86"/>
        <v>13.184510779280513</v>
      </c>
      <c r="F202" s="414">
        <f t="shared" si="86"/>
        <v>14.448589212754504</v>
      </c>
      <c r="G202" s="414">
        <f t="shared" si="86"/>
        <v>15.441204892561124</v>
      </c>
      <c r="H202" s="414">
        <f t="shared" si="86"/>
        <v>16.291259051033283</v>
      </c>
      <c r="I202" s="414">
        <f t="shared" si="86"/>
        <v>17.127802838118413</v>
      </c>
      <c r="J202" s="414">
        <f t="shared" si="86"/>
        <v>17.960699441681911</v>
      </c>
      <c r="K202" s="414">
        <f t="shared" si="86"/>
        <v>18.794707814318667</v>
      </c>
      <c r="L202" s="414">
        <f t="shared" si="86"/>
        <v>19.624706425431082</v>
      </c>
      <c r="M202" s="430">
        <f t="shared" si="86"/>
        <v>20.42236713751722</v>
      </c>
      <c r="N202" s="414">
        <f t="shared" si="86"/>
        <v>21.184327426614438</v>
      </c>
      <c r="O202" s="414">
        <f t="shared" si="86"/>
        <v>21.933892989452033</v>
      </c>
      <c r="P202" s="414">
        <f t="shared" si="86"/>
        <v>22.608438870710412</v>
      </c>
      <c r="Q202" s="414">
        <f t="shared" si="86"/>
        <v>23.223692120713686</v>
      </c>
      <c r="R202" s="414">
        <f t="shared" si="86"/>
        <v>23.788169273147215</v>
      </c>
      <c r="S202" s="414">
        <f t="shared" si="86"/>
        <v>24.306858702921744</v>
      </c>
      <c r="T202" s="414">
        <f t="shared" si="86"/>
        <v>24.783023359090436</v>
      </c>
      <c r="U202" s="414">
        <f t="shared" si="86"/>
        <v>25.219107676600128</v>
      </c>
      <c r="V202" s="414">
        <f t="shared" si="86"/>
        <v>25.703405800382477</v>
      </c>
      <c r="W202" s="414">
        <f t="shared" si="86"/>
        <v>26.260701328748976</v>
      </c>
      <c r="X202" s="414">
        <f t="shared" si="86"/>
        <v>26.83132856801668</v>
      </c>
      <c r="Y202" s="414">
        <f t="shared" si="86"/>
        <v>27.394380415089628</v>
      </c>
      <c r="Z202" s="414">
        <f t="shared" si="86"/>
        <v>27.943074309677765</v>
      </c>
      <c r="AA202" s="414">
        <f t="shared" si="86"/>
        <v>28.474109711657388</v>
      </c>
      <c r="AB202" s="414">
        <f t="shared" si="86"/>
        <v>28.986539504552063</v>
      </c>
      <c r="AC202" s="414">
        <f t="shared" si="86"/>
        <v>29.482219094511056</v>
      </c>
      <c r="AD202" s="414">
        <f t="shared" si="86"/>
        <v>29.979761716150477</v>
      </c>
      <c r="AE202" s="414">
        <f t="shared" si="86"/>
        <v>30.477231777208424</v>
      </c>
      <c r="AF202" s="414">
        <f t="shared" si="86"/>
        <v>30.912844597754539</v>
      </c>
      <c r="AG202" s="414">
        <f t="shared" si="86"/>
        <v>31.269659723259231</v>
      </c>
      <c r="AH202" s="414">
        <f t="shared" ref="AH202:BI202" si="87">SUM(AH190:AH201)</f>
        <v>31.597536337339164</v>
      </c>
      <c r="AI202" s="414">
        <f t="shared" si="87"/>
        <v>28.935444058674523</v>
      </c>
      <c r="AJ202" s="414">
        <f t="shared" si="87"/>
        <v>29.199700883075501</v>
      </c>
      <c r="AK202" s="414">
        <f t="shared" si="87"/>
        <v>29.447784942812806</v>
      </c>
      <c r="AL202" s="414">
        <f t="shared" si="87"/>
        <v>29.680862824063091</v>
      </c>
      <c r="AM202" s="414">
        <f t="shared" si="87"/>
        <v>29.899786467957775</v>
      </c>
      <c r="AN202" s="414">
        <f t="shared" si="87"/>
        <v>30.10525585079111</v>
      </c>
      <c r="AO202" s="414">
        <f t="shared" si="87"/>
        <v>30.297887795225527</v>
      </c>
      <c r="AP202" s="414">
        <f t="shared" si="87"/>
        <v>30.478241852529123</v>
      </c>
      <c r="AQ202" s="414">
        <f t="shared" si="87"/>
        <v>30.646828232688563</v>
      </c>
      <c r="AR202" s="414">
        <f t="shared" si="87"/>
        <v>30.804109622692653</v>
      </c>
      <c r="AS202" s="414">
        <f t="shared" si="87"/>
        <v>30.950502278021538</v>
      </c>
      <c r="AT202" s="414">
        <f t="shared" si="87"/>
        <v>31.086378758094202</v>
      </c>
      <c r="AU202" s="414">
        <f t="shared" si="87"/>
        <v>31.212073413149096</v>
      </c>
      <c r="AV202" s="414">
        <f t="shared" si="87"/>
        <v>31.3278913525094</v>
      </c>
      <c r="AW202" s="414">
        <f t="shared" si="87"/>
        <v>31.434121700892479</v>
      </c>
      <c r="AX202" s="414">
        <f t="shared" si="87"/>
        <v>31.531056272457754</v>
      </c>
      <c r="AY202" s="414">
        <f t="shared" si="87"/>
        <v>31.619015263844609</v>
      </c>
      <c r="AZ202" s="414">
        <f t="shared" si="87"/>
        <v>31.698382136578125</v>
      </c>
      <c r="BA202" s="414">
        <f t="shared" si="87"/>
        <v>31.769650483661842</v>
      </c>
      <c r="BB202" s="414">
        <f t="shared" si="87"/>
        <v>31.833486295637712</v>
      </c>
      <c r="BC202" s="414">
        <f t="shared" si="87"/>
        <v>31.890809564204023</v>
      </c>
      <c r="BD202" s="414">
        <f t="shared" si="87"/>
        <v>31.942899453547675</v>
      </c>
      <c r="BE202" s="414">
        <f t="shared" si="87"/>
        <v>31.991527176863396</v>
      </c>
      <c r="BF202" s="414">
        <f t="shared" si="87"/>
        <v>32.039120118223899</v>
      </c>
      <c r="BG202" s="414">
        <f t="shared" si="87"/>
        <v>32.088959634916712</v>
      </c>
      <c r="BH202" s="414">
        <f t="shared" si="87"/>
        <v>32.145413493298086</v>
      </c>
      <c r="BI202" s="414">
        <f t="shared" si="87"/>
        <v>32.21420195065653</v>
      </c>
    </row>
    <row r="203" spans="1:61" x14ac:dyDescent="0.15">
      <c r="A203" s="414"/>
      <c r="B203" s="414"/>
    </row>
    <row r="204" spans="1:61" x14ac:dyDescent="0.15">
      <c r="A204" s="414"/>
      <c r="B204" s="414"/>
    </row>
    <row r="206" spans="1:61" ht="15" x14ac:dyDescent="0.2">
      <c r="A206" s="19" t="s">
        <v>982</v>
      </c>
      <c r="B206" s="383">
        <f>SUM(US:OthAsia!B113)-SUM(US:OthAsia!B114)</f>
        <v>6.4085534258497532</v>
      </c>
      <c r="C206" s="383">
        <f>SUM(US:OthAsia!C113)-SUM(US:OthAsia!C114)</f>
        <v>9.947934490555955</v>
      </c>
      <c r="D206" s="383">
        <f>SUM(US:OthAsia!D113)-SUM(US:OthAsia!D114)</f>
        <v>11.142614606213415</v>
      </c>
      <c r="E206" s="383">
        <f>SUM(US:OthAsia!E113)-SUM(US:OthAsia!E114)</f>
        <v>10.303658385687388</v>
      </c>
      <c r="F206" s="383">
        <f>SUM(US:OthAsia!F113)-SUM(US:OthAsia!F114)</f>
        <v>7.9700547859343445</v>
      </c>
      <c r="G206" s="383">
        <f>SUM(US:OthAsia!G113)-SUM(US:OthAsia!G114)</f>
        <v>5.2459406812783307</v>
      </c>
      <c r="H206" s="383">
        <f>SUM(US:OthAsia!H113)-SUM(US:OthAsia!H114)</f>
        <v>4.0665923542335998</v>
      </c>
      <c r="I206" s="383">
        <f>SUM(US:OthAsia!I113)-SUM(US:OthAsia!I114)</f>
        <v>2.7645955371835753</v>
      </c>
      <c r="J206" s="383">
        <f>SUM(US:OthAsia!J113)-SUM(US:OthAsia!J114)</f>
        <v>1.7843903426064252</v>
      </c>
      <c r="K206" s="383">
        <f>SUM(US:OthAsia!K113)-SUM(US:OthAsia!K114)</f>
        <v>0.91671222358443227</v>
      </c>
      <c r="L206" s="383">
        <f>SUM(US:OthAsia!L113)-SUM(US:OthAsia!L114)</f>
        <v>0.24304897456985453</v>
      </c>
      <c r="M206" s="383">
        <f>SUM(US:OthAsia!M113)-SUM(US:OthAsia!M114)</f>
        <v>-0.22528713994399263</v>
      </c>
      <c r="N206" s="383">
        <f>SUM(US:OthAsia!N113)-SUM(US:OthAsia!N114)</f>
        <v>-0.72265454102160032</v>
      </c>
      <c r="O206" s="383">
        <f>SUM(US:OthAsia!O113)-SUM(US:OthAsia!O114)</f>
        <v>-1.2291359759648772</v>
      </c>
      <c r="P206" s="383">
        <f>SUM(US:OthAsia!P113)-SUM(US:OthAsia!P114)</f>
        <v>-1.779847810501902</v>
      </c>
      <c r="Q206" s="383">
        <f>SUM(US:OthAsia!Q113)-SUM(US:OthAsia!Q114)</f>
        <v>-2.329542999737769</v>
      </c>
      <c r="R206" s="383">
        <f>SUM(US:OthAsia!R113)-SUM(US:OthAsia!R114)</f>
        <v>-2.8689011960158588</v>
      </c>
    </row>
    <row r="208" spans="1:61" x14ac:dyDescent="0.15">
      <c r="A208" s="19" t="s">
        <v>962</v>
      </c>
    </row>
    <row r="209" spans="1:61" x14ac:dyDescent="0.15">
      <c r="A209" s="12" t="s">
        <v>104</v>
      </c>
      <c r="B209" s="12">
        <f>+US!B101</f>
        <v>1.0000000000000007E-3</v>
      </c>
      <c r="C209" s="207">
        <f>+US!C101</f>
        <v>1.0000000000000013E-3</v>
      </c>
      <c r="D209" s="207">
        <f>+US!D101</f>
        <v>9.999999999999998E-4</v>
      </c>
      <c r="E209" s="207">
        <f>+US!E101</f>
        <v>1.0000000000000254E-3</v>
      </c>
      <c r="F209" s="207">
        <f>+US!F101</f>
        <v>1.000000000000301E-3</v>
      </c>
      <c r="G209" s="207">
        <f>+US!G101</f>
        <v>1.0000000000020134E-3</v>
      </c>
      <c r="H209" s="207">
        <f>+US!H101</f>
        <v>1.0000000000091711E-3</v>
      </c>
      <c r="I209" s="12">
        <f>+US!I101</f>
        <v>1.0000000000319836E-3</v>
      </c>
      <c r="J209" s="12">
        <f>+US!J101</f>
        <v>1.000000000092227E-3</v>
      </c>
      <c r="K209" s="12">
        <f>+US!K101</f>
        <v>1.0000000002275578E-3</v>
      </c>
      <c r="L209" s="12">
        <f>+US!L101</f>
        <v>1.0000000005053208E-3</v>
      </c>
      <c r="M209" s="12">
        <f>+US!M101</f>
        <v>1.0000000010417336E-3</v>
      </c>
      <c r="N209" s="12">
        <f>+US!N101</f>
        <v>1.0000000019921491E-3</v>
      </c>
      <c r="O209" s="12">
        <f>+US!O101</f>
        <v>1.0000000035927897E-3</v>
      </c>
      <c r="P209" s="12">
        <f>+US!P101</f>
        <v>1.0000000062096886E-3</v>
      </c>
      <c r="Q209" s="12">
        <f>+US!Q101</f>
        <v>1.0000000104204651E-3</v>
      </c>
      <c r="R209" s="12">
        <f>+US!R101</f>
        <v>1.0000000170144578E-3</v>
      </c>
      <c r="S209" s="12">
        <f>+US!S101</f>
        <v>1.0000000272142185E-3</v>
      </c>
      <c r="T209" s="12">
        <f>+US!T101</f>
        <v>1.000000042781987E-3</v>
      </c>
      <c r="U209" s="12">
        <f>+US!U101</f>
        <v>1.0000000656043386E-3</v>
      </c>
      <c r="V209" s="12">
        <f>+US!V101</f>
        <v>1.0000000970886358E-3</v>
      </c>
      <c r="W209" s="12">
        <f>+US!W101</f>
        <v>1.0000001421883778E-3</v>
      </c>
      <c r="X209" s="12">
        <f>+US!X101</f>
        <v>1.0000002055977509E-3</v>
      </c>
      <c r="Y209" s="12">
        <f>+US!Y101</f>
        <v>1.0000002932497479E-3</v>
      </c>
      <c r="Z209" s="12">
        <f>+US!Z101</f>
        <v>1.0000004131003608E-3</v>
      </c>
      <c r="AA209" s="12">
        <f>+US!AA101</f>
        <v>1.0000005755955619E-3</v>
      </c>
      <c r="AB209" s="12">
        <f>+US!AB101</f>
        <v>382.34860841173639</v>
      </c>
      <c r="AC209" s="12">
        <f>+US!AC101</f>
        <v>368.90117799114955</v>
      </c>
      <c r="AD209" s="12">
        <f>+US!AD101</f>
        <v>356.1261190915921</v>
      </c>
      <c r="AE209" s="12">
        <f>+US!AE101</f>
        <v>343.9898131370125</v>
      </c>
      <c r="AF209" s="12">
        <f>+US!AF101</f>
        <v>332.46032248016189</v>
      </c>
      <c r="AG209" s="12">
        <f>+US!AG101</f>
        <v>321.50730635615383</v>
      </c>
      <c r="AH209" s="12">
        <f>+US!AH101</f>
        <v>311.10194103834613</v>
      </c>
      <c r="AI209" s="12">
        <f>+US!AI101</f>
        <v>0</v>
      </c>
      <c r="AJ209" s="12">
        <f>+US!AJ101</f>
        <v>0</v>
      </c>
      <c r="AK209" s="12">
        <f>+US!AK101</f>
        <v>0</v>
      </c>
      <c r="AL209" s="12">
        <f>+US!AL101</f>
        <v>0</v>
      </c>
      <c r="AM209" s="12">
        <f>+US!AM101</f>
        <v>0</v>
      </c>
      <c r="AN209" s="12">
        <f>+US!AN101</f>
        <v>0</v>
      </c>
      <c r="AO209" s="12">
        <f>+US!AO101</f>
        <v>0</v>
      </c>
      <c r="AP209" s="12">
        <f>+US!AP101</f>
        <v>0</v>
      </c>
      <c r="AQ209" s="12">
        <f>+US!AQ101</f>
        <v>0</v>
      </c>
      <c r="AR209" s="12">
        <f>+US!AR101</f>
        <v>0</v>
      </c>
      <c r="AS209" s="12">
        <f>+US!AS101</f>
        <v>0</v>
      </c>
      <c r="AT209" s="12">
        <f>+US!AT101</f>
        <v>0</v>
      </c>
      <c r="AU209" s="12">
        <f>+US!AU101</f>
        <v>0</v>
      </c>
      <c r="AV209" s="12">
        <f>+US!AV101</f>
        <v>0</v>
      </c>
      <c r="AW209" s="12">
        <f>+US!AW101</f>
        <v>0</v>
      </c>
      <c r="AX209" s="12">
        <f>+US!AX101</f>
        <v>0</v>
      </c>
      <c r="AY209" s="12">
        <f>+US!AY101</f>
        <v>0</v>
      </c>
      <c r="AZ209" s="12">
        <f>+US!AZ101</f>
        <v>0</v>
      </c>
      <c r="BA209" s="12">
        <f>+US!BA101</f>
        <v>0</v>
      </c>
      <c r="BB209" s="12">
        <f>+US!BB101</f>
        <v>0</v>
      </c>
      <c r="BC209" s="12">
        <f>+US!BC101</f>
        <v>0</v>
      </c>
      <c r="BD209" s="12">
        <f>+US!BD101</f>
        <v>0</v>
      </c>
      <c r="BE209" s="12">
        <f>+US!BE101</f>
        <v>0</v>
      </c>
      <c r="BF209" s="12">
        <f>+US!BF101</f>
        <v>0</v>
      </c>
      <c r="BG209" s="12">
        <f>+US!BG101</f>
        <v>0</v>
      </c>
      <c r="BH209" s="12">
        <f>+US!BH101</f>
        <v>0</v>
      </c>
      <c r="BI209" s="12">
        <f>+US!BI101</f>
        <v>0</v>
      </c>
    </row>
    <row r="210" spans="1:61" x14ac:dyDescent="0.15">
      <c r="A210" s="12" t="s">
        <v>105</v>
      </c>
      <c r="B210" s="12">
        <f>+EU!B101</f>
        <v>1.0000000000000024E-3</v>
      </c>
      <c r="C210" s="207">
        <f>+EU!C101</f>
        <v>9.9999999999999959E-4</v>
      </c>
      <c r="D210" s="207">
        <f>+EU!D101</f>
        <v>1.0000000000000013E-3</v>
      </c>
      <c r="E210" s="207">
        <f>+EU!E101</f>
        <v>1.0000000000000237E-3</v>
      </c>
      <c r="F210" s="207">
        <f>+EU!F101</f>
        <v>1.0000000000003008E-3</v>
      </c>
      <c r="G210" s="207">
        <f>+EU!G101</f>
        <v>1.0000000000020112E-3</v>
      </c>
      <c r="H210" s="207">
        <f>+EU!H101</f>
        <v>1.0000000000091724E-3</v>
      </c>
      <c r="I210" s="12">
        <f>+EU!I101</f>
        <v>1.0000000000319864E-3</v>
      </c>
      <c r="J210" s="12">
        <f>+EU!J101</f>
        <v>1.0000000000922246E-3</v>
      </c>
      <c r="K210" s="12">
        <f>+EU!K101</f>
        <v>1.0000000002275584E-3</v>
      </c>
      <c r="L210" s="12">
        <f>+EU!L101</f>
        <v>1.0000000005053195E-3</v>
      </c>
      <c r="M210" s="12">
        <f>+EU!M101</f>
        <v>1.0000000010417338E-3</v>
      </c>
      <c r="N210" s="12">
        <f>+EU!N101</f>
        <v>1.0000000019921495E-3</v>
      </c>
      <c r="O210" s="12">
        <f>+EU!O101</f>
        <v>1.0000000035927901E-3</v>
      </c>
      <c r="P210" s="12">
        <f>+EU!P101</f>
        <v>1.0000000062096888E-3</v>
      </c>
      <c r="Q210" s="12">
        <f>+EU!Q101</f>
        <v>1.0000000104204638E-3</v>
      </c>
      <c r="R210" s="12">
        <f>+EU!R101</f>
        <v>1.0000000170144597E-3</v>
      </c>
      <c r="S210" s="12">
        <f>+EU!S101</f>
        <v>1.0000000272142187E-3</v>
      </c>
      <c r="T210" s="12">
        <f>+EU!T101</f>
        <v>1.0000000427819874E-3</v>
      </c>
      <c r="U210" s="12">
        <f>+EU!U101</f>
        <v>1.000000065604339E-3</v>
      </c>
      <c r="V210" s="12">
        <f>+EU!V101</f>
        <v>1.000000097088636E-3</v>
      </c>
      <c r="W210" s="12">
        <f>+EU!W101</f>
        <v>1.0000001421883785E-3</v>
      </c>
      <c r="X210" s="12">
        <f>+EU!X101</f>
        <v>1.0000002055977515E-3</v>
      </c>
      <c r="Y210" s="12">
        <f>+EU!Y101</f>
        <v>1.0000002932497468E-3</v>
      </c>
      <c r="Z210" s="12">
        <f>+EU!Z101</f>
        <v>1.0000004131003599E-3</v>
      </c>
      <c r="AA210" s="12">
        <f>+EU!AA101</f>
        <v>1.0000005755955608E-3</v>
      </c>
      <c r="AB210" s="12">
        <f>+EU!AB101</f>
        <v>594.76450197381143</v>
      </c>
      <c r="AC210" s="12">
        <f>+EU!AC101</f>
        <v>573.84627687512091</v>
      </c>
      <c r="AD210" s="12">
        <f>+EU!AD101</f>
        <v>553.97396303136497</v>
      </c>
      <c r="AE210" s="12">
        <f>+EU!AE101</f>
        <v>535.09526487979667</v>
      </c>
      <c r="AF210" s="12">
        <f>+EU!AF101</f>
        <v>517.16050163580678</v>
      </c>
      <c r="AG210" s="12">
        <f>+EU!AG101</f>
        <v>500.12247655401643</v>
      </c>
      <c r="AH210" s="12">
        <f>+EU!AH101</f>
        <v>483.93635272631559</v>
      </c>
      <c r="AI210" s="12">
        <f>+EU!AI101</f>
        <v>468.55953508999983</v>
      </c>
      <c r="AJ210" s="12">
        <f>+EU!AJ101</f>
        <v>453.95155833549984</v>
      </c>
      <c r="AK210" s="12">
        <f>+EU!AK101</f>
        <v>440.07398041872483</v>
      </c>
      <c r="AL210" s="12">
        <f>+EU!AL101</f>
        <v>426.89028139778856</v>
      </c>
      <c r="AM210" s="12">
        <f>+EU!AM101</f>
        <v>414.36576732789911</v>
      </c>
      <c r="AN210" s="12">
        <f>+EU!AN101</f>
        <v>402.46747896150413</v>
      </c>
      <c r="AO210" s="12">
        <f>+EU!AO101</f>
        <v>391.16410501342892</v>
      </c>
      <c r="AP210" s="12">
        <f>+EU!AP101</f>
        <v>380.42589976275741</v>
      </c>
      <c r="AQ210" s="12">
        <f>+EU!AQ101</f>
        <v>370.22460477461954</v>
      </c>
      <c r="AR210" s="12">
        <f>+EU!AR101</f>
        <v>360.53337453588858</v>
      </c>
      <c r="AS210" s="12">
        <f>+EU!AS101</f>
        <v>351.32670580909416</v>
      </c>
      <c r="AT210" s="12">
        <f>+EU!AT101</f>
        <v>342.58037051863943</v>
      </c>
      <c r="AU210" s="12">
        <f>+EU!AU101</f>
        <v>334.27135199270748</v>
      </c>
      <c r="AV210" s="12">
        <f>+EU!AV101</f>
        <v>326.37778439307209</v>
      </c>
      <c r="AW210" s="12">
        <f>+EU!AW101</f>
        <v>318.87889517341847</v>
      </c>
      <c r="AX210" s="12">
        <f>+EU!AX101</f>
        <v>311.75495041474755</v>
      </c>
      <c r="AY210" s="12">
        <f>+EU!AY101</f>
        <v>304.98720289401018</v>
      </c>
      <c r="AZ210" s="12">
        <f>+EU!AZ101</f>
        <v>298.55784274930966</v>
      </c>
      <c r="BA210" s="12">
        <f>+EU!BA101</f>
        <v>292.44995061184414</v>
      </c>
      <c r="BB210" s="12">
        <f>+EU!BB101</f>
        <v>286.64745308125197</v>
      </c>
      <c r="BC210" s="12">
        <f>+EU!BC101</f>
        <v>281.13508042718939</v>
      </c>
      <c r="BD210" s="12">
        <f>+EU!BD101</f>
        <v>275.89832640582989</v>
      </c>
      <c r="BE210" s="12">
        <f>+EU!BE101</f>
        <v>137.94916320291495</v>
      </c>
      <c r="BF210" s="12">
        <f>+EU!BF101</f>
        <v>68.974581601457473</v>
      </c>
      <c r="BG210" s="12">
        <f>+EU!BG101</f>
        <v>34.487290800728736</v>
      </c>
      <c r="BH210" s="12">
        <f>+EU!BH101</f>
        <v>17.243645400364368</v>
      </c>
      <c r="BI210" s="12">
        <f>+EU!BI101</f>
        <v>8.6218227001821841</v>
      </c>
    </row>
    <row r="211" spans="1:61" x14ac:dyDescent="0.15">
      <c r="A211" s="12" t="s">
        <v>51</v>
      </c>
      <c r="B211" s="12">
        <f>+Japan!B101</f>
        <v>1.0000000000000024E-3</v>
      </c>
      <c r="C211" s="207">
        <f>+Japan!C101</f>
        <v>9.9999999999999959E-4</v>
      </c>
      <c r="D211" s="207">
        <f>+Japan!D101</f>
        <v>1.0000000000000013E-3</v>
      </c>
      <c r="E211" s="207">
        <f>+Japan!E101</f>
        <v>1.0000000000000237E-3</v>
      </c>
      <c r="F211" s="207">
        <f>+Japan!F101</f>
        <v>1.0000000000003008E-3</v>
      </c>
      <c r="G211" s="207">
        <f>+Japan!G101</f>
        <v>1.0000000000020112E-3</v>
      </c>
      <c r="H211" s="207">
        <f>+Japan!H101</f>
        <v>1.0000000000091724E-3</v>
      </c>
      <c r="I211" s="12">
        <f>+Japan!I101</f>
        <v>1.0000000000319864E-3</v>
      </c>
      <c r="J211" s="12">
        <f>+Japan!J101</f>
        <v>1.0000000000922246E-3</v>
      </c>
      <c r="K211" s="12">
        <f>+Japan!K101</f>
        <v>1.0000000002275584E-3</v>
      </c>
      <c r="L211" s="12">
        <f>+Japan!L101</f>
        <v>1.0000000005053195E-3</v>
      </c>
      <c r="M211" s="12">
        <f>+Japan!M101</f>
        <v>1.0000000010417338E-3</v>
      </c>
      <c r="N211" s="12">
        <f>+Japan!N101</f>
        <v>1.0000000019921495E-3</v>
      </c>
      <c r="O211" s="12">
        <f>+Japan!O101</f>
        <v>1.0000000035927901E-3</v>
      </c>
      <c r="P211" s="12">
        <f>+Japan!P101</f>
        <v>1.0000000062096888E-3</v>
      </c>
      <c r="Q211" s="12">
        <f>+Japan!Q101</f>
        <v>1.0000000104204638E-3</v>
      </c>
      <c r="R211" s="12">
        <f>+Japan!R101</f>
        <v>1.0000000170144597E-3</v>
      </c>
      <c r="S211" s="12">
        <f>+Japan!S101</f>
        <v>1.0000000272142187E-3</v>
      </c>
      <c r="T211" s="12">
        <f>+Japan!T101</f>
        <v>1.0000000427819874E-3</v>
      </c>
      <c r="U211" s="12">
        <f>+Japan!U101</f>
        <v>1.000000065604339E-3</v>
      </c>
      <c r="V211" s="12">
        <f>+Japan!V101</f>
        <v>1.000000097088636E-3</v>
      </c>
      <c r="W211" s="12">
        <f>+Japan!W101</f>
        <v>1.0000001421883785E-3</v>
      </c>
      <c r="X211" s="12">
        <f>+Japan!X101</f>
        <v>1.0000002055977515E-3</v>
      </c>
      <c r="Y211" s="12">
        <f>+Japan!Y101</f>
        <v>1.0000002932497468E-3</v>
      </c>
      <c r="Z211" s="12">
        <f>+Japan!Z101</f>
        <v>1.0000004131003599E-3</v>
      </c>
      <c r="AA211" s="12">
        <f>+Japan!AA101</f>
        <v>1.0000005755955608E-3</v>
      </c>
      <c r="AB211" s="12">
        <f>+Japan!AB101</f>
        <v>594.76450197381143</v>
      </c>
      <c r="AC211" s="12">
        <f>+Japan!AC101</f>
        <v>573.84627687512091</v>
      </c>
      <c r="AD211" s="12">
        <f>+Japan!AD101</f>
        <v>553.97396303136497</v>
      </c>
      <c r="AE211" s="12">
        <f>+Japan!AE101</f>
        <v>535.09526487979667</v>
      </c>
      <c r="AF211" s="12">
        <f>+Japan!AF101</f>
        <v>517.16050163580678</v>
      </c>
      <c r="AG211" s="12">
        <f>+Japan!AG101</f>
        <v>500.12247655401643</v>
      </c>
      <c r="AH211" s="12">
        <f>+Japan!AH101</f>
        <v>483.93635272631559</v>
      </c>
      <c r="AI211" s="12">
        <f>+Japan!AI101</f>
        <v>468.55953508999983</v>
      </c>
      <c r="AJ211" s="12">
        <f>+Japan!AJ101</f>
        <v>453.95155833549984</v>
      </c>
      <c r="AK211" s="12">
        <f>+Japan!AK101</f>
        <v>440.07398041872483</v>
      </c>
      <c r="AL211" s="12">
        <f>+Japan!AL101</f>
        <v>426.89028139778856</v>
      </c>
      <c r="AM211" s="12">
        <f>+Japan!AM101</f>
        <v>414.36576732789911</v>
      </c>
      <c r="AN211" s="12">
        <f>+Japan!AN101</f>
        <v>402.46747896150413</v>
      </c>
      <c r="AO211" s="12">
        <f>+Japan!AO101</f>
        <v>391.16410501342892</v>
      </c>
      <c r="AP211" s="12">
        <f>+Japan!AP101</f>
        <v>380.42589976275741</v>
      </c>
      <c r="AQ211" s="12">
        <f>+Japan!AQ101</f>
        <v>370.22460477461954</v>
      </c>
      <c r="AR211" s="12">
        <f>+Japan!AR101</f>
        <v>360.53337453588858</v>
      </c>
      <c r="AS211" s="12">
        <f>+Japan!AS101</f>
        <v>351.32670580909416</v>
      </c>
      <c r="AT211" s="12">
        <f>+Japan!AT101</f>
        <v>342.58037051863943</v>
      </c>
      <c r="AU211" s="12">
        <f>+Japan!AU101</f>
        <v>334.27135199270748</v>
      </c>
      <c r="AV211" s="12">
        <f>+Japan!AV101</f>
        <v>326.37778439307209</v>
      </c>
      <c r="AW211" s="12">
        <f>+Japan!AW101</f>
        <v>318.87889517341847</v>
      </c>
      <c r="AX211" s="12">
        <f>+Japan!AX101</f>
        <v>311.75495041474755</v>
      </c>
      <c r="AY211" s="12">
        <f>+Japan!AY101</f>
        <v>304.98720289401018</v>
      </c>
      <c r="AZ211" s="12">
        <f>+Japan!AZ101</f>
        <v>298.55784274930966</v>
      </c>
      <c r="BA211" s="12">
        <f>+Japan!BA101</f>
        <v>292.44995061184414</v>
      </c>
      <c r="BB211" s="12">
        <f>+Japan!BB101</f>
        <v>286.64745308125197</v>
      </c>
      <c r="BC211" s="12">
        <f>+Japan!BC101</f>
        <v>281.13508042718939</v>
      </c>
      <c r="BD211" s="12">
        <f>+Japan!BD101</f>
        <v>275.89832640582989</v>
      </c>
      <c r="BE211" s="12">
        <f>+Japan!BE101</f>
        <v>137.94916320291495</v>
      </c>
      <c r="BF211" s="12">
        <f>+Japan!BF101</f>
        <v>68.974581601457473</v>
      </c>
      <c r="BG211" s="12">
        <f>+Japan!BG101</f>
        <v>34.487290800728736</v>
      </c>
      <c r="BH211" s="12">
        <f>+Japan!BH101</f>
        <v>17.243645400364368</v>
      </c>
      <c r="BI211" s="12">
        <f>+Japan!BI101</f>
        <v>8.6218227001821841</v>
      </c>
    </row>
    <row r="212" spans="1:61" x14ac:dyDescent="0.15">
      <c r="A212" s="12" t="s">
        <v>52</v>
      </c>
      <c r="B212" s="12">
        <f>+Russia!B101</f>
        <v>1.0000000000000015E-3</v>
      </c>
      <c r="C212" s="207">
        <f>+Russia!C101</f>
        <v>1.0000000000000002E-3</v>
      </c>
      <c r="D212" s="207">
        <f>+Russia!D101</f>
        <v>1.0000000000000024E-3</v>
      </c>
      <c r="E212" s="207">
        <f>+Russia!E101</f>
        <v>1.000000000000023E-3</v>
      </c>
      <c r="F212" s="207">
        <f>+Russia!F101</f>
        <v>1.0000000000003001E-3</v>
      </c>
      <c r="G212" s="207">
        <f>+Russia!G101</f>
        <v>1.0000000000020108E-3</v>
      </c>
      <c r="H212" s="207">
        <f>+Russia!H101</f>
        <v>1.0000000000091719E-3</v>
      </c>
      <c r="I212" s="12">
        <f>+Russia!I101</f>
        <v>1.0000000000319864E-3</v>
      </c>
      <c r="J212" s="12">
        <f>+Russia!J101</f>
        <v>1.0000000000922246E-3</v>
      </c>
      <c r="K212" s="12">
        <f>+Russia!K101</f>
        <v>1.0000000002275554E-3</v>
      </c>
      <c r="L212" s="12">
        <f>+Russia!L101</f>
        <v>1.0000000005053185E-3</v>
      </c>
      <c r="M212" s="12">
        <f>+Russia!M101</f>
        <v>1.0000000010417344E-3</v>
      </c>
      <c r="N212" s="12">
        <f>+Russia!N101</f>
        <v>1.0000000019921502E-3</v>
      </c>
      <c r="O212" s="12">
        <f>+Russia!O101</f>
        <v>1.0000000035927925E-3</v>
      </c>
      <c r="P212" s="12">
        <f>+Russia!P101</f>
        <v>1.0000000062096897E-3</v>
      </c>
      <c r="Q212" s="12">
        <f>+Russia!Q101</f>
        <v>1.0000000104204644E-3</v>
      </c>
      <c r="R212" s="12">
        <f>+Russia!R101</f>
        <v>1.0000000170144604E-3</v>
      </c>
      <c r="S212" s="12">
        <f>+Russia!S101</f>
        <v>1.0000000272142174E-3</v>
      </c>
      <c r="T212" s="12">
        <f>+Russia!T101</f>
        <v>1.0000000427819878E-3</v>
      </c>
      <c r="U212" s="12">
        <f>+Russia!U101</f>
        <v>1.000000065604336E-3</v>
      </c>
      <c r="V212" s="12">
        <f>+Russia!V101</f>
        <v>1.0000000970886364E-3</v>
      </c>
      <c r="W212" s="12">
        <f>+Russia!W101</f>
        <v>1.0000001421883787E-3</v>
      </c>
      <c r="X212" s="12">
        <f>+Russia!X101</f>
        <v>1.0000002055977517E-3</v>
      </c>
      <c r="Y212" s="12">
        <f>+Russia!Y101</f>
        <v>1.000000293249745E-3</v>
      </c>
      <c r="Z212" s="12">
        <f>+Russia!Z101</f>
        <v>1.0000004131003599E-3</v>
      </c>
      <c r="AA212" s="12">
        <f>+Russia!AA101</f>
        <v>1.0000005755955608E-3</v>
      </c>
      <c r="AB212" s="12">
        <f>+Russia!AB101</f>
        <v>254.89907227449083</v>
      </c>
      <c r="AC212" s="12">
        <f>+Russia!AC101</f>
        <v>245.93411866076627</v>
      </c>
      <c r="AD212" s="12">
        <f>+Russia!AD101</f>
        <v>237.41741272772796</v>
      </c>
      <c r="AE212" s="12">
        <f>+Russia!AE101</f>
        <v>229.32654209134154</v>
      </c>
      <c r="AF212" s="12">
        <f>+Russia!AF101</f>
        <v>221.64021498677448</v>
      </c>
      <c r="AG212" s="12">
        <f>+Russia!AG101</f>
        <v>214.33820423743575</v>
      </c>
      <c r="AH212" s="12">
        <f>+Russia!AH101</f>
        <v>207.40129402556394</v>
      </c>
      <c r="AI212" s="12">
        <f>+Russia!AI101</f>
        <v>200.81122932428573</v>
      </c>
      <c r="AJ212" s="12">
        <f>+Russia!AJ101</f>
        <v>194.55066785807145</v>
      </c>
      <c r="AK212" s="12">
        <f>+Russia!AK101</f>
        <v>188.60313446516787</v>
      </c>
      <c r="AL212" s="12">
        <f>+Russia!AL101</f>
        <v>182.95297774190951</v>
      </c>
      <c r="AM212" s="12">
        <f>+Russia!AM101</f>
        <v>177.58532885481401</v>
      </c>
      <c r="AN212" s="12">
        <f>+Russia!AN101</f>
        <v>172.48606241207332</v>
      </c>
      <c r="AO212" s="12">
        <f>+Russia!AO101</f>
        <v>167.64175929146964</v>
      </c>
      <c r="AP212" s="12">
        <f>+Russia!AP101</f>
        <v>163.03967132689615</v>
      </c>
      <c r="AQ212" s="12">
        <f>+Russia!AQ101</f>
        <v>158.66768776055136</v>
      </c>
      <c r="AR212" s="12">
        <f>+Russia!AR101</f>
        <v>154.51430337252378</v>
      </c>
      <c r="AS212" s="12">
        <f>+Russia!AS101</f>
        <v>150.56858820389758</v>
      </c>
      <c r="AT212" s="12">
        <f>+Russia!AT101</f>
        <v>146.82015879370269</v>
      </c>
      <c r="AU212" s="12">
        <f>+Russia!AU101</f>
        <v>143.25915085401755</v>
      </c>
      <c r="AV212" s="12">
        <f>+Russia!AV101</f>
        <v>139.87619331131668</v>
      </c>
      <c r="AW212" s="12">
        <f>+Russia!AW101</f>
        <v>136.66238364575085</v>
      </c>
      <c r="AX212" s="12">
        <f>+Russia!AX101</f>
        <v>133.60926446346329</v>
      </c>
      <c r="AY212" s="12">
        <f>+Russia!AY101</f>
        <v>130.70880124029014</v>
      </c>
      <c r="AZ212" s="12">
        <f>+Russia!AZ101</f>
        <v>127.95336117827563</v>
      </c>
      <c r="BA212" s="12">
        <f>+Russia!BA101</f>
        <v>125.33569311936185</v>
      </c>
      <c r="BB212" s="12">
        <f>+Russia!BB101</f>
        <v>122.84890846339374</v>
      </c>
      <c r="BC212" s="12">
        <f>+Russia!BC101</f>
        <v>120.48646304022407</v>
      </c>
      <c r="BD212" s="12">
        <f>+Russia!BD101</f>
        <v>118.24213988821286</v>
      </c>
      <c r="BE212" s="12">
        <f>+Russia!BE101</f>
        <v>59.121069944106431</v>
      </c>
      <c r="BF212" s="12">
        <f>+Russia!BF101</f>
        <v>29.560534972053215</v>
      </c>
      <c r="BG212" s="12">
        <f>+Russia!BG101</f>
        <v>14.780267486026608</v>
      </c>
      <c r="BH212" s="12">
        <f>+Russia!BH101</f>
        <v>7.3901337430133038</v>
      </c>
      <c r="BI212" s="12">
        <f>+Russia!BI101</f>
        <v>3.6950668715066519</v>
      </c>
    </row>
    <row r="213" spans="1:61" x14ac:dyDescent="0.15">
      <c r="A213" s="12" t="s">
        <v>53</v>
      </c>
      <c r="B213" s="12">
        <f>+Eurasia!B101</f>
        <v>1.0000000000000015E-3</v>
      </c>
      <c r="C213" s="207">
        <f>+Eurasia!C101</f>
        <v>1.0000000000000002E-3</v>
      </c>
      <c r="D213" s="207">
        <f>+Eurasia!D101</f>
        <v>1.0000000000000024E-3</v>
      </c>
      <c r="E213" s="207">
        <f>+Eurasia!E101</f>
        <v>1.000000000000023E-3</v>
      </c>
      <c r="F213" s="207">
        <f>+Eurasia!F101</f>
        <v>1.0000000000003001E-3</v>
      </c>
      <c r="G213" s="207">
        <f>+Eurasia!G101</f>
        <v>1.0000000000020108E-3</v>
      </c>
      <c r="H213" s="207">
        <f>+Eurasia!H101</f>
        <v>1.0000000000091719E-3</v>
      </c>
      <c r="I213" s="12">
        <f>+Eurasia!I101</f>
        <v>1.0000000000319864E-3</v>
      </c>
      <c r="J213" s="12">
        <f>+Eurasia!J101</f>
        <v>1.0000000000922246E-3</v>
      </c>
      <c r="K213" s="12">
        <f>+Eurasia!K101</f>
        <v>1.0000000002275554E-3</v>
      </c>
      <c r="L213" s="12">
        <f>+Eurasia!L101</f>
        <v>1.0000000005053185E-3</v>
      </c>
      <c r="M213" s="12">
        <f>+Eurasia!M101</f>
        <v>1.0000000010417344E-3</v>
      </c>
      <c r="N213" s="12">
        <f>+Eurasia!N101</f>
        <v>1.0000000019921502E-3</v>
      </c>
      <c r="O213" s="12">
        <f>+Eurasia!O101</f>
        <v>1.0000000035927925E-3</v>
      </c>
      <c r="P213" s="12">
        <f>+Eurasia!P101</f>
        <v>1.0000000062096897E-3</v>
      </c>
      <c r="Q213" s="12">
        <f>+Eurasia!Q101</f>
        <v>1.0000000104204644E-3</v>
      </c>
      <c r="R213" s="12">
        <f>+Eurasia!R101</f>
        <v>1.0000000170144604E-3</v>
      </c>
      <c r="S213" s="12">
        <f>+Eurasia!S101</f>
        <v>1.0000000272142174E-3</v>
      </c>
      <c r="T213" s="12">
        <f>+Eurasia!T101</f>
        <v>1.0000000427819878E-3</v>
      </c>
      <c r="U213" s="12">
        <f>+Eurasia!U101</f>
        <v>1.000000065604336E-3</v>
      </c>
      <c r="V213" s="12">
        <f>+Eurasia!V101</f>
        <v>1.0000000970886364E-3</v>
      </c>
      <c r="W213" s="12">
        <f>+Eurasia!W101</f>
        <v>1.0000001421883787E-3</v>
      </c>
      <c r="X213" s="12">
        <f>+Eurasia!X101</f>
        <v>1.0000002055977517E-3</v>
      </c>
      <c r="Y213" s="12">
        <f>+Eurasia!Y101</f>
        <v>1.000000293249745E-3</v>
      </c>
      <c r="Z213" s="12">
        <f>+Eurasia!Z101</f>
        <v>1.0000004131003599E-3</v>
      </c>
      <c r="AA213" s="12">
        <f>+Eurasia!AA101</f>
        <v>1.0000005755955608E-3</v>
      </c>
      <c r="AB213" s="12">
        <f>+Eurasia!AB101</f>
        <v>254.89907227449083</v>
      </c>
      <c r="AC213" s="12">
        <f>+Eurasia!AC101</f>
        <v>245.93411866076627</v>
      </c>
      <c r="AD213" s="12">
        <f>+Eurasia!AD101</f>
        <v>237.41741272772796</v>
      </c>
      <c r="AE213" s="12">
        <f>+Eurasia!AE101</f>
        <v>229.32654209134154</v>
      </c>
      <c r="AF213" s="12">
        <f>+Eurasia!AF101</f>
        <v>221.64021498677448</v>
      </c>
      <c r="AG213" s="12">
        <f>+Eurasia!AG101</f>
        <v>214.33820423743575</v>
      </c>
      <c r="AH213" s="12">
        <f>+Eurasia!AH101</f>
        <v>207.40129402556394</v>
      </c>
      <c r="AI213" s="12">
        <f>+Eurasia!AI101</f>
        <v>200.81122932428573</v>
      </c>
      <c r="AJ213" s="12">
        <f>+Eurasia!AJ101</f>
        <v>194.55066785807145</v>
      </c>
      <c r="AK213" s="12">
        <f>+Eurasia!AK101</f>
        <v>188.60313446516787</v>
      </c>
      <c r="AL213" s="12">
        <f>+Eurasia!AL101</f>
        <v>182.95297774190951</v>
      </c>
      <c r="AM213" s="12">
        <f>+Eurasia!AM101</f>
        <v>177.58532885481401</v>
      </c>
      <c r="AN213" s="12">
        <f>+Eurasia!AN101</f>
        <v>172.48606241207332</v>
      </c>
      <c r="AO213" s="12">
        <f>+Eurasia!AO101</f>
        <v>167.64175929146964</v>
      </c>
      <c r="AP213" s="12">
        <f>+Eurasia!AP101</f>
        <v>163.03967132689615</v>
      </c>
      <c r="AQ213" s="12">
        <f>+Eurasia!AQ101</f>
        <v>158.66768776055136</v>
      </c>
      <c r="AR213" s="12">
        <f>+Eurasia!AR101</f>
        <v>154.51430337252378</v>
      </c>
      <c r="AS213" s="12">
        <f>+Eurasia!AS101</f>
        <v>150.56858820389758</v>
      </c>
      <c r="AT213" s="12">
        <f>+Eurasia!AT101</f>
        <v>146.82015879370269</v>
      </c>
      <c r="AU213" s="12">
        <f>+Eurasia!AU101</f>
        <v>143.25915085401755</v>
      </c>
      <c r="AV213" s="12">
        <f>+Eurasia!AV101</f>
        <v>139.87619331131668</v>
      </c>
      <c r="AW213" s="12">
        <f>+Eurasia!AW101</f>
        <v>136.66238364575085</v>
      </c>
      <c r="AX213" s="12">
        <f>+Eurasia!AX101</f>
        <v>133.60926446346329</v>
      </c>
      <c r="AY213" s="12">
        <f>+Eurasia!AY101</f>
        <v>130.70880124029014</v>
      </c>
      <c r="AZ213" s="12">
        <f>+Eurasia!AZ101</f>
        <v>127.95336117827563</v>
      </c>
      <c r="BA213" s="12">
        <f>+Eurasia!BA101</f>
        <v>125.33569311936185</v>
      </c>
      <c r="BB213" s="12">
        <f>+Eurasia!BB101</f>
        <v>122.84890846339374</v>
      </c>
      <c r="BC213" s="12">
        <f>+Eurasia!BC101</f>
        <v>120.48646304022407</v>
      </c>
      <c r="BD213" s="12">
        <f>+Eurasia!BD101</f>
        <v>118.24213988821286</v>
      </c>
      <c r="BE213" s="12">
        <f>+Eurasia!BE101</f>
        <v>59.121069944106431</v>
      </c>
      <c r="BF213" s="12">
        <f>+Eurasia!BF101</f>
        <v>29.560534972053215</v>
      </c>
      <c r="BG213" s="12">
        <f>+Eurasia!BG101</f>
        <v>14.780267486026608</v>
      </c>
      <c r="BH213" s="12">
        <f>+Eurasia!BH101</f>
        <v>7.3901337430133038</v>
      </c>
      <c r="BI213" s="12">
        <f>+Eurasia!BI101</f>
        <v>3.6950668715066519</v>
      </c>
    </row>
    <row r="214" spans="1:61" x14ac:dyDescent="0.15">
      <c r="A214" s="12" t="s">
        <v>54</v>
      </c>
      <c r="B214" s="12">
        <f>+China!B101</f>
        <v>1.0000000000000026E-3</v>
      </c>
      <c r="C214" s="207">
        <f>+China!C101</f>
        <v>9.9999999999999959E-4</v>
      </c>
      <c r="D214" s="207">
        <f>+China!D101</f>
        <v>1.0000000000000015E-3</v>
      </c>
      <c r="E214" s="207">
        <f>+China!E101</f>
        <v>1.0000000000000237E-3</v>
      </c>
      <c r="F214" s="207">
        <f>+China!F101</f>
        <v>1.0000000000003008E-3</v>
      </c>
      <c r="G214" s="207">
        <f>+China!G101</f>
        <v>1.0000000000020114E-3</v>
      </c>
      <c r="H214" s="207">
        <f>+China!H101</f>
        <v>1.0000000000091724E-3</v>
      </c>
      <c r="I214" s="12">
        <f>+China!I101</f>
        <v>1.0000000000319866E-3</v>
      </c>
      <c r="J214" s="12">
        <f>+China!J101</f>
        <v>1.0000000000922246E-3</v>
      </c>
      <c r="K214" s="12">
        <f>+China!K101</f>
        <v>1.0000000002275567E-3</v>
      </c>
      <c r="L214" s="12">
        <f>+China!L101</f>
        <v>1.0000000005053178E-3</v>
      </c>
      <c r="M214" s="12">
        <f>+China!M101</f>
        <v>1.0000000010417338E-3</v>
      </c>
      <c r="N214" s="12">
        <f>+China!N101</f>
        <v>1.0000000019921517E-3</v>
      </c>
      <c r="O214" s="12">
        <f>+China!O101</f>
        <v>1.0000000035927919E-3</v>
      </c>
      <c r="P214" s="12">
        <f>+China!P101</f>
        <v>1.000000006209689E-3</v>
      </c>
      <c r="Q214" s="12">
        <f>+China!Q101</f>
        <v>1.0000000104204638E-3</v>
      </c>
      <c r="R214" s="12">
        <f>+China!R101</f>
        <v>1.0000000170144597E-3</v>
      </c>
      <c r="S214" s="12">
        <f>+China!S101</f>
        <v>1.0000000272142172E-3</v>
      </c>
      <c r="T214" s="12">
        <f>+China!T101</f>
        <v>1.0000000427819874E-3</v>
      </c>
      <c r="U214" s="12">
        <f>+China!U101</f>
        <v>1.0000000656043356E-3</v>
      </c>
      <c r="V214" s="12">
        <f>+China!V101</f>
        <v>1.0000000970886362E-3</v>
      </c>
      <c r="W214" s="12">
        <f>+China!W101</f>
        <v>1.0000001421883785E-3</v>
      </c>
      <c r="X214" s="12">
        <f>+China!X101</f>
        <v>1.0000002055977533E-3</v>
      </c>
      <c r="Y214" s="12">
        <f>+China!Y101</f>
        <v>1.000000293249745E-3</v>
      </c>
      <c r="Z214" s="12">
        <f>+China!Z101</f>
        <v>1.0000004131003599E-3</v>
      </c>
      <c r="AA214" s="12">
        <f>+China!AA101</f>
        <v>1.000000575595561E-3</v>
      </c>
      <c r="AB214" s="12">
        <f>+China!AB101</f>
        <v>297.38225098690572</v>
      </c>
      <c r="AC214" s="12">
        <f>+China!AC101</f>
        <v>286.92313843756045</v>
      </c>
      <c r="AD214" s="12">
        <f>+China!AD101</f>
        <v>276.98698151568249</v>
      </c>
      <c r="AE214" s="12">
        <f>+China!AE101</f>
        <v>267.54763243989834</v>
      </c>
      <c r="AF214" s="12">
        <f>+China!AF101</f>
        <v>258.58025081790339</v>
      </c>
      <c r="AG214" s="12">
        <f>+China!AG101</f>
        <v>250.06123827700821</v>
      </c>
      <c r="AH214" s="12">
        <f>+China!AH101</f>
        <v>241.9681763631578</v>
      </c>
      <c r="AI214" s="12">
        <f>+China!AI101</f>
        <v>234.27976754499991</v>
      </c>
      <c r="AJ214" s="12">
        <f>+China!AJ101</f>
        <v>226.97577916774992</v>
      </c>
      <c r="AK214" s="12">
        <f>+China!AK101</f>
        <v>220.03699020936241</v>
      </c>
      <c r="AL214" s="12">
        <f>+China!AL101</f>
        <v>213.44514069889428</v>
      </c>
      <c r="AM214" s="12">
        <f>+China!AM101</f>
        <v>207.18288366394955</v>
      </c>
      <c r="AN214" s="12">
        <f>+China!AN101</f>
        <v>201.23373948075206</v>
      </c>
      <c r="AO214" s="12">
        <f>+China!AO101</f>
        <v>195.58205250671446</v>
      </c>
      <c r="AP214" s="12">
        <f>+China!AP101</f>
        <v>190.21294988137871</v>
      </c>
      <c r="AQ214" s="12">
        <f>+China!AQ101</f>
        <v>185.11230238730977</v>
      </c>
      <c r="AR214" s="12">
        <f>+China!AR101</f>
        <v>180.26668726794429</v>
      </c>
      <c r="AS214" s="12">
        <f>+China!AS101</f>
        <v>175.66335290454708</v>
      </c>
      <c r="AT214" s="12">
        <f>+China!AT101</f>
        <v>171.29018525931971</v>
      </c>
      <c r="AU214" s="12">
        <f>+China!AU101</f>
        <v>167.13567599635374</v>
      </c>
      <c r="AV214" s="12">
        <f>+China!AV101</f>
        <v>163.18889219653605</v>
      </c>
      <c r="AW214" s="12">
        <f>+China!AW101</f>
        <v>159.43944758670924</v>
      </c>
      <c r="AX214" s="12">
        <f>+China!AX101</f>
        <v>155.87747520737378</v>
      </c>
      <c r="AY214" s="12">
        <f>+China!AY101</f>
        <v>152.49360144700509</v>
      </c>
      <c r="AZ214" s="12">
        <f>+China!AZ101</f>
        <v>149.27892137465483</v>
      </c>
      <c r="BA214" s="12">
        <f>+China!BA101</f>
        <v>146.22497530592207</v>
      </c>
      <c r="BB214" s="12">
        <f>+China!BB101</f>
        <v>143.32372654062598</v>
      </c>
      <c r="BC214" s="12">
        <f>+China!BC101</f>
        <v>140.5675402135947</v>
      </c>
      <c r="BD214" s="12">
        <f>+China!BD101</f>
        <v>137.94916320291495</v>
      </c>
      <c r="BE214" s="12">
        <f>+China!BE101</f>
        <v>68.974581601457473</v>
      </c>
      <c r="BF214" s="12">
        <f>+China!BF101</f>
        <v>34.487290800728736</v>
      </c>
      <c r="BG214" s="12">
        <f>+China!BG101</f>
        <v>17.243645400364368</v>
      </c>
      <c r="BH214" s="12">
        <f>+China!BH101</f>
        <v>8.6218227001821841</v>
      </c>
      <c r="BI214" s="12">
        <f>+China!BI101</f>
        <v>4.3109113500910921</v>
      </c>
    </row>
    <row r="215" spans="1:61" x14ac:dyDescent="0.15">
      <c r="A215" s="12" t="s">
        <v>55</v>
      </c>
      <c r="B215" s="12">
        <f>+India!B101</f>
        <v>9.9999999999999937E-4</v>
      </c>
      <c r="C215" s="207">
        <f>+India!C101</f>
        <v>9.999999999999998E-4</v>
      </c>
      <c r="D215" s="207">
        <f>+India!D101</f>
        <v>1.000000000000002E-3</v>
      </c>
      <c r="E215" s="207">
        <f>+India!E101</f>
        <v>1.0000000000000224E-3</v>
      </c>
      <c r="F215" s="207">
        <f>+India!F101</f>
        <v>1.0000000000003012E-3</v>
      </c>
      <c r="G215" s="207">
        <f>+India!G101</f>
        <v>1.0000000000020106E-3</v>
      </c>
      <c r="H215" s="207">
        <f>+India!H101</f>
        <v>1.0000000000091698E-3</v>
      </c>
      <c r="I215" s="12">
        <f>+India!I101</f>
        <v>1.0000000000319857E-3</v>
      </c>
      <c r="J215" s="12">
        <f>+India!J101</f>
        <v>1.0000000000922257E-3</v>
      </c>
      <c r="K215" s="12">
        <f>+India!K101</f>
        <v>1.0000000002275565E-3</v>
      </c>
      <c r="L215" s="12">
        <f>+India!L101</f>
        <v>1.0000000005053195E-3</v>
      </c>
      <c r="M215" s="12">
        <f>+India!M101</f>
        <v>1.0000000010417338E-3</v>
      </c>
      <c r="N215" s="12">
        <f>+India!N101</f>
        <v>1.0000000019921515E-3</v>
      </c>
      <c r="O215" s="12">
        <f>+India!O101</f>
        <v>1.0000000035927919E-3</v>
      </c>
      <c r="P215" s="12">
        <f>+India!P101</f>
        <v>1.0000000062096871E-3</v>
      </c>
      <c r="Q215" s="12">
        <f>+India!Q101</f>
        <v>1.0000000104204655E-3</v>
      </c>
      <c r="R215" s="12">
        <f>+India!R101</f>
        <v>1.0000000170144597E-3</v>
      </c>
      <c r="S215" s="12">
        <f>+India!S101</f>
        <v>1.000000027214217E-3</v>
      </c>
      <c r="T215" s="12">
        <f>+India!T101</f>
        <v>1.0000000427819891E-3</v>
      </c>
      <c r="U215" s="12">
        <f>+India!U101</f>
        <v>1.0000000656043373E-3</v>
      </c>
      <c r="V215" s="12">
        <f>+India!V101</f>
        <v>1.000000097088636E-3</v>
      </c>
      <c r="W215" s="12">
        <f>+India!W101</f>
        <v>1.0000001421883765E-3</v>
      </c>
      <c r="X215" s="12">
        <f>+India!X101</f>
        <v>1.000000205597753E-3</v>
      </c>
      <c r="Y215" s="12">
        <f>+India!Y101</f>
        <v>1.0000002932497446E-3</v>
      </c>
      <c r="Z215" s="12">
        <f>+India!Z101</f>
        <v>1.0000004131003612E-3</v>
      </c>
      <c r="AA215" s="12">
        <f>+India!AA101</f>
        <v>1.0000005755955621E-3</v>
      </c>
      <c r="AB215" s="12">
        <f>+India!AB101</f>
        <v>467.31496583656661</v>
      </c>
      <c r="AC215" s="12">
        <f>+India!AC101</f>
        <v>450.87921754473825</v>
      </c>
      <c r="AD215" s="12">
        <f>+India!AD101</f>
        <v>435.26525666750126</v>
      </c>
      <c r="AE215" s="12">
        <f>+India!AE101</f>
        <v>420.43199383412622</v>
      </c>
      <c r="AF215" s="12">
        <f>+India!AF101</f>
        <v>406.34039414241983</v>
      </c>
      <c r="AG215" s="12">
        <f>+India!AG101</f>
        <v>392.95337443529877</v>
      </c>
      <c r="AH215" s="12">
        <f>+India!AH101</f>
        <v>380.23570571353383</v>
      </c>
      <c r="AI215" s="12">
        <f>+India!AI101</f>
        <v>368.15392042785709</v>
      </c>
      <c r="AJ215" s="12">
        <f>+India!AJ101</f>
        <v>356.67622440646426</v>
      </c>
      <c r="AK215" s="12">
        <f>+India!AK101</f>
        <v>345.77241318614102</v>
      </c>
      <c r="AL215" s="12">
        <f>+India!AL101</f>
        <v>335.41379252683402</v>
      </c>
      <c r="AM215" s="12">
        <f>+India!AM101</f>
        <v>325.5731029004923</v>
      </c>
      <c r="AN215" s="12">
        <f>+India!AN101</f>
        <v>316.22444775546768</v>
      </c>
      <c r="AO215" s="12">
        <f>+India!AO101</f>
        <v>307.34322536769429</v>
      </c>
      <c r="AP215" s="12">
        <f>+India!AP101</f>
        <v>298.90606409930956</v>
      </c>
      <c r="AQ215" s="12">
        <f>+India!AQ101</f>
        <v>290.89076089434406</v>
      </c>
      <c r="AR215" s="12">
        <f>+India!AR101</f>
        <v>283.27622284962683</v>
      </c>
      <c r="AS215" s="12">
        <f>+India!AS101</f>
        <v>276.0424117071455</v>
      </c>
      <c r="AT215" s="12">
        <f>+India!AT101</f>
        <v>269.17029112178824</v>
      </c>
      <c r="AU215" s="12">
        <f>+India!AU101</f>
        <v>262.64177656569882</v>
      </c>
      <c r="AV215" s="12">
        <f>+India!AV101</f>
        <v>256.43968773741386</v>
      </c>
      <c r="AW215" s="12">
        <f>+India!AW101</f>
        <v>250.5477033505432</v>
      </c>
      <c r="AX215" s="12">
        <f>+India!AX101</f>
        <v>244.95031818301604</v>
      </c>
      <c r="AY215" s="12">
        <f>+India!AY101</f>
        <v>239.63280227386525</v>
      </c>
      <c r="AZ215" s="12">
        <f>+India!AZ101</f>
        <v>234.581162160172</v>
      </c>
      <c r="BA215" s="12">
        <f>+India!BA101</f>
        <v>229.78210405216339</v>
      </c>
      <c r="BB215" s="12">
        <f>+India!BB101</f>
        <v>225.22299884955521</v>
      </c>
      <c r="BC215" s="12">
        <f>+India!BC101</f>
        <v>220.89184890707745</v>
      </c>
      <c r="BD215" s="12">
        <f>+India!BD101</f>
        <v>216.77725646172357</v>
      </c>
      <c r="BE215" s="12">
        <f>+India!BE101</f>
        <v>108.38862823086178</v>
      </c>
      <c r="BF215" s="12">
        <f>+India!BF101</f>
        <v>54.194314115430892</v>
      </c>
      <c r="BG215" s="12">
        <f>+India!BG101</f>
        <v>27.097157057715446</v>
      </c>
      <c r="BH215" s="12">
        <f>+India!BH101</f>
        <v>13.548578528857723</v>
      </c>
      <c r="BI215" s="12">
        <f>+India!BI101</f>
        <v>6.7742892644288615</v>
      </c>
    </row>
    <row r="216" spans="1:61" x14ac:dyDescent="0.15">
      <c r="A216" s="12" t="s">
        <v>56</v>
      </c>
      <c r="B216" s="12">
        <f>+MidEast!B101</f>
        <v>1.000000000000002E-3</v>
      </c>
      <c r="C216" s="207">
        <f>+MidEast!C101</f>
        <v>1.0000000000000005E-3</v>
      </c>
      <c r="D216" s="207">
        <f>+MidEast!D101</f>
        <v>1.0000000000000009E-3</v>
      </c>
      <c r="E216" s="207">
        <f>+MidEast!E101</f>
        <v>1.0000000000000232E-3</v>
      </c>
      <c r="F216" s="207">
        <f>+MidEast!F101</f>
        <v>1.0000000000003003E-3</v>
      </c>
      <c r="G216" s="207">
        <f>+MidEast!G101</f>
        <v>1.000000000002013E-3</v>
      </c>
      <c r="H216" s="207">
        <f>+MidEast!H101</f>
        <v>1.0000000000091726E-3</v>
      </c>
      <c r="I216" s="12">
        <f>+MidEast!I101</f>
        <v>1.0000000000319849E-3</v>
      </c>
      <c r="J216" s="12">
        <f>+MidEast!J101</f>
        <v>1.0000000000922249E-3</v>
      </c>
      <c r="K216" s="12">
        <f>+MidEast!K101</f>
        <v>1.0000000002275576E-3</v>
      </c>
      <c r="L216" s="12">
        <f>+MidEast!L101</f>
        <v>1.0000000005053206E-3</v>
      </c>
      <c r="M216" s="12">
        <f>+MidEast!M101</f>
        <v>1.0000000010417331E-3</v>
      </c>
      <c r="N216" s="12">
        <f>+MidEast!N101</f>
        <v>1.0000000019921489E-3</v>
      </c>
      <c r="O216" s="12">
        <f>+MidEast!O101</f>
        <v>1.0000000035927912E-3</v>
      </c>
      <c r="P216" s="12">
        <f>+MidEast!P101</f>
        <v>1.0000000062096899E-3</v>
      </c>
      <c r="Q216" s="12">
        <f>+MidEast!Q101</f>
        <v>1.0000000104204646E-3</v>
      </c>
      <c r="R216" s="12">
        <f>+MidEast!R101</f>
        <v>1.0000000170144591E-3</v>
      </c>
      <c r="S216" s="12">
        <f>+MidEast!S101</f>
        <v>1.0000000272142198E-3</v>
      </c>
      <c r="T216" s="12">
        <f>+MidEast!T101</f>
        <v>1.000000042781988E-3</v>
      </c>
      <c r="U216" s="12">
        <f>+MidEast!U101</f>
        <v>1.0000000656043382E-3</v>
      </c>
      <c r="V216" s="12">
        <f>+MidEast!V101</f>
        <v>1.0000000970886368E-3</v>
      </c>
      <c r="W216" s="12">
        <f>+MidEast!W101</f>
        <v>1.0000001421883791E-3</v>
      </c>
      <c r="X216" s="12">
        <f>+MidEast!X101</f>
        <v>1.0000002055977502E-3</v>
      </c>
      <c r="Y216" s="12">
        <f>+MidEast!Y101</f>
        <v>1.0000002932497474E-3</v>
      </c>
      <c r="Z216" s="12">
        <f>+MidEast!Z101</f>
        <v>1.0000004131003604E-3</v>
      </c>
      <c r="AA216" s="12">
        <f>+MidEast!AA101</f>
        <v>1.0000005755955615E-3</v>
      </c>
      <c r="AB216" s="12">
        <f>+MidEast!AB101</f>
        <v>424.83178712415156</v>
      </c>
      <c r="AC216" s="12">
        <f>+MidEast!AC101</f>
        <v>409.89019776794396</v>
      </c>
      <c r="AD216" s="12">
        <f>+MidEast!AD101</f>
        <v>395.69568787954671</v>
      </c>
      <c r="AE216" s="12">
        <f>+MidEast!AE101</f>
        <v>382.21090348556942</v>
      </c>
      <c r="AF216" s="12">
        <f>+MidEast!AF101</f>
        <v>369.40035831129092</v>
      </c>
      <c r="AG216" s="12">
        <f>+MidEast!AG101</f>
        <v>357.23034039572639</v>
      </c>
      <c r="AH216" s="12">
        <f>+MidEast!AH101</f>
        <v>345.66882337594006</v>
      </c>
      <c r="AI216" s="12">
        <f>+MidEast!AI101</f>
        <v>334.68538220714305</v>
      </c>
      <c r="AJ216" s="12">
        <f>+MidEast!AJ101</f>
        <v>324.2511130967859</v>
      </c>
      <c r="AK216" s="12">
        <f>+MidEast!AK101</f>
        <v>314.33855744194659</v>
      </c>
      <c r="AL216" s="12">
        <f>+MidEast!AL101</f>
        <v>304.92162956984924</v>
      </c>
      <c r="AM216" s="12">
        <f>+MidEast!AM101</f>
        <v>295.97554809135681</v>
      </c>
      <c r="AN216" s="12">
        <f>+MidEast!AN101</f>
        <v>287.47677068678894</v>
      </c>
      <c r="AO216" s="12">
        <f>+MidEast!AO101</f>
        <v>279.40293215244947</v>
      </c>
      <c r="AP216" s="12">
        <f>+MidEast!AP101</f>
        <v>271.73278554482704</v>
      </c>
      <c r="AQ216" s="12">
        <f>+MidEast!AQ101</f>
        <v>264.44614626758568</v>
      </c>
      <c r="AR216" s="12">
        <f>+MidEast!AR101</f>
        <v>257.52383895420638</v>
      </c>
      <c r="AS216" s="12">
        <f>+MidEast!AS101</f>
        <v>250.94764700649608</v>
      </c>
      <c r="AT216" s="12">
        <f>+MidEast!AT101</f>
        <v>244.70026465617127</v>
      </c>
      <c r="AU216" s="12">
        <f>+MidEast!AU101</f>
        <v>238.76525142336271</v>
      </c>
      <c r="AV216" s="12">
        <f>+MidEast!AV101</f>
        <v>233.12698885219459</v>
      </c>
      <c r="AW216" s="12">
        <f>+MidEast!AW101</f>
        <v>227.77063940958485</v>
      </c>
      <c r="AX216" s="12">
        <f>+MidEast!AX101</f>
        <v>222.68210743910561</v>
      </c>
      <c r="AY216" s="12">
        <f>+MidEast!AY101</f>
        <v>217.84800206715033</v>
      </c>
      <c r="AZ216" s="12">
        <f>+MidEast!AZ101</f>
        <v>213.2556019637928</v>
      </c>
      <c r="BA216" s="12">
        <f>+MidEast!BA101</f>
        <v>208.89282186560314</v>
      </c>
      <c r="BB216" s="12">
        <f>+MidEast!BB101</f>
        <v>204.748180772323</v>
      </c>
      <c r="BC216" s="12">
        <f>+MidEast!BC101</f>
        <v>200.81077173370682</v>
      </c>
      <c r="BD216" s="12">
        <f>+MidEast!BD101</f>
        <v>197.0702331470215</v>
      </c>
      <c r="BE216" s="12">
        <f>+MidEast!BE101</f>
        <v>98.535116573510749</v>
      </c>
      <c r="BF216" s="12">
        <f>+MidEast!BF101</f>
        <v>49.267558286755374</v>
      </c>
      <c r="BG216" s="12">
        <f>+MidEast!BG101</f>
        <v>24.633779143377687</v>
      </c>
      <c r="BH216" s="12">
        <f>+MidEast!BH101</f>
        <v>12.316889571688844</v>
      </c>
      <c r="BI216" s="12">
        <f>+MidEast!BI101</f>
        <v>6.1584447858444218</v>
      </c>
    </row>
    <row r="217" spans="1:61" x14ac:dyDescent="0.15">
      <c r="A217" s="12" t="s">
        <v>57</v>
      </c>
      <c r="B217" s="12">
        <f>+Africa!B101</f>
        <v>9.9999999999999937E-4</v>
      </c>
      <c r="C217" s="207">
        <f>+Africa!C101</f>
        <v>9.999999999999998E-4</v>
      </c>
      <c r="D217" s="207">
        <f>+Africa!D101</f>
        <v>1.000000000000002E-3</v>
      </c>
      <c r="E217" s="207">
        <f>+Africa!E101</f>
        <v>1.0000000000000224E-3</v>
      </c>
      <c r="F217" s="207">
        <f>+Africa!F101</f>
        <v>1.0000000000003012E-3</v>
      </c>
      <c r="G217" s="207">
        <f>+Africa!G101</f>
        <v>1.0000000000020106E-3</v>
      </c>
      <c r="H217" s="207">
        <f>+Africa!H101</f>
        <v>1.0000000000091698E-3</v>
      </c>
      <c r="I217" s="12">
        <f>+Africa!I101</f>
        <v>1.0000000000319857E-3</v>
      </c>
      <c r="J217" s="12">
        <f>+Africa!J101</f>
        <v>1.0000000000922257E-3</v>
      </c>
      <c r="K217" s="12">
        <f>+Africa!K101</f>
        <v>1.0000000002275565E-3</v>
      </c>
      <c r="L217" s="12">
        <f>+Africa!L101</f>
        <v>1.0000000005053195E-3</v>
      </c>
      <c r="M217" s="12">
        <f>+Africa!M101</f>
        <v>1.0000000010417338E-3</v>
      </c>
      <c r="N217" s="12">
        <f>+Africa!N101</f>
        <v>1.0000000019921515E-3</v>
      </c>
      <c r="O217" s="12">
        <f>+Africa!O101</f>
        <v>1.0000000035927919E-3</v>
      </c>
      <c r="P217" s="12">
        <f>+Africa!P101</f>
        <v>1.0000000062096871E-3</v>
      </c>
      <c r="Q217" s="12">
        <f>+Africa!Q101</f>
        <v>1.0000000104204655E-3</v>
      </c>
      <c r="R217" s="12">
        <f>+Africa!R101</f>
        <v>1.0000000170144597E-3</v>
      </c>
      <c r="S217" s="12">
        <f>+Africa!S101</f>
        <v>1.000000027214217E-3</v>
      </c>
      <c r="T217" s="12">
        <f>+Africa!T101</f>
        <v>1.0000000427819891E-3</v>
      </c>
      <c r="U217" s="12">
        <f>+Africa!U101</f>
        <v>1.0000000656043373E-3</v>
      </c>
      <c r="V217" s="12">
        <f>+Africa!V101</f>
        <v>1.000000097088636E-3</v>
      </c>
      <c r="W217" s="12">
        <f>+Africa!W101</f>
        <v>1.0000001421883765E-3</v>
      </c>
      <c r="X217" s="12">
        <f>+Africa!X101</f>
        <v>1.000000205597753E-3</v>
      </c>
      <c r="Y217" s="12">
        <f>+Africa!Y101</f>
        <v>1.0000002932497446E-3</v>
      </c>
      <c r="Z217" s="12">
        <f>+Africa!Z101</f>
        <v>1.0000004131003612E-3</v>
      </c>
      <c r="AA217" s="12">
        <f>+Africa!AA101</f>
        <v>1.0000005755955621E-3</v>
      </c>
      <c r="AB217" s="12">
        <f>+Africa!AB101</f>
        <v>467.31496583656661</v>
      </c>
      <c r="AC217" s="12">
        <f>+Africa!AC101</f>
        <v>450.87921754473825</v>
      </c>
      <c r="AD217" s="12">
        <f>+Africa!AD101</f>
        <v>435.26525666750126</v>
      </c>
      <c r="AE217" s="12">
        <f>+Africa!AE101</f>
        <v>420.43199383412622</v>
      </c>
      <c r="AF217" s="12">
        <f>+Africa!AF101</f>
        <v>406.34039414241983</v>
      </c>
      <c r="AG217" s="12">
        <f>+Africa!AG101</f>
        <v>392.95337443529877</v>
      </c>
      <c r="AH217" s="12">
        <f>+Africa!AH101</f>
        <v>380.23570571353383</v>
      </c>
      <c r="AI217" s="12">
        <f>+Africa!AI101</f>
        <v>368.15392042785709</v>
      </c>
      <c r="AJ217" s="12">
        <f>+Africa!AJ101</f>
        <v>356.67622440646426</v>
      </c>
      <c r="AK217" s="12">
        <f>+Africa!AK101</f>
        <v>345.77241318614102</v>
      </c>
      <c r="AL217" s="12">
        <f>+Africa!AL101</f>
        <v>335.41379252683402</v>
      </c>
      <c r="AM217" s="12">
        <f>+Africa!AM101</f>
        <v>325.5731029004923</v>
      </c>
      <c r="AN217" s="12">
        <f>+Africa!AN101</f>
        <v>316.22444775546768</v>
      </c>
      <c r="AO217" s="12">
        <f>+Africa!AO101</f>
        <v>307.34322536769429</v>
      </c>
      <c r="AP217" s="12">
        <f>+Africa!AP101</f>
        <v>298.90606409930956</v>
      </c>
      <c r="AQ217" s="12">
        <f>+Africa!AQ101</f>
        <v>290.89076089434406</v>
      </c>
      <c r="AR217" s="12">
        <f>+Africa!AR101</f>
        <v>283.27622284962683</v>
      </c>
      <c r="AS217" s="12">
        <f>+Africa!AS101</f>
        <v>276.0424117071455</v>
      </c>
      <c r="AT217" s="12">
        <f>+Africa!AT101</f>
        <v>269.17029112178824</v>
      </c>
      <c r="AU217" s="12">
        <f>+Africa!AU101</f>
        <v>262.64177656569882</v>
      </c>
      <c r="AV217" s="12">
        <f>+Africa!AV101</f>
        <v>256.43968773741386</v>
      </c>
      <c r="AW217" s="12">
        <f>+Africa!AW101</f>
        <v>250.5477033505432</v>
      </c>
      <c r="AX217" s="12">
        <f>+Africa!AX101</f>
        <v>244.95031818301604</v>
      </c>
      <c r="AY217" s="12">
        <f>+Africa!AY101</f>
        <v>239.63280227386525</v>
      </c>
      <c r="AZ217" s="12">
        <f>+Africa!AZ101</f>
        <v>234.581162160172</v>
      </c>
      <c r="BA217" s="12">
        <f>+Africa!BA101</f>
        <v>229.78210405216339</v>
      </c>
      <c r="BB217" s="12">
        <f>+Africa!BB101</f>
        <v>225.22299884955521</v>
      </c>
      <c r="BC217" s="12">
        <f>+Africa!BC101</f>
        <v>220.89184890707745</v>
      </c>
      <c r="BD217" s="12">
        <f>+Africa!BD101</f>
        <v>216.77725646172357</v>
      </c>
      <c r="BE217" s="12">
        <f>+Africa!BE101</f>
        <v>108.38862823086178</v>
      </c>
      <c r="BF217" s="12">
        <f>+Africa!BF101</f>
        <v>54.194314115430892</v>
      </c>
      <c r="BG217" s="12">
        <f>+Africa!BG101</f>
        <v>27.097157057715446</v>
      </c>
      <c r="BH217" s="12">
        <f>+Africa!BH101</f>
        <v>13.548578528857723</v>
      </c>
      <c r="BI217" s="12">
        <f>+Africa!BI101</f>
        <v>6.7742892644288615</v>
      </c>
    </row>
    <row r="218" spans="1:61" x14ac:dyDescent="0.15">
      <c r="A218" s="12" t="s">
        <v>58</v>
      </c>
      <c r="B218" s="12">
        <f>+LatAm!B101</f>
        <v>1.0000000000000018E-3</v>
      </c>
      <c r="C218" s="207">
        <f>+LatAm!C101</f>
        <v>1.0000000000000002E-3</v>
      </c>
      <c r="D218" s="207">
        <f>+LatAm!D101</f>
        <v>1.0000000000000005E-3</v>
      </c>
      <c r="E218" s="207">
        <f>+LatAm!E101</f>
        <v>1.000000000000023E-3</v>
      </c>
      <c r="F218" s="207">
        <f>+LatAm!F101</f>
        <v>1.0000000000002999E-3</v>
      </c>
      <c r="G218" s="207">
        <f>+LatAm!G101</f>
        <v>1.0000000000020108E-3</v>
      </c>
      <c r="H218" s="207">
        <f>+LatAm!H101</f>
        <v>1.0000000000091719E-3</v>
      </c>
      <c r="I218" s="12">
        <f>+LatAm!I101</f>
        <v>1.0000000000319846E-3</v>
      </c>
      <c r="J218" s="12">
        <f>+LatAm!J101</f>
        <v>1.0000000000922246E-3</v>
      </c>
      <c r="K218" s="12">
        <f>+LatAm!K101</f>
        <v>1.0000000002275569E-3</v>
      </c>
      <c r="L218" s="12">
        <f>+LatAm!L101</f>
        <v>1.0000000005053198E-3</v>
      </c>
      <c r="M218" s="12">
        <f>+LatAm!M101</f>
        <v>1.0000000010417323E-3</v>
      </c>
      <c r="N218" s="12">
        <f>+LatAm!N101</f>
        <v>1.00000000199215E-3</v>
      </c>
      <c r="O218" s="12">
        <f>+LatAm!O101</f>
        <v>1.0000000035927906E-3</v>
      </c>
      <c r="P218" s="12">
        <f>+LatAm!P101</f>
        <v>1.0000000062096893E-3</v>
      </c>
      <c r="Q218" s="12">
        <f>+LatAm!Q101</f>
        <v>1.0000000104204642E-3</v>
      </c>
      <c r="R218" s="12">
        <f>+LatAm!R101</f>
        <v>1.0000000170144584E-3</v>
      </c>
      <c r="S218" s="12">
        <f>+LatAm!S101</f>
        <v>1.0000000272142192E-3</v>
      </c>
      <c r="T218" s="12">
        <f>+LatAm!T101</f>
        <v>1.0000000427819876E-3</v>
      </c>
      <c r="U218" s="12">
        <f>+LatAm!U101</f>
        <v>1.0000000656043375E-3</v>
      </c>
      <c r="V218" s="12">
        <f>+LatAm!V101</f>
        <v>1.0000000970886362E-3</v>
      </c>
      <c r="W218" s="12">
        <f>+LatAm!W101</f>
        <v>1.0000001421883787E-3</v>
      </c>
      <c r="X218" s="12">
        <f>+LatAm!X101</f>
        <v>1.0000002055977513E-3</v>
      </c>
      <c r="Y218" s="12">
        <f>+LatAm!Y101</f>
        <v>1.0000002932497466E-3</v>
      </c>
      <c r="Z218" s="12">
        <f>+LatAm!Z101</f>
        <v>1.0000004131003597E-3</v>
      </c>
      <c r="AA218" s="12">
        <f>+LatAm!AA101</f>
        <v>1.0000005755955608E-3</v>
      </c>
      <c r="AB218" s="12">
        <f>+LatAm!AB101</f>
        <v>552.28132326139678</v>
      </c>
      <c r="AC218" s="12">
        <f>+LatAm!AC101</f>
        <v>532.85725709832684</v>
      </c>
      <c r="AD218" s="12">
        <f>+LatAm!AD101</f>
        <v>514.40439424341048</v>
      </c>
      <c r="AE218" s="12">
        <f>+LatAm!AE101</f>
        <v>496.87417453123982</v>
      </c>
      <c r="AF218" s="12">
        <f>+LatAm!AF101</f>
        <v>480.22046580467781</v>
      </c>
      <c r="AG218" s="12">
        <f>+LatAm!AG101</f>
        <v>464.39944251444388</v>
      </c>
      <c r="AH218" s="12">
        <f>+LatAm!AH101</f>
        <v>449.36947038872165</v>
      </c>
      <c r="AI218" s="12">
        <f>+LatAm!AI101</f>
        <v>435.09099686928556</v>
      </c>
      <c r="AJ218" s="12">
        <f>+LatAm!AJ101</f>
        <v>421.5264470258212</v>
      </c>
      <c r="AK218" s="12">
        <f>+LatAm!AK101</f>
        <v>408.64012467453017</v>
      </c>
      <c r="AL218" s="12">
        <f>+LatAm!AL101</f>
        <v>396.39811844080361</v>
      </c>
      <c r="AM218" s="12">
        <f>+LatAm!AM101</f>
        <v>384.76821251876345</v>
      </c>
      <c r="AN218" s="12">
        <f>+LatAm!AN101</f>
        <v>373.71980189282527</v>
      </c>
      <c r="AO218" s="12">
        <f>+LatAm!AO101</f>
        <v>363.22381179818399</v>
      </c>
      <c r="AP218" s="12">
        <f>+LatAm!AP101</f>
        <v>353.25262120827477</v>
      </c>
      <c r="AQ218" s="12">
        <f>+LatAm!AQ101</f>
        <v>343.77999014786104</v>
      </c>
      <c r="AR218" s="12">
        <f>+LatAm!AR101</f>
        <v>334.78099064046796</v>
      </c>
      <c r="AS218" s="12">
        <f>+LatAm!AS101</f>
        <v>326.23194110844457</v>
      </c>
      <c r="AT218" s="12">
        <f>+LatAm!AT101</f>
        <v>318.11034405302229</v>
      </c>
      <c r="AU218" s="12">
        <f>+LatAm!AU101</f>
        <v>310.3948268503712</v>
      </c>
      <c r="AV218" s="12">
        <f>+LatAm!AV101</f>
        <v>303.06508550785259</v>
      </c>
      <c r="AW218" s="12">
        <f>+LatAm!AW101</f>
        <v>296.10183123245997</v>
      </c>
      <c r="AX218" s="12">
        <f>+LatAm!AX101</f>
        <v>289.48673967083693</v>
      </c>
      <c r="AY218" s="12">
        <f>+LatAm!AY101</f>
        <v>283.20240268729509</v>
      </c>
      <c r="AZ218" s="12">
        <f>+LatAm!AZ101</f>
        <v>277.23228255293031</v>
      </c>
      <c r="BA218" s="12">
        <f>+LatAm!BA101</f>
        <v>271.56066842528384</v>
      </c>
      <c r="BB218" s="12">
        <f>+LatAm!BB101</f>
        <v>266.17263500401958</v>
      </c>
      <c r="BC218" s="12">
        <f>+LatAm!BC101</f>
        <v>261.05400325381862</v>
      </c>
      <c r="BD218" s="12">
        <f>+LatAm!BD101</f>
        <v>256.19130309112768</v>
      </c>
      <c r="BE218" s="12">
        <f>+LatAm!BE101</f>
        <v>128.09565154556384</v>
      </c>
      <c r="BF218" s="12">
        <f>+LatAm!BF101</f>
        <v>64.04782577278192</v>
      </c>
      <c r="BG218" s="12">
        <f>+LatAm!BG101</f>
        <v>32.02391288639096</v>
      </c>
      <c r="BH218" s="12">
        <f>+LatAm!BH101</f>
        <v>16.01195644319548</v>
      </c>
      <c r="BI218" s="12">
        <f>+LatAm!BI101</f>
        <v>8.00597822159774</v>
      </c>
    </row>
    <row r="219" spans="1:61" x14ac:dyDescent="0.15">
      <c r="A219" s="12" t="s">
        <v>114</v>
      </c>
      <c r="B219" s="12">
        <f>+OHI!B101</f>
        <v>9.9999999999999937E-4</v>
      </c>
      <c r="C219" s="207">
        <f>+OHI!C101</f>
        <v>9.999999999999998E-4</v>
      </c>
      <c r="D219" s="207">
        <f>+OHI!D101</f>
        <v>1.000000000000002E-3</v>
      </c>
      <c r="E219" s="207">
        <f>+OHI!E101</f>
        <v>1.0000000000000224E-3</v>
      </c>
      <c r="F219" s="207">
        <f>+OHI!F101</f>
        <v>1.0000000000003012E-3</v>
      </c>
      <c r="G219" s="207">
        <f>+OHI!G101</f>
        <v>1.0000000000020106E-3</v>
      </c>
      <c r="H219" s="207">
        <f>+OHI!H101</f>
        <v>1.0000000000091698E-3</v>
      </c>
      <c r="I219" s="12">
        <f>+OHI!I101</f>
        <v>1.0000000000319857E-3</v>
      </c>
      <c r="J219" s="12">
        <f>+OHI!J101</f>
        <v>1.0000000000922257E-3</v>
      </c>
      <c r="K219" s="12">
        <f>+OHI!K101</f>
        <v>1.0000000002275565E-3</v>
      </c>
      <c r="L219" s="12">
        <f>+OHI!L101</f>
        <v>1.0000000005053195E-3</v>
      </c>
      <c r="M219" s="12">
        <f>+OHI!M101</f>
        <v>1.0000000010417338E-3</v>
      </c>
      <c r="N219" s="12">
        <f>+OHI!N101</f>
        <v>1.0000000019921515E-3</v>
      </c>
      <c r="O219" s="12">
        <f>+OHI!O101</f>
        <v>1.0000000035927919E-3</v>
      </c>
      <c r="P219" s="12">
        <f>+OHI!P101</f>
        <v>1.0000000062096871E-3</v>
      </c>
      <c r="Q219" s="12">
        <f>+OHI!Q101</f>
        <v>1.0000000104204655E-3</v>
      </c>
      <c r="R219" s="12">
        <f>+OHI!R101</f>
        <v>1.0000000170144597E-3</v>
      </c>
      <c r="S219" s="12">
        <f>+OHI!S101</f>
        <v>1.000000027214217E-3</v>
      </c>
      <c r="T219" s="12">
        <f>+OHI!T101</f>
        <v>1.0000000427819891E-3</v>
      </c>
      <c r="U219" s="12">
        <f>+OHI!U101</f>
        <v>1.0000000656043373E-3</v>
      </c>
      <c r="V219" s="12">
        <f>+OHI!V101</f>
        <v>1.000000097088636E-3</v>
      </c>
      <c r="W219" s="12">
        <f>+OHI!W101</f>
        <v>1.0000001421883765E-3</v>
      </c>
      <c r="X219" s="12">
        <f>+OHI!X101</f>
        <v>1.000000205597753E-3</v>
      </c>
      <c r="Y219" s="12">
        <f>+OHI!Y101</f>
        <v>1.0000002932497446E-3</v>
      </c>
      <c r="Z219" s="12">
        <f>+OHI!Z101</f>
        <v>1.0000004131003612E-3</v>
      </c>
      <c r="AA219" s="12">
        <f>+OHI!AA101</f>
        <v>1.0000005755955621E-3</v>
      </c>
      <c r="AB219" s="12">
        <f>+OHI!AB101</f>
        <v>467.31496583656661</v>
      </c>
      <c r="AC219" s="12">
        <f>+OHI!AC101</f>
        <v>450.87921754473825</v>
      </c>
      <c r="AD219" s="12">
        <f>+OHI!AD101</f>
        <v>435.26525666750126</v>
      </c>
      <c r="AE219" s="12">
        <f>+OHI!AE101</f>
        <v>420.43199383412622</v>
      </c>
      <c r="AF219" s="12">
        <f>+OHI!AF101</f>
        <v>406.34039414241983</v>
      </c>
      <c r="AG219" s="12">
        <f>+OHI!AG101</f>
        <v>392.95337443529877</v>
      </c>
      <c r="AH219" s="12">
        <f>+OHI!AH101</f>
        <v>380.23570571353383</v>
      </c>
      <c r="AI219" s="12">
        <f>+OHI!AI101</f>
        <v>368.15392042785709</v>
      </c>
      <c r="AJ219" s="12">
        <f>+OHI!AJ101</f>
        <v>356.67622440646426</v>
      </c>
      <c r="AK219" s="12">
        <f>+OHI!AK101</f>
        <v>345.77241318614102</v>
      </c>
      <c r="AL219" s="12">
        <f>+OHI!AL101</f>
        <v>335.41379252683402</v>
      </c>
      <c r="AM219" s="12">
        <f>+OHI!AM101</f>
        <v>325.5731029004923</v>
      </c>
      <c r="AN219" s="12">
        <f>+OHI!AN101</f>
        <v>316.22444775546768</v>
      </c>
      <c r="AO219" s="12">
        <f>+OHI!AO101</f>
        <v>307.34322536769429</v>
      </c>
      <c r="AP219" s="12">
        <f>+OHI!AP101</f>
        <v>298.90606409930956</v>
      </c>
      <c r="AQ219" s="12">
        <f>+OHI!AQ101</f>
        <v>290.89076089434406</v>
      </c>
      <c r="AR219" s="12">
        <f>+OHI!AR101</f>
        <v>283.27622284962683</v>
      </c>
      <c r="AS219" s="12">
        <f>+OHI!AS101</f>
        <v>276.0424117071455</v>
      </c>
      <c r="AT219" s="12">
        <f>+OHI!AT101</f>
        <v>269.17029112178824</v>
      </c>
      <c r="AU219" s="12">
        <f>+OHI!AU101</f>
        <v>262.64177656569882</v>
      </c>
      <c r="AV219" s="12">
        <f>+OHI!AV101</f>
        <v>256.43968773741386</v>
      </c>
      <c r="AW219" s="12">
        <f>+OHI!AW101</f>
        <v>250.5477033505432</v>
      </c>
      <c r="AX219" s="12">
        <f>+OHI!AX101</f>
        <v>244.95031818301604</v>
      </c>
      <c r="AY219" s="12">
        <f>+OHI!AY101</f>
        <v>239.63280227386525</v>
      </c>
      <c r="AZ219" s="12">
        <f>+OHI!AZ101</f>
        <v>234.581162160172</v>
      </c>
      <c r="BA219" s="12">
        <f>+OHI!BA101</f>
        <v>229.78210405216339</v>
      </c>
      <c r="BB219" s="12">
        <f>+OHI!BB101</f>
        <v>225.22299884955521</v>
      </c>
      <c r="BC219" s="12">
        <f>+OHI!BC101</f>
        <v>220.89184890707745</v>
      </c>
      <c r="BD219" s="12">
        <f>+OHI!BD101</f>
        <v>216.77725646172357</v>
      </c>
      <c r="BE219" s="12">
        <f>+OHI!BE101</f>
        <v>108.38862823086178</v>
      </c>
      <c r="BF219" s="12">
        <f>+OHI!BF101</f>
        <v>54.194314115430892</v>
      </c>
      <c r="BG219" s="12">
        <f>+OHI!BG101</f>
        <v>27.097157057715446</v>
      </c>
      <c r="BH219" s="12">
        <f>+OHI!BH101</f>
        <v>13.548578528857723</v>
      </c>
      <c r="BI219" s="12">
        <f>+OHI!BI101</f>
        <v>6.7742892644288615</v>
      </c>
    </row>
    <row r="220" spans="1:61" x14ac:dyDescent="0.15">
      <c r="A220" s="207" t="s">
        <v>1012</v>
      </c>
      <c r="B220" s="12">
        <f>+OthAsia!B101</f>
        <v>1.0000000000000015E-3</v>
      </c>
      <c r="C220" s="207">
        <f>+OthAsia!C101</f>
        <v>1.0000000000000002E-3</v>
      </c>
      <c r="D220" s="207">
        <f>+OthAsia!D101</f>
        <v>1.0000000000000022E-3</v>
      </c>
      <c r="E220" s="207">
        <f>+OthAsia!E101</f>
        <v>1.0000000000000228E-3</v>
      </c>
      <c r="F220" s="207">
        <f>+OthAsia!F101</f>
        <v>1.0000000000003001E-3</v>
      </c>
      <c r="G220" s="207">
        <f>+OthAsia!G101</f>
        <v>1.0000000000020108E-3</v>
      </c>
      <c r="H220" s="207">
        <f>+OthAsia!H101</f>
        <v>1.0000000000091717E-3</v>
      </c>
      <c r="I220" s="12">
        <f>+OthAsia!I101</f>
        <v>1.0000000000319862E-3</v>
      </c>
      <c r="J220" s="12">
        <f>+OthAsia!J101</f>
        <v>1.0000000000922244E-3</v>
      </c>
      <c r="K220" s="12">
        <f>+OthAsia!K101</f>
        <v>1.0000000002275552E-3</v>
      </c>
      <c r="L220" s="12">
        <f>+OthAsia!L101</f>
        <v>1.00000000050532E-3</v>
      </c>
      <c r="M220" s="12">
        <f>+OthAsia!M101</f>
        <v>1.0000000010417344E-3</v>
      </c>
      <c r="N220" s="12">
        <f>+OthAsia!N101</f>
        <v>1.0000000019921502E-3</v>
      </c>
      <c r="O220" s="12">
        <f>+OthAsia!O101</f>
        <v>1.0000000035927906E-3</v>
      </c>
      <c r="P220" s="12">
        <f>+OthAsia!P101</f>
        <v>1.0000000062096895E-3</v>
      </c>
      <c r="Q220" s="12">
        <f>+OthAsia!Q101</f>
        <v>1.0000000104204642E-3</v>
      </c>
      <c r="R220" s="12">
        <f>+OthAsia!R101</f>
        <v>1.0000000170144602E-3</v>
      </c>
      <c r="S220" s="12">
        <f>+OthAsia!S101</f>
        <v>1.0000000272142192E-3</v>
      </c>
      <c r="T220" s="12">
        <f>+OthAsia!T101</f>
        <v>1.0000000427819876E-3</v>
      </c>
      <c r="U220" s="12">
        <f>+OthAsia!U101</f>
        <v>1.0000000656043358E-3</v>
      </c>
      <c r="V220" s="12">
        <f>+OthAsia!V101</f>
        <v>1.0000000970886362E-3</v>
      </c>
      <c r="W220" s="12">
        <f>+OthAsia!W101</f>
        <v>1.0000001421883787E-3</v>
      </c>
      <c r="X220" s="12">
        <f>+OthAsia!X101</f>
        <v>1.0000002055977515E-3</v>
      </c>
      <c r="Y220" s="12">
        <f>+OthAsia!Y101</f>
        <v>1.0000002932497466E-3</v>
      </c>
      <c r="Z220" s="12">
        <f>+OthAsia!Z101</f>
        <v>1.0000004131003599E-3</v>
      </c>
      <c r="AA220" s="12">
        <f>+OthAsia!AA101</f>
        <v>1.0000005755955608E-3</v>
      </c>
      <c r="AB220" s="12">
        <f>+OthAsia!AB101</f>
        <v>509.79814454898167</v>
      </c>
      <c r="AC220" s="12">
        <f>+OthAsia!AC101</f>
        <v>491.86823732153255</v>
      </c>
      <c r="AD220" s="12">
        <f>+OthAsia!AD101</f>
        <v>474.83482545545593</v>
      </c>
      <c r="AE220" s="12">
        <f>+OthAsia!AE101</f>
        <v>458.65308418268307</v>
      </c>
      <c r="AF220" s="12">
        <f>+OthAsia!AF101</f>
        <v>443.28042997354896</v>
      </c>
      <c r="AG220" s="12">
        <f>+OthAsia!AG101</f>
        <v>428.67640847487149</v>
      </c>
      <c r="AH220" s="12">
        <f>+OthAsia!AH101</f>
        <v>414.80258805112788</v>
      </c>
      <c r="AI220" s="12">
        <f>+OthAsia!AI101</f>
        <v>401.62245864857147</v>
      </c>
      <c r="AJ220" s="12">
        <f>+OthAsia!AJ101</f>
        <v>389.1013357161429</v>
      </c>
      <c r="AK220" s="12">
        <f>+OthAsia!AK101</f>
        <v>377.20626893033574</v>
      </c>
      <c r="AL220" s="12">
        <f>+OthAsia!AL101</f>
        <v>365.90595548381901</v>
      </c>
      <c r="AM220" s="12">
        <f>+OthAsia!AM101</f>
        <v>355.17065770962802</v>
      </c>
      <c r="AN220" s="12">
        <f>+OthAsia!AN101</f>
        <v>344.97212482414665</v>
      </c>
      <c r="AO220" s="12">
        <f>+OthAsia!AO101</f>
        <v>335.28351858293928</v>
      </c>
      <c r="AP220" s="12">
        <f>+OthAsia!AP101</f>
        <v>326.07934265379231</v>
      </c>
      <c r="AQ220" s="12">
        <f>+OthAsia!AQ101</f>
        <v>317.33537552110272</v>
      </c>
      <c r="AR220" s="12">
        <f>+OthAsia!AR101</f>
        <v>309.02860674504757</v>
      </c>
      <c r="AS220" s="12">
        <f>+OthAsia!AS101</f>
        <v>301.13717640779515</v>
      </c>
      <c r="AT220" s="12">
        <f>+OthAsia!AT101</f>
        <v>293.64031758740538</v>
      </c>
      <c r="AU220" s="12">
        <f>+OthAsia!AU101</f>
        <v>286.5183017080351</v>
      </c>
      <c r="AV220" s="12">
        <f>+OthAsia!AV101</f>
        <v>279.75238662263337</v>
      </c>
      <c r="AW220" s="12">
        <f>+OthAsia!AW101</f>
        <v>273.3247672915017</v>
      </c>
      <c r="AX220" s="12">
        <f>+OthAsia!AX101</f>
        <v>267.21852892692658</v>
      </c>
      <c r="AY220" s="12">
        <f>+OthAsia!AY101</f>
        <v>261.41760248058029</v>
      </c>
      <c r="AZ220" s="12">
        <f>+OthAsia!AZ101</f>
        <v>255.90672235655126</v>
      </c>
      <c r="BA220" s="12">
        <f>+OthAsia!BA101</f>
        <v>250.6713862387237</v>
      </c>
      <c r="BB220" s="12">
        <f>+OthAsia!BB101</f>
        <v>245.69781692678748</v>
      </c>
      <c r="BC220" s="12">
        <f>+OthAsia!BC101</f>
        <v>240.97292608044813</v>
      </c>
      <c r="BD220" s="12">
        <f>+OthAsia!BD101</f>
        <v>236.48427977642572</v>
      </c>
      <c r="BE220" s="12">
        <f>+OthAsia!BE101</f>
        <v>118.24213988821286</v>
      </c>
      <c r="BF220" s="12">
        <f>+OthAsia!BF101</f>
        <v>59.121069944106431</v>
      </c>
      <c r="BG220" s="12">
        <f>+OthAsia!BG101</f>
        <v>29.560534972053215</v>
      </c>
      <c r="BH220" s="12">
        <f>+OthAsia!BH101</f>
        <v>14.780267486026608</v>
      </c>
      <c r="BI220" s="12">
        <f>+OthAsia!BI101</f>
        <v>7.3901337430133038</v>
      </c>
    </row>
    <row r="223" spans="1:61" x14ac:dyDescent="0.15">
      <c r="A223" s="19" t="s">
        <v>1011</v>
      </c>
    </row>
    <row r="224" spans="1:61" x14ac:dyDescent="0.15">
      <c r="A224" s="12" t="s">
        <v>104</v>
      </c>
      <c r="B224" s="414">
        <f t="shared" ref="B224:AG224" si="88">+B209*B170*B155</f>
        <v>0</v>
      </c>
      <c r="C224" s="414">
        <f t="shared" si="88"/>
        <v>9.4946114093826743E-4</v>
      </c>
      <c r="D224" s="414">
        <f t="shared" si="88"/>
        <v>7.4024761331230966E-4</v>
      </c>
      <c r="E224" s="414">
        <f t="shared" si="88"/>
        <v>5.6525977359248838E-4</v>
      </c>
      <c r="F224" s="414">
        <f t="shared" si="88"/>
        <v>3.9413654435166445E-4</v>
      </c>
      <c r="G224" s="414">
        <f t="shared" si="88"/>
        <v>2.7791750154753232E-4</v>
      </c>
      <c r="H224" s="414">
        <f t="shared" si="88"/>
        <v>2.1611983130459428E-4</v>
      </c>
      <c r="I224" s="414">
        <f t="shared" si="88"/>
        <v>2.054582885233505E-4</v>
      </c>
      <c r="J224" s="414">
        <f t="shared" si="88"/>
        <v>1.708939442628929E-4</v>
      </c>
      <c r="K224" s="414">
        <f t="shared" si="88"/>
        <v>1.466213221958646E-4</v>
      </c>
      <c r="L224" s="414">
        <f t="shared" si="88"/>
        <v>1.2866371066629331E-4</v>
      </c>
      <c r="M224" s="414">
        <f t="shared" si="88"/>
        <v>1.1175674430891991E-4</v>
      </c>
      <c r="N224" s="414">
        <f t="shared" si="88"/>
        <v>9.8890192603958861E-5</v>
      </c>
      <c r="O224" s="414">
        <f t="shared" si="88"/>
        <v>8.9156981657721621E-5</v>
      </c>
      <c r="P224" s="414">
        <f t="shared" si="88"/>
        <v>8.2099142367483662E-5</v>
      </c>
      <c r="Q224" s="414">
        <f t="shared" si="88"/>
        <v>7.6001321006711006E-5</v>
      </c>
      <c r="R224" s="414">
        <f t="shared" si="88"/>
        <v>7.0528671163752504E-5</v>
      </c>
      <c r="S224" s="414">
        <f t="shared" si="88"/>
        <v>6.5602053958419181E-5</v>
      </c>
      <c r="T224" s="414">
        <f t="shared" si="88"/>
        <v>6.0125298933102336E-5</v>
      </c>
      <c r="U224" s="414">
        <f t="shared" si="88"/>
        <v>5.3825721234020851E-5</v>
      </c>
      <c r="V224" s="414">
        <f t="shared" si="88"/>
        <v>5.1030517600571878E-5</v>
      </c>
      <c r="W224" s="414">
        <f t="shared" si="88"/>
        <v>5.9542021309140386E-5</v>
      </c>
      <c r="X224" s="414">
        <f t="shared" si="88"/>
        <v>6.7873082989155186E-5</v>
      </c>
      <c r="Y224" s="414">
        <f t="shared" si="88"/>
        <v>7.5398936014557988E-5</v>
      </c>
      <c r="Z224" s="414">
        <f t="shared" si="88"/>
        <v>8.2796758173767906E-5</v>
      </c>
      <c r="AA224" s="414">
        <f t="shared" si="88"/>
        <v>9.0182412506764639E-5</v>
      </c>
      <c r="AB224" s="414">
        <f t="shared" si="88"/>
        <v>36.819152184984283</v>
      </c>
      <c r="AC224" s="414">
        <f t="shared" si="88"/>
        <v>37.84990336132347</v>
      </c>
      <c r="AD224" s="414">
        <f t="shared" si="88"/>
        <v>38.946820465539055</v>
      </c>
      <c r="AE224" s="414">
        <f t="shared" si="88"/>
        <v>39.629557984692923</v>
      </c>
      <c r="AF224" s="414">
        <f t="shared" si="88"/>
        <v>38.174601330219915</v>
      </c>
      <c r="AG224" s="414">
        <f t="shared" si="88"/>
        <v>39.933140232749849</v>
      </c>
      <c r="AH224" s="414">
        <f t="shared" ref="AH224:BI224" si="89">+AH209*AH170*AH155</f>
        <v>40.076861631620126</v>
      </c>
      <c r="AI224" s="414">
        <f t="shared" si="89"/>
        <v>0</v>
      </c>
      <c r="AJ224" s="414">
        <f t="shared" si="89"/>
        <v>0</v>
      </c>
      <c r="AK224" s="414">
        <f t="shared" si="89"/>
        <v>0</v>
      </c>
      <c r="AL224" s="414">
        <f t="shared" si="89"/>
        <v>0</v>
      </c>
      <c r="AM224" s="414">
        <f t="shared" si="89"/>
        <v>0</v>
      </c>
      <c r="AN224" s="414">
        <f t="shared" si="89"/>
        <v>0</v>
      </c>
      <c r="AO224" s="414">
        <f t="shared" si="89"/>
        <v>0</v>
      </c>
      <c r="AP224" s="414">
        <f t="shared" si="89"/>
        <v>0</v>
      </c>
      <c r="AQ224" s="414">
        <f t="shared" si="89"/>
        <v>0</v>
      </c>
      <c r="AR224" s="414">
        <f t="shared" si="89"/>
        <v>0</v>
      </c>
      <c r="AS224" s="414">
        <f t="shared" si="89"/>
        <v>0</v>
      </c>
      <c r="AT224" s="414">
        <f t="shared" si="89"/>
        <v>0</v>
      </c>
      <c r="AU224" s="414">
        <f t="shared" si="89"/>
        <v>0</v>
      </c>
      <c r="AV224" s="414">
        <f t="shared" si="89"/>
        <v>0</v>
      </c>
      <c r="AW224" s="414">
        <f t="shared" si="89"/>
        <v>0</v>
      </c>
      <c r="AX224" s="414">
        <f t="shared" si="89"/>
        <v>0</v>
      </c>
      <c r="AY224" s="414">
        <f t="shared" si="89"/>
        <v>0</v>
      </c>
      <c r="AZ224" s="414">
        <f t="shared" si="89"/>
        <v>0</v>
      </c>
      <c r="BA224" s="414">
        <f t="shared" si="89"/>
        <v>0</v>
      </c>
      <c r="BB224" s="414">
        <f t="shared" si="89"/>
        <v>0</v>
      </c>
      <c r="BC224" s="414">
        <f t="shared" si="89"/>
        <v>0</v>
      </c>
      <c r="BD224" s="414">
        <f t="shared" si="89"/>
        <v>0</v>
      </c>
      <c r="BE224" s="414">
        <f t="shared" si="89"/>
        <v>0</v>
      </c>
      <c r="BF224" s="414">
        <f t="shared" si="89"/>
        <v>0</v>
      </c>
      <c r="BG224" s="414">
        <f t="shared" si="89"/>
        <v>0</v>
      </c>
      <c r="BH224" s="414">
        <f t="shared" si="89"/>
        <v>0</v>
      </c>
      <c r="BI224" s="414">
        <f t="shared" si="89"/>
        <v>0</v>
      </c>
    </row>
    <row r="225" spans="1:61" x14ac:dyDescent="0.15">
      <c r="A225" s="12" t="s">
        <v>105</v>
      </c>
      <c r="B225" s="414">
        <f t="shared" ref="B225:AG225" si="90">+B210*B171*B156</f>
        <v>0</v>
      </c>
      <c r="C225" s="414">
        <f t="shared" si="90"/>
        <v>8.2983986567046139E-4</v>
      </c>
      <c r="D225" s="414">
        <f t="shared" si="90"/>
        <v>6.7346369593886948E-4</v>
      </c>
      <c r="E225" s="414">
        <f t="shared" si="90"/>
        <v>5.3546042495484527E-4</v>
      </c>
      <c r="F225" s="414">
        <f t="shared" si="90"/>
        <v>4.0812866154549916E-4</v>
      </c>
      <c r="G225" s="414">
        <f t="shared" si="90"/>
        <v>3.2312342969681971E-4</v>
      </c>
      <c r="H225" s="414">
        <f t="shared" si="90"/>
        <v>2.7136943054362406E-4</v>
      </c>
      <c r="I225" s="414">
        <f t="shared" si="90"/>
        <v>2.5816428051124191E-4</v>
      </c>
      <c r="J225" s="414">
        <f t="shared" si="90"/>
        <v>2.2812397078953825E-4</v>
      </c>
      <c r="K225" s="414">
        <f t="shared" si="90"/>
        <v>2.0490541441885185E-4</v>
      </c>
      <c r="L225" s="414">
        <f t="shared" si="90"/>
        <v>1.9031514538719378E-4</v>
      </c>
      <c r="M225" s="414">
        <f t="shared" si="90"/>
        <v>1.750700100900756E-4</v>
      </c>
      <c r="N225" s="414">
        <f t="shared" si="90"/>
        <v>1.6177622722926235E-4</v>
      </c>
      <c r="O225" s="414">
        <f t="shared" si="90"/>
        <v>1.5049785341128942E-4</v>
      </c>
      <c r="P225" s="414">
        <f t="shared" si="90"/>
        <v>1.4308198544569722E-4</v>
      </c>
      <c r="Q225" s="414">
        <f t="shared" si="90"/>
        <v>1.3618282912672788E-4</v>
      </c>
      <c r="R225" s="414">
        <f t="shared" si="90"/>
        <v>1.317387901169811E-4</v>
      </c>
      <c r="S225" s="414">
        <f t="shared" si="90"/>
        <v>1.2772154240926981E-4</v>
      </c>
      <c r="T225" s="414">
        <f t="shared" si="90"/>
        <v>1.2104472469084995E-4</v>
      </c>
      <c r="U225" s="414">
        <f t="shared" si="90"/>
        <v>1.0964914659205068E-4</v>
      </c>
      <c r="V225" s="414">
        <f t="shared" si="90"/>
        <v>1.0667459204846368E-4</v>
      </c>
      <c r="W225" s="414">
        <f t="shared" si="90"/>
        <v>1.1240688115195054E-4</v>
      </c>
      <c r="X225" s="414">
        <f t="shared" si="90"/>
        <v>1.1515974807272513E-4</v>
      </c>
      <c r="Y225" s="414">
        <f t="shared" si="90"/>
        <v>1.1852143473519944E-4</v>
      </c>
      <c r="Z225" s="414">
        <f t="shared" si="90"/>
        <v>1.2309137817803173E-4</v>
      </c>
      <c r="AA225" s="414">
        <f t="shared" si="90"/>
        <v>1.28097127192228E-4</v>
      </c>
      <c r="AB225" s="414">
        <f t="shared" si="90"/>
        <v>78.644357971967125</v>
      </c>
      <c r="AC225" s="414">
        <f t="shared" si="90"/>
        <v>78.996555859177477</v>
      </c>
      <c r="AD225" s="414">
        <f t="shared" si="90"/>
        <v>78.402655862637118</v>
      </c>
      <c r="AE225" s="414">
        <f t="shared" si="90"/>
        <v>77.392222941239979</v>
      </c>
      <c r="AF225" s="414">
        <f t="shared" si="90"/>
        <v>70.91553573984109</v>
      </c>
      <c r="AG225" s="414">
        <f t="shared" si="90"/>
        <v>73.371572172948262</v>
      </c>
      <c r="AH225" s="414">
        <f t="shared" ref="AH225:BI225" si="91">+AH210*AH171*AH156</f>
        <v>73.72850997993315</v>
      </c>
      <c r="AI225" s="414">
        <f t="shared" si="91"/>
        <v>340.90116627434276</v>
      </c>
      <c r="AJ225" s="414">
        <f t="shared" si="91"/>
        <v>493.65146978695071</v>
      </c>
      <c r="AK225" s="414">
        <f t="shared" si="91"/>
        <v>573.93731455532873</v>
      </c>
      <c r="AL225" s="414">
        <f t="shared" si="91"/>
        <v>616.08936660053348</v>
      </c>
      <c r="AM225" s="414">
        <f t="shared" si="91"/>
        <v>638.58100110947748</v>
      </c>
      <c r="AN225" s="414">
        <f t="shared" si="91"/>
        <v>650.67350008025778</v>
      </c>
      <c r="AO225" s="414">
        <f t="shared" si="91"/>
        <v>657.13602658231559</v>
      </c>
      <c r="AP225" s="414">
        <f t="shared" si="91"/>
        <v>660.4824859724182</v>
      </c>
      <c r="AQ225" s="414">
        <f t="shared" si="91"/>
        <v>662.06177299722617</v>
      </c>
      <c r="AR225" s="414">
        <f t="shared" si="91"/>
        <v>662.60996672348926</v>
      </c>
      <c r="AS225" s="414">
        <f t="shared" si="91"/>
        <v>662.53705792386143</v>
      </c>
      <c r="AT225" s="414">
        <f t="shared" si="91"/>
        <v>662.07797623784472</v>
      </c>
      <c r="AU225" s="414">
        <f t="shared" si="91"/>
        <v>661.37278649809491</v>
      </c>
      <c r="AV225" s="414">
        <f t="shared" si="91"/>
        <v>660.50948665753356</v>
      </c>
      <c r="AW225" s="414">
        <f t="shared" si="91"/>
        <v>659.54693861476449</v>
      </c>
      <c r="AX225" s="414">
        <f t="shared" si="91"/>
        <v>658.52721073613066</v>
      </c>
      <c r="AY225" s="414">
        <f t="shared" si="91"/>
        <v>657.48226650059178</v>
      </c>
      <c r="AZ225" s="414">
        <f t="shared" si="91"/>
        <v>656.43762948922779</v>
      </c>
      <c r="BA225" s="414">
        <f t="shared" si="91"/>
        <v>655.41442824075318</v>
      </c>
      <c r="BB225" s="414">
        <f t="shared" si="91"/>
        <v>654.43057030100942</v>
      </c>
      <c r="BC225" s="414">
        <f t="shared" si="91"/>
        <v>653.50144567819063</v>
      </c>
      <c r="BD225" s="414">
        <f t="shared" si="91"/>
        <v>652.64037357615723</v>
      </c>
      <c r="BE225" s="414">
        <f t="shared" si="91"/>
        <v>305.31034203482295</v>
      </c>
      <c r="BF225" s="414">
        <f t="shared" si="91"/>
        <v>137.35422995825624</v>
      </c>
      <c r="BG225" s="414">
        <f t="shared" si="91"/>
        <v>57.668403026680082</v>
      </c>
      <c r="BH225" s="414">
        <f t="shared" si="91"/>
        <v>20.982508745741587</v>
      </c>
      <c r="BI225" s="414">
        <f t="shared" si="91"/>
        <v>4.925280027014324</v>
      </c>
    </row>
    <row r="226" spans="1:61" x14ac:dyDescent="0.15">
      <c r="A226" s="12" t="s">
        <v>51</v>
      </c>
      <c r="B226" s="414">
        <f t="shared" ref="B226:AG226" si="92">+B211*B172*B157</f>
        <v>0</v>
      </c>
      <c r="C226" s="414">
        <f t="shared" si="92"/>
        <v>3.4151373352683296E-4</v>
      </c>
      <c r="D226" s="414">
        <f t="shared" si="92"/>
        <v>2.6738359536221759E-4</v>
      </c>
      <c r="E226" s="414">
        <f t="shared" si="92"/>
        <v>2.0592770863216614E-4</v>
      </c>
      <c r="F226" s="414">
        <f t="shared" si="92"/>
        <v>1.5154660821107324E-4</v>
      </c>
      <c r="G226" s="414">
        <f t="shared" si="92"/>
        <v>1.1723719007202495E-4</v>
      </c>
      <c r="H226" s="414">
        <f t="shared" si="92"/>
        <v>9.7517431724800896E-5</v>
      </c>
      <c r="I226" s="414">
        <f t="shared" si="92"/>
        <v>8.9211055758134136E-5</v>
      </c>
      <c r="J226" s="414">
        <f t="shared" si="92"/>
        <v>7.4436675101589245E-5</v>
      </c>
      <c r="K226" s="414">
        <f t="shared" si="92"/>
        <v>6.4083753128879779E-5</v>
      </c>
      <c r="L226" s="414">
        <f t="shared" si="92"/>
        <v>5.8060483539788101E-5</v>
      </c>
      <c r="M226" s="414">
        <f t="shared" si="92"/>
        <v>5.2128276537061167E-5</v>
      </c>
      <c r="N226" s="414">
        <f t="shared" si="92"/>
        <v>4.7074016459782129E-5</v>
      </c>
      <c r="O226" s="414">
        <f t="shared" si="92"/>
        <v>4.3456208185860903E-5</v>
      </c>
      <c r="P226" s="414">
        <f t="shared" si="92"/>
        <v>4.069786581942426E-5</v>
      </c>
      <c r="Q226" s="414">
        <f t="shared" si="92"/>
        <v>3.8224639037919551E-5</v>
      </c>
      <c r="R226" s="414">
        <f t="shared" si="92"/>
        <v>3.5977218540283768E-5</v>
      </c>
      <c r="S226" s="414">
        <f t="shared" si="92"/>
        <v>3.4109247609925736E-5</v>
      </c>
      <c r="T226" s="414">
        <f t="shared" si="92"/>
        <v>3.1587933540383019E-5</v>
      </c>
      <c r="U226" s="414">
        <f t="shared" si="92"/>
        <v>2.8024977704301205E-5</v>
      </c>
      <c r="V226" s="414">
        <f t="shared" si="92"/>
        <v>2.7535691218526098E-5</v>
      </c>
      <c r="W226" s="414">
        <f t="shared" si="92"/>
        <v>2.8250905788835195E-5</v>
      </c>
      <c r="X226" s="414">
        <f t="shared" si="92"/>
        <v>2.9246903000796761E-5</v>
      </c>
      <c r="Y226" s="414">
        <f t="shared" si="92"/>
        <v>3.0353601826582661E-5</v>
      </c>
      <c r="Z226" s="414">
        <f t="shared" si="92"/>
        <v>3.0876732143951009E-5</v>
      </c>
      <c r="AA226" s="414">
        <f t="shared" si="92"/>
        <v>3.1718187683502851E-5</v>
      </c>
      <c r="AB226" s="414">
        <f t="shared" si="92"/>
        <v>19.179203894737213</v>
      </c>
      <c r="AC226" s="414">
        <f t="shared" si="92"/>
        <v>18.945125602353098</v>
      </c>
      <c r="AD226" s="414">
        <f t="shared" si="92"/>
        <v>18.499538586504052</v>
      </c>
      <c r="AE226" s="414">
        <f t="shared" si="92"/>
        <v>17.856734455842698</v>
      </c>
      <c r="AF226" s="414">
        <f t="shared" si="92"/>
        <v>16.572356143306973</v>
      </c>
      <c r="AG226" s="414">
        <f t="shared" si="92"/>
        <v>16.443112119376778</v>
      </c>
      <c r="AH226" s="414">
        <f t="shared" ref="AH226:BI226" si="93">+AH211*AH172*AH157</f>
        <v>16.048556199647862</v>
      </c>
      <c r="AI226" s="414">
        <f t="shared" si="93"/>
        <v>68.188903555292754</v>
      </c>
      <c r="AJ226" s="414">
        <f t="shared" si="93"/>
        <v>96.081960252335335</v>
      </c>
      <c r="AK226" s="414">
        <f t="shared" si="93"/>
        <v>110.74007490472982</v>
      </c>
      <c r="AL226" s="414">
        <f t="shared" si="93"/>
        <v>118.41501610343262</v>
      </c>
      <c r="AM226" s="414">
        <f t="shared" si="93"/>
        <v>122.47765791133783</v>
      </c>
      <c r="AN226" s="414">
        <f t="shared" si="93"/>
        <v>124.62715871510052</v>
      </c>
      <c r="AO226" s="414">
        <f t="shared" si="93"/>
        <v>125.74193977547411</v>
      </c>
      <c r="AP226" s="414">
        <f t="shared" si="93"/>
        <v>126.28613128769233</v>
      </c>
      <c r="AQ226" s="414">
        <f t="shared" si="93"/>
        <v>126.50909166175282</v>
      </c>
      <c r="AR226" s="414">
        <f t="shared" si="93"/>
        <v>126.54692715536491</v>
      </c>
      <c r="AS226" s="414">
        <f t="shared" si="93"/>
        <v>126.47536913464869</v>
      </c>
      <c r="AT226" s="414">
        <f t="shared" si="93"/>
        <v>126.33769080009957</v>
      </c>
      <c r="AU226" s="414">
        <f t="shared" si="93"/>
        <v>126.15956028118376</v>
      </c>
      <c r="AV226" s="414">
        <f t="shared" si="93"/>
        <v>125.95698141143839</v>
      </c>
      <c r="AW226" s="414">
        <f t="shared" si="93"/>
        <v>125.74055543179676</v>
      </c>
      <c r="AX226" s="414">
        <f t="shared" si="93"/>
        <v>125.51777825280139</v>
      </c>
      <c r="AY226" s="414">
        <f t="shared" si="93"/>
        <v>125.29428678132163</v>
      </c>
      <c r="AZ226" s="414">
        <f t="shared" si="93"/>
        <v>125.07454213578653</v>
      </c>
      <c r="BA226" s="414">
        <f t="shared" si="93"/>
        <v>124.86221055532354</v>
      </c>
      <c r="BB226" s="414">
        <f t="shared" si="93"/>
        <v>124.66038152450274</v>
      </c>
      <c r="BC226" s="414">
        <f t="shared" si="93"/>
        <v>124.47169779022386</v>
      </c>
      <c r="BD226" s="414">
        <f t="shared" si="93"/>
        <v>124.29843726756316</v>
      </c>
      <c r="BE226" s="414">
        <f t="shared" si="93"/>
        <v>58.144499655700116</v>
      </c>
      <c r="BF226" s="414">
        <f t="shared" si="93"/>
        <v>26.157307355629715</v>
      </c>
      <c r="BG226" s="414">
        <f t="shared" si="93"/>
        <v>10.981942624654708</v>
      </c>
      <c r="BH226" s="414">
        <f t="shared" si="93"/>
        <v>3.995713771627238</v>
      </c>
      <c r="BI226" s="414">
        <f t="shared" si="93"/>
        <v>0.9379259601840455</v>
      </c>
    </row>
    <row r="227" spans="1:61" x14ac:dyDescent="0.15">
      <c r="A227" s="12" t="s">
        <v>52</v>
      </c>
      <c r="B227" s="414">
        <f t="shared" ref="B227:AG227" si="94">+B212*B173*B158</f>
        <v>0</v>
      </c>
      <c r="C227" s="414">
        <f t="shared" si="94"/>
        <v>5.1586182430170833E-4</v>
      </c>
      <c r="D227" s="414">
        <f t="shared" si="94"/>
        <v>3.2045702037596997E-4</v>
      </c>
      <c r="E227" s="414">
        <f t="shared" si="94"/>
        <v>2.0628447891605906E-4</v>
      </c>
      <c r="F227" s="414">
        <f t="shared" si="94"/>
        <v>1.0625150043173645E-4</v>
      </c>
      <c r="G227" s="414">
        <f t="shared" si="94"/>
        <v>5.8016141692304816E-5</v>
      </c>
      <c r="H227" s="414">
        <f t="shared" si="94"/>
        <v>3.4454925441801261E-5</v>
      </c>
      <c r="I227" s="414">
        <f t="shared" si="94"/>
        <v>3.228021774149768E-5</v>
      </c>
      <c r="J227" s="414">
        <f t="shared" si="94"/>
        <v>1.987258878630467E-5</v>
      </c>
      <c r="K227" s="414">
        <f t="shared" si="94"/>
        <v>1.3612507314031729E-5</v>
      </c>
      <c r="L227" s="414">
        <f t="shared" si="94"/>
        <v>9.6199067322464411E-6</v>
      </c>
      <c r="M227" s="414">
        <f t="shared" si="94"/>
        <v>6.2358721692482374E-6</v>
      </c>
      <c r="N227" s="414">
        <f t="shared" si="94"/>
        <v>3.4688940011097387E-6</v>
      </c>
      <c r="O227" s="414">
        <f t="shared" si="94"/>
        <v>1.1464246136350223E-6</v>
      </c>
      <c r="P227" s="414">
        <f t="shared" si="94"/>
        <v>-8.2743150299682378E-7</v>
      </c>
      <c r="Q227" s="414">
        <f t="shared" si="94"/>
        <v>-2.5463959914126925E-6</v>
      </c>
      <c r="R227" s="414">
        <f t="shared" si="94"/>
        <v>-4.0927810115691984E-6</v>
      </c>
      <c r="S227" s="414">
        <f t="shared" si="94"/>
        <v>-5.4654833804530126E-6</v>
      </c>
      <c r="T227" s="414">
        <f t="shared" si="94"/>
        <v>-6.6411955177217481E-6</v>
      </c>
      <c r="U227" s="414">
        <f t="shared" si="94"/>
        <v>-6.7916790833235159E-6</v>
      </c>
      <c r="V227" s="414">
        <f t="shared" si="94"/>
        <v>-7.6510716414851672E-6</v>
      </c>
      <c r="W227" s="414">
        <f t="shared" si="94"/>
        <v>-2.7697329684888321E-6</v>
      </c>
      <c r="X227" s="414">
        <f t="shared" si="94"/>
        <v>1.9588902409267254E-6</v>
      </c>
      <c r="Y227" s="414">
        <f t="shared" si="94"/>
        <v>6.400436246227946E-6</v>
      </c>
      <c r="Z227" s="414">
        <f t="shared" si="94"/>
        <v>1.0426573616966926E-5</v>
      </c>
      <c r="AA227" s="414">
        <f t="shared" si="94"/>
        <v>1.3720526776058449E-5</v>
      </c>
      <c r="AB227" s="414">
        <f t="shared" si="94"/>
        <v>4.3065216764746586</v>
      </c>
      <c r="AC227" s="414">
        <f t="shared" si="94"/>
        <v>4.9387096594986879</v>
      </c>
      <c r="AD227" s="414">
        <f t="shared" si="94"/>
        <v>5.5319723479523732</v>
      </c>
      <c r="AE227" s="414">
        <f t="shared" si="94"/>
        <v>6.0189391908490197</v>
      </c>
      <c r="AF227" s="414">
        <f t="shared" si="94"/>
        <v>6.1329008517702102</v>
      </c>
      <c r="AG227" s="414">
        <f t="shared" si="94"/>
        <v>6.6927799170332731</v>
      </c>
      <c r="AH227" s="414">
        <f t="shared" ref="AH227:BI227" si="95">+AH212*AH173*AH158</f>
        <v>6.7043138437332583</v>
      </c>
      <c r="AI227" s="414">
        <f t="shared" si="95"/>
        <v>30.561376472699884</v>
      </c>
      <c r="AJ227" s="414">
        <f t="shared" si="95"/>
        <v>45.183444181897151</v>
      </c>
      <c r="AK227" s="414">
        <f t="shared" si="95"/>
        <v>54.215721601727928</v>
      </c>
      <c r="AL227" s="414">
        <f t="shared" si="95"/>
        <v>60.057182647428085</v>
      </c>
      <c r="AM227" s="414">
        <f t="shared" si="95"/>
        <v>64.100882736807151</v>
      </c>
      <c r="AN227" s="414">
        <f t="shared" si="95"/>
        <v>67.09147484090775</v>
      </c>
      <c r="AO227" s="414">
        <f t="shared" si="95"/>
        <v>69.436897848206527</v>
      </c>
      <c r="AP227" s="414">
        <f t="shared" si="95"/>
        <v>71.366196548403664</v>
      </c>
      <c r="AQ227" s="414">
        <f t="shared" si="95"/>
        <v>73.011010819416455</v>
      </c>
      <c r="AR227" s="414">
        <f t="shared" si="95"/>
        <v>74.44913305331778</v>
      </c>
      <c r="AS227" s="414">
        <f t="shared" si="95"/>
        <v>75.728283880741188</v>
      </c>
      <c r="AT227" s="414">
        <f t="shared" si="95"/>
        <v>76.879224095707229</v>
      </c>
      <c r="AU227" s="414">
        <f t="shared" si="95"/>
        <v>77.923018258767385</v>
      </c>
      <c r="AV227" s="414">
        <f t="shared" si="95"/>
        <v>78.875067659874674</v>
      </c>
      <c r="AW227" s="414">
        <f t="shared" si="95"/>
        <v>79.747355206462331</v>
      </c>
      <c r="AX227" s="414">
        <f t="shared" si="95"/>
        <v>80.549701149106397</v>
      </c>
      <c r="AY227" s="414">
        <f t="shared" si="95"/>
        <v>81.290472288533664</v>
      </c>
      <c r="AZ227" s="414">
        <f t="shared" si="95"/>
        <v>81.976989509818807</v>
      </c>
      <c r="BA227" s="414">
        <f t="shared" si="95"/>
        <v>82.615768745664496</v>
      </c>
      <c r="BB227" s="414">
        <f t="shared" si="95"/>
        <v>83.212669722050521</v>
      </c>
      <c r="BC227" s="414">
        <f t="shared" si="95"/>
        <v>83.772993310513613</v>
      </c>
      <c r="BD227" s="414">
        <f t="shared" si="95"/>
        <v>84.301549861936493</v>
      </c>
      <c r="BE227" s="414">
        <f t="shared" si="95"/>
        <v>36.981913305639871</v>
      </c>
      <c r="BF227" s="414">
        <f t="shared" si="95"/>
        <v>14.78685511694602</v>
      </c>
      <c r="BG227" s="414">
        <f t="shared" si="95"/>
        <v>4.7579894707593473</v>
      </c>
      <c r="BH227" s="414">
        <f t="shared" si="95"/>
        <v>0.51375068194448859</v>
      </c>
      <c r="BI227" s="414">
        <f t="shared" si="95"/>
        <v>0</v>
      </c>
    </row>
    <row r="228" spans="1:61" x14ac:dyDescent="0.15">
      <c r="A228" s="12" t="s">
        <v>53</v>
      </c>
      <c r="B228" s="414">
        <f t="shared" ref="B228:AG228" si="96">+B213*B174*B159</f>
        <v>0</v>
      </c>
      <c r="C228" s="414">
        <f t="shared" si="96"/>
        <v>0</v>
      </c>
      <c r="D228" s="414">
        <f t="shared" si="96"/>
        <v>2.0305835069691841E-4</v>
      </c>
      <c r="E228" s="414">
        <f t="shared" si="96"/>
        <v>1.2274056556398701E-4</v>
      </c>
      <c r="F228" s="414">
        <f t="shared" si="96"/>
        <v>6.0438940728822152E-5</v>
      </c>
      <c r="G228" s="414">
        <f t="shared" si="96"/>
        <v>3.8602990427836466E-5</v>
      </c>
      <c r="H228" s="414">
        <f t="shared" si="96"/>
        <v>2.292219069538078E-5</v>
      </c>
      <c r="I228" s="414">
        <f t="shared" si="96"/>
        <v>2.0535643184342414E-5</v>
      </c>
      <c r="J228" s="414">
        <f t="shared" si="96"/>
        <v>1.3090435385578705E-5</v>
      </c>
      <c r="K228" s="414">
        <f t="shared" si="96"/>
        <v>8.2179232927139725E-6</v>
      </c>
      <c r="L228" s="414">
        <f t="shared" si="96"/>
        <v>5.4184372032733672E-6</v>
      </c>
      <c r="M228" s="414">
        <f t="shared" si="96"/>
        <v>3.4837162223996581E-6</v>
      </c>
      <c r="N228" s="414">
        <f t="shared" si="96"/>
        <v>1.9200641824534438E-6</v>
      </c>
      <c r="O228" s="414">
        <f t="shared" si="96"/>
        <v>6.189806492482567E-7</v>
      </c>
      <c r="P228" s="414">
        <f t="shared" si="96"/>
        <v>-4.4719114837551226E-7</v>
      </c>
      <c r="Q228" s="414">
        <f t="shared" si="96"/>
        <v>-1.35478965697004E-6</v>
      </c>
      <c r="R228" s="414">
        <f t="shared" si="96"/>
        <v>-2.156916359410242E-6</v>
      </c>
      <c r="S228" s="414">
        <f t="shared" si="96"/>
        <v>-2.8470459502050506E-6</v>
      </c>
      <c r="T228" s="414">
        <f t="shared" si="96"/>
        <v>-3.4217659486231144E-6</v>
      </c>
      <c r="U228" s="414">
        <f t="shared" si="96"/>
        <v>-3.5477558064169161E-6</v>
      </c>
      <c r="V228" s="414">
        <f t="shared" si="96"/>
        <v>-3.895507437254497E-6</v>
      </c>
      <c r="W228" s="414">
        <f t="shared" si="96"/>
        <v>-1.4051799860413711E-6</v>
      </c>
      <c r="X228" s="414">
        <f t="shared" si="96"/>
        <v>9.6848146200442872E-7</v>
      </c>
      <c r="Y228" s="414">
        <f t="shared" si="96"/>
        <v>3.1653306647078128E-6</v>
      </c>
      <c r="Z228" s="414">
        <f t="shared" si="96"/>
        <v>5.1170478128923785E-6</v>
      </c>
      <c r="AA228" s="414">
        <f t="shared" si="96"/>
        <v>6.8424329073567897E-6</v>
      </c>
      <c r="AB228" s="414">
        <f t="shared" si="96"/>
        <v>2.1821873133038334</v>
      </c>
      <c r="AC228" s="414">
        <f t="shared" si="96"/>
        <v>2.5497062176427927</v>
      </c>
      <c r="AD228" s="414">
        <f t="shared" si="96"/>
        <v>2.8856600030718966</v>
      </c>
      <c r="AE228" s="414">
        <f t="shared" si="96"/>
        <v>3.1808562491852563</v>
      </c>
      <c r="AF228" s="414">
        <f t="shared" si="96"/>
        <v>3.2181609259372475</v>
      </c>
      <c r="AG228" s="414">
        <f t="shared" si="96"/>
        <v>3.5117990155829348</v>
      </c>
      <c r="AH228" s="414">
        <f t="shared" ref="AH228:BI228" si="97">+AH213*AH174*AH159</f>
        <v>3.5264238014797349</v>
      </c>
      <c r="AI228" s="414">
        <f t="shared" si="97"/>
        <v>21.555830463391608</v>
      </c>
      <c r="AJ228" s="414">
        <f t="shared" si="97"/>
        <v>34.555290036409033</v>
      </c>
      <c r="AK228" s="414">
        <f t="shared" si="97"/>
        <v>42.579586974642062</v>
      </c>
      <c r="AL228" s="414">
        <f t="shared" si="97"/>
        <v>47.69557435533013</v>
      </c>
      <c r="AM228" s="414">
        <f t="shared" si="97"/>
        <v>51.186290910308898</v>
      </c>
      <c r="AN228" s="414">
        <f t="shared" si="97"/>
        <v>53.73488098729316</v>
      </c>
      <c r="AO228" s="414">
        <f t="shared" si="97"/>
        <v>55.712741287517638</v>
      </c>
      <c r="AP228" s="414">
        <f t="shared" si="97"/>
        <v>57.326965598453413</v>
      </c>
      <c r="AQ228" s="414">
        <f t="shared" si="97"/>
        <v>58.695749344455635</v>
      </c>
      <c r="AR228" s="414">
        <f t="shared" si="97"/>
        <v>59.888370811750093</v>
      </c>
      <c r="AS228" s="414">
        <f t="shared" si="97"/>
        <v>60.946899095836272</v>
      </c>
      <c r="AT228" s="414">
        <f t="shared" si="97"/>
        <v>61.898123492820986</v>
      </c>
      <c r="AU228" s="414">
        <f t="shared" si="97"/>
        <v>62.760144544648391</v>
      </c>
      <c r="AV228" s="414">
        <f t="shared" si="97"/>
        <v>63.546024727101695</v>
      </c>
      <c r="AW228" s="414">
        <f t="shared" si="97"/>
        <v>64.265815025292795</v>
      </c>
      <c r="AX228" s="414">
        <f t="shared" si="97"/>
        <v>64.927684531620372</v>
      </c>
      <c r="AY228" s="414">
        <f t="shared" si="97"/>
        <v>65.538555258911217</v>
      </c>
      <c r="AZ228" s="414">
        <f t="shared" si="97"/>
        <v>66.104464350663505</v>
      </c>
      <c r="BA228" s="414">
        <f t="shared" si="97"/>
        <v>66.630776142864264</v>
      </c>
      <c r="BB228" s="414">
        <f t="shared" si="97"/>
        <v>67.122311388961165</v>
      </c>
      <c r="BC228" s="414">
        <f t="shared" si="97"/>
        <v>67.583430553003069</v>
      </c>
      <c r="BD228" s="414">
        <f t="shared" si="97"/>
        <v>68.01809135978435</v>
      </c>
      <c r="BE228" s="414">
        <f t="shared" si="97"/>
        <v>29.841832844823561</v>
      </c>
      <c r="BF228" s="414">
        <f t="shared" si="97"/>
        <v>11.932889115802656</v>
      </c>
      <c r="BG228" s="414">
        <f t="shared" si="97"/>
        <v>3.8399245372892366</v>
      </c>
      <c r="BH228" s="414">
        <f t="shared" si="97"/>
        <v>0.41464792668586714</v>
      </c>
      <c r="BI228" s="414">
        <f t="shared" si="97"/>
        <v>0</v>
      </c>
    </row>
    <row r="229" spans="1:61" x14ac:dyDescent="0.15">
      <c r="A229" s="12" t="s">
        <v>54</v>
      </c>
      <c r="B229" s="414">
        <f t="shared" ref="B229:AG229" si="98">+B214*B175*B160</f>
        <v>0</v>
      </c>
      <c r="C229" s="414">
        <f t="shared" si="98"/>
        <v>0</v>
      </c>
      <c r="D229" s="414">
        <f t="shared" si="98"/>
        <v>0</v>
      </c>
      <c r="E229" s="414">
        <f t="shared" si="98"/>
        <v>2.3413980581994391E-4</v>
      </c>
      <c r="F229" s="414">
        <f t="shared" si="98"/>
        <v>1.5646115240154203E-4</v>
      </c>
      <c r="G229" s="414">
        <f t="shared" si="98"/>
        <v>1.0317743830277179E-4</v>
      </c>
      <c r="H229" s="414">
        <f t="shared" si="98"/>
        <v>7.4336674076892301E-5</v>
      </c>
      <c r="I229" s="414">
        <f t="shared" si="98"/>
        <v>7.1501551736662128E-5</v>
      </c>
      <c r="J229" s="414">
        <f t="shared" si="98"/>
        <v>5.4440731881478396E-5</v>
      </c>
      <c r="K229" s="414">
        <f t="shared" si="98"/>
        <v>4.2580525739065505E-5</v>
      </c>
      <c r="L229" s="414">
        <f t="shared" si="98"/>
        <v>3.4815538821305334E-5</v>
      </c>
      <c r="M229" s="414">
        <f t="shared" si="98"/>
        <v>2.9131128750367406E-5</v>
      </c>
      <c r="N229" s="414">
        <f t="shared" si="98"/>
        <v>2.4749598560158198E-5</v>
      </c>
      <c r="O229" s="414">
        <f t="shared" si="98"/>
        <v>2.1203595400534309E-5</v>
      </c>
      <c r="P229" s="414">
        <f t="shared" si="98"/>
        <v>1.8322131791981061E-5</v>
      </c>
      <c r="Q229" s="414">
        <f t="shared" si="98"/>
        <v>1.6069771800012323E-5</v>
      </c>
      <c r="R229" s="414">
        <f t="shared" si="98"/>
        <v>1.4346583732250412E-5</v>
      </c>
      <c r="S229" s="414">
        <f t="shared" si="98"/>
        <v>1.3127350165399413E-5</v>
      </c>
      <c r="T229" s="414">
        <f t="shared" si="98"/>
        <v>1.1400903212277915E-5</v>
      </c>
      <c r="U229" s="414">
        <f t="shared" si="98"/>
        <v>9.738353155647601E-6</v>
      </c>
      <c r="V229" s="414">
        <f t="shared" si="98"/>
        <v>8.2631912065303252E-6</v>
      </c>
      <c r="W229" s="414">
        <f t="shared" si="98"/>
        <v>1.9914509707739838E-5</v>
      </c>
      <c r="X229" s="414">
        <f t="shared" si="98"/>
        <v>3.1726658163886185E-5</v>
      </c>
      <c r="Y229" s="414">
        <f t="shared" si="98"/>
        <v>4.3879354988787969E-5</v>
      </c>
      <c r="Z229" s="414">
        <f t="shared" si="98"/>
        <v>5.6294824026322498E-5</v>
      </c>
      <c r="AA229" s="414">
        <f t="shared" si="98"/>
        <v>6.8899259758345698E-5</v>
      </c>
      <c r="AB229" s="414">
        <f t="shared" si="98"/>
        <v>24.315907751870306</v>
      </c>
      <c r="AC229" s="414">
        <f t="shared" si="98"/>
        <v>27.298593058317735</v>
      </c>
      <c r="AD229" s="414">
        <f t="shared" si="98"/>
        <v>30.140833265856841</v>
      </c>
      <c r="AE229" s="414">
        <f t="shared" si="98"/>
        <v>32.659011238546924</v>
      </c>
      <c r="AF229" s="414">
        <f t="shared" si="98"/>
        <v>33.847592276294883</v>
      </c>
      <c r="AG229" s="414">
        <f t="shared" si="98"/>
        <v>36.948718375854462</v>
      </c>
      <c r="AH229" s="414">
        <f t="shared" ref="AH229:BI229" si="99">+AH214*AH175*AH160</f>
        <v>38.085000814808261</v>
      </c>
      <c r="AI229" s="414">
        <f t="shared" si="99"/>
        <v>254.62506340085616</v>
      </c>
      <c r="AJ229" s="414">
        <f t="shared" si="99"/>
        <v>416.45801225318053</v>
      </c>
      <c r="AK229" s="414">
        <f t="shared" si="99"/>
        <v>508.97582272462677</v>
      </c>
      <c r="AL229" s="414">
        <f t="shared" si="99"/>
        <v>563.73874007445647</v>
      </c>
      <c r="AM229" s="414">
        <f t="shared" si="99"/>
        <v>598.58012146559417</v>
      </c>
      <c r="AN229" s="414">
        <f t="shared" si="99"/>
        <v>622.4314188670628</v>
      </c>
      <c r="AO229" s="414">
        <f t="shared" si="99"/>
        <v>639.93436519521913</v>
      </c>
      <c r="AP229" s="414">
        <f t="shared" si="99"/>
        <v>653.58053036512001</v>
      </c>
      <c r="AQ229" s="414">
        <f t="shared" si="99"/>
        <v>664.74224778747828</v>
      </c>
      <c r="AR229" s="414">
        <f t="shared" si="99"/>
        <v>674.19611769406117</v>
      </c>
      <c r="AS229" s="414">
        <f t="shared" si="99"/>
        <v>682.39728740701889</v>
      </c>
      <c r="AT229" s="414">
        <f t="shared" si="99"/>
        <v>689.62550785058238</v>
      </c>
      <c r="AU229" s="414">
        <f t="shared" si="99"/>
        <v>696.06353848528158</v>
      </c>
      <c r="AV229" s="414">
        <f t="shared" si="99"/>
        <v>701.83942106684481</v>
      </c>
      <c r="AW229" s="414">
        <f t="shared" si="99"/>
        <v>707.04935644698662</v>
      </c>
      <c r="AX229" s="414">
        <f t="shared" si="99"/>
        <v>711.77015029008794</v>
      </c>
      <c r="AY229" s="414">
        <f t="shared" si="99"/>
        <v>716.06604759856214</v>
      </c>
      <c r="AZ229" s="414">
        <f t="shared" si="99"/>
        <v>719.99254832366489</v>
      </c>
      <c r="BA229" s="414">
        <f t="shared" si="99"/>
        <v>723.59859704756025</v>
      </c>
      <c r="BB229" s="414">
        <f t="shared" si="99"/>
        <v>726.92789425583044</v>
      </c>
      <c r="BC229" s="414">
        <f t="shared" si="99"/>
        <v>730.01972980216783</v>
      </c>
      <c r="BD229" s="414">
        <f t="shared" si="99"/>
        <v>732.90955304598856</v>
      </c>
      <c r="BE229" s="414">
        <f t="shared" si="99"/>
        <v>326.4617476888335</v>
      </c>
      <c r="BF229" s="414">
        <f t="shared" si="99"/>
        <v>134.5699345243703</v>
      </c>
      <c r="BG229" s="414">
        <f t="shared" si="99"/>
        <v>46.89727514796234</v>
      </c>
      <c r="BH229" s="414">
        <f t="shared" si="99"/>
        <v>9.0242871369021795</v>
      </c>
      <c r="BI229" s="414">
        <f t="shared" si="99"/>
        <v>0</v>
      </c>
    </row>
    <row r="230" spans="1:61" x14ac:dyDescent="0.15">
      <c r="A230" s="12" t="s">
        <v>55</v>
      </c>
      <c r="B230" s="414">
        <f t="shared" ref="B230:AG230" si="100">+B215*B176*B161</f>
        <v>0</v>
      </c>
      <c r="C230" s="414">
        <f t="shared" si="100"/>
        <v>0</v>
      </c>
      <c r="D230" s="414">
        <f t="shared" si="100"/>
        <v>0</v>
      </c>
      <c r="E230" s="414">
        <f t="shared" si="100"/>
        <v>0</v>
      </c>
      <c r="F230" s="414">
        <f t="shared" si="100"/>
        <v>1.0029041540597237E-4</v>
      </c>
      <c r="G230" s="414">
        <f t="shared" si="100"/>
        <v>7.5587239884808449E-5</v>
      </c>
      <c r="H230" s="414">
        <f t="shared" si="100"/>
        <v>6.1776977315051857E-5</v>
      </c>
      <c r="I230" s="414">
        <f t="shared" si="100"/>
        <v>5.6942538948960064E-5</v>
      </c>
      <c r="J230" s="414">
        <f t="shared" si="100"/>
        <v>4.873424656820277E-5</v>
      </c>
      <c r="K230" s="414">
        <f t="shared" si="100"/>
        <v>4.3942964807214407E-5</v>
      </c>
      <c r="L230" s="414">
        <f t="shared" si="100"/>
        <v>3.882123785214734E-5</v>
      </c>
      <c r="M230" s="414">
        <f t="shared" si="100"/>
        <v>3.5280523456578587E-5</v>
      </c>
      <c r="N230" s="414">
        <f t="shared" si="100"/>
        <v>3.2132228357642952E-5</v>
      </c>
      <c r="O230" s="414">
        <f t="shared" si="100"/>
        <v>3.0690583235675351E-5</v>
      </c>
      <c r="P230" s="414">
        <f t="shared" si="100"/>
        <v>2.9644607360644169E-5</v>
      </c>
      <c r="Q230" s="414">
        <f t="shared" si="100"/>
        <v>2.8888557640992598E-5</v>
      </c>
      <c r="R230" s="414">
        <f t="shared" si="100"/>
        <v>2.8431586417104426E-5</v>
      </c>
      <c r="S230" s="414">
        <f t="shared" si="100"/>
        <v>2.8117838890319036E-5</v>
      </c>
      <c r="T230" s="414">
        <f t="shared" si="100"/>
        <v>2.6750849920270562E-5</v>
      </c>
      <c r="U230" s="414">
        <f t="shared" si="100"/>
        <v>2.6749907687594979E-5</v>
      </c>
      <c r="V230" s="414">
        <f t="shared" si="100"/>
        <v>2.7025810755626612E-5</v>
      </c>
      <c r="W230" s="414">
        <f t="shared" si="100"/>
        <v>3.0147647421528651E-5</v>
      </c>
      <c r="X230" s="414">
        <f t="shared" si="100"/>
        <v>3.3340871830043193E-5</v>
      </c>
      <c r="Y230" s="414">
        <f t="shared" si="100"/>
        <v>3.6887712125222866E-5</v>
      </c>
      <c r="Z230" s="414">
        <f t="shared" si="100"/>
        <v>4.09295518106733E-5</v>
      </c>
      <c r="AA230" s="414">
        <f t="shared" si="100"/>
        <v>4.5412484669304953E-5</v>
      </c>
      <c r="AB230" s="414">
        <f t="shared" si="100"/>
        <v>23.495603043567325</v>
      </c>
      <c r="AC230" s="414">
        <f t="shared" si="100"/>
        <v>24.664034005377381</v>
      </c>
      <c r="AD230" s="414">
        <f t="shared" si="100"/>
        <v>25.737074536289001</v>
      </c>
      <c r="AE230" s="414">
        <f t="shared" si="100"/>
        <v>26.145227819485452</v>
      </c>
      <c r="AF230" s="414">
        <f t="shared" si="100"/>
        <v>24.032448128887442</v>
      </c>
      <c r="AG230" s="414">
        <f t="shared" si="100"/>
        <v>25.539485743926971</v>
      </c>
      <c r="AH230" s="414">
        <f t="shared" ref="AH230:BI230" si="101">+AH215*AH176*AH161</f>
        <v>26.653306996280769</v>
      </c>
      <c r="AI230" s="414">
        <f t="shared" si="101"/>
        <v>316.5773044509819</v>
      </c>
      <c r="AJ230" s="414">
        <f t="shared" si="101"/>
        <v>603.45430198812869</v>
      </c>
      <c r="AK230" s="414">
        <f t="shared" si="101"/>
        <v>769.42573018336236</v>
      </c>
      <c r="AL230" s="414">
        <f t="shared" si="101"/>
        <v>860.34111712120034</v>
      </c>
      <c r="AM230" s="414">
        <f t="shared" si="101"/>
        <v>912.02222684782885</v>
      </c>
      <c r="AN230" s="414">
        <f t="shared" si="101"/>
        <v>942.76836814887099</v>
      </c>
      <c r="AO230" s="414">
        <f t="shared" si="101"/>
        <v>961.99918205219444</v>
      </c>
      <c r="AP230" s="414">
        <f t="shared" si="101"/>
        <v>974.69201090748572</v>
      </c>
      <c r="AQ230" s="414">
        <f t="shared" si="101"/>
        <v>983.5335169521893</v>
      </c>
      <c r="AR230" s="414">
        <f t="shared" si="101"/>
        <v>990.00256396831048</v>
      </c>
      <c r="AS230" s="414">
        <f t="shared" si="101"/>
        <v>994.93211022389198</v>
      </c>
      <c r="AT230" s="414">
        <f t="shared" si="101"/>
        <v>998.80616429993302</v>
      </c>
      <c r="AU230" s="414">
        <f t="shared" si="101"/>
        <v>1001.9183389176229</v>
      </c>
      <c r="AV230" s="414">
        <f t="shared" si="101"/>
        <v>1004.4570067591033</v>
      </c>
      <c r="AW230" s="414">
        <f t="shared" si="101"/>
        <v>1006.5512239401374</v>
      </c>
      <c r="AX230" s="414">
        <f t="shared" si="101"/>
        <v>1008.2956011055051</v>
      </c>
      <c r="AY230" s="414">
        <f t="shared" si="101"/>
        <v>1009.7638559875268</v>
      </c>
      <c r="AZ230" s="414">
        <f t="shared" si="101"/>
        <v>1011.0162737723637</v>
      </c>
      <c r="BA230" s="414">
        <f t="shared" si="101"/>
        <v>1012.1038843452214</v>
      </c>
      <c r="BB230" s="414">
        <f t="shared" si="101"/>
        <v>1013.0708664718812</v>
      </c>
      <c r="BC230" s="414">
        <f t="shared" si="101"/>
        <v>1013.9559904884313</v>
      </c>
      <c r="BD230" s="414">
        <f t="shared" si="101"/>
        <v>1014.7935355592568</v>
      </c>
      <c r="BE230" s="414">
        <f t="shared" si="101"/>
        <v>468.51110737670564</v>
      </c>
      <c r="BF230" s="414">
        <f t="shared" si="101"/>
        <v>206.01312945525015</v>
      </c>
      <c r="BG230" s="414">
        <f t="shared" si="101"/>
        <v>82.726343758340789</v>
      </c>
      <c r="BH230" s="414">
        <f t="shared" si="101"/>
        <v>26.918339107189968</v>
      </c>
      <c r="BI230" s="414">
        <f t="shared" si="101"/>
        <v>3.2287810998294444</v>
      </c>
    </row>
    <row r="231" spans="1:61" x14ac:dyDescent="0.15">
      <c r="A231" s="12" t="s">
        <v>56</v>
      </c>
      <c r="B231" s="414">
        <f t="shared" ref="B231:AG231" si="102">+B216*B177*B162</f>
        <v>0</v>
      </c>
      <c r="C231" s="414">
        <f t="shared" si="102"/>
        <v>0</v>
      </c>
      <c r="D231" s="414">
        <f t="shared" si="102"/>
        <v>0</v>
      </c>
      <c r="E231" s="414">
        <f t="shared" si="102"/>
        <v>0</v>
      </c>
      <c r="F231" s="414">
        <f t="shared" si="102"/>
        <v>0</v>
      </c>
      <c r="G231" s="414">
        <f t="shared" si="102"/>
        <v>7.8976745543685826E-5</v>
      </c>
      <c r="H231" s="414">
        <f t="shared" si="102"/>
        <v>6.3382173776225666E-5</v>
      </c>
      <c r="I231" s="414">
        <f t="shared" si="102"/>
        <v>5.9458403427904465E-5</v>
      </c>
      <c r="J231" s="414">
        <f t="shared" si="102"/>
        <v>5.0240715296550805E-5</v>
      </c>
      <c r="K231" s="414">
        <f t="shared" si="102"/>
        <v>4.2300060085475615E-5</v>
      </c>
      <c r="L231" s="414">
        <f t="shared" si="102"/>
        <v>3.9582828442077588E-5</v>
      </c>
      <c r="M231" s="414">
        <f t="shared" si="102"/>
        <v>3.4886306545813667E-5</v>
      </c>
      <c r="N231" s="414">
        <f t="shared" si="102"/>
        <v>3.1192754612618868E-5</v>
      </c>
      <c r="O231" s="414">
        <f t="shared" si="102"/>
        <v>2.9198483278712165E-5</v>
      </c>
      <c r="P231" s="414">
        <f t="shared" si="102"/>
        <v>2.8563784217602204E-5</v>
      </c>
      <c r="Q231" s="414">
        <f t="shared" si="102"/>
        <v>2.7071221579078787E-5</v>
      </c>
      <c r="R231" s="414">
        <f t="shared" si="102"/>
        <v>2.6102652174982481E-5</v>
      </c>
      <c r="S231" s="414">
        <f t="shared" si="102"/>
        <v>2.526611261982004E-5</v>
      </c>
      <c r="T231" s="414">
        <f t="shared" si="102"/>
        <v>2.4369719415670848E-5</v>
      </c>
      <c r="U231" s="414">
        <f t="shared" si="102"/>
        <v>2.2571718105423579E-5</v>
      </c>
      <c r="V231" s="414">
        <f t="shared" si="102"/>
        <v>2.2095431693952969E-5</v>
      </c>
      <c r="W231" s="414">
        <f t="shared" si="102"/>
        <v>2.582351976761506E-5</v>
      </c>
      <c r="X231" s="414">
        <f t="shared" si="102"/>
        <v>2.8570265885380759E-5</v>
      </c>
      <c r="Y231" s="414">
        <f t="shared" si="102"/>
        <v>3.1117962466662941E-5</v>
      </c>
      <c r="Z231" s="414">
        <f t="shared" si="102"/>
        <v>3.3934855364946893E-5</v>
      </c>
      <c r="AA231" s="414">
        <f t="shared" si="102"/>
        <v>3.6436758491725165E-5</v>
      </c>
      <c r="AB231" s="414">
        <f t="shared" si="102"/>
        <v>16.896715096231858</v>
      </c>
      <c r="AC231" s="414">
        <f t="shared" si="102"/>
        <v>16.920214612214657</v>
      </c>
      <c r="AD231" s="414">
        <f t="shared" si="102"/>
        <v>16.963495582097512</v>
      </c>
      <c r="AE231" s="414">
        <f t="shared" si="102"/>
        <v>16.783856738166971</v>
      </c>
      <c r="AF231" s="414">
        <f t="shared" si="102"/>
        <v>15.933689684290652</v>
      </c>
      <c r="AG231" s="414">
        <f t="shared" si="102"/>
        <v>16.268609498221661</v>
      </c>
      <c r="AH231" s="414">
        <f t="shared" ref="AH231:BI231" si="103">+AH216*AH177*AH162</f>
        <v>16.737288544090966</v>
      </c>
      <c r="AI231" s="414">
        <f t="shared" si="103"/>
        <v>219.20282588947217</v>
      </c>
      <c r="AJ231" s="414">
        <f t="shared" si="103"/>
        <v>428.63645511414751</v>
      </c>
      <c r="AK231" s="414">
        <f t="shared" si="103"/>
        <v>550.21438908059929</v>
      </c>
      <c r="AL231" s="414">
        <f t="shared" si="103"/>
        <v>616.92693778691046</v>
      </c>
      <c r="AM231" s="414">
        <f t="shared" si="103"/>
        <v>654.97142625008144</v>
      </c>
      <c r="AN231" s="414">
        <f t="shared" si="103"/>
        <v>677.72468181918646</v>
      </c>
      <c r="AO231" s="414">
        <f t="shared" si="103"/>
        <v>692.06745509549523</v>
      </c>
      <c r="AP231" s="414">
        <f t="shared" si="103"/>
        <v>701.63564738917501</v>
      </c>
      <c r="AQ231" s="414">
        <f t="shared" si="103"/>
        <v>708.39232858975572</v>
      </c>
      <c r="AR231" s="414">
        <f t="shared" si="103"/>
        <v>713.41808977102835</v>
      </c>
      <c r="AS231" s="414">
        <f t="shared" si="103"/>
        <v>717.32122195824365</v>
      </c>
      <c r="AT231" s="414">
        <f t="shared" si="103"/>
        <v>720.4546651068938</v>
      </c>
      <c r="AU231" s="414">
        <f t="shared" si="103"/>
        <v>723.03196528397393</v>
      </c>
      <c r="AV231" s="414">
        <f t="shared" si="103"/>
        <v>725.18962165425717</v>
      </c>
      <c r="AW231" s="414">
        <f t="shared" si="103"/>
        <v>727.02074494505393</v>
      </c>
      <c r="AX231" s="414">
        <f t="shared" si="103"/>
        <v>728.59330288777608</v>
      </c>
      <c r="AY231" s="414">
        <f t="shared" si="103"/>
        <v>729.96006904909825</v>
      </c>
      <c r="AZ231" s="414">
        <f t="shared" si="103"/>
        <v>731.16410063238163</v>
      </c>
      <c r="BA231" s="414">
        <f t="shared" si="103"/>
        <v>732.2418038684259</v>
      </c>
      <c r="BB231" s="414">
        <f t="shared" si="103"/>
        <v>733.22469494895836</v>
      </c>
      <c r="BC231" s="414">
        <f t="shared" si="103"/>
        <v>734.14045270593772</v>
      </c>
      <c r="BD231" s="414">
        <f t="shared" si="103"/>
        <v>735.01358382025626</v>
      </c>
      <c r="BE231" s="414">
        <f t="shared" si="103"/>
        <v>337.12326725200819</v>
      </c>
      <c r="BF231" s="414">
        <f t="shared" si="103"/>
        <v>146.58873294221956</v>
      </c>
      <c r="BG231" s="414">
        <f t="shared" si="103"/>
        <v>57.560002780853303</v>
      </c>
      <c r="BH231" s="414">
        <f t="shared" si="103"/>
        <v>17.594220031102932</v>
      </c>
      <c r="BI231" s="414">
        <f t="shared" si="103"/>
        <v>0.88542723441208915</v>
      </c>
    </row>
    <row r="232" spans="1:61" x14ac:dyDescent="0.15">
      <c r="A232" s="12" t="s">
        <v>57</v>
      </c>
      <c r="B232" s="414">
        <f t="shared" ref="B232:AG232" si="104">+B217*B178*B163</f>
        <v>0</v>
      </c>
      <c r="C232" s="414">
        <f t="shared" si="104"/>
        <v>0</v>
      </c>
      <c r="D232" s="414">
        <f t="shared" si="104"/>
        <v>0</v>
      </c>
      <c r="E232" s="414">
        <f t="shared" si="104"/>
        <v>0</v>
      </c>
      <c r="F232" s="414">
        <f t="shared" si="104"/>
        <v>0</v>
      </c>
      <c r="G232" s="414">
        <f t="shared" si="104"/>
        <v>0</v>
      </c>
      <c r="H232" s="414">
        <f t="shared" si="104"/>
        <v>0</v>
      </c>
      <c r="I232" s="414">
        <f t="shared" si="104"/>
        <v>4.055589276680404E-5</v>
      </c>
      <c r="J232" s="414">
        <f t="shared" si="104"/>
        <v>3.3881569493522676E-5</v>
      </c>
      <c r="K232" s="414">
        <f t="shared" si="104"/>
        <v>3.0407169213241301E-5</v>
      </c>
      <c r="L232" s="414">
        <f t="shared" si="104"/>
        <v>2.6992792883636E-5</v>
      </c>
      <c r="M232" s="414">
        <f t="shared" si="104"/>
        <v>2.4330399067497376E-5</v>
      </c>
      <c r="N232" s="414">
        <f t="shared" si="104"/>
        <v>2.2375322037414813E-5</v>
      </c>
      <c r="O232" s="414">
        <f t="shared" si="104"/>
        <v>2.0748261333841122E-5</v>
      </c>
      <c r="P232" s="414">
        <f t="shared" si="104"/>
        <v>1.9633119882375938E-5</v>
      </c>
      <c r="Q232" s="414">
        <f t="shared" si="104"/>
        <v>1.8763097631081242E-5</v>
      </c>
      <c r="R232" s="414">
        <f t="shared" si="104"/>
        <v>1.8106040504532981E-5</v>
      </c>
      <c r="S232" s="414">
        <f t="shared" si="104"/>
        <v>1.7630947138067396E-5</v>
      </c>
      <c r="T232" s="414">
        <f t="shared" si="104"/>
        <v>1.7097887719552309E-5</v>
      </c>
      <c r="U232" s="414">
        <f t="shared" si="104"/>
        <v>1.62950638772004E-5</v>
      </c>
      <c r="V232" s="414">
        <f t="shared" si="104"/>
        <v>1.5982352060008595E-5</v>
      </c>
      <c r="W232" s="414">
        <f t="shared" si="104"/>
        <v>1.7177294966133104E-5</v>
      </c>
      <c r="X232" s="414">
        <f t="shared" si="104"/>
        <v>1.8904436235890558E-5</v>
      </c>
      <c r="Y232" s="414">
        <f t="shared" si="104"/>
        <v>2.03940276517097E-5</v>
      </c>
      <c r="Z232" s="414">
        <f t="shared" si="104"/>
        <v>2.1799430232698906E-5</v>
      </c>
      <c r="AA232" s="414">
        <f t="shared" si="104"/>
        <v>2.3117283650207617E-5</v>
      </c>
      <c r="AB232" s="414">
        <f t="shared" si="104"/>
        <v>11.283246576591331</v>
      </c>
      <c r="AC232" s="414">
        <f t="shared" si="104"/>
        <v>11.482850241757328</v>
      </c>
      <c r="AD232" s="414">
        <f t="shared" si="104"/>
        <v>11.624107278017567</v>
      </c>
      <c r="AE232" s="414">
        <f t="shared" si="104"/>
        <v>11.678153600357899</v>
      </c>
      <c r="AF232" s="414">
        <f t="shared" si="104"/>
        <v>11.154473960376047</v>
      </c>
      <c r="AG232" s="414">
        <f t="shared" si="104"/>
        <v>11.368931235030209</v>
      </c>
      <c r="AH232" s="414">
        <f t="shared" ref="AH232:BI232" si="105">+AH217*AH178*AH163</f>
        <v>11.49602992059752</v>
      </c>
      <c r="AI232" s="414">
        <f t="shared" si="105"/>
        <v>165.50718291253196</v>
      </c>
      <c r="AJ232" s="414">
        <f t="shared" si="105"/>
        <v>332.23288333533151</v>
      </c>
      <c r="AK232" s="414">
        <f t="shared" si="105"/>
        <v>429.14435239880044</v>
      </c>
      <c r="AL232" s="414">
        <f t="shared" si="105"/>
        <v>481.89520688695575</v>
      </c>
      <c r="AM232" s="414">
        <f t="shared" si="105"/>
        <v>511.72818917573068</v>
      </c>
      <c r="AN232" s="414">
        <f t="shared" si="105"/>
        <v>529.4116092038239</v>
      </c>
      <c r="AO232" s="414">
        <f t="shared" si="105"/>
        <v>540.44397193049815</v>
      </c>
      <c r="AP232" s="414">
        <f t="shared" si="105"/>
        <v>547.71366217147909</v>
      </c>
      <c r="AQ232" s="414">
        <f t="shared" si="105"/>
        <v>552.77248167473601</v>
      </c>
      <c r="AR232" s="414">
        <f t="shared" si="105"/>
        <v>556.47115903899862</v>
      </c>
      <c r="AS232" s="414">
        <f t="shared" si="105"/>
        <v>559.28713263804707</v>
      </c>
      <c r="AT232" s="414">
        <f t="shared" si="105"/>
        <v>561.49696584328615</v>
      </c>
      <c r="AU232" s="414">
        <f t="shared" si="105"/>
        <v>563.26802790551517</v>
      </c>
      <c r="AV232" s="414">
        <f t="shared" si="105"/>
        <v>564.70754548797049</v>
      </c>
      <c r="AW232" s="414">
        <f t="shared" si="105"/>
        <v>565.88895711150133</v>
      </c>
      <c r="AX232" s="414">
        <f t="shared" si="105"/>
        <v>566.86613347211005</v>
      </c>
      <c r="AY232" s="414">
        <f t="shared" si="105"/>
        <v>567.68109793817644</v>
      </c>
      <c r="AZ232" s="414">
        <f t="shared" si="105"/>
        <v>568.36826142633515</v>
      </c>
      <c r="BA232" s="414">
        <f t="shared" si="105"/>
        <v>568.9567858801081</v>
      </c>
      <c r="BB232" s="414">
        <f t="shared" si="105"/>
        <v>569.47194093501878</v>
      </c>
      <c r="BC232" s="414">
        <f t="shared" si="105"/>
        <v>569.93591670817955</v>
      </c>
      <c r="BD232" s="414">
        <f t="shared" si="105"/>
        <v>570.36834050131881</v>
      </c>
      <c r="BE232" s="414">
        <f t="shared" si="105"/>
        <v>263.30859783555832</v>
      </c>
      <c r="BF232" s="414">
        <f t="shared" si="105"/>
        <v>115.77006656736019</v>
      </c>
      <c r="BG232" s="414">
        <f t="shared" si="105"/>
        <v>46.483483782976919</v>
      </c>
      <c r="BH232" s="414">
        <f t="shared" si="105"/>
        <v>15.123629292709488</v>
      </c>
      <c r="BI232" s="414">
        <f t="shared" si="105"/>
        <v>1.8138397824916455</v>
      </c>
    </row>
    <row r="233" spans="1:61" x14ac:dyDescent="0.15">
      <c r="A233" s="12" t="s">
        <v>58</v>
      </c>
      <c r="B233" s="414">
        <f t="shared" ref="B233:AG233" si="106">+B218*B179*B164</f>
        <v>0</v>
      </c>
      <c r="C233" s="414">
        <f t="shared" si="106"/>
        <v>0</v>
      </c>
      <c r="D233" s="414">
        <f t="shared" si="106"/>
        <v>0</v>
      </c>
      <c r="E233" s="414">
        <f t="shared" si="106"/>
        <v>2.1274405232047674E-4</v>
      </c>
      <c r="F233" s="414">
        <f t="shared" si="106"/>
        <v>1.6419760075127591E-4</v>
      </c>
      <c r="G233" s="414">
        <f t="shared" si="106"/>
        <v>1.2509626290758974E-4</v>
      </c>
      <c r="H233" s="414">
        <f t="shared" si="106"/>
        <v>1.0560991425932542E-4</v>
      </c>
      <c r="I233" s="414">
        <f t="shared" si="106"/>
        <v>1.0233582512596761E-4</v>
      </c>
      <c r="J233" s="414">
        <f t="shared" si="106"/>
        <v>8.9615965846532501E-5</v>
      </c>
      <c r="K233" s="414">
        <f t="shared" si="106"/>
        <v>7.8214677150052075E-5</v>
      </c>
      <c r="L233" s="414">
        <f t="shared" si="106"/>
        <v>7.1838695289942712E-5</v>
      </c>
      <c r="M233" s="414">
        <f t="shared" si="106"/>
        <v>6.4748544186839929E-5</v>
      </c>
      <c r="N233" s="414">
        <f t="shared" si="106"/>
        <v>5.8993240535774881E-5</v>
      </c>
      <c r="O233" s="414">
        <f t="shared" si="106"/>
        <v>5.5190316924648212E-5</v>
      </c>
      <c r="P233" s="414">
        <f t="shared" si="106"/>
        <v>5.3432295774751702E-5</v>
      </c>
      <c r="Q233" s="414">
        <f t="shared" si="106"/>
        <v>5.1419409450423508E-5</v>
      </c>
      <c r="R233" s="414">
        <f t="shared" si="106"/>
        <v>5.0396861122614042E-5</v>
      </c>
      <c r="S233" s="414">
        <f t="shared" si="106"/>
        <v>4.9684151150048621E-5</v>
      </c>
      <c r="T233" s="414">
        <f t="shared" si="106"/>
        <v>4.8416382109016478E-5</v>
      </c>
      <c r="U233" s="414">
        <f t="shared" si="106"/>
        <v>4.4544428890527937E-5</v>
      </c>
      <c r="V233" s="414">
        <f t="shared" si="106"/>
        <v>4.4862267244052685E-5</v>
      </c>
      <c r="W233" s="414">
        <f t="shared" si="106"/>
        <v>4.8705214286478599E-5</v>
      </c>
      <c r="X233" s="414">
        <f t="shared" si="106"/>
        <v>5.1628976478410467E-5</v>
      </c>
      <c r="Y233" s="414">
        <f t="shared" si="106"/>
        <v>5.4499659922178726E-5</v>
      </c>
      <c r="Z233" s="414">
        <f t="shared" si="106"/>
        <v>5.6570280986569463E-5</v>
      </c>
      <c r="AA233" s="414">
        <f t="shared" si="106"/>
        <v>5.7959948787643054E-5</v>
      </c>
      <c r="AB233" s="414">
        <f t="shared" si="106"/>
        <v>32.460230962397659</v>
      </c>
      <c r="AC233" s="414">
        <f t="shared" si="106"/>
        <v>32.33044879937259</v>
      </c>
      <c r="AD233" s="414">
        <f t="shared" si="106"/>
        <v>32.076798947070401</v>
      </c>
      <c r="AE233" s="414">
        <f t="shared" si="106"/>
        <v>31.457662283598054</v>
      </c>
      <c r="AF233" s="414">
        <f t="shared" si="106"/>
        <v>28.529738258233394</v>
      </c>
      <c r="AG233" s="414">
        <f t="shared" si="106"/>
        <v>29.73709834991519</v>
      </c>
      <c r="AH233" s="414">
        <f t="shared" ref="AH233:BI233" si="107">+AH218*AH179*AH164</f>
        <v>29.993241548179103</v>
      </c>
      <c r="AI233" s="414">
        <f t="shared" si="107"/>
        <v>278.92000872102653</v>
      </c>
      <c r="AJ233" s="414">
        <f t="shared" si="107"/>
        <v>492.16030183794271</v>
      </c>
      <c r="AK233" s="414">
        <f t="shared" si="107"/>
        <v>610.54206457932207</v>
      </c>
      <c r="AL233" s="414">
        <f t="shared" si="107"/>
        <v>673.91872048375831</v>
      </c>
      <c r="AM233" s="414">
        <f t="shared" si="107"/>
        <v>708.7672354464961</v>
      </c>
      <c r="AN233" s="414">
        <f t="shared" si="107"/>
        <v>728.49563978512174</v>
      </c>
      <c r="AO233" s="414">
        <f t="shared" si="107"/>
        <v>739.99229813182217</v>
      </c>
      <c r="AP233" s="414">
        <f t="shared" si="107"/>
        <v>746.8866984770624</v>
      </c>
      <c r="AQ233" s="414">
        <f t="shared" si="107"/>
        <v>751.12968780770348</v>
      </c>
      <c r="AR233" s="414">
        <f t="shared" si="107"/>
        <v>753.78891468503252</v>
      </c>
      <c r="AS233" s="414">
        <f t="shared" si="107"/>
        <v>755.46104734840605</v>
      </c>
      <c r="AT233" s="414">
        <f t="shared" si="107"/>
        <v>756.48913885361503</v>
      </c>
      <c r="AU233" s="414">
        <f t="shared" si="107"/>
        <v>757.07837447820043</v>
      </c>
      <c r="AV233" s="414">
        <f t="shared" si="107"/>
        <v>757.35806441230875</v>
      </c>
      <c r="AW233" s="414">
        <f t="shared" si="107"/>
        <v>757.41498473278739</v>
      </c>
      <c r="AX233" s="414">
        <f t="shared" si="107"/>
        <v>757.31138693692526</v>
      </c>
      <c r="AY233" s="414">
        <f t="shared" si="107"/>
        <v>757.09478651196389</v>
      </c>
      <c r="AZ233" s="414">
        <f t="shared" si="107"/>
        <v>756.80333707106536</v>
      </c>
      <c r="BA233" s="414">
        <f t="shared" si="107"/>
        <v>756.46883035864857</v>
      </c>
      <c r="BB233" s="414">
        <f t="shared" si="107"/>
        <v>756.11841619956886</v>
      </c>
      <c r="BC233" s="414">
        <f t="shared" si="107"/>
        <v>755.77562914112161</v>
      </c>
      <c r="BD233" s="414">
        <f t="shared" si="107"/>
        <v>755.46103650969792</v>
      </c>
      <c r="BE233" s="414">
        <f t="shared" si="107"/>
        <v>352.17361805546119</v>
      </c>
      <c r="BF233" s="414">
        <f t="shared" si="107"/>
        <v>157.45784874191173</v>
      </c>
      <c r="BG233" s="414">
        <f t="shared" si="107"/>
        <v>65.318050158712524</v>
      </c>
      <c r="BH233" s="414">
        <f t="shared" si="107"/>
        <v>23.090257676588617</v>
      </c>
      <c r="BI233" s="414">
        <f t="shared" si="107"/>
        <v>4.7599297900513431</v>
      </c>
    </row>
    <row r="234" spans="1:61" x14ac:dyDescent="0.15">
      <c r="A234" s="12" t="s">
        <v>114</v>
      </c>
      <c r="B234" s="414">
        <f t="shared" ref="B234:AG234" si="108">+B219*B180*B165</f>
        <v>0</v>
      </c>
      <c r="C234" s="414">
        <f t="shared" si="108"/>
        <v>2.5764871675063624E-4</v>
      </c>
      <c r="D234" s="414">
        <f t="shared" si="108"/>
        <v>2.0034108519184697E-4</v>
      </c>
      <c r="E234" s="414">
        <f t="shared" si="108"/>
        <v>1.5779000002914083E-4</v>
      </c>
      <c r="F234" s="414">
        <f t="shared" si="108"/>
        <v>1.1610171161154767E-4</v>
      </c>
      <c r="G234" s="414">
        <f t="shared" si="108"/>
        <v>8.7393647383333039E-5</v>
      </c>
      <c r="H234" s="414">
        <f t="shared" si="108"/>
        <v>7.0745341284663278E-5</v>
      </c>
      <c r="I234" s="414">
        <f t="shared" si="108"/>
        <v>6.6961232620692103E-5</v>
      </c>
      <c r="J234" s="414">
        <f t="shared" si="108"/>
        <v>5.4969111690114522E-5</v>
      </c>
      <c r="K234" s="414">
        <f t="shared" si="108"/>
        <v>4.9285748208409386E-5</v>
      </c>
      <c r="L234" s="414">
        <f t="shared" si="108"/>
        <v>4.5175914748411323E-5</v>
      </c>
      <c r="M234" s="414">
        <f t="shared" si="108"/>
        <v>4.0651190711844416E-5</v>
      </c>
      <c r="N234" s="414">
        <f t="shared" si="108"/>
        <v>3.7731930600795508E-5</v>
      </c>
      <c r="O234" s="414">
        <f t="shared" si="108"/>
        <v>3.470330140114199E-5</v>
      </c>
      <c r="P234" s="414">
        <f t="shared" si="108"/>
        <v>3.286871835092607E-5</v>
      </c>
      <c r="Q234" s="414">
        <f t="shared" si="108"/>
        <v>3.1140823537189699E-5</v>
      </c>
      <c r="R234" s="414">
        <f t="shared" si="108"/>
        <v>2.9781602572361218E-5</v>
      </c>
      <c r="S234" s="414">
        <f t="shared" si="108"/>
        <v>2.8760379909035968E-5</v>
      </c>
      <c r="T234" s="414">
        <f t="shared" si="108"/>
        <v>2.7284676652961281E-5</v>
      </c>
      <c r="U234" s="414">
        <f t="shared" si="108"/>
        <v>2.5314190048868311E-5</v>
      </c>
      <c r="V234" s="414">
        <f t="shared" si="108"/>
        <v>2.4947421114962447E-5</v>
      </c>
      <c r="W234" s="414">
        <f t="shared" si="108"/>
        <v>2.754229524744722E-5</v>
      </c>
      <c r="X234" s="414">
        <f t="shared" si="108"/>
        <v>2.9774603343579592E-5</v>
      </c>
      <c r="Y234" s="414">
        <f t="shared" si="108"/>
        <v>3.2015062800872769E-5</v>
      </c>
      <c r="Z234" s="414">
        <f t="shared" si="108"/>
        <v>3.4153046745637068E-5</v>
      </c>
      <c r="AA234" s="414">
        <f t="shared" si="108"/>
        <v>3.5785130818088828E-5</v>
      </c>
      <c r="AB234" s="414">
        <f t="shared" si="108"/>
        <v>17.548574227616399</v>
      </c>
      <c r="AC234" s="414">
        <f t="shared" si="108"/>
        <v>17.842766248092747</v>
      </c>
      <c r="AD234" s="414">
        <f t="shared" si="108"/>
        <v>18.046569516669454</v>
      </c>
      <c r="AE234" s="414">
        <f t="shared" si="108"/>
        <v>17.987135748112543</v>
      </c>
      <c r="AF234" s="414">
        <f t="shared" si="108"/>
        <v>17.028148219304274</v>
      </c>
      <c r="AG234" s="414">
        <f t="shared" si="108"/>
        <v>17.417726978830782</v>
      </c>
      <c r="AH234" s="414">
        <f t="shared" ref="AH234:BI234" si="109">+AH219*AH180*AH165</f>
        <v>17.445686834149921</v>
      </c>
      <c r="AI234" s="414">
        <f t="shared" si="109"/>
        <v>86.569519125942605</v>
      </c>
      <c r="AJ234" s="414">
        <f t="shared" si="109"/>
        <v>128.08013155581691</v>
      </c>
      <c r="AK234" s="414">
        <f t="shared" si="109"/>
        <v>150.30063504720971</v>
      </c>
      <c r="AL234" s="414">
        <f t="shared" si="109"/>
        <v>162.308684914521</v>
      </c>
      <c r="AM234" s="414">
        <f t="shared" si="109"/>
        <v>169.02200574466971</v>
      </c>
      <c r="AN234" s="414">
        <f t="shared" si="109"/>
        <v>172.90999897817511</v>
      </c>
      <c r="AO234" s="414">
        <f t="shared" si="109"/>
        <v>175.24794242674383</v>
      </c>
      <c r="AP234" s="414">
        <f t="shared" si="109"/>
        <v>176.7108999825185</v>
      </c>
      <c r="AQ234" s="414">
        <f t="shared" si="109"/>
        <v>177.66310526577246</v>
      </c>
      <c r="AR234" s="414">
        <f t="shared" si="109"/>
        <v>178.30476746689172</v>
      </c>
      <c r="AS234" s="414">
        <f t="shared" si="109"/>
        <v>178.74850303160912</v>
      </c>
      <c r="AT234" s="414">
        <f t="shared" si="109"/>
        <v>179.05971787722666</v>
      </c>
      <c r="AU234" s="414">
        <f t="shared" si="109"/>
        <v>179.2781183787844</v>
      </c>
      <c r="AV234" s="414">
        <f t="shared" si="109"/>
        <v>179.42922707110165</v>
      </c>
      <c r="AW234" s="414">
        <f t="shared" si="109"/>
        <v>179.53057203472454</v>
      </c>
      <c r="AX234" s="414">
        <f t="shared" si="109"/>
        <v>179.59502915183089</v>
      </c>
      <c r="AY234" s="414">
        <f t="shared" si="109"/>
        <v>179.63263979641187</v>
      </c>
      <c r="AZ234" s="414">
        <f t="shared" si="109"/>
        <v>179.65161100654456</v>
      </c>
      <c r="BA234" s="414">
        <f t="shared" si="109"/>
        <v>179.65887645816943</v>
      </c>
      <c r="BB234" s="414">
        <f t="shared" si="109"/>
        <v>179.66042073468631</v>
      </c>
      <c r="BC234" s="414">
        <f t="shared" si="109"/>
        <v>179.66147530320617</v>
      </c>
      <c r="BD234" s="414">
        <f t="shared" si="109"/>
        <v>179.66664426743932</v>
      </c>
      <c r="BE234" s="414">
        <f t="shared" si="109"/>
        <v>82.887867392231058</v>
      </c>
      <c r="BF234" s="414">
        <f t="shared" si="109"/>
        <v>36.422659989931063</v>
      </c>
      <c r="BG234" s="414">
        <f t="shared" si="109"/>
        <v>14.616662295589496</v>
      </c>
      <c r="BH234" s="414">
        <f t="shared" si="109"/>
        <v>4.7533507467109821</v>
      </c>
      <c r="BI234" s="414">
        <f t="shared" si="109"/>
        <v>0.56984262238726713</v>
      </c>
    </row>
    <row r="235" spans="1:61" x14ac:dyDescent="0.15">
      <c r="A235" s="207" t="s">
        <v>1012</v>
      </c>
      <c r="B235" s="414">
        <f t="shared" ref="B235:AG235" si="110">+B220*B181*B166</f>
        <v>0</v>
      </c>
      <c r="C235" s="414">
        <f t="shared" si="110"/>
        <v>0</v>
      </c>
      <c r="D235" s="414">
        <f t="shared" si="110"/>
        <v>0</v>
      </c>
      <c r="E235" s="414">
        <f t="shared" si="110"/>
        <v>0</v>
      </c>
      <c r="F235" s="414">
        <f t="shared" si="110"/>
        <v>1.8352703764768443E-4</v>
      </c>
      <c r="G235" s="414">
        <f t="shared" si="110"/>
        <v>1.432099515968448E-4</v>
      </c>
      <c r="H235" s="414">
        <f t="shared" si="110"/>
        <v>1.1985495484497E-4</v>
      </c>
      <c r="I235" s="414">
        <f t="shared" si="110"/>
        <v>1.1148410967119689E-4</v>
      </c>
      <c r="J235" s="414">
        <f t="shared" si="110"/>
        <v>8.7393938587549853E-5</v>
      </c>
      <c r="K235" s="414">
        <f t="shared" si="110"/>
        <v>7.6555843286456332E-5</v>
      </c>
      <c r="L235" s="414">
        <f t="shared" si="110"/>
        <v>6.9980119622047013E-5</v>
      </c>
      <c r="M235" s="414">
        <f t="shared" si="110"/>
        <v>6.3891884770533058E-5</v>
      </c>
      <c r="N235" s="414">
        <f t="shared" si="110"/>
        <v>5.9948724894416312E-5</v>
      </c>
      <c r="O235" s="414">
        <f t="shared" si="110"/>
        <v>5.6928149555593883E-5</v>
      </c>
      <c r="P235" s="414">
        <f t="shared" si="110"/>
        <v>5.4826819603512337E-5</v>
      </c>
      <c r="Q235" s="414">
        <f t="shared" si="110"/>
        <v>5.3058632137369799E-5</v>
      </c>
      <c r="R235" s="414">
        <f t="shared" si="110"/>
        <v>5.1721794256960171E-5</v>
      </c>
      <c r="S235" s="414">
        <f t="shared" si="110"/>
        <v>5.0944750370432455E-5</v>
      </c>
      <c r="T235" s="414">
        <f t="shared" si="110"/>
        <v>4.9609827214831511E-5</v>
      </c>
      <c r="U235" s="414">
        <f t="shared" si="110"/>
        <v>4.7794784351675789E-5</v>
      </c>
      <c r="V235" s="414">
        <f t="shared" si="110"/>
        <v>4.7602932045353937E-5</v>
      </c>
      <c r="W235" s="414">
        <f t="shared" si="110"/>
        <v>5.2130384604917268E-5</v>
      </c>
      <c r="X235" s="414">
        <f t="shared" si="110"/>
        <v>5.7341146410264614E-5</v>
      </c>
      <c r="Y235" s="414">
        <f t="shared" si="110"/>
        <v>6.2127294844770815E-5</v>
      </c>
      <c r="Z235" s="414">
        <f t="shared" si="110"/>
        <v>6.6856044823560118E-5</v>
      </c>
      <c r="AA235" s="414">
        <f t="shared" si="110"/>
        <v>7.172392604226524E-5</v>
      </c>
      <c r="AB235" s="414">
        <f t="shared" si="110"/>
        <v>39.217800470451358</v>
      </c>
      <c r="AC235" s="414">
        <f t="shared" si="110"/>
        <v>40.500396829245403</v>
      </c>
      <c r="AD235" s="414">
        <f t="shared" si="110"/>
        <v>41.75348598985758</v>
      </c>
      <c r="AE235" s="414">
        <f t="shared" si="110"/>
        <v>42.653057535376675</v>
      </c>
      <c r="AF235" s="414">
        <f t="shared" si="110"/>
        <v>40.350633612834692</v>
      </c>
      <c r="AG235" s="414">
        <f t="shared" si="110"/>
        <v>40.589300845794227</v>
      </c>
      <c r="AH235" s="414">
        <f t="shared" ref="AH235:BI235" si="111">+AH220*AH181*AH166</f>
        <v>41.270116581527887</v>
      </c>
      <c r="AI235" s="414">
        <f t="shared" si="111"/>
        <v>527.27830900610286</v>
      </c>
      <c r="AJ235" s="414">
        <f t="shared" si="111"/>
        <v>1021.9864833158799</v>
      </c>
      <c r="AK235" s="414">
        <f t="shared" si="111"/>
        <v>1306.3121381634121</v>
      </c>
      <c r="AL235" s="414">
        <f t="shared" si="111"/>
        <v>1460.726835260532</v>
      </c>
      <c r="AM235" s="414">
        <f t="shared" si="111"/>
        <v>1547.5187372908733</v>
      </c>
      <c r="AN235" s="414">
        <f t="shared" si="111"/>
        <v>1598.3864190822701</v>
      </c>
      <c r="AO235" s="414">
        <f t="shared" si="111"/>
        <v>1629.5834118477878</v>
      </c>
      <c r="AP235" s="414">
        <f t="shared" si="111"/>
        <v>1649.669260240006</v>
      </c>
      <c r="AQ235" s="414">
        <f t="shared" si="111"/>
        <v>1663.249874140336</v>
      </c>
      <c r="AR235" s="414">
        <f t="shared" si="111"/>
        <v>1672.8527807418391</v>
      </c>
      <c r="AS235" s="414">
        <f t="shared" si="111"/>
        <v>1679.8970509323517</v>
      </c>
      <c r="AT235" s="414">
        <f t="shared" si="111"/>
        <v>1685.2044443937746</v>
      </c>
      <c r="AU235" s="414">
        <f t="shared" si="111"/>
        <v>1689.2716127762901</v>
      </c>
      <c r="AV235" s="414">
        <f t="shared" si="111"/>
        <v>1692.4159330781763</v>
      </c>
      <c r="AW235" s="414">
        <f t="shared" si="111"/>
        <v>1694.8539674176202</v>
      </c>
      <c r="AX235" s="414">
        <f t="shared" si="111"/>
        <v>1696.7438579701934</v>
      </c>
      <c r="AY235" s="414">
        <f t="shared" si="111"/>
        <v>1698.2083780100813</v>
      </c>
      <c r="AZ235" s="414">
        <f t="shared" si="111"/>
        <v>1699.3475952309909</v>
      </c>
      <c r="BA235" s="414">
        <f t="shared" si="111"/>
        <v>1700.2459498196165</v>
      </c>
      <c r="BB235" s="414">
        <f t="shared" si="111"/>
        <v>1700.9763229487858</v>
      </c>
      <c r="BC235" s="414">
        <f t="shared" si="111"/>
        <v>1701.6024767788583</v>
      </c>
      <c r="BD235" s="414">
        <f t="shared" si="111"/>
        <v>1702.1806063075585</v>
      </c>
      <c r="BE235" s="414">
        <f t="shared" si="111"/>
        <v>790.09435832192389</v>
      </c>
      <c r="BF235" s="414">
        <f t="shared" si="111"/>
        <v>350.62173592014341</v>
      </c>
      <c r="BG235" s="414">
        <f t="shared" si="111"/>
        <v>143.34459644395693</v>
      </c>
      <c r="BH235" s="414">
        <f t="shared" si="111"/>
        <v>48.872447389240293</v>
      </c>
      <c r="BI235" s="414">
        <f t="shared" si="111"/>
        <v>8.2736709701835949</v>
      </c>
    </row>
    <row r="236" spans="1:61" x14ac:dyDescent="0.15">
      <c r="B236" s="414">
        <f t="shared" ref="B236:AG236" si="112">SUM(B224:B235)</f>
        <v>0</v>
      </c>
      <c r="C236" s="414">
        <f t="shared" si="112"/>
        <v>2.8943252811879064E-3</v>
      </c>
      <c r="D236" s="414">
        <f t="shared" si="112"/>
        <v>2.4049513608781319E-3</v>
      </c>
      <c r="E236" s="414">
        <f t="shared" si="112"/>
        <v>2.2403468098291072E-3</v>
      </c>
      <c r="F236" s="414">
        <f t="shared" si="112"/>
        <v>1.841080173086818E-3</v>
      </c>
      <c r="G236" s="414">
        <f t="shared" si="112"/>
        <v>1.4283385390555516E-3</v>
      </c>
      <c r="H236" s="414">
        <f t="shared" si="112"/>
        <v>1.1380898452673298E-3</v>
      </c>
      <c r="I236" s="414">
        <f t="shared" si="112"/>
        <v>1.1148890400167538E-3</v>
      </c>
      <c r="J236" s="414">
        <f t="shared" si="112"/>
        <v>9.2569389368985541E-4</v>
      </c>
      <c r="K236" s="414">
        <f t="shared" si="112"/>
        <v>8.0072790884025652E-4</v>
      </c>
      <c r="L236" s="414">
        <f t="shared" si="112"/>
        <v>7.1928481118836241E-4</v>
      </c>
      <c r="M236" s="414">
        <f t="shared" si="112"/>
        <v>6.4159459681717901E-4</v>
      </c>
      <c r="N236" s="414">
        <f t="shared" si="112"/>
        <v>5.8025319407538801E-4</v>
      </c>
      <c r="O236" s="414">
        <f t="shared" si="112"/>
        <v>5.3353913964790227E-4</v>
      </c>
      <c r="P236" s="414">
        <f t="shared" si="112"/>
        <v>5.0189584796302622E-4</v>
      </c>
      <c r="Q236" s="414">
        <f t="shared" si="112"/>
        <v>4.7291911729912368E-4</v>
      </c>
      <c r="R236" s="414">
        <f t="shared" si="112"/>
        <v>4.5088210323084368E-4</v>
      </c>
      <c r="S236" s="414">
        <f t="shared" si="112"/>
        <v>4.3265184489007955E-4</v>
      </c>
      <c r="T236" s="414">
        <f t="shared" si="112"/>
        <v>4.0762524194257134E-4</v>
      </c>
      <c r="U236" s="414">
        <f t="shared" si="112"/>
        <v>3.7416885675757089E-4</v>
      </c>
      <c r="V236" s="414">
        <f t="shared" si="112"/>
        <v>3.6447362790930954E-4</v>
      </c>
      <c r="W236" s="414">
        <f t="shared" si="112"/>
        <v>4.1746576129725571E-4</v>
      </c>
      <c r="X236" s="414">
        <f t="shared" si="112"/>
        <v>4.6649406411306362E-4</v>
      </c>
      <c r="Y236" s="414">
        <f t="shared" si="112"/>
        <v>5.1476081428748158E-4</v>
      </c>
      <c r="Z236" s="414">
        <f t="shared" si="112"/>
        <v>5.6284652391601819E-4</v>
      </c>
      <c r="AA236" s="414">
        <f t="shared" si="112"/>
        <v>6.0989547928349121E-4</v>
      </c>
      <c r="AB236" s="414">
        <f t="shared" si="112"/>
        <v>306.34950117019332</v>
      </c>
      <c r="AC236" s="414">
        <f t="shared" si="112"/>
        <v>314.3193044943734</v>
      </c>
      <c r="AD236" s="414">
        <f t="shared" si="112"/>
        <v>320.60901238156293</v>
      </c>
      <c r="AE236" s="414">
        <f t="shared" si="112"/>
        <v>323.44241578545439</v>
      </c>
      <c r="AF236" s="414">
        <f t="shared" si="112"/>
        <v>305.89027913129684</v>
      </c>
      <c r="AG236" s="414">
        <f t="shared" si="112"/>
        <v>317.82227448526464</v>
      </c>
      <c r="AH236" s="414">
        <f t="shared" ref="AH236:BI236" si="113">SUM(AH224:AH235)</f>
        <v>321.76533669604856</v>
      </c>
      <c r="AI236" s="414">
        <f t="shared" si="113"/>
        <v>2309.8874902726416</v>
      </c>
      <c r="AJ236" s="414">
        <f t="shared" si="113"/>
        <v>4092.4807336580202</v>
      </c>
      <c r="AK236" s="414">
        <f t="shared" si="113"/>
        <v>5106.3878302137609</v>
      </c>
      <c r="AL236" s="414">
        <f t="shared" si="113"/>
        <v>5662.1133822350585</v>
      </c>
      <c r="AM236" s="414">
        <f t="shared" si="113"/>
        <v>5978.9557748892048</v>
      </c>
      <c r="AN236" s="414">
        <f t="shared" si="113"/>
        <v>6168.2551505080701</v>
      </c>
      <c r="AO236" s="414">
        <f t="shared" si="113"/>
        <v>6287.2962321732748</v>
      </c>
      <c r="AP236" s="414">
        <f t="shared" si="113"/>
        <v>6366.3504889398146</v>
      </c>
      <c r="AQ236" s="414">
        <f t="shared" si="113"/>
        <v>6421.7608670408217</v>
      </c>
      <c r="AR236" s="414">
        <f t="shared" si="113"/>
        <v>6462.5287911100841</v>
      </c>
      <c r="AS236" s="414">
        <f t="shared" si="113"/>
        <v>6493.7319635746562</v>
      </c>
      <c r="AT236" s="414">
        <f t="shared" si="113"/>
        <v>6518.3296188517843</v>
      </c>
      <c r="AU236" s="414">
        <f t="shared" si="113"/>
        <v>6538.125485808363</v>
      </c>
      <c r="AV236" s="414">
        <f t="shared" si="113"/>
        <v>6554.284379985711</v>
      </c>
      <c r="AW236" s="414">
        <f t="shared" si="113"/>
        <v>6567.6104709071278</v>
      </c>
      <c r="AX236" s="414">
        <f t="shared" si="113"/>
        <v>6578.697836484087</v>
      </c>
      <c r="AY236" s="414">
        <f t="shared" si="113"/>
        <v>6588.0124557211793</v>
      </c>
      <c r="AZ236" s="414">
        <f t="shared" si="113"/>
        <v>6595.937352948843</v>
      </c>
      <c r="BA236" s="414">
        <f t="shared" si="113"/>
        <v>6602.7979114623549</v>
      </c>
      <c r="BB236" s="414">
        <f t="shared" si="113"/>
        <v>6608.8764894312535</v>
      </c>
      <c r="BC236" s="414">
        <f t="shared" si="113"/>
        <v>6614.4212382598334</v>
      </c>
      <c r="BD236" s="414">
        <f t="shared" si="113"/>
        <v>6619.6517520769576</v>
      </c>
      <c r="BE236" s="414">
        <f t="shared" si="113"/>
        <v>3050.8391517637083</v>
      </c>
      <c r="BF236" s="414">
        <f t="shared" si="113"/>
        <v>1337.6753896878211</v>
      </c>
      <c r="BG236" s="414">
        <f t="shared" si="113"/>
        <v>534.1946740277757</v>
      </c>
      <c r="BH236" s="414">
        <f t="shared" si="113"/>
        <v>171.28315250644363</v>
      </c>
      <c r="BI236" s="414">
        <f t="shared" si="113"/>
        <v>25.394697486553756</v>
      </c>
    </row>
    <row r="237" spans="1:61" x14ac:dyDescent="0.15">
      <c r="M237" s="19"/>
    </row>
    <row r="238" spans="1:61" x14ac:dyDescent="0.15">
      <c r="A238" s="19" t="s">
        <v>1013</v>
      </c>
      <c r="M238" s="19"/>
    </row>
    <row r="239" spans="1:61" x14ac:dyDescent="0.15">
      <c r="A239" s="12" t="s">
        <v>104</v>
      </c>
      <c r="B239" s="414">
        <f t="shared" ref="B239:AG239" si="114">+B170*B155</f>
        <v>0</v>
      </c>
      <c r="C239" s="414">
        <f t="shared" si="114"/>
        <v>0.94946114093826617</v>
      </c>
      <c r="D239" s="414">
        <f t="shared" si="114"/>
        <v>0.74024761331230982</v>
      </c>
      <c r="E239" s="414">
        <f t="shared" si="114"/>
        <v>0.56525977359247404</v>
      </c>
      <c r="F239" s="414">
        <f t="shared" si="114"/>
        <v>0.39413654435154583</v>
      </c>
      <c r="G239" s="414">
        <f t="shared" si="114"/>
        <v>0.27791750154697276</v>
      </c>
      <c r="H239" s="414">
        <f t="shared" si="114"/>
        <v>0.21611983130261223</v>
      </c>
      <c r="I239" s="414">
        <f t="shared" si="114"/>
        <v>0.20545828851677922</v>
      </c>
      <c r="J239" s="414">
        <f t="shared" si="114"/>
        <v>0.17089394424713186</v>
      </c>
      <c r="K239" s="414">
        <f t="shared" si="114"/>
        <v>0.14662132216249976</v>
      </c>
      <c r="L239" s="414">
        <f t="shared" si="114"/>
        <v>0.12866371060127685</v>
      </c>
      <c r="M239" s="414">
        <f t="shared" si="114"/>
        <v>0.11175674419249916</v>
      </c>
      <c r="N239" s="414">
        <f t="shared" si="114"/>
        <v>9.889019240695486E-2</v>
      </c>
      <c r="O239" s="414">
        <f t="shared" si="114"/>
        <v>8.9156981337399341E-2</v>
      </c>
      <c r="P239" s="414">
        <f t="shared" si="114"/>
        <v>8.2099141857673558E-2</v>
      </c>
      <c r="Q239" s="414">
        <f t="shared" si="114"/>
        <v>7.6001320214741902E-2</v>
      </c>
      <c r="R239" s="414">
        <f t="shared" si="114"/>
        <v>7.0528669963745433E-2</v>
      </c>
      <c r="S239" s="414">
        <f t="shared" si="114"/>
        <v>6.5602052173110603E-2</v>
      </c>
      <c r="T239" s="414">
        <f t="shared" si="114"/>
        <v>6.0125296360822693E-2</v>
      </c>
      <c r="U239" s="414">
        <f t="shared" si="114"/>
        <v>5.3825717702820242E-2</v>
      </c>
      <c r="V239" s="414">
        <f t="shared" si="114"/>
        <v>5.1030512646089023E-2</v>
      </c>
      <c r="W239" s="414">
        <f t="shared" si="114"/>
        <v>5.9542012842958167E-2</v>
      </c>
      <c r="X239" s="414">
        <f t="shared" si="114"/>
        <v>6.7873069034604841E-2</v>
      </c>
      <c r="Y239" s="414">
        <f t="shared" si="114"/>
        <v>7.5398913903845496E-2</v>
      </c>
      <c r="Z239" s="414">
        <f t="shared" si="114"/>
        <v>8.2796723970411365E-2</v>
      </c>
      <c r="AA239" s="414">
        <f t="shared" si="114"/>
        <v>9.0182360598198119E-2</v>
      </c>
      <c r="AB239" s="414">
        <f t="shared" si="114"/>
        <v>9.6297335402709683E-2</v>
      </c>
      <c r="AC239" s="414">
        <f t="shared" si="114"/>
        <v>0.10260174165730515</v>
      </c>
      <c r="AD239" s="414">
        <f t="shared" si="114"/>
        <v>0.10936243756814232</v>
      </c>
      <c r="AE239" s="414">
        <f t="shared" si="114"/>
        <v>0.11520561502473421</v>
      </c>
      <c r="AF239" s="414">
        <f t="shared" si="114"/>
        <v>0.11482453318169362</v>
      </c>
      <c r="AG239" s="414">
        <f t="shared" si="114"/>
        <v>0.12420601163108064</v>
      </c>
      <c r="AH239" s="414">
        <f t="shared" ref="AH239:BI239" si="115">+AH170*AH155</f>
        <v>0.12882228088278078</v>
      </c>
      <c r="AI239" s="414">
        <f t="shared" si="115"/>
        <v>1E-3</v>
      </c>
      <c r="AJ239" s="414">
        <f t="shared" si="115"/>
        <v>1E-3</v>
      </c>
      <c r="AK239" s="414">
        <f t="shared" si="115"/>
        <v>1E-3</v>
      </c>
      <c r="AL239" s="414">
        <f t="shared" si="115"/>
        <v>1E-3</v>
      </c>
      <c r="AM239" s="414">
        <f t="shared" si="115"/>
        <v>1E-3</v>
      </c>
      <c r="AN239" s="414">
        <f t="shared" si="115"/>
        <v>1E-3</v>
      </c>
      <c r="AO239" s="414">
        <f t="shared" si="115"/>
        <v>1E-3</v>
      </c>
      <c r="AP239" s="414">
        <f t="shared" si="115"/>
        <v>1E-3</v>
      </c>
      <c r="AQ239" s="414">
        <f t="shared" si="115"/>
        <v>1E-3</v>
      </c>
      <c r="AR239" s="414">
        <f t="shared" si="115"/>
        <v>1E-3</v>
      </c>
      <c r="AS239" s="414">
        <f t="shared" si="115"/>
        <v>1E-3</v>
      </c>
      <c r="AT239" s="414">
        <f t="shared" si="115"/>
        <v>1E-3</v>
      </c>
      <c r="AU239" s="414">
        <f t="shared" si="115"/>
        <v>1E-3</v>
      </c>
      <c r="AV239" s="414">
        <f t="shared" si="115"/>
        <v>1E-3</v>
      </c>
      <c r="AW239" s="414">
        <f t="shared" si="115"/>
        <v>1E-3</v>
      </c>
      <c r="AX239" s="414">
        <f t="shared" si="115"/>
        <v>1E-3</v>
      </c>
      <c r="AY239" s="414">
        <f t="shared" si="115"/>
        <v>1E-3</v>
      </c>
      <c r="AZ239" s="414">
        <f t="shared" si="115"/>
        <v>1E-3</v>
      </c>
      <c r="BA239" s="414">
        <f t="shared" si="115"/>
        <v>1E-3</v>
      </c>
      <c r="BB239" s="414">
        <f t="shared" si="115"/>
        <v>1E-3</v>
      </c>
      <c r="BC239" s="414">
        <f t="shared" si="115"/>
        <v>1E-3</v>
      </c>
      <c r="BD239" s="414">
        <f t="shared" si="115"/>
        <v>1E-3</v>
      </c>
      <c r="BE239" s="414">
        <f t="shared" si="115"/>
        <v>1E-3</v>
      </c>
      <c r="BF239" s="414">
        <f t="shared" si="115"/>
        <v>1E-3</v>
      </c>
      <c r="BG239" s="414">
        <f t="shared" si="115"/>
        <v>1E-3</v>
      </c>
      <c r="BH239" s="414">
        <f t="shared" si="115"/>
        <v>1E-3</v>
      </c>
      <c r="BI239" s="414">
        <f t="shared" si="115"/>
        <v>1E-3</v>
      </c>
    </row>
    <row r="240" spans="1:61" x14ac:dyDescent="0.15">
      <c r="A240" s="12" t="s">
        <v>105</v>
      </c>
      <c r="B240" s="414">
        <f t="shared" ref="B240:AG240" si="116">+B171*B156</f>
        <v>0</v>
      </c>
      <c r="C240" s="414">
        <f t="shared" si="116"/>
        <v>0.82983986567046175</v>
      </c>
      <c r="D240" s="414">
        <f t="shared" si="116"/>
        <v>0.67346369593886857</v>
      </c>
      <c r="E240" s="414">
        <f t="shared" si="116"/>
        <v>0.53546042495483259</v>
      </c>
      <c r="F240" s="414">
        <f t="shared" si="116"/>
        <v>0.40812866154537641</v>
      </c>
      <c r="G240" s="414">
        <f t="shared" si="116"/>
        <v>0.32312342969616986</v>
      </c>
      <c r="H240" s="414">
        <f t="shared" si="116"/>
        <v>0.27136943054113494</v>
      </c>
      <c r="I240" s="414">
        <f t="shared" si="116"/>
        <v>0.25816428050298418</v>
      </c>
      <c r="J240" s="414">
        <f t="shared" si="116"/>
        <v>0.22812397076849961</v>
      </c>
      <c r="K240" s="414">
        <f t="shared" si="116"/>
        <v>0.2049054143722239</v>
      </c>
      <c r="L240" s="414">
        <f t="shared" si="116"/>
        <v>0.19031514529102381</v>
      </c>
      <c r="M240" s="414">
        <f t="shared" si="116"/>
        <v>0.17507000990769925</v>
      </c>
      <c r="N240" s="414">
        <f t="shared" si="116"/>
        <v>0.1617762269069799</v>
      </c>
      <c r="O240" s="414">
        <f t="shared" si="116"/>
        <v>0.15049785287058223</v>
      </c>
      <c r="P240" s="414">
        <f t="shared" si="116"/>
        <v>0.14308198455720261</v>
      </c>
      <c r="Q240" s="414">
        <f t="shared" si="116"/>
        <v>0.13618282770763965</v>
      </c>
      <c r="R240" s="414">
        <f t="shared" si="116"/>
        <v>0.13173878787551679</v>
      </c>
      <c r="S240" s="414">
        <f t="shared" si="116"/>
        <v>0.12772153893342791</v>
      </c>
      <c r="T240" s="414">
        <f t="shared" si="116"/>
        <v>0.12104471951231628</v>
      </c>
      <c r="U240" s="414">
        <f t="shared" si="116"/>
        <v>0.10964913939859136</v>
      </c>
      <c r="V240" s="414">
        <f t="shared" si="116"/>
        <v>0.10667458169157405</v>
      </c>
      <c r="W240" s="414">
        <f t="shared" si="116"/>
        <v>0.11240686516900066</v>
      </c>
      <c r="X240" s="414">
        <f t="shared" si="116"/>
        <v>0.11515972439614473</v>
      </c>
      <c r="Y240" s="414">
        <f t="shared" si="116"/>
        <v>0.11852139997882892</v>
      </c>
      <c r="Z240" s="414">
        <f t="shared" si="116"/>
        <v>0.12309132732896011</v>
      </c>
      <c r="AA240" s="414">
        <f t="shared" si="116"/>
        <v>0.12809705346013267</v>
      </c>
      <c r="AB240" s="414">
        <f t="shared" si="116"/>
        <v>0.1322277266228474</v>
      </c>
      <c r="AC240" s="414">
        <f t="shared" si="116"/>
        <v>0.13766152895397896</v>
      </c>
      <c r="AD240" s="414">
        <f t="shared" si="116"/>
        <v>0.14152769100124316</v>
      </c>
      <c r="AE240" s="414">
        <f t="shared" si="116"/>
        <v>0.14463260660440586</v>
      </c>
      <c r="AF240" s="414">
        <f t="shared" si="116"/>
        <v>0.13712481041288227</v>
      </c>
      <c r="AG240" s="414">
        <f t="shared" si="116"/>
        <v>0.14670720795933606</v>
      </c>
      <c r="AH240" s="414">
        <f t="shared" ref="AH240:BI240" si="117">+AH171*AH156</f>
        <v>0.15235166683505882</v>
      </c>
      <c r="AI240" s="414">
        <f t="shared" si="117"/>
        <v>0.72755144382850567</v>
      </c>
      <c r="AJ240" s="414">
        <f t="shared" si="117"/>
        <v>1.0874540702030371</v>
      </c>
      <c r="AK240" s="414">
        <f t="shared" si="117"/>
        <v>1.3041837056788375</v>
      </c>
      <c r="AL240" s="414">
        <f t="shared" si="117"/>
        <v>1.4432030745306281</v>
      </c>
      <c r="AM240" s="414">
        <f t="shared" si="117"/>
        <v>1.5411046265415806</v>
      </c>
      <c r="AN240" s="414">
        <f t="shared" si="117"/>
        <v>1.616710750789617</v>
      </c>
      <c r="AO240" s="414">
        <f t="shared" si="117"/>
        <v>1.6799497146082862</v>
      </c>
      <c r="AP240" s="414">
        <f t="shared" si="117"/>
        <v>1.7361659297758398</v>
      </c>
      <c r="AQ240" s="414">
        <f t="shared" si="117"/>
        <v>1.7882705915785024</v>
      </c>
      <c r="AR240" s="414">
        <f t="shared" si="117"/>
        <v>1.8378602745902823</v>
      </c>
      <c r="AS240" s="414">
        <f t="shared" si="117"/>
        <v>1.8858146761091212</v>
      </c>
      <c r="AT240" s="414">
        <f t="shared" si="117"/>
        <v>1.93262087735941</v>
      </c>
      <c r="AU240" s="414">
        <f t="shared" si="117"/>
        <v>1.9785506073297108</v>
      </c>
      <c r="AV240" s="414">
        <f t="shared" si="117"/>
        <v>2.0237574928263222</v>
      </c>
      <c r="AW240" s="414">
        <f t="shared" si="117"/>
        <v>2.0683304809372154</v>
      </c>
      <c r="AX240" s="414">
        <f t="shared" si="117"/>
        <v>2.1123231880040709</v>
      </c>
      <c r="AY240" s="414">
        <f t="shared" si="117"/>
        <v>2.1557700135014564</v>
      </c>
      <c r="AZ240" s="414">
        <f t="shared" si="117"/>
        <v>2.1986949779792568</v>
      </c>
      <c r="BA240" s="414">
        <f t="shared" si="117"/>
        <v>2.2411165632599328</v>
      </c>
      <c r="BB240" s="414">
        <f t="shared" si="117"/>
        <v>2.2830503577351062</v>
      </c>
      <c r="BC240" s="414">
        <f t="shared" si="117"/>
        <v>2.3245104975344395</v>
      </c>
      <c r="BD240" s="414">
        <f t="shared" si="117"/>
        <v>2.3655104475558231</v>
      </c>
      <c r="BE240" s="414">
        <f t="shared" si="117"/>
        <v>2.2132090905526534</v>
      </c>
      <c r="BF240" s="414">
        <f t="shared" si="117"/>
        <v>1.9913746016163418</v>
      </c>
      <c r="BG240" s="414">
        <f t="shared" si="117"/>
        <v>1.6721639098847834</v>
      </c>
      <c r="BH240" s="414">
        <f t="shared" si="117"/>
        <v>1.2168255759480078</v>
      </c>
      <c r="BI240" s="414">
        <f t="shared" si="117"/>
        <v>0.57125740093336064</v>
      </c>
    </row>
    <row r="241" spans="1:309" x14ac:dyDescent="0.15">
      <c r="A241" s="12" t="s">
        <v>51</v>
      </c>
      <c r="B241" s="414">
        <f t="shared" ref="B241:AG241" si="118">+B172*B157</f>
        <v>0</v>
      </c>
      <c r="C241" s="414">
        <f t="shared" si="118"/>
        <v>0.34151373352683312</v>
      </c>
      <c r="D241" s="414">
        <f t="shared" si="118"/>
        <v>0.26738359536221723</v>
      </c>
      <c r="E241" s="414">
        <f t="shared" si="118"/>
        <v>0.20592770863216125</v>
      </c>
      <c r="F241" s="414">
        <f t="shared" si="118"/>
        <v>0.15154660821102767</v>
      </c>
      <c r="G241" s="414">
        <f t="shared" si="118"/>
        <v>0.11723719007178916</v>
      </c>
      <c r="H241" s="414">
        <f t="shared" si="118"/>
        <v>9.7517431723906436E-2</v>
      </c>
      <c r="I241" s="414">
        <f t="shared" si="118"/>
        <v>8.9211055755280599E-2</v>
      </c>
      <c r="J241" s="414">
        <f t="shared" si="118"/>
        <v>7.4436675094724347E-2</v>
      </c>
      <c r="K241" s="414">
        <f t="shared" si="118"/>
        <v>6.4083753114296982E-2</v>
      </c>
      <c r="L241" s="414">
        <f t="shared" si="118"/>
        <v>5.8060483510449006E-2</v>
      </c>
      <c r="M241" s="414">
        <f t="shared" si="118"/>
        <v>5.2128276482757384E-2</v>
      </c>
      <c r="N241" s="414">
        <f t="shared" si="118"/>
        <v>4.7074016366003647E-2</v>
      </c>
      <c r="O241" s="414">
        <f t="shared" si="118"/>
        <v>4.3456208029731866E-2</v>
      </c>
      <c r="P241" s="414">
        <f t="shared" si="118"/>
        <v>4.0697865566703177E-2</v>
      </c>
      <c r="Q241" s="414">
        <f t="shared" si="118"/>
        <v>3.8224638639601086E-2</v>
      </c>
      <c r="R241" s="414">
        <f t="shared" si="118"/>
        <v>3.597721792815084E-2</v>
      </c>
      <c r="S241" s="414">
        <f t="shared" si="118"/>
        <v>3.4109246681669238E-2</v>
      </c>
      <c r="T241" s="414">
        <f t="shared" si="118"/>
        <v>3.1587932188988505E-2</v>
      </c>
      <c r="U241" s="414">
        <f t="shared" si="118"/>
        <v>2.8024975865741188E-2</v>
      </c>
      <c r="V241" s="414">
        <f t="shared" si="118"/>
        <v>2.7535688545123657E-2</v>
      </c>
      <c r="W241" s="414">
        <f t="shared" si="118"/>
        <v>2.825090177188528E-2</v>
      </c>
      <c r="X241" s="414">
        <f t="shared" si="118"/>
        <v>2.9246896987700503E-2</v>
      </c>
      <c r="Y241" s="414">
        <f t="shared" si="118"/>
        <v>3.0353592925399221E-2</v>
      </c>
      <c r="Z241" s="414">
        <f t="shared" si="118"/>
        <v>3.087671938876712E-2</v>
      </c>
      <c r="AA241" s="414">
        <f t="shared" si="118"/>
        <v>3.1718169426665332E-2</v>
      </c>
      <c r="AB241" s="414">
        <f t="shared" si="118"/>
        <v>3.2246719215905238E-2</v>
      </c>
      <c r="AC241" s="414">
        <f t="shared" si="118"/>
        <v>3.3014286867066131E-2</v>
      </c>
      <c r="AD241" s="414">
        <f t="shared" si="118"/>
        <v>3.3394238395743236E-2</v>
      </c>
      <c r="AE241" s="414">
        <f t="shared" si="118"/>
        <v>3.337113151216918E-2</v>
      </c>
      <c r="AF241" s="414">
        <f t="shared" si="118"/>
        <v>3.2044899196453924E-2</v>
      </c>
      <c r="AG241" s="414">
        <f t="shared" si="118"/>
        <v>3.2878170628671627E-2</v>
      </c>
      <c r="AH241" s="414">
        <f t="shared" ref="AH241:BI241" si="119">+AH172*AH157</f>
        <v>3.316253492682731E-2</v>
      </c>
      <c r="AI241" s="414">
        <f t="shared" si="119"/>
        <v>0.14552879292531137</v>
      </c>
      <c r="AJ241" s="414">
        <f t="shared" si="119"/>
        <v>0.21165685740707271</v>
      </c>
      <c r="AK241" s="414">
        <f t="shared" si="119"/>
        <v>0.25163967839989548</v>
      </c>
      <c r="AL241" s="414">
        <f t="shared" si="119"/>
        <v>0.27738981481541419</v>
      </c>
      <c r="AM241" s="414">
        <f t="shared" si="119"/>
        <v>0.29557861090010812</v>
      </c>
      <c r="AN241" s="414">
        <f t="shared" si="119"/>
        <v>0.30965771206329212</v>
      </c>
      <c r="AO241" s="414">
        <f t="shared" si="119"/>
        <v>0.32145572194349814</v>
      </c>
      <c r="AP241" s="414">
        <f t="shared" si="119"/>
        <v>0.33195986752333989</v>
      </c>
      <c r="AQ241" s="414">
        <f t="shared" si="119"/>
        <v>0.34170903292277766</v>
      </c>
      <c r="AR241" s="414">
        <f t="shared" si="119"/>
        <v>0.3509992031064188</v>
      </c>
      <c r="AS241" s="414">
        <f t="shared" si="119"/>
        <v>0.35999361005984432</v>
      </c>
      <c r="AT241" s="414">
        <f t="shared" si="119"/>
        <v>0.36878263225891883</v>
      </c>
      <c r="AU241" s="414">
        <f t="shared" si="119"/>
        <v>0.37741660937768928</v>
      </c>
      <c r="AV241" s="414">
        <f t="shared" si="119"/>
        <v>0.38592388157075813</v>
      </c>
      <c r="AW241" s="414">
        <f t="shared" si="119"/>
        <v>0.39432071966824356</v>
      </c>
      <c r="AX241" s="414">
        <f t="shared" si="119"/>
        <v>0.402616792727163</v>
      </c>
      <c r="AY241" s="414">
        <f t="shared" si="119"/>
        <v>0.41081817726255282</v>
      </c>
      <c r="AZ241" s="414">
        <f t="shared" si="119"/>
        <v>0.41892901216066192</v>
      </c>
      <c r="BA241" s="414">
        <f t="shared" si="119"/>
        <v>0.42695240773368304</v>
      </c>
      <c r="BB241" s="414">
        <f t="shared" si="119"/>
        <v>0.4348909442051348</v>
      </c>
      <c r="BC241" s="414">
        <f t="shared" si="119"/>
        <v>0.44274694428417494</v>
      </c>
      <c r="BD241" s="414">
        <f t="shared" si="119"/>
        <v>0.45052262145558508</v>
      </c>
      <c r="BE241" s="414">
        <f t="shared" si="119"/>
        <v>0.42149222442308726</v>
      </c>
      <c r="BF241" s="414">
        <f t="shared" si="119"/>
        <v>0.3792311130898835</v>
      </c>
      <c r="BG241" s="414">
        <f t="shared" si="119"/>
        <v>0.31843448324513368</v>
      </c>
      <c r="BH241" s="414">
        <f t="shared" si="119"/>
        <v>0.23172094292444717</v>
      </c>
      <c r="BI241" s="414">
        <f t="shared" si="119"/>
        <v>0.10878511340348331</v>
      </c>
    </row>
    <row r="242" spans="1:309" x14ac:dyDescent="0.15">
      <c r="A242" s="12" t="s">
        <v>52</v>
      </c>
      <c r="B242" s="414">
        <f t="shared" ref="B242:AG242" si="120">+B173*B158</f>
        <v>0</v>
      </c>
      <c r="C242" s="414">
        <f t="shared" si="120"/>
        <v>0.51586182430170824</v>
      </c>
      <c r="D242" s="414">
        <f t="shared" si="120"/>
        <v>0.32045702037596918</v>
      </c>
      <c r="E242" s="414">
        <f t="shared" si="120"/>
        <v>0.20628447891605431</v>
      </c>
      <c r="F242" s="414">
        <f t="shared" si="120"/>
        <v>0.10625150043170456</v>
      </c>
      <c r="G242" s="414">
        <f t="shared" si="120"/>
        <v>5.8016141692188161E-2</v>
      </c>
      <c r="H242" s="414">
        <f t="shared" si="120"/>
        <v>3.4454925441485242E-2</v>
      </c>
      <c r="I242" s="414">
        <f t="shared" si="120"/>
        <v>3.2280217740465154E-2</v>
      </c>
      <c r="J242" s="414">
        <f t="shared" si="120"/>
        <v>1.9872588784471928E-2</v>
      </c>
      <c r="K242" s="414">
        <f t="shared" si="120"/>
        <v>1.3612507310934129E-2</v>
      </c>
      <c r="L242" s="414">
        <f t="shared" si="120"/>
        <v>9.6199067273853248E-3</v>
      </c>
      <c r="M242" s="414">
        <f t="shared" si="120"/>
        <v>6.2358721627521147E-3</v>
      </c>
      <c r="N242" s="414">
        <f t="shared" si="120"/>
        <v>3.4688939941991811E-3</v>
      </c>
      <c r="O242" s="414">
        <f t="shared" si="120"/>
        <v>1.1464246095161566E-3</v>
      </c>
      <c r="P242" s="414">
        <f t="shared" si="120"/>
        <v>-8.2743149785873091E-4</v>
      </c>
      <c r="Q242" s="414">
        <f t="shared" si="120"/>
        <v>-2.5463959648780641E-3</v>
      </c>
      <c r="R242" s="414">
        <f t="shared" si="120"/>
        <v>-4.0927809419327391E-3</v>
      </c>
      <c r="S242" s="414">
        <f t="shared" si="120"/>
        <v>-5.4654832317141636E-3</v>
      </c>
      <c r="T242" s="414">
        <f t="shared" si="120"/>
        <v>-6.6411952335982145E-3</v>
      </c>
      <c r="U242" s="414">
        <f t="shared" si="120"/>
        <v>-6.7916786377599488E-3</v>
      </c>
      <c r="V242" s="414">
        <f t="shared" si="120"/>
        <v>-7.651070898653127E-3</v>
      </c>
      <c r="W242" s="414">
        <f t="shared" si="120"/>
        <v>-2.7697325746650478E-3</v>
      </c>
      <c r="X242" s="414">
        <f t="shared" si="120"/>
        <v>1.9588898381833787E-3</v>
      </c>
      <c r="Y242" s="414">
        <f t="shared" si="120"/>
        <v>6.400434369302199E-3</v>
      </c>
      <c r="Z242" s="414">
        <f t="shared" si="120"/>
        <v>1.0426569309747391E-2</v>
      </c>
      <c r="AA242" s="414">
        <f t="shared" si="120"/>
        <v>1.3720518878588691E-2</v>
      </c>
      <c r="AB242" s="414">
        <f t="shared" si="120"/>
        <v>1.6895007259332562E-2</v>
      </c>
      <c r="AC242" s="414">
        <f t="shared" si="120"/>
        <v>2.0081433541602203E-2</v>
      </c>
      <c r="AD242" s="414">
        <f t="shared" si="120"/>
        <v>2.3300617610118091E-2</v>
      </c>
      <c r="AE242" s="414">
        <f t="shared" si="120"/>
        <v>2.6246151605301998E-2</v>
      </c>
      <c r="AF242" s="414">
        <f t="shared" si="120"/>
        <v>2.7670523835830817E-2</v>
      </c>
      <c r="AG242" s="414">
        <f t="shared" si="120"/>
        <v>3.1225324205941676E-2</v>
      </c>
      <c r="AH242" s="414">
        <f t="shared" ref="AH242:BI242" si="121">+AH173*AH158</f>
        <v>3.2325323114458945E-2</v>
      </c>
      <c r="AI242" s="414">
        <f t="shared" si="121"/>
        <v>0.15218957911634998</v>
      </c>
      <c r="AJ242" s="414">
        <f t="shared" si="121"/>
        <v>0.23224512503272085</v>
      </c>
      <c r="AK242" s="414">
        <f t="shared" si="121"/>
        <v>0.28745928192270181</v>
      </c>
      <c r="AL242" s="414">
        <f t="shared" si="121"/>
        <v>0.32826567453933619</v>
      </c>
      <c r="AM242" s="414">
        <f t="shared" si="121"/>
        <v>0.36095821175190224</v>
      </c>
      <c r="AN242" s="414">
        <f t="shared" si="121"/>
        <v>0.38896751368017563</v>
      </c>
      <c r="AO242" s="414">
        <f t="shared" si="121"/>
        <v>0.41419809802568558</v>
      </c>
      <c r="AP242" s="414">
        <f t="shared" si="121"/>
        <v>0.43772289264073488</v>
      </c>
      <c r="AQ242" s="414">
        <f t="shared" si="121"/>
        <v>0.4601504682516005</v>
      </c>
      <c r="AR242" s="414">
        <f t="shared" si="121"/>
        <v>0.48182680456336674</v>
      </c>
      <c r="AS242" s="414">
        <f t="shared" si="121"/>
        <v>0.50294875434570163</v>
      </c>
      <c r="AT242" s="414">
        <f t="shared" si="121"/>
        <v>0.52362853117282337</v>
      </c>
      <c r="AU242" s="414">
        <f t="shared" si="121"/>
        <v>0.54393047700088415</v>
      </c>
      <c r="AV242" s="414">
        <f t="shared" si="121"/>
        <v>0.5638920090163283</v>
      </c>
      <c r="AW242" s="414">
        <f t="shared" si="121"/>
        <v>0.58353552074123993</v>
      </c>
      <c r="AX242" s="414">
        <f t="shared" si="121"/>
        <v>0.60287511852243947</v>
      </c>
      <c r="AY242" s="414">
        <f t="shared" si="121"/>
        <v>0.62192041788442631</v>
      </c>
      <c r="AZ242" s="414">
        <f t="shared" si="121"/>
        <v>0.6406786719389217</v>
      </c>
      <c r="BA242" s="414">
        <f t="shared" si="121"/>
        <v>0.65915595701047758</v>
      </c>
      <c r="BB242" s="414">
        <f t="shared" si="121"/>
        <v>0.67735782729275174</v>
      </c>
      <c r="BC242" s="414">
        <f t="shared" si="121"/>
        <v>0.69528967152555743</v>
      </c>
      <c r="BD242" s="414">
        <f t="shared" si="121"/>
        <v>0.7129569030265851</v>
      </c>
      <c r="BE242" s="414">
        <f t="shared" si="121"/>
        <v>0.62552848486339796</v>
      </c>
      <c r="BF242" s="414">
        <f t="shared" si="121"/>
        <v>0.500222852222588</v>
      </c>
      <c r="BG242" s="414">
        <f t="shared" si="121"/>
        <v>0.32191497719899803</v>
      </c>
      <c r="BH242" s="414">
        <f t="shared" si="121"/>
        <v>6.9518455255318343E-2</v>
      </c>
      <c r="BI242" s="414">
        <f t="shared" si="121"/>
        <v>0</v>
      </c>
    </row>
    <row r="243" spans="1:309" x14ac:dyDescent="0.15">
      <c r="A243" s="12" t="s">
        <v>53</v>
      </c>
      <c r="B243" s="414">
        <f t="shared" ref="B243:AG243" si="122">+B174*B159</f>
        <v>0</v>
      </c>
      <c r="C243" s="414">
        <f t="shared" si="122"/>
        <v>0</v>
      </c>
      <c r="D243" s="414">
        <f t="shared" si="122"/>
        <v>0.20305835069691791</v>
      </c>
      <c r="E243" s="414">
        <f t="shared" si="122"/>
        <v>0.12274056556398417</v>
      </c>
      <c r="F243" s="414">
        <f t="shared" si="122"/>
        <v>6.0438940728804014E-2</v>
      </c>
      <c r="G243" s="414">
        <f t="shared" si="122"/>
        <v>3.8602990427758846E-2</v>
      </c>
      <c r="H243" s="414">
        <f t="shared" si="122"/>
        <v>2.2922190695170538E-2</v>
      </c>
      <c r="I243" s="414">
        <f t="shared" si="122"/>
        <v>2.0535643183685552E-2</v>
      </c>
      <c r="J243" s="414">
        <f t="shared" si="122"/>
        <v>1.3090435384371444E-2</v>
      </c>
      <c r="K243" s="414">
        <f t="shared" si="122"/>
        <v>8.2179232908439395E-3</v>
      </c>
      <c r="L243" s="414">
        <f t="shared" si="122"/>
        <v>5.4184372005353304E-3</v>
      </c>
      <c r="M243" s="414">
        <f t="shared" si="122"/>
        <v>3.4837162187705511E-3</v>
      </c>
      <c r="N243" s="414">
        <f t="shared" si="122"/>
        <v>1.9200641786283874E-3</v>
      </c>
      <c r="O243" s="414">
        <f t="shared" si="122"/>
        <v>6.1898064702438761E-4</v>
      </c>
      <c r="P243" s="414">
        <f t="shared" si="122"/>
        <v>-4.4719114559859399E-4</v>
      </c>
      <c r="Q243" s="414">
        <f t="shared" si="122"/>
        <v>-1.3547896428525027E-3</v>
      </c>
      <c r="R243" s="414">
        <f t="shared" si="122"/>
        <v>-2.1569163227114748E-3</v>
      </c>
      <c r="S243" s="414">
        <f t="shared" si="122"/>
        <v>-2.8470458727249252E-3</v>
      </c>
      <c r="T243" s="414">
        <f t="shared" si="122"/>
        <v>-3.4217658022331716E-3</v>
      </c>
      <c r="U243" s="414">
        <f t="shared" si="122"/>
        <v>-3.5477555736687675E-3</v>
      </c>
      <c r="V243" s="414">
        <f t="shared" si="122"/>
        <v>-3.8955070590450287E-3</v>
      </c>
      <c r="W243" s="414">
        <f t="shared" si="122"/>
        <v>-1.4051797862411355E-3</v>
      </c>
      <c r="X243" s="414">
        <f t="shared" si="122"/>
        <v>9.6848126288685843E-4</v>
      </c>
      <c r="Y243" s="414">
        <f t="shared" si="122"/>
        <v>3.1653297364756744E-3</v>
      </c>
      <c r="Z243" s="414">
        <f t="shared" si="122"/>
        <v>5.1170456990389584E-3</v>
      </c>
      <c r="AA243" s="414">
        <f t="shared" si="122"/>
        <v>6.8424289688850497E-3</v>
      </c>
      <c r="AB243" s="414">
        <f t="shared" si="122"/>
        <v>8.560985702427042E-3</v>
      </c>
      <c r="AC243" s="414">
        <f t="shared" si="122"/>
        <v>1.0367435927667184E-2</v>
      </c>
      <c r="AD243" s="414">
        <f t="shared" si="122"/>
        <v>1.2154373893296499E-2</v>
      </c>
      <c r="AE243" s="414">
        <f t="shared" si="122"/>
        <v>1.38704234589571E-2</v>
      </c>
      <c r="AF243" s="414">
        <f t="shared" si="122"/>
        <v>1.4519751869620226E-2</v>
      </c>
      <c r="AG243" s="414">
        <f t="shared" si="122"/>
        <v>1.6384382000759402E-2</v>
      </c>
      <c r="AH243" s="414">
        <f t="shared" ref="AH243:BI243" si="123">+AH174*AH159</f>
        <v>1.7002901635922645E-2</v>
      </c>
      <c r="AI243" s="414">
        <f t="shared" si="123"/>
        <v>0.10734375032673876</v>
      </c>
      <c r="AJ243" s="414">
        <f t="shared" si="123"/>
        <v>0.17761589007557557</v>
      </c>
      <c r="AK243" s="414">
        <f t="shared" si="123"/>
        <v>0.2257628808523639</v>
      </c>
      <c r="AL243" s="414">
        <f t="shared" si="123"/>
        <v>0.26069854092571232</v>
      </c>
      <c r="AM243" s="414">
        <f t="shared" si="123"/>
        <v>0.28823490791942935</v>
      </c>
      <c r="AN243" s="414">
        <f t="shared" si="123"/>
        <v>0.31153172746745905</v>
      </c>
      <c r="AO243" s="414">
        <f t="shared" si="123"/>
        <v>0.3323321201291673</v>
      </c>
      <c r="AP243" s="414">
        <f t="shared" si="123"/>
        <v>0.35161359889834592</v>
      </c>
      <c r="AQ243" s="414">
        <f t="shared" si="123"/>
        <v>0.36992881268323885</v>
      </c>
      <c r="AR243" s="414">
        <f t="shared" si="123"/>
        <v>0.38759111295582249</v>
      </c>
      <c r="AS243" s="414">
        <f t="shared" si="123"/>
        <v>0.40477831281318088</v>
      </c>
      <c r="AT243" s="414">
        <f t="shared" si="123"/>
        <v>0.42159144903115225</v>
      </c>
      <c r="AU243" s="414">
        <f t="shared" si="123"/>
        <v>0.43808820707447571</v>
      </c>
      <c r="AV243" s="414">
        <f t="shared" si="123"/>
        <v>0.45430193103461092</v>
      </c>
      <c r="AW243" s="414">
        <f t="shared" si="123"/>
        <v>0.47025240824043663</v>
      </c>
      <c r="AX243" s="414">
        <f t="shared" si="123"/>
        <v>0.48595196442665439</v>
      </c>
      <c r="AY243" s="414">
        <f t="shared" si="123"/>
        <v>0.50140889241595599</v>
      </c>
      <c r="AZ243" s="414">
        <f t="shared" si="123"/>
        <v>0.51662936981046614</v>
      </c>
      <c r="BA243" s="414">
        <f t="shared" si="123"/>
        <v>0.53161852369866658</v>
      </c>
      <c r="BB243" s="414">
        <f t="shared" si="123"/>
        <v>0.5463810157414799</v>
      </c>
      <c r="BC243" s="414">
        <f t="shared" si="123"/>
        <v>0.5609213586960432</v>
      </c>
      <c r="BD243" s="414">
        <f t="shared" si="123"/>
        <v>0.57524408323537812</v>
      </c>
      <c r="BE243" s="414">
        <f t="shared" si="123"/>
        <v>0.50475799698882795</v>
      </c>
      <c r="BF243" s="414">
        <f t="shared" si="123"/>
        <v>0.40367635860055012</v>
      </c>
      <c r="BG243" s="414">
        <f t="shared" si="123"/>
        <v>0.25980074724084218</v>
      </c>
      <c r="BH243" s="414">
        <f t="shared" si="123"/>
        <v>5.6108311582030418E-2</v>
      </c>
      <c r="BI243" s="414">
        <f t="shared" si="123"/>
        <v>0</v>
      </c>
    </row>
    <row r="244" spans="1:309" x14ac:dyDescent="0.15">
      <c r="A244" s="12" t="s">
        <v>54</v>
      </c>
      <c r="B244" s="414">
        <f t="shared" ref="B244:AG244" si="124">+B175*B160</f>
        <v>0</v>
      </c>
      <c r="C244" s="414">
        <f t="shared" si="124"/>
        <v>0</v>
      </c>
      <c r="D244" s="414">
        <f t="shared" si="124"/>
        <v>0</v>
      </c>
      <c r="E244" s="414">
        <f t="shared" si="124"/>
        <v>0.23413980581993837</v>
      </c>
      <c r="F244" s="414">
        <f t="shared" si="124"/>
        <v>0.15646115240149497</v>
      </c>
      <c r="G244" s="414">
        <f t="shared" si="124"/>
        <v>0.10317743830256426</v>
      </c>
      <c r="H244" s="414">
        <f t="shared" si="124"/>
        <v>7.433667407621046E-2</v>
      </c>
      <c r="I244" s="414">
        <f t="shared" si="124"/>
        <v>7.1501551734375043E-2</v>
      </c>
      <c r="J244" s="414">
        <f t="shared" si="124"/>
        <v>5.4440731876457621E-2</v>
      </c>
      <c r="K244" s="414">
        <f t="shared" si="124"/>
        <v>4.2580525729376019E-2</v>
      </c>
      <c r="L244" s="414">
        <f t="shared" si="124"/>
        <v>3.4815538803712423E-2</v>
      </c>
      <c r="M244" s="414">
        <f t="shared" si="124"/>
        <v>2.9131128720020525E-2</v>
      </c>
      <c r="N244" s="414">
        <f t="shared" si="124"/>
        <v>2.4749598510853243E-2</v>
      </c>
      <c r="O244" s="414">
        <f t="shared" si="124"/>
        <v>2.1203595324354205E-2</v>
      </c>
      <c r="P244" s="414">
        <f t="shared" si="124"/>
        <v>1.8322131678206319E-2</v>
      </c>
      <c r="Q244" s="414">
        <f t="shared" si="124"/>
        <v>1.606977163255785E-2</v>
      </c>
      <c r="R244" s="414">
        <f t="shared" si="124"/>
        <v>1.4346583488151045E-2</v>
      </c>
      <c r="S244" s="414">
        <f t="shared" si="124"/>
        <v>1.3127349808148864E-2</v>
      </c>
      <c r="T244" s="414">
        <f t="shared" si="124"/>
        <v>1.1400902724524637E-2</v>
      </c>
      <c r="U244" s="414">
        <f t="shared" si="124"/>
        <v>9.7383525167694541E-3</v>
      </c>
      <c r="V244" s="414">
        <f t="shared" si="124"/>
        <v>8.2631904042684383E-3</v>
      </c>
      <c r="W244" s="414">
        <f t="shared" si="124"/>
        <v>1.9914506876128397E-2</v>
      </c>
      <c r="X244" s="414">
        <f t="shared" si="124"/>
        <v>3.1726651640957892E-2</v>
      </c>
      <c r="Y244" s="414">
        <f t="shared" si="124"/>
        <v>4.387934212118208E-2</v>
      </c>
      <c r="Z244" s="414">
        <f t="shared" si="124"/>
        <v>5.6294800770920035E-2</v>
      </c>
      <c r="AA244" s="414">
        <f t="shared" si="124"/>
        <v>6.889922010026045E-2</v>
      </c>
      <c r="AB244" s="414">
        <f t="shared" si="124"/>
        <v>8.1766506478360673E-2</v>
      </c>
      <c r="AC244" s="414">
        <f t="shared" si="124"/>
        <v>9.514252913505751E-2</v>
      </c>
      <c r="AD244" s="414">
        <f t="shared" si="124"/>
        <v>0.10881678662630692</v>
      </c>
      <c r="AE244" s="414">
        <f t="shared" si="124"/>
        <v>0.1220680255725433</v>
      </c>
      <c r="AF244" s="414">
        <f t="shared" si="124"/>
        <v>0.1308978244441836</v>
      </c>
      <c r="AG244" s="414">
        <f t="shared" si="124"/>
        <v>0.14775867955562186</v>
      </c>
      <c r="AH244" s="414">
        <f t="shared" ref="AH244:BI244" si="125">+AH175*AH160</f>
        <v>0.15739673450961753</v>
      </c>
      <c r="AI244" s="414">
        <f t="shared" si="125"/>
        <v>1.0868418816915053</v>
      </c>
      <c r="AJ244" s="414">
        <f t="shared" si="125"/>
        <v>1.8348125680202683</v>
      </c>
      <c r="AK244" s="414">
        <f t="shared" si="125"/>
        <v>2.3131375421938953</v>
      </c>
      <c r="AL244" s="414">
        <f t="shared" si="125"/>
        <v>2.6411411298874179</v>
      </c>
      <c r="AM244" s="414">
        <f t="shared" si="125"/>
        <v>2.8891388655275723</v>
      </c>
      <c r="AN244" s="414">
        <f t="shared" si="125"/>
        <v>3.0930768392672947</v>
      </c>
      <c r="AO244" s="414">
        <f t="shared" si="125"/>
        <v>3.2719483050381104</v>
      </c>
      <c r="AP244" s="414">
        <f t="shared" si="125"/>
        <v>3.4360464456952502</v>
      </c>
      <c r="AQ244" s="414">
        <f t="shared" si="125"/>
        <v>3.5910214459795364</v>
      </c>
      <c r="AR244" s="414">
        <f t="shared" si="125"/>
        <v>3.7399928290242079</v>
      </c>
      <c r="AS244" s="414">
        <f t="shared" si="125"/>
        <v>3.8846878197629739</v>
      </c>
      <c r="AT244" s="414">
        <f t="shared" si="125"/>
        <v>4.0260655145333883</v>
      </c>
      <c r="AU244" s="414">
        <f t="shared" si="125"/>
        <v>4.1646616399269956</v>
      </c>
      <c r="AV244" s="414">
        <f t="shared" si="125"/>
        <v>4.3007793705810968</v>
      </c>
      <c r="AW244" s="414">
        <f t="shared" si="125"/>
        <v>4.4345948706480955</v>
      </c>
      <c r="AX244" s="414">
        <f t="shared" si="125"/>
        <v>4.5662155442482923</v>
      </c>
      <c r="AY244" s="414">
        <f t="shared" si="125"/>
        <v>4.6957120876144494</v>
      </c>
      <c r="AZ244" s="414">
        <f t="shared" si="125"/>
        <v>4.823136057612941</v>
      </c>
      <c r="BA244" s="414">
        <f t="shared" si="125"/>
        <v>4.9485294528769508</v>
      </c>
      <c r="BB244" s="414">
        <f t="shared" si="125"/>
        <v>5.0719299016396864</v>
      </c>
      <c r="BC244" s="414">
        <f t="shared" si="125"/>
        <v>5.1933734395073774</v>
      </c>
      <c r="BD244" s="414">
        <f t="shared" si="125"/>
        <v>5.3128959685527235</v>
      </c>
      <c r="BE244" s="414">
        <f t="shared" si="125"/>
        <v>4.7330732584238708</v>
      </c>
      <c r="BF244" s="414">
        <f t="shared" si="125"/>
        <v>3.9020152467739435</v>
      </c>
      <c r="BG244" s="414">
        <f t="shared" si="125"/>
        <v>2.7196845016872926</v>
      </c>
      <c r="BH244" s="414">
        <f t="shared" si="125"/>
        <v>1.0466797393910097</v>
      </c>
      <c r="BI244" s="414">
        <f t="shared" si="125"/>
        <v>0</v>
      </c>
      <c r="BJ244" s="137"/>
      <c r="BK244" s="137"/>
      <c r="BL244" s="137"/>
      <c r="BM244" s="137"/>
      <c r="BN244" s="137"/>
      <c r="BO244" s="137"/>
      <c r="BP244" s="137"/>
      <c r="BQ244" s="137"/>
      <c r="BR244" s="137"/>
      <c r="BS244" s="137"/>
      <c r="BT244" s="137"/>
      <c r="BU244" s="137"/>
      <c r="BV244" s="137"/>
      <c r="BW244" s="137"/>
      <c r="BX244" s="137"/>
      <c r="BY244" s="137"/>
      <c r="BZ244" s="137"/>
      <c r="CA244" s="137"/>
      <c r="CB244" s="137"/>
      <c r="CC244" s="137"/>
      <c r="CD244" s="137"/>
      <c r="CE244" s="137"/>
      <c r="CF244" s="137"/>
      <c r="CG244" s="137"/>
      <c r="CH244" s="137"/>
      <c r="CI244" s="137"/>
      <c r="CJ244" s="137"/>
      <c r="CK244" s="137"/>
      <c r="CL244" s="137"/>
      <c r="CM244" s="137"/>
      <c r="CN244" s="137"/>
      <c r="CO244" s="137"/>
      <c r="CP244" s="137"/>
      <c r="CQ244" s="137"/>
      <c r="CR244" s="137"/>
      <c r="CS244" s="137"/>
      <c r="CT244" s="137"/>
      <c r="CU244" s="137"/>
      <c r="CV244" s="137"/>
      <c r="CW244" s="137"/>
      <c r="CX244" s="137"/>
      <c r="CY244" s="137"/>
      <c r="CZ244" s="137"/>
      <c r="DA244" s="137"/>
      <c r="DB244" s="137"/>
      <c r="DC244" s="137"/>
      <c r="DD244" s="137"/>
      <c r="DE244" s="137"/>
      <c r="DF244" s="137"/>
      <c r="DG244" s="137"/>
      <c r="DH244" s="137"/>
      <c r="DI244" s="137"/>
      <c r="DJ244" s="137"/>
      <c r="DK244" s="137"/>
      <c r="DL244" s="137"/>
      <c r="DM244" s="137"/>
      <c r="DN244" s="137"/>
      <c r="DO244" s="137"/>
      <c r="DP244" s="137"/>
      <c r="DQ244" s="137"/>
      <c r="DR244" s="137"/>
      <c r="DS244" s="137"/>
      <c r="DT244" s="137"/>
      <c r="DU244" s="137"/>
      <c r="DV244" s="137"/>
      <c r="DW244" s="137"/>
      <c r="DX244" s="137"/>
      <c r="DY244" s="137"/>
      <c r="DZ244" s="137"/>
      <c r="EA244" s="137"/>
      <c r="EB244" s="137"/>
      <c r="EC244" s="137"/>
      <c r="ED244" s="137"/>
      <c r="EE244" s="137"/>
      <c r="EF244" s="137"/>
      <c r="EG244" s="137"/>
      <c r="EH244" s="137"/>
      <c r="EI244" s="137"/>
      <c r="EJ244" s="137"/>
      <c r="EK244" s="137"/>
      <c r="EL244" s="137"/>
      <c r="EM244" s="137"/>
      <c r="EN244" s="137"/>
      <c r="EO244" s="137"/>
      <c r="EP244" s="137"/>
      <c r="EQ244" s="137"/>
      <c r="ER244" s="137"/>
      <c r="ES244" s="137"/>
      <c r="ET244" s="137"/>
      <c r="EU244" s="137"/>
      <c r="EV244" s="137"/>
      <c r="EW244" s="137"/>
      <c r="EX244" s="137"/>
      <c r="EY244" s="137"/>
      <c r="EZ244" s="137"/>
      <c r="FA244" s="137"/>
      <c r="FB244" s="137"/>
      <c r="FC244" s="137"/>
      <c r="FD244" s="137"/>
      <c r="FE244" s="137"/>
      <c r="FF244" s="137"/>
      <c r="FG244" s="137"/>
      <c r="FH244" s="137"/>
      <c r="FI244" s="137"/>
      <c r="FJ244" s="137"/>
      <c r="FK244" s="137"/>
      <c r="FL244" s="137"/>
      <c r="FM244" s="137"/>
      <c r="FN244" s="137"/>
      <c r="FO244" s="137"/>
      <c r="FP244" s="137"/>
      <c r="FQ244" s="137"/>
      <c r="FR244" s="137"/>
      <c r="FS244" s="137"/>
      <c r="FT244" s="137"/>
      <c r="FU244" s="137"/>
      <c r="FV244" s="137"/>
      <c r="FW244" s="137"/>
      <c r="FX244" s="137"/>
      <c r="FY244" s="137"/>
      <c r="FZ244" s="137"/>
      <c r="GA244" s="137"/>
      <c r="GB244" s="137"/>
      <c r="GC244" s="137"/>
      <c r="GD244" s="137"/>
      <c r="GE244" s="137"/>
      <c r="GF244" s="137"/>
      <c r="GG244" s="137"/>
      <c r="GH244" s="137"/>
      <c r="GI244" s="137"/>
      <c r="GJ244" s="137"/>
      <c r="GK244" s="137"/>
      <c r="GL244" s="137"/>
      <c r="GM244" s="137"/>
      <c r="GN244" s="137"/>
      <c r="GO244" s="137"/>
      <c r="GP244" s="137"/>
      <c r="GQ244" s="137"/>
      <c r="GR244" s="137"/>
      <c r="GS244" s="137"/>
      <c r="GT244" s="137"/>
      <c r="GU244" s="137"/>
      <c r="GV244" s="137"/>
      <c r="GW244" s="137"/>
      <c r="GX244" s="137"/>
      <c r="GY244" s="137"/>
      <c r="GZ244" s="137"/>
      <c r="HA244" s="137"/>
      <c r="HB244" s="137"/>
      <c r="HC244" s="137"/>
      <c r="HD244" s="137"/>
      <c r="HE244" s="137"/>
      <c r="HF244" s="137"/>
      <c r="HG244" s="137"/>
      <c r="HH244" s="137"/>
      <c r="HI244" s="137"/>
      <c r="HJ244" s="137"/>
      <c r="HK244" s="137"/>
      <c r="HL244" s="137"/>
      <c r="HM244" s="137"/>
      <c r="HN244" s="137"/>
      <c r="HO244" s="137"/>
      <c r="HP244" s="137"/>
      <c r="HQ244" s="137"/>
      <c r="HR244" s="137"/>
      <c r="HS244" s="137"/>
      <c r="HT244" s="137"/>
      <c r="HU244" s="137"/>
      <c r="HV244" s="137"/>
      <c r="HW244" s="137"/>
      <c r="HX244" s="137"/>
      <c r="HY244" s="137"/>
      <c r="HZ244" s="137"/>
      <c r="IA244" s="137"/>
      <c r="IB244" s="137"/>
      <c r="IC244" s="137"/>
      <c r="ID244" s="137"/>
      <c r="IE244" s="137"/>
      <c r="IF244" s="137"/>
      <c r="IG244" s="137"/>
      <c r="IH244" s="137"/>
      <c r="II244" s="137"/>
      <c r="IJ244" s="137"/>
      <c r="IK244" s="137"/>
      <c r="IL244" s="137"/>
      <c r="IM244" s="137"/>
      <c r="IN244" s="137"/>
      <c r="IO244" s="137"/>
      <c r="IP244" s="137"/>
      <c r="IQ244" s="137"/>
      <c r="IR244" s="137"/>
      <c r="IS244" s="137"/>
      <c r="IT244" s="137"/>
      <c r="IU244" s="137"/>
      <c r="IV244" s="137"/>
      <c r="IW244" s="137"/>
      <c r="IX244" s="137"/>
      <c r="IY244" s="137"/>
      <c r="IZ244" s="137"/>
      <c r="JA244" s="137"/>
      <c r="JB244" s="137"/>
      <c r="JC244" s="137"/>
      <c r="JD244" s="137"/>
      <c r="JE244" s="137"/>
      <c r="JF244" s="137"/>
      <c r="JG244" s="137"/>
      <c r="JH244" s="137"/>
      <c r="JI244" s="137"/>
      <c r="JJ244" s="137"/>
      <c r="JK244" s="137"/>
      <c r="JL244" s="137"/>
      <c r="JM244" s="137"/>
      <c r="JN244" s="137"/>
      <c r="JO244" s="137"/>
      <c r="JP244" s="137"/>
      <c r="JQ244" s="137"/>
      <c r="JR244" s="137"/>
      <c r="JS244" s="137"/>
      <c r="JT244" s="137"/>
      <c r="JU244" s="137"/>
      <c r="JV244" s="137"/>
      <c r="JW244" s="137"/>
      <c r="JX244" s="137"/>
      <c r="JY244" s="137"/>
      <c r="JZ244" s="137"/>
      <c r="KA244" s="137"/>
      <c r="KB244" s="137"/>
      <c r="KC244" s="137"/>
      <c r="KD244" s="137"/>
      <c r="KE244" s="137"/>
      <c r="KF244" s="137"/>
      <c r="KG244" s="137"/>
      <c r="KH244" s="137"/>
      <c r="KI244" s="137"/>
      <c r="KJ244" s="137"/>
      <c r="KK244" s="137"/>
      <c r="KL244" s="137"/>
      <c r="KM244" s="137"/>
      <c r="KN244" s="137"/>
      <c r="KO244" s="137"/>
      <c r="KP244" s="137"/>
      <c r="KQ244" s="137"/>
      <c r="KR244" s="137"/>
      <c r="KS244" s="137"/>
      <c r="KT244" s="137"/>
      <c r="KU244" s="137"/>
      <c r="KV244" s="137"/>
      <c r="KW244" s="137"/>
    </row>
    <row r="245" spans="1:309" x14ac:dyDescent="0.15">
      <c r="A245" s="12" t="s">
        <v>55</v>
      </c>
      <c r="B245" s="414">
        <f t="shared" ref="B245:AG245" si="126">+B176*B161</f>
        <v>0</v>
      </c>
      <c r="C245" s="414">
        <f t="shared" si="126"/>
        <v>0</v>
      </c>
      <c r="D245" s="414">
        <f t="shared" si="126"/>
        <v>0</v>
      </c>
      <c r="E245" s="414">
        <f t="shared" si="126"/>
        <v>0</v>
      </c>
      <c r="F245" s="414">
        <f t="shared" si="126"/>
        <v>0.10029041540594216</v>
      </c>
      <c r="G245" s="414">
        <f t="shared" si="126"/>
        <v>7.5587239884656474E-2</v>
      </c>
      <c r="H245" s="414">
        <f t="shared" si="126"/>
        <v>6.1776977314485379E-2</v>
      </c>
      <c r="I245" s="414">
        <f t="shared" si="126"/>
        <v>5.6942538947138716E-2</v>
      </c>
      <c r="J245" s="414">
        <f t="shared" si="126"/>
        <v>4.8734246563708221E-2</v>
      </c>
      <c r="K245" s="414">
        <f t="shared" si="126"/>
        <v>4.3942964797214899E-2</v>
      </c>
      <c r="L245" s="414">
        <f t="shared" si="126"/>
        <v>3.8821237832530213E-2</v>
      </c>
      <c r="M245" s="414">
        <f t="shared" si="126"/>
        <v>3.5280523419825675E-2</v>
      </c>
      <c r="N245" s="414">
        <f t="shared" si="126"/>
        <v>3.2132228293630688E-2</v>
      </c>
      <c r="O245" s="414">
        <f t="shared" si="126"/>
        <v>3.0690583125410471E-2</v>
      </c>
      <c r="P245" s="414">
        <f t="shared" si="126"/>
        <v>2.9644607176560436E-2</v>
      </c>
      <c r="Q245" s="414">
        <f t="shared" si="126"/>
        <v>2.8888557339960381E-2</v>
      </c>
      <c r="R245" s="414">
        <f t="shared" si="126"/>
        <v>2.8431585933356353E-2</v>
      </c>
      <c r="S245" s="414">
        <f t="shared" si="126"/>
        <v>2.8117838125114088E-2</v>
      </c>
      <c r="T245" s="414">
        <f t="shared" si="126"/>
        <v>2.6750848775816041E-2</v>
      </c>
      <c r="U245" s="414">
        <f t="shared" si="126"/>
        <v>2.6749905932685128E-2</v>
      </c>
      <c r="V245" s="414">
        <f t="shared" si="126"/>
        <v>2.7025808131727763E-2</v>
      </c>
      <c r="W245" s="414">
        <f t="shared" si="126"/>
        <v>3.0147643134884217E-2</v>
      </c>
      <c r="X245" s="414">
        <f t="shared" si="126"/>
        <v>3.3340864975236272E-2</v>
      </c>
      <c r="Y245" s="414">
        <f t="shared" si="126"/>
        <v>3.6887701307913877E-2</v>
      </c>
      <c r="Z245" s="414">
        <f t="shared" si="126"/>
        <v>4.0929534902667646E-2</v>
      </c>
      <c r="AA245" s="414">
        <f t="shared" si="126"/>
        <v>4.5412458530095359E-2</v>
      </c>
      <c r="AB245" s="414">
        <f t="shared" si="126"/>
        <v>5.0277874156044913E-2</v>
      </c>
      <c r="AC245" s="414">
        <f t="shared" si="126"/>
        <v>5.4702086602450482E-2</v>
      </c>
      <c r="AD245" s="414">
        <f t="shared" si="126"/>
        <v>5.9129632200232166E-2</v>
      </c>
      <c r="AE245" s="414">
        <f t="shared" si="126"/>
        <v>6.2186580000856397E-2</v>
      </c>
      <c r="AF245" s="414">
        <f t="shared" si="126"/>
        <v>5.9143635423221583E-2</v>
      </c>
      <c r="AG245" s="414">
        <f t="shared" si="126"/>
        <v>6.4993679671612389E-2</v>
      </c>
      <c r="AH245" s="414">
        <f t="shared" ref="AH245:BI245" si="127">+AH176*AH161</f>
        <v>7.0096802051412638E-2</v>
      </c>
      <c r="AI245" s="414">
        <f t="shared" si="127"/>
        <v>0.85990474876123979</v>
      </c>
      <c r="AJ245" s="414">
        <f t="shared" si="127"/>
        <v>1.6918826114421321</v>
      </c>
      <c r="AK245" s="414">
        <f t="shared" si="127"/>
        <v>2.2252374707786604</v>
      </c>
      <c r="AL245" s="414">
        <f t="shared" si="127"/>
        <v>2.5650141296809394</v>
      </c>
      <c r="AM245" s="414">
        <f t="shared" si="127"/>
        <v>2.8012824730382535</v>
      </c>
      <c r="AN245" s="414">
        <f t="shared" si="127"/>
        <v>2.9813266331574138</v>
      </c>
      <c r="AO245" s="414">
        <f t="shared" si="127"/>
        <v>3.1300484365688996</v>
      </c>
      <c r="AP245" s="414">
        <f t="shared" si="127"/>
        <v>3.2608639568571975</v>
      </c>
      <c r="AQ245" s="414">
        <f t="shared" si="127"/>
        <v>3.3811095062913448</v>
      </c>
      <c r="AR245" s="414">
        <f t="shared" si="127"/>
        <v>3.4948311369353413</v>
      </c>
      <c r="AS245" s="414">
        <f t="shared" si="127"/>
        <v>3.6042726335814637</v>
      </c>
      <c r="AT245" s="414">
        <f t="shared" si="127"/>
        <v>3.7106850096172583</v>
      </c>
      <c r="AU245" s="414">
        <f t="shared" si="127"/>
        <v>3.8147714046816805</v>
      </c>
      <c r="AV245" s="414">
        <f t="shared" si="127"/>
        <v>3.9169327322985805</v>
      </c>
      <c r="AW245" s="414">
        <f t="shared" si="127"/>
        <v>4.0174035142994864</v>
      </c>
      <c r="AX245" s="414">
        <f t="shared" si="127"/>
        <v>4.1163269702395375</v>
      </c>
      <c r="AY245" s="414">
        <f t="shared" si="127"/>
        <v>4.2137964686216636</v>
      </c>
      <c r="AZ245" s="414">
        <f t="shared" si="127"/>
        <v>4.3098783570781434</v>
      </c>
      <c r="BA245" s="414">
        <f t="shared" si="127"/>
        <v>4.4046244964118761</v>
      </c>
      <c r="BB245" s="414">
        <f t="shared" si="127"/>
        <v>4.4980791111328458</v>
      </c>
      <c r="BC245" s="414">
        <f t="shared" si="127"/>
        <v>4.5902825093150996</v>
      </c>
      <c r="BD245" s="414">
        <f t="shared" si="127"/>
        <v>4.6812730824390671</v>
      </c>
      <c r="BE245" s="414">
        <f t="shared" si="127"/>
        <v>4.3225116418929383</v>
      </c>
      <c r="BF245" s="414">
        <f t="shared" si="127"/>
        <v>3.8013790342738463</v>
      </c>
      <c r="BG245" s="414">
        <f t="shared" si="127"/>
        <v>3.0529528829219337</v>
      </c>
      <c r="BH245" s="414">
        <f t="shared" si="127"/>
        <v>1.9868017187083793</v>
      </c>
      <c r="BI245" s="414">
        <f t="shared" si="127"/>
        <v>0.47662285647934494</v>
      </c>
      <c r="BJ245" s="137"/>
      <c r="BK245" s="137"/>
      <c r="BL245" s="137"/>
      <c r="BM245" s="137"/>
      <c r="BN245" s="137"/>
      <c r="BO245" s="137"/>
      <c r="BP245" s="137"/>
      <c r="BQ245" s="137"/>
      <c r="BR245" s="137"/>
      <c r="BS245" s="137"/>
      <c r="BT245" s="137"/>
      <c r="BU245" s="137"/>
      <c r="BV245" s="137"/>
      <c r="BW245" s="137"/>
      <c r="BX245" s="137"/>
      <c r="BY245" s="137"/>
      <c r="BZ245" s="137"/>
      <c r="CA245" s="137"/>
      <c r="CB245" s="137"/>
      <c r="CC245" s="137"/>
      <c r="CD245" s="137"/>
      <c r="CE245" s="137"/>
      <c r="CF245" s="137"/>
      <c r="CG245" s="137"/>
      <c r="CH245" s="137"/>
      <c r="CI245" s="137"/>
      <c r="CJ245" s="137"/>
      <c r="CK245" s="137"/>
      <c r="CL245" s="137"/>
      <c r="CM245" s="137"/>
      <c r="CN245" s="137"/>
      <c r="CO245" s="137"/>
      <c r="CP245" s="137"/>
      <c r="CQ245" s="137"/>
      <c r="CR245" s="137"/>
      <c r="CS245" s="137"/>
      <c r="CT245" s="137"/>
      <c r="CU245" s="137"/>
      <c r="CV245" s="137"/>
      <c r="CW245" s="137"/>
      <c r="CX245" s="137"/>
      <c r="CY245" s="137"/>
      <c r="CZ245" s="137"/>
      <c r="DA245" s="137"/>
      <c r="DB245" s="137"/>
      <c r="DC245" s="137"/>
      <c r="DD245" s="137"/>
      <c r="DE245" s="137"/>
      <c r="DF245" s="137"/>
      <c r="DG245" s="137"/>
      <c r="DH245" s="137"/>
      <c r="DI245" s="137"/>
      <c r="DJ245" s="137"/>
      <c r="DK245" s="137"/>
      <c r="DL245" s="137"/>
      <c r="DM245" s="137"/>
      <c r="DN245" s="137"/>
      <c r="DO245" s="137"/>
      <c r="DP245" s="137"/>
      <c r="DQ245" s="137"/>
      <c r="DR245" s="137"/>
      <c r="DS245" s="137"/>
      <c r="DT245" s="137"/>
      <c r="DU245" s="137"/>
      <c r="DV245" s="137"/>
      <c r="DW245" s="137"/>
      <c r="DX245" s="137"/>
      <c r="DY245" s="137"/>
      <c r="DZ245" s="137"/>
      <c r="EA245" s="137"/>
      <c r="EB245" s="137"/>
      <c r="EC245" s="137"/>
      <c r="ED245" s="137"/>
      <c r="EE245" s="137"/>
      <c r="EF245" s="137"/>
      <c r="EG245" s="137"/>
      <c r="EH245" s="137"/>
      <c r="EI245" s="137"/>
      <c r="EJ245" s="137"/>
      <c r="EK245" s="137"/>
      <c r="EL245" s="137"/>
      <c r="EM245" s="137"/>
      <c r="EN245" s="137"/>
      <c r="EO245" s="137"/>
      <c r="EP245" s="137"/>
      <c r="EQ245" s="137"/>
      <c r="ER245" s="137"/>
      <c r="ES245" s="137"/>
      <c r="ET245" s="137"/>
      <c r="EU245" s="137"/>
      <c r="EV245" s="137"/>
      <c r="EW245" s="137"/>
      <c r="EX245" s="137"/>
      <c r="EY245" s="137"/>
      <c r="EZ245" s="137"/>
      <c r="FA245" s="137"/>
      <c r="FB245" s="137"/>
      <c r="FC245" s="137"/>
      <c r="FD245" s="137"/>
      <c r="FE245" s="137"/>
      <c r="FF245" s="137"/>
      <c r="FG245" s="137"/>
      <c r="FH245" s="137"/>
      <c r="FI245" s="137"/>
      <c r="FJ245" s="137"/>
      <c r="FK245" s="137"/>
      <c r="FL245" s="137"/>
      <c r="FM245" s="137"/>
      <c r="FN245" s="137"/>
      <c r="FO245" s="137"/>
      <c r="FP245" s="137"/>
      <c r="FQ245" s="137"/>
      <c r="FR245" s="137"/>
      <c r="FS245" s="137"/>
      <c r="FT245" s="137"/>
      <c r="FU245" s="137"/>
      <c r="FV245" s="137"/>
      <c r="FW245" s="137"/>
      <c r="FX245" s="137"/>
      <c r="FY245" s="137"/>
      <c r="FZ245" s="137"/>
      <c r="GA245" s="137"/>
      <c r="GB245" s="137"/>
      <c r="GC245" s="137"/>
      <c r="GD245" s="137"/>
      <c r="GE245" s="137"/>
      <c r="GF245" s="137"/>
      <c r="GG245" s="137"/>
      <c r="GH245" s="137"/>
      <c r="GI245" s="137"/>
      <c r="GJ245" s="137"/>
      <c r="GK245" s="137"/>
      <c r="GL245" s="137"/>
      <c r="GM245" s="137"/>
      <c r="GN245" s="137"/>
      <c r="GO245" s="137"/>
      <c r="GP245" s="137"/>
      <c r="GQ245" s="137"/>
      <c r="GR245" s="137"/>
      <c r="GS245" s="137"/>
      <c r="GT245" s="137"/>
      <c r="GU245" s="137"/>
      <c r="GV245" s="137"/>
      <c r="GW245" s="137"/>
      <c r="GX245" s="137"/>
      <c r="GY245" s="137"/>
      <c r="GZ245" s="137"/>
      <c r="HA245" s="137"/>
      <c r="HB245" s="137"/>
      <c r="HC245" s="137"/>
      <c r="HD245" s="137"/>
      <c r="HE245" s="137"/>
      <c r="HF245" s="137"/>
      <c r="HG245" s="137"/>
      <c r="HH245" s="137"/>
      <c r="HI245" s="137"/>
      <c r="HJ245" s="137"/>
      <c r="HK245" s="137"/>
      <c r="HL245" s="137"/>
      <c r="HM245" s="137"/>
      <c r="HN245" s="137"/>
      <c r="HO245" s="137"/>
      <c r="HP245" s="137"/>
      <c r="HQ245" s="137"/>
      <c r="HR245" s="137"/>
      <c r="HS245" s="137"/>
      <c r="HT245" s="137"/>
      <c r="HU245" s="137"/>
      <c r="HV245" s="137"/>
      <c r="HW245" s="137"/>
      <c r="HX245" s="137"/>
      <c r="HY245" s="137"/>
      <c r="HZ245" s="137"/>
      <c r="IA245" s="137"/>
      <c r="IB245" s="137"/>
      <c r="IC245" s="137"/>
      <c r="ID245" s="137"/>
      <c r="IE245" s="137"/>
      <c r="IF245" s="137"/>
      <c r="IG245" s="137"/>
      <c r="IH245" s="137"/>
      <c r="II245" s="137"/>
      <c r="IJ245" s="137"/>
      <c r="IK245" s="137"/>
      <c r="IL245" s="137"/>
      <c r="IM245" s="137"/>
      <c r="IN245" s="137"/>
      <c r="IO245" s="137"/>
      <c r="IP245" s="137"/>
      <c r="IQ245" s="137"/>
      <c r="IR245" s="137"/>
      <c r="IS245" s="137"/>
      <c r="IT245" s="137"/>
      <c r="IU245" s="137"/>
      <c r="IV245" s="137"/>
      <c r="IW245" s="137"/>
      <c r="IX245" s="137"/>
      <c r="IY245" s="137"/>
      <c r="IZ245" s="137"/>
      <c r="JA245" s="137"/>
      <c r="JB245" s="137"/>
      <c r="JC245" s="137"/>
      <c r="JD245" s="137"/>
      <c r="JE245" s="137"/>
      <c r="JF245" s="137"/>
      <c r="JG245" s="137"/>
      <c r="JH245" s="137"/>
      <c r="JI245" s="137"/>
      <c r="JJ245" s="137"/>
      <c r="JK245" s="137"/>
      <c r="JL245" s="137"/>
      <c r="JM245" s="137"/>
      <c r="JN245" s="137"/>
      <c r="JO245" s="137"/>
      <c r="JP245" s="137"/>
      <c r="JQ245" s="137"/>
      <c r="JR245" s="137"/>
      <c r="JS245" s="137"/>
      <c r="JT245" s="137"/>
      <c r="JU245" s="137"/>
      <c r="JV245" s="137"/>
      <c r="JW245" s="137"/>
      <c r="JX245" s="137"/>
      <c r="JY245" s="137"/>
      <c r="JZ245" s="137"/>
      <c r="KA245" s="137"/>
      <c r="KB245" s="137"/>
      <c r="KC245" s="137"/>
      <c r="KD245" s="137"/>
      <c r="KE245" s="137"/>
      <c r="KF245" s="137"/>
      <c r="KG245" s="137"/>
      <c r="KH245" s="137"/>
      <c r="KI245" s="137"/>
      <c r="KJ245" s="137"/>
      <c r="KK245" s="137"/>
      <c r="KL245" s="137"/>
      <c r="KM245" s="137"/>
      <c r="KN245" s="137"/>
      <c r="KO245" s="137"/>
      <c r="KP245" s="137"/>
      <c r="KQ245" s="137"/>
      <c r="KR245" s="137"/>
      <c r="KS245" s="137"/>
      <c r="KT245" s="137"/>
      <c r="KU245" s="137"/>
      <c r="KV245" s="137"/>
      <c r="KW245" s="137"/>
    </row>
    <row r="246" spans="1:309" x14ac:dyDescent="0.15">
      <c r="A246" s="12" t="s">
        <v>56</v>
      </c>
      <c r="B246" s="414">
        <f t="shared" ref="B246:AG246" si="128">+B177*B162</f>
        <v>0</v>
      </c>
      <c r="C246" s="414">
        <f t="shared" si="128"/>
        <v>0</v>
      </c>
      <c r="D246" s="414">
        <f t="shared" si="128"/>
        <v>0</v>
      </c>
      <c r="E246" s="414">
        <f t="shared" si="128"/>
        <v>0</v>
      </c>
      <c r="F246" s="414">
        <f t="shared" si="128"/>
        <v>0</v>
      </c>
      <c r="G246" s="414">
        <f t="shared" si="128"/>
        <v>7.897674554352685E-2</v>
      </c>
      <c r="H246" s="414">
        <f t="shared" si="128"/>
        <v>6.3382173775644285E-2</v>
      </c>
      <c r="I246" s="414">
        <f t="shared" si="128"/>
        <v>5.9458403426002698E-2</v>
      </c>
      <c r="J246" s="414">
        <f t="shared" si="128"/>
        <v>5.0240715291917364E-2</v>
      </c>
      <c r="K246" s="414">
        <f t="shared" si="128"/>
        <v>4.2300060075849917E-2</v>
      </c>
      <c r="L246" s="414">
        <f t="shared" si="128"/>
        <v>3.9582828422075569E-2</v>
      </c>
      <c r="M246" s="414">
        <f t="shared" si="128"/>
        <v>3.4886306509471443E-2</v>
      </c>
      <c r="N246" s="414">
        <f t="shared" si="128"/>
        <v>3.1192754550478256E-2</v>
      </c>
      <c r="O246" s="414">
        <f t="shared" si="128"/>
        <v>2.9198483173808111E-2</v>
      </c>
      <c r="P246" s="414">
        <f t="shared" si="128"/>
        <v>2.8563784040229964E-2</v>
      </c>
      <c r="Q246" s="414">
        <f t="shared" si="128"/>
        <v>2.7071221296984083E-2</v>
      </c>
      <c r="R246" s="414">
        <f t="shared" si="128"/>
        <v>2.6102651730859981E-2</v>
      </c>
      <c r="S246" s="414">
        <f t="shared" si="128"/>
        <v>2.5266111932222515E-2</v>
      </c>
      <c r="T246" s="414">
        <f t="shared" si="128"/>
        <v>2.4369718373085849E-2</v>
      </c>
      <c r="U246" s="414">
        <f t="shared" si="128"/>
        <v>2.2571716624621048E-2</v>
      </c>
      <c r="V246" s="414">
        <f t="shared" si="128"/>
        <v>2.2095429548737833E-2</v>
      </c>
      <c r="W246" s="414">
        <f t="shared" si="128"/>
        <v>2.5823516095811162E-2</v>
      </c>
      <c r="X246" s="414">
        <f t="shared" si="128"/>
        <v>2.8570260011399576E-2</v>
      </c>
      <c r="Y246" s="414">
        <f t="shared" si="128"/>
        <v>3.1117953341330981E-2</v>
      </c>
      <c r="Z246" s="414">
        <f t="shared" si="128"/>
        <v>3.3934841346451701E-2</v>
      </c>
      <c r="AA246" s="414">
        <f t="shared" si="128"/>
        <v>3.6436737518900773E-2</v>
      </c>
      <c r="AB246" s="414">
        <f t="shared" si="128"/>
        <v>3.9772718540230165E-2</v>
      </c>
      <c r="AC246" s="414">
        <f t="shared" si="128"/>
        <v>4.1279871302982225E-2</v>
      </c>
      <c r="AD246" s="414">
        <f t="shared" si="128"/>
        <v>4.2870054189878735E-2</v>
      </c>
      <c r="AE246" s="414">
        <f t="shared" si="128"/>
        <v>4.3912553475337096E-2</v>
      </c>
      <c r="AF246" s="414">
        <f t="shared" si="128"/>
        <v>4.3133931318126796E-2</v>
      </c>
      <c r="AG246" s="414">
        <f t="shared" si="128"/>
        <v>4.5540951197482006E-2</v>
      </c>
      <c r="AH246" s="414">
        <f t="shared" ref="AH246:BI246" si="129">+AH177*AH162</f>
        <v>4.8420011908010416E-2</v>
      </c>
      <c r="AI246" s="414">
        <f t="shared" si="129"/>
        <v>0.65495189674523469</v>
      </c>
      <c r="AJ246" s="414">
        <f t="shared" si="129"/>
        <v>1.3219274747291416</v>
      </c>
      <c r="AK246" s="414">
        <f t="shared" si="129"/>
        <v>1.7503878415622469</v>
      </c>
      <c r="AL246" s="414">
        <f t="shared" si="129"/>
        <v>2.0232311451870597</v>
      </c>
      <c r="AM246" s="414">
        <f t="shared" si="129"/>
        <v>2.2129241096900198</v>
      </c>
      <c r="AN246" s="414">
        <f t="shared" si="129"/>
        <v>2.3574937209712141</v>
      </c>
      <c r="AO246" s="414">
        <f t="shared" si="129"/>
        <v>2.4769512966953595</v>
      </c>
      <c r="AP246" s="414">
        <f t="shared" si="129"/>
        <v>2.5820794718693523</v>
      </c>
      <c r="AQ246" s="414">
        <f t="shared" si="129"/>
        <v>2.6787772806980263</v>
      </c>
      <c r="AR246" s="414">
        <f t="shared" si="129"/>
        <v>2.7702992183876631</v>
      </c>
      <c r="AS246" s="414">
        <f t="shared" si="129"/>
        <v>2.8584496826928802</v>
      </c>
      <c r="AT246" s="414">
        <f t="shared" si="129"/>
        <v>2.9442332893231882</v>
      </c>
      <c r="AU246" s="414">
        <f t="shared" si="129"/>
        <v>3.0282126941576668</v>
      </c>
      <c r="AV246" s="414">
        <f t="shared" si="129"/>
        <v>3.1107064232448711</v>
      </c>
      <c r="AW246" s="414">
        <f t="shared" si="129"/>
        <v>3.1918984239127535</v>
      </c>
      <c r="AX246" s="414">
        <f t="shared" si="129"/>
        <v>3.2718987226533964</v>
      </c>
      <c r="AY246" s="414">
        <f t="shared" si="129"/>
        <v>3.3507769734977533</v>
      </c>
      <c r="AZ246" s="414">
        <f t="shared" si="129"/>
        <v>3.4285809793475952</v>
      </c>
      <c r="BA246" s="414">
        <f t="shared" si="129"/>
        <v>3.5053468919077244</v>
      </c>
      <c r="BB246" s="414">
        <f t="shared" si="129"/>
        <v>3.5811048097384246</v>
      </c>
      <c r="BC246" s="414">
        <f t="shared" si="129"/>
        <v>3.6558818352606806</v>
      </c>
      <c r="BD246" s="414">
        <f t="shared" si="129"/>
        <v>3.7297037309125707</v>
      </c>
      <c r="BE246" s="414">
        <f t="shared" si="129"/>
        <v>3.4213514833617928</v>
      </c>
      <c r="BF246" s="414">
        <f t="shared" si="129"/>
        <v>2.9753602175496305</v>
      </c>
      <c r="BG246" s="414">
        <f t="shared" si="129"/>
        <v>2.3366290022262861</v>
      </c>
      <c r="BH246" s="414">
        <f t="shared" si="129"/>
        <v>1.4284629190428375</v>
      </c>
      <c r="BI246" s="414">
        <f t="shared" si="129"/>
        <v>0.14377448612469501</v>
      </c>
      <c r="BJ246" s="137"/>
      <c r="BK246" s="137"/>
      <c r="BL246" s="137"/>
      <c r="BM246" s="137"/>
      <c r="BN246" s="137"/>
      <c r="BO246" s="137"/>
      <c r="BP246" s="137"/>
      <c r="BQ246" s="137"/>
      <c r="BR246" s="137"/>
      <c r="BS246" s="137"/>
      <c r="BT246" s="137"/>
      <c r="BU246" s="137"/>
      <c r="BV246" s="137"/>
      <c r="BW246" s="137"/>
      <c r="BX246" s="137"/>
      <c r="BY246" s="137"/>
      <c r="BZ246" s="137"/>
      <c r="CA246" s="137"/>
      <c r="CB246" s="137"/>
      <c r="CC246" s="137"/>
      <c r="CD246" s="137"/>
      <c r="CE246" s="137"/>
      <c r="CF246" s="137"/>
      <c r="CG246" s="137"/>
      <c r="CH246" s="137"/>
      <c r="CI246" s="137"/>
      <c r="CJ246" s="137"/>
      <c r="CK246" s="137"/>
      <c r="CL246" s="137"/>
      <c r="CM246" s="137"/>
      <c r="CN246" s="137"/>
      <c r="CO246" s="137"/>
      <c r="CP246" s="137"/>
      <c r="CQ246" s="137"/>
      <c r="CR246" s="137"/>
      <c r="CS246" s="137"/>
      <c r="CT246" s="137"/>
      <c r="CU246" s="137"/>
      <c r="CV246" s="137"/>
      <c r="CW246" s="137"/>
      <c r="CX246" s="137"/>
      <c r="CY246" s="137"/>
      <c r="CZ246" s="137"/>
      <c r="DA246" s="137"/>
      <c r="DB246" s="137"/>
      <c r="DC246" s="137"/>
      <c r="DD246" s="137"/>
      <c r="DE246" s="137"/>
      <c r="DF246" s="137"/>
      <c r="DG246" s="137"/>
      <c r="DH246" s="137"/>
      <c r="DI246" s="137"/>
      <c r="DJ246" s="137"/>
      <c r="DK246" s="137"/>
      <c r="DL246" s="137"/>
      <c r="DM246" s="137"/>
      <c r="DN246" s="137"/>
      <c r="DO246" s="137"/>
      <c r="DP246" s="137"/>
      <c r="DQ246" s="137"/>
      <c r="DR246" s="137"/>
      <c r="DS246" s="137"/>
      <c r="DT246" s="137"/>
      <c r="DU246" s="137"/>
      <c r="DV246" s="137"/>
      <c r="DW246" s="137"/>
      <c r="DX246" s="137"/>
      <c r="DY246" s="137"/>
      <c r="DZ246" s="137"/>
      <c r="EA246" s="137"/>
      <c r="EB246" s="137"/>
      <c r="EC246" s="137"/>
      <c r="ED246" s="137"/>
      <c r="EE246" s="137"/>
      <c r="EF246" s="137"/>
      <c r="EG246" s="137"/>
      <c r="EH246" s="137"/>
      <c r="EI246" s="137"/>
      <c r="EJ246" s="137"/>
      <c r="EK246" s="137"/>
      <c r="EL246" s="137"/>
      <c r="EM246" s="137"/>
      <c r="EN246" s="137"/>
      <c r="EO246" s="137"/>
      <c r="EP246" s="137"/>
      <c r="EQ246" s="137"/>
      <c r="ER246" s="137"/>
      <c r="ES246" s="137"/>
      <c r="ET246" s="137"/>
      <c r="EU246" s="137"/>
      <c r="EV246" s="137"/>
      <c r="EW246" s="137"/>
      <c r="EX246" s="137"/>
      <c r="EY246" s="137"/>
      <c r="EZ246" s="137"/>
      <c r="FA246" s="137"/>
      <c r="FB246" s="137"/>
      <c r="FC246" s="137"/>
      <c r="FD246" s="137"/>
      <c r="FE246" s="137"/>
      <c r="FF246" s="137"/>
      <c r="FG246" s="137"/>
      <c r="FH246" s="137"/>
      <c r="FI246" s="137"/>
      <c r="FJ246" s="137"/>
      <c r="FK246" s="137"/>
      <c r="FL246" s="137"/>
      <c r="FM246" s="137"/>
      <c r="FN246" s="137"/>
      <c r="FO246" s="137"/>
      <c r="FP246" s="137"/>
      <c r="FQ246" s="137"/>
      <c r="FR246" s="137"/>
      <c r="FS246" s="137"/>
      <c r="FT246" s="137"/>
      <c r="FU246" s="137"/>
      <c r="FV246" s="137"/>
      <c r="FW246" s="137"/>
      <c r="FX246" s="137"/>
      <c r="FY246" s="137"/>
      <c r="FZ246" s="137"/>
      <c r="GA246" s="137"/>
      <c r="GB246" s="137"/>
      <c r="GC246" s="137"/>
      <c r="GD246" s="137"/>
      <c r="GE246" s="137"/>
      <c r="GF246" s="137"/>
      <c r="GG246" s="137"/>
      <c r="GH246" s="137"/>
      <c r="GI246" s="137"/>
      <c r="GJ246" s="137"/>
      <c r="GK246" s="137"/>
      <c r="GL246" s="137"/>
      <c r="GM246" s="137"/>
      <c r="GN246" s="137"/>
      <c r="GO246" s="137"/>
      <c r="GP246" s="137"/>
      <c r="GQ246" s="137"/>
      <c r="GR246" s="137"/>
      <c r="GS246" s="137"/>
      <c r="GT246" s="137"/>
      <c r="GU246" s="137"/>
      <c r="GV246" s="137"/>
      <c r="GW246" s="137"/>
      <c r="GX246" s="137"/>
      <c r="GY246" s="137"/>
      <c r="GZ246" s="137"/>
      <c r="HA246" s="137"/>
      <c r="HB246" s="137"/>
      <c r="HC246" s="137"/>
      <c r="HD246" s="137"/>
      <c r="HE246" s="137"/>
      <c r="HF246" s="137"/>
      <c r="HG246" s="137"/>
      <c r="HH246" s="137"/>
      <c r="HI246" s="137"/>
      <c r="HJ246" s="137"/>
      <c r="HK246" s="137"/>
      <c r="HL246" s="137"/>
      <c r="HM246" s="137"/>
      <c r="HN246" s="137"/>
      <c r="HO246" s="137"/>
      <c r="HP246" s="137"/>
      <c r="HQ246" s="137"/>
      <c r="HR246" s="137"/>
      <c r="HS246" s="137"/>
      <c r="HT246" s="137"/>
      <c r="HU246" s="137"/>
      <c r="HV246" s="137"/>
      <c r="HW246" s="137"/>
      <c r="HX246" s="137"/>
      <c r="HY246" s="137"/>
      <c r="HZ246" s="137"/>
      <c r="IA246" s="137"/>
      <c r="IB246" s="137"/>
      <c r="IC246" s="137"/>
      <c r="ID246" s="137"/>
      <c r="IE246" s="137"/>
      <c r="IF246" s="137"/>
      <c r="IG246" s="137"/>
      <c r="IH246" s="137"/>
      <c r="II246" s="137"/>
      <c r="IJ246" s="137"/>
      <c r="IK246" s="137"/>
      <c r="IL246" s="137"/>
      <c r="IM246" s="137"/>
      <c r="IN246" s="137"/>
      <c r="IO246" s="137"/>
      <c r="IP246" s="137"/>
      <c r="IQ246" s="137"/>
      <c r="IR246" s="137"/>
      <c r="IS246" s="137"/>
      <c r="IT246" s="137"/>
      <c r="IU246" s="137"/>
      <c r="IV246" s="137"/>
      <c r="IW246" s="137"/>
      <c r="IX246" s="137"/>
      <c r="IY246" s="137"/>
      <c r="IZ246" s="137"/>
      <c r="JA246" s="137"/>
      <c r="JB246" s="137"/>
      <c r="JC246" s="137"/>
      <c r="JD246" s="137"/>
      <c r="JE246" s="137"/>
      <c r="JF246" s="137"/>
      <c r="JG246" s="137"/>
      <c r="JH246" s="137"/>
      <c r="JI246" s="137"/>
      <c r="JJ246" s="137"/>
      <c r="JK246" s="137"/>
      <c r="JL246" s="137"/>
      <c r="JM246" s="137"/>
      <c r="JN246" s="137"/>
      <c r="JO246" s="137"/>
      <c r="JP246" s="137"/>
      <c r="JQ246" s="137"/>
      <c r="JR246" s="137"/>
      <c r="JS246" s="137"/>
      <c r="JT246" s="137"/>
      <c r="JU246" s="137"/>
      <c r="JV246" s="137"/>
      <c r="JW246" s="137"/>
      <c r="JX246" s="137"/>
      <c r="JY246" s="137"/>
      <c r="JZ246" s="137"/>
      <c r="KA246" s="137"/>
      <c r="KB246" s="137"/>
      <c r="KC246" s="137"/>
      <c r="KD246" s="137"/>
      <c r="KE246" s="137"/>
      <c r="KF246" s="137"/>
      <c r="KG246" s="137"/>
      <c r="KH246" s="137"/>
      <c r="KI246" s="137"/>
      <c r="KJ246" s="137"/>
      <c r="KK246" s="137"/>
      <c r="KL246" s="137"/>
      <c r="KM246" s="137"/>
      <c r="KN246" s="137"/>
      <c r="KO246" s="137"/>
      <c r="KP246" s="137"/>
      <c r="KQ246" s="137"/>
      <c r="KR246" s="137"/>
      <c r="KS246" s="137"/>
      <c r="KT246" s="137"/>
      <c r="KU246" s="137"/>
      <c r="KV246" s="137"/>
      <c r="KW246" s="137"/>
    </row>
    <row r="247" spans="1:309" x14ac:dyDescent="0.15">
      <c r="A247" s="12" t="s">
        <v>57</v>
      </c>
      <c r="B247" s="414">
        <f t="shared" ref="B247:AG247" si="130">+B178*B163</f>
        <v>0</v>
      </c>
      <c r="C247" s="414">
        <f t="shared" si="130"/>
        <v>0</v>
      </c>
      <c r="D247" s="414">
        <f t="shared" si="130"/>
        <v>0</v>
      </c>
      <c r="E247" s="414">
        <f t="shared" si="130"/>
        <v>0</v>
      </c>
      <c r="F247" s="414">
        <f t="shared" si="130"/>
        <v>0</v>
      </c>
      <c r="G247" s="414">
        <f t="shared" si="130"/>
        <v>0</v>
      </c>
      <c r="H247" s="414">
        <f t="shared" si="130"/>
        <v>0</v>
      </c>
      <c r="I247" s="414">
        <f t="shared" si="130"/>
        <v>4.0555892765506828E-2</v>
      </c>
      <c r="J247" s="414">
        <f t="shared" si="130"/>
        <v>3.3881569490397924E-2</v>
      </c>
      <c r="K247" s="414">
        <f t="shared" si="130"/>
        <v>3.0407169206321954E-2</v>
      </c>
      <c r="L247" s="414">
        <f t="shared" si="130"/>
        <v>2.6992792869996014E-2</v>
      </c>
      <c r="M247" s="414">
        <f t="shared" si="130"/>
        <v>2.4330399042151576E-2</v>
      </c>
      <c r="N247" s="414">
        <f t="shared" si="130"/>
        <v>2.2375321992839783E-2</v>
      </c>
      <c r="O247" s="414">
        <f t="shared" si="130"/>
        <v>2.0748261259296939E-2</v>
      </c>
      <c r="P247" s="414">
        <f t="shared" si="130"/>
        <v>1.9633119760460407E-2</v>
      </c>
      <c r="Q247" s="414">
        <f t="shared" si="130"/>
        <v>1.8763097435561031E-2</v>
      </c>
      <c r="R247" s="414">
        <f t="shared" si="130"/>
        <v>1.8106040196468491E-2</v>
      </c>
      <c r="S247" s="414">
        <f t="shared" si="130"/>
        <v>1.7630946658254987E-2</v>
      </c>
      <c r="T247" s="414">
        <f t="shared" si="130"/>
        <v>1.7097886988070694E-2</v>
      </c>
      <c r="U247" s="414">
        <f t="shared" si="130"/>
        <v>1.6295062808173603E-2</v>
      </c>
      <c r="V247" s="414">
        <f t="shared" si="130"/>
        <v>1.5982350508303985E-2</v>
      </c>
      <c r="W247" s="414">
        <f t="shared" si="130"/>
        <v>1.7177292523721768E-2</v>
      </c>
      <c r="X247" s="414">
        <f t="shared" si="130"/>
        <v>1.8904432349181745E-2</v>
      </c>
      <c r="Y247" s="414">
        <f t="shared" si="130"/>
        <v>2.0394021671168053E-2</v>
      </c>
      <c r="Z247" s="414">
        <f t="shared" si="130"/>
        <v>2.1799421227350121E-2</v>
      </c>
      <c r="AA247" s="414">
        <f t="shared" si="130"/>
        <v>2.31172703440094E-2</v>
      </c>
      <c r="AB247" s="414">
        <f t="shared" si="130"/>
        <v>2.4144843203111551E-2</v>
      </c>
      <c r="AC247" s="414">
        <f t="shared" si="130"/>
        <v>2.5467685790192689E-2</v>
      </c>
      <c r="AD247" s="414">
        <f t="shared" si="130"/>
        <v>2.6705800887979469E-2</v>
      </c>
      <c r="AE247" s="414">
        <f t="shared" si="130"/>
        <v>2.7776557853885168E-2</v>
      </c>
      <c r="AF247" s="414">
        <f t="shared" si="130"/>
        <v>2.7451058573483768E-2</v>
      </c>
      <c r="AG247" s="414">
        <f t="shared" si="130"/>
        <v>2.89320107032244E-2</v>
      </c>
      <c r="AH247" s="414">
        <f t="shared" ref="AH247:BI247" si="131">+AH178*AH163</f>
        <v>3.0233956853222315E-2</v>
      </c>
      <c r="AI247" s="414">
        <f t="shared" si="131"/>
        <v>0.44955974588070297</v>
      </c>
      <c r="AJ247" s="414">
        <f t="shared" si="131"/>
        <v>0.93146910447477038</v>
      </c>
      <c r="AK247" s="414">
        <f t="shared" si="131"/>
        <v>1.2411179609281828</v>
      </c>
      <c r="AL247" s="414">
        <f t="shared" si="131"/>
        <v>1.4367185179136688</v>
      </c>
      <c r="AM247" s="414">
        <f t="shared" si="131"/>
        <v>1.5717766136600497</v>
      </c>
      <c r="AN247" s="414">
        <f t="shared" si="131"/>
        <v>1.6741640722643023</v>
      </c>
      <c r="AO247" s="414">
        <f t="shared" si="131"/>
        <v>1.7584378874267703</v>
      </c>
      <c r="AP247" s="414">
        <f t="shared" si="131"/>
        <v>1.8323939456427516</v>
      </c>
      <c r="AQ247" s="414">
        <f t="shared" si="131"/>
        <v>1.900275141002197</v>
      </c>
      <c r="AR247" s="414">
        <f t="shared" si="131"/>
        <v>1.9644118148750997</v>
      </c>
      <c r="AS247" s="414">
        <f t="shared" si="131"/>
        <v>2.0260913139369214</v>
      </c>
      <c r="AT247" s="414">
        <f t="shared" si="131"/>
        <v>2.0860287496930052</v>
      </c>
      <c r="AU247" s="414">
        <f t="shared" si="131"/>
        <v>2.1446246490973451</v>
      </c>
      <c r="AV247" s="414">
        <f t="shared" si="131"/>
        <v>2.2021066648085035</v>
      </c>
      <c r="AW247" s="414">
        <f t="shared" si="131"/>
        <v>2.2586076405568236</v>
      </c>
      <c r="AX247" s="414">
        <f t="shared" si="131"/>
        <v>2.3142086022871493</v>
      </c>
      <c r="AY247" s="414">
        <f t="shared" si="131"/>
        <v>2.3689623981002397</v>
      </c>
      <c r="AZ247" s="414">
        <f t="shared" si="131"/>
        <v>2.4229066656181595</v>
      </c>
      <c r="BA247" s="414">
        <f t="shared" si="131"/>
        <v>2.4760709204357703</v>
      </c>
      <c r="BB247" s="414">
        <f t="shared" si="131"/>
        <v>2.5284804120533688</v>
      </c>
      <c r="BC247" s="414">
        <f t="shared" si="131"/>
        <v>2.5801582065073592</v>
      </c>
      <c r="BD247" s="414">
        <f t="shared" si="131"/>
        <v>2.6311262989991246</v>
      </c>
      <c r="BE247" s="414">
        <f t="shared" si="131"/>
        <v>2.4293009528151384</v>
      </c>
      <c r="BF247" s="414">
        <f t="shared" si="131"/>
        <v>2.136203187677149</v>
      </c>
      <c r="BG247" s="414">
        <f t="shared" si="131"/>
        <v>1.715437663219417</v>
      </c>
      <c r="BH247" s="414">
        <f t="shared" si="131"/>
        <v>1.1162521042703479</v>
      </c>
      <c r="BI247" s="414">
        <f t="shared" si="131"/>
        <v>0.26775351799869884</v>
      </c>
      <c r="BJ247" s="137"/>
      <c r="BK247" s="137"/>
      <c r="BL247" s="137"/>
      <c r="BM247" s="137"/>
      <c r="BN247" s="137"/>
      <c r="BO247" s="137"/>
      <c r="BP247" s="137"/>
      <c r="BQ247" s="137"/>
      <c r="BR247" s="137"/>
      <c r="BS247" s="137"/>
      <c r="BT247" s="137"/>
      <c r="BU247" s="137"/>
      <c r="BV247" s="137"/>
      <c r="BW247" s="137"/>
      <c r="BX247" s="137"/>
      <c r="BY247" s="137"/>
      <c r="BZ247" s="137"/>
      <c r="CA247" s="137"/>
      <c r="CB247" s="137"/>
      <c r="CC247" s="137"/>
      <c r="CD247" s="137"/>
      <c r="CE247" s="137"/>
      <c r="CF247" s="137"/>
      <c r="CG247" s="137"/>
      <c r="CH247" s="137"/>
      <c r="CI247" s="137"/>
      <c r="CJ247" s="137"/>
      <c r="CK247" s="137"/>
      <c r="CL247" s="137"/>
      <c r="CM247" s="137"/>
      <c r="CN247" s="137"/>
      <c r="CO247" s="137"/>
      <c r="CP247" s="137"/>
      <c r="CQ247" s="137"/>
      <c r="CR247" s="137"/>
      <c r="CS247" s="137"/>
      <c r="CT247" s="137"/>
      <c r="CU247" s="137"/>
      <c r="CV247" s="137"/>
      <c r="CW247" s="137"/>
      <c r="CX247" s="137"/>
      <c r="CY247" s="137"/>
      <c r="CZ247" s="137"/>
      <c r="DA247" s="137"/>
      <c r="DB247" s="137"/>
      <c r="DC247" s="137"/>
      <c r="DD247" s="137"/>
      <c r="DE247" s="137"/>
      <c r="DF247" s="137"/>
      <c r="DG247" s="137"/>
      <c r="DH247" s="137"/>
      <c r="DI247" s="137"/>
      <c r="DJ247" s="137"/>
      <c r="DK247" s="137"/>
      <c r="DL247" s="137"/>
      <c r="DM247" s="137"/>
      <c r="DN247" s="137"/>
      <c r="DO247" s="137"/>
      <c r="DP247" s="137"/>
      <c r="DQ247" s="137"/>
      <c r="DR247" s="137"/>
      <c r="DS247" s="137"/>
      <c r="DT247" s="137"/>
      <c r="DU247" s="137"/>
      <c r="DV247" s="137"/>
      <c r="DW247" s="137"/>
      <c r="DX247" s="137"/>
      <c r="DY247" s="137"/>
      <c r="DZ247" s="137"/>
      <c r="EA247" s="137"/>
      <c r="EB247" s="137"/>
      <c r="EC247" s="137"/>
      <c r="ED247" s="137"/>
      <c r="EE247" s="137"/>
      <c r="EF247" s="137"/>
      <c r="EG247" s="137"/>
      <c r="EH247" s="137"/>
      <c r="EI247" s="137"/>
      <c r="EJ247" s="137"/>
      <c r="EK247" s="137"/>
      <c r="EL247" s="137"/>
      <c r="EM247" s="137"/>
      <c r="EN247" s="137"/>
      <c r="EO247" s="137"/>
      <c r="EP247" s="137"/>
      <c r="EQ247" s="137"/>
      <c r="ER247" s="137"/>
      <c r="ES247" s="137"/>
      <c r="ET247" s="137"/>
      <c r="EU247" s="137"/>
      <c r="EV247" s="137"/>
      <c r="EW247" s="137"/>
      <c r="EX247" s="137"/>
      <c r="EY247" s="137"/>
      <c r="EZ247" s="137"/>
      <c r="FA247" s="137"/>
      <c r="FB247" s="137"/>
      <c r="FC247" s="137"/>
      <c r="FD247" s="137"/>
      <c r="FE247" s="137"/>
      <c r="FF247" s="137"/>
      <c r="FG247" s="137"/>
      <c r="FH247" s="137"/>
      <c r="FI247" s="137"/>
      <c r="FJ247" s="137"/>
      <c r="FK247" s="137"/>
      <c r="FL247" s="137"/>
      <c r="FM247" s="137"/>
      <c r="FN247" s="137"/>
      <c r="FO247" s="137"/>
      <c r="FP247" s="137"/>
      <c r="FQ247" s="137"/>
      <c r="FR247" s="137"/>
      <c r="FS247" s="137"/>
      <c r="FT247" s="137"/>
      <c r="FU247" s="137"/>
      <c r="FV247" s="137"/>
      <c r="FW247" s="137"/>
      <c r="FX247" s="137"/>
      <c r="FY247" s="137"/>
      <c r="FZ247" s="137"/>
      <c r="GA247" s="137"/>
      <c r="GB247" s="137"/>
      <c r="GC247" s="137"/>
      <c r="GD247" s="137"/>
      <c r="GE247" s="137"/>
      <c r="GF247" s="137"/>
      <c r="GG247" s="137"/>
      <c r="GH247" s="137"/>
      <c r="GI247" s="137"/>
      <c r="GJ247" s="137"/>
      <c r="GK247" s="137"/>
      <c r="GL247" s="137"/>
      <c r="GM247" s="137"/>
      <c r="GN247" s="137"/>
      <c r="GO247" s="137"/>
      <c r="GP247" s="137"/>
      <c r="GQ247" s="137"/>
      <c r="GR247" s="137"/>
      <c r="GS247" s="137"/>
      <c r="GT247" s="137"/>
      <c r="GU247" s="137"/>
      <c r="GV247" s="137"/>
      <c r="GW247" s="137"/>
      <c r="GX247" s="137"/>
      <c r="GY247" s="137"/>
      <c r="GZ247" s="137"/>
      <c r="HA247" s="137"/>
      <c r="HB247" s="137"/>
      <c r="HC247" s="137"/>
      <c r="HD247" s="137"/>
      <c r="HE247" s="137"/>
      <c r="HF247" s="137"/>
      <c r="HG247" s="137"/>
      <c r="HH247" s="137"/>
      <c r="HI247" s="137"/>
      <c r="HJ247" s="137"/>
      <c r="HK247" s="137"/>
      <c r="HL247" s="137"/>
      <c r="HM247" s="137"/>
      <c r="HN247" s="137"/>
      <c r="HO247" s="137"/>
      <c r="HP247" s="137"/>
      <c r="HQ247" s="137"/>
      <c r="HR247" s="137"/>
      <c r="HS247" s="137"/>
      <c r="HT247" s="137"/>
      <c r="HU247" s="137"/>
      <c r="HV247" s="137"/>
      <c r="HW247" s="137"/>
      <c r="HX247" s="137"/>
      <c r="HY247" s="137"/>
      <c r="HZ247" s="137"/>
      <c r="IA247" s="137"/>
      <c r="IB247" s="137"/>
      <c r="IC247" s="137"/>
      <c r="ID247" s="137"/>
      <c r="IE247" s="137"/>
      <c r="IF247" s="137"/>
      <c r="IG247" s="137"/>
      <c r="IH247" s="137"/>
      <c r="II247" s="137"/>
      <c r="IJ247" s="137"/>
      <c r="IK247" s="137"/>
      <c r="IL247" s="137"/>
      <c r="IM247" s="137"/>
      <c r="IN247" s="137"/>
      <c r="IO247" s="137"/>
      <c r="IP247" s="137"/>
      <c r="IQ247" s="137"/>
      <c r="IR247" s="137"/>
      <c r="IS247" s="137"/>
      <c r="IT247" s="137"/>
      <c r="IU247" s="137"/>
      <c r="IV247" s="137"/>
      <c r="IW247" s="137"/>
      <c r="IX247" s="137"/>
      <c r="IY247" s="137"/>
      <c r="IZ247" s="137"/>
      <c r="JA247" s="137"/>
      <c r="JB247" s="137"/>
      <c r="JC247" s="137"/>
      <c r="JD247" s="137"/>
      <c r="JE247" s="137"/>
      <c r="JF247" s="137"/>
      <c r="JG247" s="137"/>
      <c r="JH247" s="137"/>
      <c r="JI247" s="137"/>
      <c r="JJ247" s="137"/>
      <c r="JK247" s="137"/>
      <c r="JL247" s="137"/>
      <c r="JM247" s="137"/>
      <c r="JN247" s="137"/>
      <c r="JO247" s="137"/>
      <c r="JP247" s="137"/>
      <c r="JQ247" s="137"/>
      <c r="JR247" s="137"/>
      <c r="JS247" s="137"/>
      <c r="JT247" s="137"/>
      <c r="JU247" s="137"/>
      <c r="JV247" s="137"/>
      <c r="JW247" s="137"/>
      <c r="JX247" s="137"/>
      <c r="JY247" s="137"/>
      <c r="JZ247" s="137"/>
      <c r="KA247" s="137"/>
      <c r="KB247" s="137"/>
      <c r="KC247" s="137"/>
      <c r="KD247" s="137"/>
      <c r="KE247" s="137"/>
      <c r="KF247" s="137"/>
      <c r="KG247" s="137"/>
      <c r="KH247" s="137"/>
      <c r="KI247" s="137"/>
      <c r="KJ247" s="137"/>
      <c r="KK247" s="137"/>
      <c r="KL247" s="137"/>
      <c r="KM247" s="137"/>
      <c r="KN247" s="137"/>
      <c r="KO247" s="137"/>
      <c r="KP247" s="137"/>
      <c r="KQ247" s="137"/>
      <c r="KR247" s="137"/>
      <c r="KS247" s="137"/>
      <c r="KT247" s="137"/>
      <c r="KU247" s="137"/>
      <c r="KV247" s="137"/>
      <c r="KW247" s="137"/>
    </row>
    <row r="248" spans="1:309" x14ac:dyDescent="0.15">
      <c r="A248" s="12" t="s">
        <v>58</v>
      </c>
      <c r="B248" s="414">
        <f t="shared" ref="B248:AG248" si="132">+B179*B164</f>
        <v>0</v>
      </c>
      <c r="C248" s="414">
        <f t="shared" si="132"/>
        <v>0</v>
      </c>
      <c r="D248" s="414">
        <f t="shared" si="132"/>
        <v>0</v>
      </c>
      <c r="E248" s="414">
        <f t="shared" si="132"/>
        <v>0.21274405232047183</v>
      </c>
      <c r="F248" s="414">
        <f t="shared" si="132"/>
        <v>0.16419760075122666</v>
      </c>
      <c r="G248" s="414">
        <f t="shared" si="132"/>
        <v>0.12509626290733819</v>
      </c>
      <c r="H248" s="414">
        <f t="shared" si="132"/>
        <v>0.10560991425835677</v>
      </c>
      <c r="I248" s="414">
        <f t="shared" si="132"/>
        <v>0.10233582512269443</v>
      </c>
      <c r="J248" s="414">
        <f t="shared" si="132"/>
        <v>8.9615965838267697E-2</v>
      </c>
      <c r="K248" s="414">
        <f t="shared" si="132"/>
        <v>7.8214677132253788E-2</v>
      </c>
      <c r="L248" s="414">
        <f t="shared" si="132"/>
        <v>7.1838695253641199E-2</v>
      </c>
      <c r="M248" s="414">
        <f t="shared" si="132"/>
        <v>6.4748544119389281E-2</v>
      </c>
      <c r="N248" s="414">
        <f t="shared" si="132"/>
        <v>5.8993240418251498E-2</v>
      </c>
      <c r="O248" s="414">
        <f t="shared" si="132"/>
        <v>5.5190316726360961E-2</v>
      </c>
      <c r="P248" s="414">
        <f t="shared" si="132"/>
        <v>5.3432295442953755E-2</v>
      </c>
      <c r="Q248" s="414">
        <f t="shared" si="132"/>
        <v>5.1419408914609395E-2</v>
      </c>
      <c r="R248" s="414">
        <f t="shared" si="132"/>
        <v>5.039686026513876E-2</v>
      </c>
      <c r="S248" s="414">
        <f t="shared" si="132"/>
        <v>4.9684149797933279E-2</v>
      </c>
      <c r="T248" s="414">
        <f t="shared" si="132"/>
        <v>4.841638003766751E-2</v>
      </c>
      <c r="U248" s="414">
        <f t="shared" si="132"/>
        <v>4.4544425968220377E-2</v>
      </c>
      <c r="V248" s="414">
        <f t="shared" si="132"/>
        <v>4.4862262888436762E-2</v>
      </c>
      <c r="W248" s="414">
        <f t="shared" si="132"/>
        <v>4.8705207361164127E-2</v>
      </c>
      <c r="X248" s="414">
        <f t="shared" si="132"/>
        <v>5.1628965863611181E-2</v>
      </c>
      <c r="Y248" s="414">
        <f t="shared" si="132"/>
        <v>5.4499643940171955E-2</v>
      </c>
      <c r="Z248" s="414">
        <f t="shared" si="132"/>
        <v>5.6570257617375691E-2</v>
      </c>
      <c r="AA248" s="414">
        <f t="shared" si="132"/>
        <v>5.7959915426173028E-2</v>
      </c>
      <c r="AB248" s="414">
        <f t="shared" si="132"/>
        <v>5.8774812030053226E-2</v>
      </c>
      <c r="AC248" s="414">
        <f t="shared" si="132"/>
        <v>6.0673751494777398E-2</v>
      </c>
      <c r="AD248" s="414">
        <f t="shared" si="132"/>
        <v>6.2357163558544593E-2</v>
      </c>
      <c r="AE248" s="414">
        <f t="shared" si="132"/>
        <v>6.3311123612483561E-2</v>
      </c>
      <c r="AF248" s="414">
        <f t="shared" si="132"/>
        <v>5.9409667620949375E-2</v>
      </c>
      <c r="AG248" s="414">
        <f t="shared" si="132"/>
        <v>6.4033449714983884E-2</v>
      </c>
      <c r="AH248" s="414">
        <f t="shared" ref="AH248:BI248" si="133">+AH179*AH164</f>
        <v>6.6745169675709856E-2</v>
      </c>
      <c r="AI248" s="414">
        <f t="shared" si="133"/>
        <v>0.64106131988022386</v>
      </c>
      <c r="AJ248" s="414">
        <f t="shared" si="133"/>
        <v>1.1675668402552088</v>
      </c>
      <c r="AK248" s="414">
        <f t="shared" si="133"/>
        <v>1.4940825134722169</v>
      </c>
      <c r="AL248" s="414">
        <f t="shared" si="133"/>
        <v>1.7001057500841756</v>
      </c>
      <c r="AM248" s="414">
        <f t="shared" si="133"/>
        <v>1.8420628637869421</v>
      </c>
      <c r="AN248" s="414">
        <f t="shared" si="133"/>
        <v>1.9493097130401413</v>
      </c>
      <c r="AO248" s="414">
        <f t="shared" si="133"/>
        <v>2.0372901613151395</v>
      </c>
      <c r="AP248" s="414">
        <f t="shared" si="133"/>
        <v>2.1143132524321859</v>
      </c>
      <c r="AQ248" s="414">
        <f t="shared" si="133"/>
        <v>2.1849139255738526</v>
      </c>
      <c r="AR248" s="414">
        <f t="shared" si="133"/>
        <v>2.2515881598980947</v>
      </c>
      <c r="AS248" s="414">
        <f t="shared" si="133"/>
        <v>2.3157175989008354</v>
      </c>
      <c r="AT248" s="414">
        <f t="shared" si="133"/>
        <v>2.3780714868156698</v>
      </c>
      <c r="AU248" s="414">
        <f t="shared" si="133"/>
        <v>2.4390818048109972</v>
      </c>
      <c r="AV248" s="414">
        <f t="shared" si="133"/>
        <v>2.4989947725030346</v>
      </c>
      <c r="AW248" s="414">
        <f t="shared" si="133"/>
        <v>2.5579544090632975</v>
      </c>
      <c r="AX248" s="414">
        <f t="shared" si="133"/>
        <v>2.6160486238438136</v>
      </c>
      <c r="AY248" s="414">
        <f t="shared" si="133"/>
        <v>2.6733346162600489</v>
      </c>
      <c r="AZ248" s="414">
        <f t="shared" si="133"/>
        <v>2.7298528515580553</v>
      </c>
      <c r="BA248" s="414">
        <f t="shared" si="133"/>
        <v>2.7856347340181205</v>
      </c>
      <c r="BB248" s="414">
        <f t="shared" si="133"/>
        <v>2.8407068074002062</v>
      </c>
      <c r="BC248" s="414">
        <f t="shared" si="133"/>
        <v>2.8950930448145362</v>
      </c>
      <c r="BD248" s="414">
        <f t="shared" si="133"/>
        <v>2.9488160893618591</v>
      </c>
      <c r="BE248" s="414">
        <f t="shared" si="133"/>
        <v>2.7493018990593328</v>
      </c>
      <c r="BF248" s="414">
        <f t="shared" si="133"/>
        <v>2.458441747898112</v>
      </c>
      <c r="BG248" s="414">
        <f t="shared" si="133"/>
        <v>2.0396648713864822</v>
      </c>
      <c r="BH248" s="414">
        <f t="shared" si="133"/>
        <v>1.4420634829044372</v>
      </c>
      <c r="BI248" s="414">
        <f t="shared" si="133"/>
        <v>0.59454693209262965</v>
      </c>
      <c r="BJ248" s="137"/>
      <c r="BK248" s="137"/>
      <c r="BL248" s="137"/>
      <c r="BM248" s="137"/>
      <c r="BN248" s="137"/>
      <c r="BO248" s="137"/>
      <c r="BP248" s="137"/>
      <c r="BQ248" s="137"/>
      <c r="BR248" s="137"/>
      <c r="BS248" s="137"/>
      <c r="BT248" s="137"/>
      <c r="BU248" s="137"/>
      <c r="BV248" s="137"/>
      <c r="BW248" s="137"/>
      <c r="BX248" s="137"/>
      <c r="BY248" s="137"/>
      <c r="BZ248" s="137"/>
      <c r="CA248" s="137"/>
      <c r="CB248" s="137"/>
      <c r="CC248" s="137"/>
      <c r="CD248" s="137"/>
      <c r="CE248" s="137"/>
      <c r="CF248" s="137"/>
      <c r="CG248" s="137"/>
      <c r="CH248" s="137"/>
      <c r="CI248" s="137"/>
      <c r="CJ248" s="137"/>
      <c r="CK248" s="137"/>
      <c r="CL248" s="137"/>
      <c r="CM248" s="137"/>
      <c r="CN248" s="137"/>
      <c r="CO248" s="137"/>
      <c r="CP248" s="137"/>
      <c r="CQ248" s="137"/>
      <c r="CR248" s="137"/>
      <c r="CS248" s="137"/>
      <c r="CT248" s="137"/>
      <c r="CU248" s="137"/>
      <c r="CV248" s="137"/>
      <c r="CW248" s="137"/>
      <c r="CX248" s="137"/>
      <c r="CY248" s="137"/>
      <c r="CZ248" s="137"/>
      <c r="DA248" s="137"/>
      <c r="DB248" s="137"/>
      <c r="DC248" s="137"/>
      <c r="DD248" s="137"/>
      <c r="DE248" s="137"/>
      <c r="DF248" s="137"/>
      <c r="DG248" s="137"/>
      <c r="DH248" s="137"/>
      <c r="DI248" s="137"/>
      <c r="DJ248" s="137"/>
      <c r="DK248" s="137"/>
      <c r="DL248" s="137"/>
      <c r="DM248" s="137"/>
      <c r="DN248" s="137"/>
      <c r="DO248" s="137"/>
      <c r="DP248" s="137"/>
      <c r="DQ248" s="137"/>
      <c r="DR248" s="137"/>
      <c r="DS248" s="137"/>
      <c r="DT248" s="137"/>
      <c r="DU248" s="137"/>
      <c r="DV248" s="137"/>
      <c r="DW248" s="137"/>
      <c r="DX248" s="137"/>
      <c r="DY248" s="137"/>
      <c r="DZ248" s="137"/>
      <c r="EA248" s="137"/>
      <c r="EB248" s="137"/>
      <c r="EC248" s="137"/>
      <c r="ED248" s="137"/>
      <c r="EE248" s="137"/>
      <c r="EF248" s="137"/>
      <c r="EG248" s="137"/>
      <c r="EH248" s="137"/>
      <c r="EI248" s="137"/>
      <c r="EJ248" s="137"/>
      <c r="EK248" s="137"/>
      <c r="EL248" s="137"/>
      <c r="EM248" s="137"/>
      <c r="EN248" s="137"/>
      <c r="EO248" s="137"/>
      <c r="EP248" s="137"/>
      <c r="EQ248" s="137"/>
      <c r="ER248" s="137"/>
      <c r="ES248" s="137"/>
      <c r="ET248" s="137"/>
      <c r="EU248" s="137"/>
      <c r="EV248" s="137"/>
      <c r="EW248" s="137"/>
      <c r="EX248" s="137"/>
      <c r="EY248" s="137"/>
      <c r="EZ248" s="137"/>
      <c r="FA248" s="137"/>
      <c r="FB248" s="137"/>
      <c r="FC248" s="137"/>
      <c r="FD248" s="137"/>
      <c r="FE248" s="137"/>
      <c r="FF248" s="137"/>
      <c r="FG248" s="137"/>
      <c r="FH248" s="137"/>
      <c r="FI248" s="137"/>
      <c r="FJ248" s="137"/>
      <c r="FK248" s="137"/>
      <c r="FL248" s="137"/>
      <c r="FM248" s="137"/>
      <c r="FN248" s="137"/>
      <c r="FO248" s="137"/>
      <c r="FP248" s="137"/>
      <c r="FQ248" s="137"/>
      <c r="FR248" s="137"/>
      <c r="FS248" s="137"/>
      <c r="FT248" s="137"/>
      <c r="FU248" s="137"/>
      <c r="FV248" s="137"/>
      <c r="FW248" s="137"/>
      <c r="FX248" s="137"/>
      <c r="FY248" s="137"/>
      <c r="FZ248" s="137"/>
      <c r="GA248" s="137"/>
      <c r="GB248" s="137"/>
      <c r="GC248" s="137"/>
      <c r="GD248" s="137"/>
      <c r="GE248" s="137"/>
      <c r="GF248" s="137"/>
      <c r="GG248" s="137"/>
      <c r="GH248" s="137"/>
      <c r="GI248" s="137"/>
      <c r="GJ248" s="137"/>
      <c r="GK248" s="137"/>
      <c r="GL248" s="137"/>
      <c r="GM248" s="137"/>
      <c r="GN248" s="137"/>
      <c r="GO248" s="137"/>
      <c r="GP248" s="137"/>
      <c r="GQ248" s="137"/>
      <c r="GR248" s="137"/>
      <c r="GS248" s="137"/>
      <c r="GT248" s="137"/>
      <c r="GU248" s="137"/>
      <c r="GV248" s="137"/>
      <c r="GW248" s="137"/>
      <c r="GX248" s="137"/>
      <c r="GY248" s="137"/>
      <c r="GZ248" s="137"/>
      <c r="HA248" s="137"/>
      <c r="HB248" s="137"/>
      <c r="HC248" s="137"/>
      <c r="HD248" s="137"/>
      <c r="HE248" s="137"/>
      <c r="HF248" s="137"/>
      <c r="HG248" s="137"/>
      <c r="HH248" s="137"/>
      <c r="HI248" s="137"/>
      <c r="HJ248" s="137"/>
      <c r="HK248" s="137"/>
      <c r="HL248" s="137"/>
      <c r="HM248" s="137"/>
      <c r="HN248" s="137"/>
      <c r="HO248" s="137"/>
      <c r="HP248" s="137"/>
      <c r="HQ248" s="137"/>
      <c r="HR248" s="137"/>
      <c r="HS248" s="137"/>
      <c r="HT248" s="137"/>
      <c r="HU248" s="137"/>
      <c r="HV248" s="137"/>
      <c r="HW248" s="137"/>
      <c r="HX248" s="137"/>
      <c r="HY248" s="137"/>
      <c r="HZ248" s="137"/>
      <c r="IA248" s="137"/>
      <c r="IB248" s="137"/>
      <c r="IC248" s="137"/>
      <c r="ID248" s="137"/>
      <c r="IE248" s="137"/>
      <c r="IF248" s="137"/>
      <c r="IG248" s="137"/>
      <c r="IH248" s="137"/>
      <c r="II248" s="137"/>
      <c r="IJ248" s="137"/>
      <c r="IK248" s="137"/>
      <c r="IL248" s="137"/>
      <c r="IM248" s="137"/>
      <c r="IN248" s="137"/>
      <c r="IO248" s="137"/>
      <c r="IP248" s="137"/>
      <c r="IQ248" s="137"/>
      <c r="IR248" s="137"/>
      <c r="IS248" s="137"/>
      <c r="IT248" s="137"/>
      <c r="IU248" s="137"/>
      <c r="IV248" s="137"/>
      <c r="IW248" s="137"/>
      <c r="IX248" s="137"/>
      <c r="IY248" s="137"/>
      <c r="IZ248" s="137"/>
      <c r="JA248" s="137"/>
      <c r="JB248" s="137"/>
      <c r="JC248" s="137"/>
      <c r="JD248" s="137"/>
      <c r="JE248" s="137"/>
      <c r="JF248" s="137"/>
      <c r="JG248" s="137"/>
      <c r="JH248" s="137"/>
      <c r="JI248" s="137"/>
      <c r="JJ248" s="137"/>
      <c r="JK248" s="137"/>
      <c r="JL248" s="137"/>
      <c r="JM248" s="137"/>
      <c r="JN248" s="137"/>
      <c r="JO248" s="137"/>
      <c r="JP248" s="137"/>
      <c r="JQ248" s="137"/>
      <c r="JR248" s="137"/>
      <c r="JS248" s="137"/>
      <c r="JT248" s="137"/>
      <c r="JU248" s="137"/>
      <c r="JV248" s="137"/>
      <c r="JW248" s="137"/>
      <c r="JX248" s="137"/>
      <c r="JY248" s="137"/>
      <c r="JZ248" s="137"/>
      <c r="KA248" s="137"/>
      <c r="KB248" s="137"/>
      <c r="KC248" s="137"/>
      <c r="KD248" s="137"/>
      <c r="KE248" s="137"/>
      <c r="KF248" s="137"/>
      <c r="KG248" s="137"/>
      <c r="KH248" s="137"/>
      <c r="KI248" s="137"/>
      <c r="KJ248" s="137"/>
      <c r="KK248" s="137"/>
      <c r="KL248" s="137"/>
      <c r="KM248" s="137"/>
      <c r="KN248" s="137"/>
      <c r="KO248" s="137"/>
      <c r="KP248" s="137"/>
      <c r="KQ248" s="137"/>
      <c r="KR248" s="137"/>
      <c r="KS248" s="137"/>
      <c r="KT248" s="137"/>
      <c r="KU248" s="137"/>
      <c r="KV248" s="137"/>
      <c r="KW248" s="137"/>
    </row>
    <row r="249" spans="1:309" x14ac:dyDescent="0.15">
      <c r="A249" s="12" t="s">
        <v>114</v>
      </c>
      <c r="B249" s="414">
        <f t="shared" ref="B249:AG249" si="134">+B180*B165</f>
        <v>0</v>
      </c>
      <c r="C249" s="414">
        <f t="shared" si="134"/>
        <v>0.25764871675063628</v>
      </c>
      <c r="D249" s="414">
        <f t="shared" si="134"/>
        <v>0.20034108519184657</v>
      </c>
      <c r="E249" s="414">
        <f t="shared" si="134"/>
        <v>0.15779000002913729</v>
      </c>
      <c r="F249" s="414">
        <f t="shared" si="134"/>
        <v>0.1161017116115127</v>
      </c>
      <c r="G249" s="414">
        <f t="shared" si="134"/>
        <v>8.739364738315733E-2</v>
      </c>
      <c r="H249" s="414">
        <f t="shared" si="134"/>
        <v>7.0745341284014565E-2</v>
      </c>
      <c r="I249" s="414">
        <f t="shared" si="134"/>
        <v>6.6961232618550304E-2</v>
      </c>
      <c r="J249" s="414">
        <f t="shared" si="134"/>
        <v>5.4969111685044959E-2</v>
      </c>
      <c r="K249" s="414">
        <f t="shared" si="134"/>
        <v>4.9285748197194092E-2</v>
      </c>
      <c r="L249" s="414">
        <f t="shared" si="134"/>
        <v>4.517591472558305E-2</v>
      </c>
      <c r="M249" s="414">
        <f t="shared" si="134"/>
        <v>4.0651190669496698E-2</v>
      </c>
      <c r="N249" s="414">
        <f t="shared" si="134"/>
        <v>3.7731930525627788E-2</v>
      </c>
      <c r="O249" s="414">
        <f t="shared" si="134"/>
        <v>3.4703301276460249E-2</v>
      </c>
      <c r="P249" s="414">
        <f t="shared" si="134"/>
        <v>3.2868718146821616E-2</v>
      </c>
      <c r="Q249" s="414">
        <f t="shared" si="134"/>
        <v>3.1140823212687827E-2</v>
      </c>
      <c r="R249" s="414">
        <f t="shared" si="134"/>
        <v>2.9781602065643349E-2</v>
      </c>
      <c r="S249" s="414">
        <f t="shared" si="134"/>
        <v>2.8760379126344771E-2</v>
      </c>
      <c r="T249" s="414">
        <f t="shared" si="134"/>
        <v>2.728467548566859E-2</v>
      </c>
      <c r="U249" s="414">
        <f t="shared" si="134"/>
        <v>2.5314188388147758E-2</v>
      </c>
      <c r="V249" s="414">
        <f t="shared" si="134"/>
        <v>2.4947418692851595E-2</v>
      </c>
      <c r="W249" s="414">
        <f t="shared" si="134"/>
        <v>2.7542291331253528E-2</v>
      </c>
      <c r="X249" s="414">
        <f t="shared" si="134"/>
        <v>2.9774597221989305E-2</v>
      </c>
      <c r="Y249" s="414">
        <f t="shared" si="134"/>
        <v>3.2015053412466535E-2</v>
      </c>
      <c r="Z249" s="414">
        <f t="shared" si="134"/>
        <v>3.4153032637006947E-2</v>
      </c>
      <c r="AA249" s="414">
        <f t="shared" si="134"/>
        <v>3.5785110220338194E-2</v>
      </c>
      <c r="AB249" s="414">
        <f t="shared" si="134"/>
        <v>3.7551920033636665E-2</v>
      </c>
      <c r="AC249" s="414">
        <f t="shared" si="134"/>
        <v>3.9573272738662672E-2</v>
      </c>
      <c r="AD249" s="414">
        <f t="shared" si="134"/>
        <v>4.1461084339325549E-2</v>
      </c>
      <c r="AE249" s="414">
        <f t="shared" si="134"/>
        <v>4.2782509447197394E-2</v>
      </c>
      <c r="AF249" s="414">
        <f t="shared" si="134"/>
        <v>4.1906117296662396E-2</v>
      </c>
      <c r="AG249" s="414">
        <f t="shared" si="134"/>
        <v>4.4325174720439196E-2</v>
      </c>
      <c r="AH249" s="414">
        <f t="shared" ref="AH249:BI249" si="135">+AH180*AH165</f>
        <v>4.588124306056976E-2</v>
      </c>
      <c r="AI249" s="414">
        <f t="shared" si="135"/>
        <v>0.23514490630803059</v>
      </c>
      <c r="AJ249" s="414">
        <f t="shared" si="135"/>
        <v>0.35909354981244335</v>
      </c>
      <c r="AK249" s="414">
        <f t="shared" si="135"/>
        <v>0.43468081696354932</v>
      </c>
      <c r="AL249" s="414">
        <f t="shared" si="135"/>
        <v>0.48390581583354492</v>
      </c>
      <c r="AM249" s="414">
        <f t="shared" si="135"/>
        <v>0.51915224027683071</v>
      </c>
      <c r="AN249" s="414">
        <f t="shared" si="135"/>
        <v>0.54679516465432865</v>
      </c>
      <c r="AO249" s="414">
        <f t="shared" si="135"/>
        <v>0.57020271788025767</v>
      </c>
      <c r="AP249" s="414">
        <f t="shared" si="135"/>
        <v>0.59119208743723406</v>
      </c>
      <c r="AQ249" s="414">
        <f t="shared" si="135"/>
        <v>0.6107554076985704</v>
      </c>
      <c r="AR249" s="414">
        <f t="shared" si="135"/>
        <v>0.62943781752393058</v>
      </c>
      <c r="AS249" s="414">
        <f t="shared" si="135"/>
        <v>0.64753999911160076</v>
      </c>
      <c r="AT249" s="414">
        <f t="shared" si="135"/>
        <v>0.66522838434725196</v>
      </c>
      <c r="AU249" s="414">
        <f t="shared" si="135"/>
        <v>0.68259558979162893</v>
      </c>
      <c r="AV249" s="414">
        <f t="shared" si="135"/>
        <v>0.69969367321501152</v>
      </c>
      <c r="AW249" s="414">
        <f t="shared" si="135"/>
        <v>0.71655245541621249</v>
      </c>
      <c r="AX249" s="414">
        <f t="shared" si="135"/>
        <v>0.73318961364910507</v>
      </c>
      <c r="AY249" s="414">
        <f t="shared" si="135"/>
        <v>0.74961623822734424</v>
      </c>
      <c r="AZ249" s="414">
        <f t="shared" si="135"/>
        <v>0.76583988821693383</v>
      </c>
      <c r="BA249" s="414">
        <f t="shared" si="135"/>
        <v>0.78186626934787151</v>
      </c>
      <c r="BB249" s="414">
        <f t="shared" si="135"/>
        <v>0.79770015341415534</v>
      </c>
      <c r="BC249" s="414">
        <f t="shared" si="135"/>
        <v>0.81334588031260646</v>
      </c>
      <c r="BD249" s="414">
        <f t="shared" si="135"/>
        <v>0.82880763046820427</v>
      </c>
      <c r="BE249" s="414">
        <f t="shared" si="135"/>
        <v>0.76472844748698621</v>
      </c>
      <c r="BF249" s="414">
        <f t="shared" si="135"/>
        <v>0.67207530133793758</v>
      </c>
      <c r="BG249" s="414">
        <f t="shared" si="135"/>
        <v>0.53941682016518611</v>
      </c>
      <c r="BH249" s="414">
        <f t="shared" si="135"/>
        <v>0.35083759795070812</v>
      </c>
      <c r="BI249" s="414">
        <f t="shared" si="135"/>
        <v>8.4118436657179038E-2</v>
      </c>
      <c r="BJ249" s="137"/>
      <c r="BK249" s="137"/>
      <c r="BL249" s="137"/>
      <c r="BM249" s="137"/>
      <c r="BN249" s="137"/>
      <c r="BO249" s="137"/>
      <c r="BP249" s="137"/>
      <c r="BQ249" s="137"/>
      <c r="BR249" s="137"/>
      <c r="BS249" s="137"/>
      <c r="BT249" s="137"/>
      <c r="BU249" s="137"/>
      <c r="BV249" s="137"/>
      <c r="BW249" s="137"/>
      <c r="BX249" s="137"/>
      <c r="BY249" s="137"/>
      <c r="BZ249" s="137"/>
      <c r="CA249" s="137"/>
      <c r="CB249" s="137"/>
      <c r="CC249" s="137"/>
      <c r="CD249" s="137"/>
      <c r="CE249" s="137"/>
      <c r="CF249" s="137"/>
      <c r="CG249" s="137"/>
      <c r="CH249" s="137"/>
      <c r="CI249" s="137"/>
      <c r="CJ249" s="137"/>
      <c r="CK249" s="137"/>
      <c r="CL249" s="137"/>
      <c r="CM249" s="137"/>
      <c r="CN249" s="137"/>
      <c r="CO249" s="137"/>
      <c r="CP249" s="137"/>
      <c r="CQ249" s="137"/>
      <c r="CR249" s="137"/>
      <c r="CS249" s="137"/>
      <c r="CT249" s="137"/>
      <c r="CU249" s="137"/>
      <c r="CV249" s="137"/>
      <c r="CW249" s="137"/>
      <c r="CX249" s="137"/>
      <c r="CY249" s="137"/>
      <c r="CZ249" s="137"/>
      <c r="DA249" s="137"/>
      <c r="DB249" s="137"/>
      <c r="DC249" s="137"/>
      <c r="DD249" s="137"/>
      <c r="DE249" s="137"/>
      <c r="DF249" s="137"/>
      <c r="DG249" s="137"/>
      <c r="DH249" s="137"/>
      <c r="DI249" s="137"/>
      <c r="DJ249" s="137"/>
      <c r="DK249" s="137"/>
      <c r="DL249" s="137"/>
      <c r="DM249" s="137"/>
      <c r="DN249" s="137"/>
      <c r="DO249" s="137"/>
      <c r="DP249" s="137"/>
      <c r="DQ249" s="137"/>
      <c r="DR249" s="137"/>
      <c r="DS249" s="137"/>
      <c r="DT249" s="137"/>
      <c r="DU249" s="137"/>
      <c r="DV249" s="137"/>
      <c r="DW249" s="137"/>
      <c r="DX249" s="137"/>
      <c r="DY249" s="137"/>
      <c r="DZ249" s="137"/>
      <c r="EA249" s="137"/>
      <c r="EB249" s="137"/>
      <c r="EC249" s="137"/>
      <c r="ED249" s="137"/>
      <c r="EE249" s="137"/>
      <c r="EF249" s="137"/>
      <c r="EG249" s="137"/>
      <c r="EH249" s="137"/>
      <c r="EI249" s="137"/>
      <c r="EJ249" s="137"/>
      <c r="EK249" s="137"/>
      <c r="EL249" s="137"/>
      <c r="EM249" s="137"/>
      <c r="EN249" s="137"/>
      <c r="EO249" s="137"/>
      <c r="EP249" s="137"/>
      <c r="EQ249" s="137"/>
      <c r="ER249" s="137"/>
      <c r="ES249" s="137"/>
      <c r="ET249" s="137"/>
      <c r="EU249" s="137"/>
      <c r="EV249" s="137"/>
      <c r="EW249" s="137"/>
      <c r="EX249" s="137"/>
      <c r="EY249" s="137"/>
      <c r="EZ249" s="137"/>
      <c r="FA249" s="137"/>
      <c r="FB249" s="137"/>
      <c r="FC249" s="137"/>
      <c r="FD249" s="137"/>
      <c r="FE249" s="137"/>
      <c r="FF249" s="137"/>
      <c r="FG249" s="137"/>
      <c r="FH249" s="137"/>
      <c r="FI249" s="137"/>
      <c r="FJ249" s="137"/>
      <c r="FK249" s="137"/>
      <c r="FL249" s="137"/>
      <c r="FM249" s="137"/>
      <c r="FN249" s="137"/>
      <c r="FO249" s="137"/>
      <c r="FP249" s="137"/>
      <c r="FQ249" s="137"/>
      <c r="FR249" s="137"/>
      <c r="FS249" s="137"/>
      <c r="FT249" s="137"/>
      <c r="FU249" s="137"/>
      <c r="FV249" s="137"/>
      <c r="FW249" s="137"/>
      <c r="FX249" s="137"/>
      <c r="FY249" s="137"/>
      <c r="FZ249" s="137"/>
      <c r="GA249" s="137"/>
      <c r="GB249" s="137"/>
      <c r="GC249" s="137"/>
      <c r="GD249" s="137"/>
      <c r="GE249" s="137"/>
      <c r="GF249" s="137"/>
      <c r="GG249" s="137"/>
      <c r="GH249" s="137"/>
      <c r="GI249" s="137"/>
      <c r="GJ249" s="137"/>
      <c r="GK249" s="137"/>
      <c r="GL249" s="137"/>
      <c r="GM249" s="137"/>
      <c r="GN249" s="137"/>
      <c r="GO249" s="137"/>
      <c r="GP249" s="137"/>
      <c r="GQ249" s="137"/>
      <c r="GR249" s="137"/>
      <c r="GS249" s="137"/>
      <c r="GT249" s="137"/>
      <c r="GU249" s="137"/>
      <c r="GV249" s="137"/>
      <c r="GW249" s="137"/>
      <c r="GX249" s="137"/>
      <c r="GY249" s="137"/>
      <c r="GZ249" s="137"/>
      <c r="HA249" s="137"/>
      <c r="HB249" s="137"/>
      <c r="HC249" s="137"/>
      <c r="HD249" s="137"/>
      <c r="HE249" s="137"/>
      <c r="HF249" s="137"/>
      <c r="HG249" s="137"/>
      <c r="HH249" s="137"/>
      <c r="HI249" s="137"/>
      <c r="HJ249" s="137"/>
      <c r="HK249" s="137"/>
      <c r="HL249" s="137"/>
      <c r="HM249" s="137"/>
      <c r="HN249" s="137"/>
      <c r="HO249" s="137"/>
      <c r="HP249" s="137"/>
      <c r="HQ249" s="137"/>
      <c r="HR249" s="137"/>
      <c r="HS249" s="137"/>
      <c r="HT249" s="137"/>
      <c r="HU249" s="137"/>
      <c r="HV249" s="137"/>
      <c r="HW249" s="137"/>
      <c r="HX249" s="137"/>
      <c r="HY249" s="137"/>
      <c r="HZ249" s="137"/>
      <c r="IA249" s="137"/>
      <c r="IB249" s="137"/>
      <c r="IC249" s="137"/>
      <c r="ID249" s="137"/>
      <c r="IE249" s="137"/>
      <c r="IF249" s="137"/>
      <c r="IG249" s="137"/>
      <c r="IH249" s="137"/>
      <c r="II249" s="137"/>
      <c r="IJ249" s="137"/>
      <c r="IK249" s="137"/>
      <c r="IL249" s="137"/>
      <c r="IM249" s="137"/>
      <c r="IN249" s="137"/>
      <c r="IO249" s="137"/>
      <c r="IP249" s="137"/>
      <c r="IQ249" s="137"/>
      <c r="IR249" s="137"/>
      <c r="IS249" s="137"/>
      <c r="IT249" s="137"/>
      <c r="IU249" s="137"/>
      <c r="IV249" s="137"/>
      <c r="IW249" s="137"/>
      <c r="IX249" s="137"/>
      <c r="IY249" s="137"/>
      <c r="IZ249" s="137"/>
      <c r="JA249" s="137"/>
      <c r="JB249" s="137"/>
      <c r="JC249" s="137"/>
      <c r="JD249" s="137"/>
      <c r="JE249" s="137"/>
      <c r="JF249" s="137"/>
      <c r="JG249" s="137"/>
      <c r="JH249" s="137"/>
      <c r="JI249" s="137"/>
      <c r="JJ249" s="137"/>
      <c r="JK249" s="137"/>
      <c r="JL249" s="137"/>
      <c r="JM249" s="137"/>
      <c r="JN249" s="137"/>
      <c r="JO249" s="137"/>
      <c r="JP249" s="137"/>
      <c r="JQ249" s="137"/>
      <c r="JR249" s="137"/>
      <c r="JS249" s="137"/>
      <c r="JT249" s="137"/>
      <c r="JU249" s="137"/>
      <c r="JV249" s="137"/>
      <c r="JW249" s="137"/>
      <c r="JX249" s="137"/>
      <c r="JY249" s="137"/>
      <c r="JZ249" s="137"/>
      <c r="KA249" s="137"/>
      <c r="KB249" s="137"/>
      <c r="KC249" s="137"/>
      <c r="KD249" s="137"/>
      <c r="KE249" s="137"/>
      <c r="KF249" s="137"/>
      <c r="KG249" s="137"/>
      <c r="KH249" s="137"/>
      <c r="KI249" s="137"/>
      <c r="KJ249" s="137"/>
      <c r="KK249" s="137"/>
      <c r="KL249" s="137"/>
      <c r="KM249" s="137"/>
      <c r="KN249" s="137"/>
      <c r="KO249" s="137"/>
      <c r="KP249" s="137"/>
      <c r="KQ249" s="137"/>
      <c r="KR249" s="137"/>
      <c r="KS249" s="137"/>
      <c r="KT249" s="137"/>
      <c r="KU249" s="137"/>
      <c r="KV249" s="137"/>
      <c r="KW249" s="137"/>
    </row>
    <row r="250" spans="1:309" x14ac:dyDescent="0.15">
      <c r="A250" s="207" t="s">
        <v>1012</v>
      </c>
      <c r="B250" s="414">
        <f t="shared" ref="B250:AG250" si="136">+B181*B166</f>
        <v>0</v>
      </c>
      <c r="C250" s="414">
        <f t="shared" si="136"/>
        <v>0</v>
      </c>
      <c r="D250" s="414">
        <f t="shared" si="136"/>
        <v>0</v>
      </c>
      <c r="E250" s="414">
        <f t="shared" si="136"/>
        <v>0</v>
      </c>
      <c r="F250" s="414">
        <f t="shared" si="136"/>
        <v>0.18352703764762934</v>
      </c>
      <c r="G250" s="414">
        <f t="shared" si="136"/>
        <v>0.14320995159655683</v>
      </c>
      <c r="H250" s="414">
        <f t="shared" si="136"/>
        <v>0.11985495484387072</v>
      </c>
      <c r="I250" s="414">
        <f t="shared" si="136"/>
        <v>0.11148410966763095</v>
      </c>
      <c r="J250" s="414">
        <f t="shared" si="136"/>
        <v>8.7393938579490002E-2</v>
      </c>
      <c r="K250" s="414">
        <f t="shared" si="136"/>
        <v>7.6555843269035653E-2</v>
      </c>
      <c r="L250" s="414">
        <f t="shared" si="136"/>
        <v>6.9980119586684666E-2</v>
      </c>
      <c r="M250" s="414">
        <f t="shared" si="136"/>
        <v>6.389188470397468E-2</v>
      </c>
      <c r="N250" s="414">
        <f t="shared" si="136"/>
        <v>5.9948724774989449E-2</v>
      </c>
      <c r="O250" s="414">
        <f t="shared" si="136"/>
        <v>5.6928149351062961E-2</v>
      </c>
      <c r="P250" s="414">
        <f t="shared" si="136"/>
        <v>5.4826819263054813E-2</v>
      </c>
      <c r="Q250" s="414">
        <f t="shared" si="136"/>
        <v>5.3058631584474228E-2</v>
      </c>
      <c r="R250" s="414">
        <f t="shared" si="136"/>
        <v>5.1721793376941778E-2</v>
      </c>
      <c r="S250" s="414">
        <f t="shared" si="136"/>
        <v>5.0944748984010892E-2</v>
      </c>
      <c r="T250" s="414">
        <f t="shared" si="136"/>
        <v>4.9609825092424585E-2</v>
      </c>
      <c r="U250" s="414">
        <f t="shared" si="136"/>
        <v>4.7794781216130913E-2</v>
      </c>
      <c r="V250" s="414">
        <f t="shared" si="136"/>
        <v>4.7602927423650632E-2</v>
      </c>
      <c r="W250" s="414">
        <f t="shared" si="136"/>
        <v>5.2130377192583455E-2</v>
      </c>
      <c r="X250" s="414">
        <f t="shared" si="136"/>
        <v>5.7341134621056264E-2</v>
      </c>
      <c r="Y250" s="414">
        <f t="shared" si="136"/>
        <v>6.2127276625962687E-2</v>
      </c>
      <c r="Z250" s="414">
        <f t="shared" si="136"/>
        <v>6.6856017205315352E-2</v>
      </c>
      <c r="AA250" s="414">
        <f t="shared" si="136"/>
        <v>7.1723884758315565E-2</v>
      </c>
      <c r="AB250" s="414">
        <f t="shared" si="136"/>
        <v>7.6928095737083035E-2</v>
      </c>
      <c r="AC250" s="414">
        <f t="shared" si="136"/>
        <v>8.2339931217738777E-2</v>
      </c>
      <c r="AD250" s="414">
        <f t="shared" si="136"/>
        <v>8.7932653106915934E-2</v>
      </c>
      <c r="AE250" s="414">
        <f t="shared" si="136"/>
        <v>9.2996338640966861E-2</v>
      </c>
      <c r="AF250" s="414">
        <f t="shared" si="136"/>
        <v>9.1027329167774132E-2</v>
      </c>
      <c r="AG250" s="414">
        <f t="shared" si="136"/>
        <v>9.4685175212233602E-2</v>
      </c>
      <c r="AH250" s="414">
        <f t="shared" ref="AH250:BI250" si="137">+AH181*AH166</f>
        <v>9.9493392207188933E-2</v>
      </c>
      <c r="AI250" s="414">
        <f t="shared" si="137"/>
        <v>1.3128705769601472</v>
      </c>
      <c r="AJ250" s="414">
        <f t="shared" si="137"/>
        <v>2.6265303906883508</v>
      </c>
      <c r="AK250" s="414">
        <f t="shared" si="137"/>
        <v>3.463124146551944</v>
      </c>
      <c r="AL250" s="414">
        <f t="shared" si="137"/>
        <v>3.9920827014938483</v>
      </c>
      <c r="AM250" s="414">
        <f t="shared" si="137"/>
        <v>4.3571131333604054</v>
      </c>
      <c r="AN250" s="414">
        <f t="shared" si="137"/>
        <v>4.6333784791947039</v>
      </c>
      <c r="AO250" s="414">
        <f t="shared" si="137"/>
        <v>4.8603146934724046</v>
      </c>
      <c r="AP250" s="414">
        <f t="shared" si="137"/>
        <v>5.0591038574053639</v>
      </c>
      <c r="AQ250" s="414">
        <f t="shared" si="137"/>
        <v>5.2412999067912942</v>
      </c>
      <c r="AR250" s="414">
        <f t="shared" si="137"/>
        <v>5.4132618930064407</v>
      </c>
      <c r="AS250" s="414">
        <f t="shared" si="137"/>
        <v>5.5785109994438615</v>
      </c>
      <c r="AT250" s="414">
        <f t="shared" si="137"/>
        <v>5.7390090646941028</v>
      </c>
      <c r="AU250" s="414">
        <f t="shared" si="137"/>
        <v>5.8958593664207672</v>
      </c>
      <c r="AV250" s="414">
        <f t="shared" si="137"/>
        <v>6.0496925638783861</v>
      </c>
      <c r="AW250" s="414">
        <f t="shared" si="137"/>
        <v>6.2008795771151366</v>
      </c>
      <c r="AX250" s="414">
        <f t="shared" si="137"/>
        <v>6.349648973758792</v>
      </c>
      <c r="AY250" s="414">
        <f t="shared" si="137"/>
        <v>6.4961516053083486</v>
      </c>
      <c r="AZ250" s="414">
        <f t="shared" si="137"/>
        <v>6.6404961135148053</v>
      </c>
      <c r="BA250" s="414">
        <f t="shared" si="137"/>
        <v>6.7827683699024544</v>
      </c>
      <c r="BB250" s="414">
        <f t="shared" si="137"/>
        <v>6.9230420694199291</v>
      </c>
      <c r="BC250" s="414">
        <f t="shared" si="137"/>
        <v>7.061384465285462</v>
      </c>
      <c r="BD250" s="414">
        <f t="shared" si="137"/>
        <v>7.1978594429905218</v>
      </c>
      <c r="BE250" s="414">
        <f t="shared" si="137"/>
        <v>6.6820032102673874</v>
      </c>
      <c r="BF250" s="414">
        <f t="shared" si="137"/>
        <v>5.9305715585259913</v>
      </c>
      <c r="BG250" s="414">
        <f t="shared" si="137"/>
        <v>4.8491881685996603</v>
      </c>
      <c r="BH250" s="414">
        <f t="shared" si="137"/>
        <v>3.30660100945025</v>
      </c>
      <c r="BI250" s="414">
        <f t="shared" si="137"/>
        <v>1.1195563244042226</v>
      </c>
      <c r="BJ250" s="137"/>
      <c r="BK250" s="137"/>
      <c r="BL250" s="137"/>
      <c r="BM250" s="137"/>
      <c r="BN250" s="137"/>
      <c r="BO250" s="137"/>
      <c r="BP250" s="137"/>
      <c r="BQ250" s="137"/>
      <c r="BR250" s="137"/>
      <c r="BS250" s="137"/>
      <c r="BT250" s="137"/>
      <c r="BU250" s="137"/>
      <c r="BV250" s="137"/>
      <c r="BW250" s="137"/>
      <c r="BX250" s="137"/>
      <c r="BY250" s="137"/>
      <c r="BZ250" s="137"/>
      <c r="CA250" s="137"/>
      <c r="CB250" s="137"/>
      <c r="CC250" s="137"/>
      <c r="CD250" s="137"/>
      <c r="CE250" s="137"/>
      <c r="CF250" s="137"/>
      <c r="CG250" s="137"/>
      <c r="CH250" s="137"/>
      <c r="CI250" s="137"/>
      <c r="CJ250" s="137"/>
      <c r="CK250" s="137"/>
      <c r="CL250" s="137"/>
      <c r="CM250" s="137"/>
      <c r="CN250" s="137"/>
      <c r="CO250" s="137"/>
      <c r="CP250" s="137"/>
      <c r="CQ250" s="137"/>
      <c r="CR250" s="137"/>
      <c r="CS250" s="137"/>
      <c r="CT250" s="137"/>
      <c r="CU250" s="137"/>
      <c r="CV250" s="137"/>
      <c r="CW250" s="137"/>
      <c r="CX250" s="137"/>
      <c r="CY250" s="137"/>
      <c r="CZ250" s="137"/>
      <c r="DA250" s="137"/>
      <c r="DB250" s="137"/>
      <c r="DC250" s="137"/>
      <c r="DD250" s="137"/>
      <c r="DE250" s="137"/>
      <c r="DF250" s="137"/>
      <c r="DG250" s="137"/>
      <c r="DH250" s="137"/>
      <c r="DI250" s="137"/>
      <c r="DJ250" s="137"/>
      <c r="DK250" s="137"/>
      <c r="DL250" s="137"/>
      <c r="DM250" s="137"/>
      <c r="DN250" s="137"/>
      <c r="DO250" s="137"/>
      <c r="DP250" s="137"/>
      <c r="DQ250" s="137"/>
      <c r="DR250" s="137"/>
      <c r="DS250" s="137"/>
      <c r="DT250" s="137"/>
      <c r="DU250" s="137"/>
      <c r="DV250" s="137"/>
      <c r="DW250" s="137"/>
      <c r="DX250" s="137"/>
      <c r="DY250" s="137"/>
      <c r="DZ250" s="137"/>
      <c r="EA250" s="137"/>
      <c r="EB250" s="137"/>
      <c r="EC250" s="137"/>
      <c r="ED250" s="137"/>
      <c r="EE250" s="137"/>
      <c r="EF250" s="137"/>
      <c r="EG250" s="137"/>
      <c r="EH250" s="137"/>
      <c r="EI250" s="137"/>
      <c r="EJ250" s="137"/>
      <c r="EK250" s="137"/>
      <c r="EL250" s="137"/>
      <c r="EM250" s="137"/>
      <c r="EN250" s="137"/>
      <c r="EO250" s="137"/>
      <c r="EP250" s="137"/>
      <c r="EQ250" s="137"/>
      <c r="ER250" s="137"/>
      <c r="ES250" s="137"/>
      <c r="ET250" s="137"/>
      <c r="EU250" s="137"/>
      <c r="EV250" s="137"/>
      <c r="EW250" s="137"/>
      <c r="EX250" s="137"/>
      <c r="EY250" s="137"/>
      <c r="EZ250" s="137"/>
      <c r="FA250" s="137"/>
      <c r="FB250" s="137"/>
      <c r="FC250" s="137"/>
      <c r="FD250" s="137"/>
      <c r="FE250" s="137"/>
      <c r="FF250" s="137"/>
      <c r="FG250" s="137"/>
      <c r="FH250" s="137"/>
      <c r="FI250" s="137"/>
      <c r="FJ250" s="137"/>
      <c r="FK250" s="137"/>
      <c r="FL250" s="137"/>
      <c r="FM250" s="137"/>
      <c r="FN250" s="137"/>
      <c r="FO250" s="137"/>
      <c r="FP250" s="137"/>
      <c r="FQ250" s="137"/>
      <c r="FR250" s="137"/>
      <c r="FS250" s="137"/>
      <c r="FT250" s="137"/>
      <c r="FU250" s="137"/>
      <c r="FV250" s="137"/>
      <c r="FW250" s="137"/>
      <c r="FX250" s="137"/>
      <c r="FY250" s="137"/>
      <c r="FZ250" s="137"/>
      <c r="GA250" s="137"/>
      <c r="GB250" s="137"/>
      <c r="GC250" s="137"/>
      <c r="GD250" s="137"/>
      <c r="GE250" s="137"/>
      <c r="GF250" s="137"/>
      <c r="GG250" s="137"/>
      <c r="GH250" s="137"/>
      <c r="GI250" s="137"/>
      <c r="GJ250" s="137"/>
      <c r="GK250" s="137"/>
      <c r="GL250" s="137"/>
      <c r="GM250" s="137"/>
      <c r="GN250" s="137"/>
      <c r="GO250" s="137"/>
      <c r="GP250" s="137"/>
      <c r="GQ250" s="137"/>
      <c r="GR250" s="137"/>
      <c r="GS250" s="137"/>
      <c r="GT250" s="137"/>
      <c r="GU250" s="137"/>
      <c r="GV250" s="137"/>
      <c r="GW250" s="137"/>
      <c r="GX250" s="137"/>
      <c r="GY250" s="137"/>
      <c r="GZ250" s="137"/>
      <c r="HA250" s="137"/>
      <c r="HB250" s="137"/>
      <c r="HC250" s="137"/>
      <c r="HD250" s="137"/>
      <c r="HE250" s="137"/>
      <c r="HF250" s="137"/>
      <c r="HG250" s="137"/>
      <c r="HH250" s="137"/>
      <c r="HI250" s="137"/>
      <c r="HJ250" s="137"/>
      <c r="HK250" s="137"/>
      <c r="HL250" s="137"/>
      <c r="HM250" s="137"/>
      <c r="HN250" s="137"/>
      <c r="HO250" s="137"/>
      <c r="HP250" s="137"/>
      <c r="HQ250" s="137"/>
      <c r="HR250" s="137"/>
      <c r="HS250" s="137"/>
      <c r="HT250" s="137"/>
      <c r="HU250" s="137"/>
      <c r="HV250" s="137"/>
      <c r="HW250" s="137"/>
      <c r="HX250" s="137"/>
      <c r="HY250" s="137"/>
      <c r="HZ250" s="137"/>
      <c r="IA250" s="137"/>
      <c r="IB250" s="137"/>
      <c r="IC250" s="137"/>
      <c r="ID250" s="137"/>
      <c r="IE250" s="137"/>
      <c r="IF250" s="137"/>
      <c r="IG250" s="137"/>
      <c r="IH250" s="137"/>
      <c r="II250" s="137"/>
      <c r="IJ250" s="137"/>
      <c r="IK250" s="137"/>
      <c r="IL250" s="137"/>
      <c r="IM250" s="137"/>
      <c r="IN250" s="137"/>
      <c r="IO250" s="137"/>
      <c r="IP250" s="137"/>
      <c r="IQ250" s="137"/>
      <c r="IR250" s="137"/>
      <c r="IS250" s="137"/>
      <c r="IT250" s="137"/>
      <c r="IU250" s="137"/>
      <c r="IV250" s="137"/>
      <c r="IW250" s="137"/>
      <c r="IX250" s="137"/>
      <c r="IY250" s="137"/>
      <c r="IZ250" s="137"/>
      <c r="JA250" s="137"/>
      <c r="JB250" s="137"/>
      <c r="JC250" s="137"/>
      <c r="JD250" s="137"/>
      <c r="JE250" s="137"/>
      <c r="JF250" s="137"/>
      <c r="JG250" s="137"/>
      <c r="JH250" s="137"/>
      <c r="JI250" s="137"/>
      <c r="JJ250" s="137"/>
      <c r="JK250" s="137"/>
      <c r="JL250" s="137"/>
      <c r="JM250" s="137"/>
      <c r="JN250" s="137"/>
      <c r="JO250" s="137"/>
      <c r="JP250" s="137"/>
      <c r="JQ250" s="137"/>
      <c r="JR250" s="137"/>
      <c r="JS250" s="137"/>
      <c r="JT250" s="137"/>
      <c r="JU250" s="137"/>
      <c r="JV250" s="137"/>
      <c r="JW250" s="137"/>
      <c r="JX250" s="137"/>
      <c r="JY250" s="137"/>
      <c r="JZ250" s="137"/>
      <c r="KA250" s="137"/>
      <c r="KB250" s="137"/>
      <c r="KC250" s="137"/>
      <c r="KD250" s="137"/>
      <c r="KE250" s="137"/>
      <c r="KF250" s="137"/>
      <c r="KG250" s="137"/>
      <c r="KH250" s="137"/>
      <c r="KI250" s="137"/>
      <c r="KJ250" s="137"/>
      <c r="KK250" s="137"/>
      <c r="KL250" s="137"/>
      <c r="KM250" s="137"/>
      <c r="KN250" s="137"/>
      <c r="KO250" s="137"/>
      <c r="KP250" s="137"/>
      <c r="KQ250" s="137"/>
      <c r="KR250" s="137"/>
      <c r="KS250" s="137"/>
      <c r="KT250" s="137"/>
      <c r="KU250" s="137"/>
      <c r="KV250" s="137"/>
      <c r="KW250" s="137"/>
    </row>
    <row r="251" spans="1:309" x14ac:dyDescent="0.15">
      <c r="B251" s="414">
        <f t="shared" ref="B251:AG251" si="138">SUM(B239:B250)</f>
        <v>0</v>
      </c>
      <c r="C251" s="414">
        <f t="shared" si="138"/>
        <v>2.8943252811879057</v>
      </c>
      <c r="D251" s="414">
        <f t="shared" si="138"/>
        <v>2.4049513608781288</v>
      </c>
      <c r="E251" s="414">
        <f t="shared" si="138"/>
        <v>2.2403468098290542</v>
      </c>
      <c r="F251" s="414">
        <f t="shared" si="138"/>
        <v>1.8410801730862643</v>
      </c>
      <c r="G251" s="414">
        <f t="shared" si="138"/>
        <v>1.4283385390526786</v>
      </c>
      <c r="H251" s="414">
        <f t="shared" si="138"/>
        <v>1.1380898452568917</v>
      </c>
      <c r="I251" s="414">
        <f t="shared" si="138"/>
        <v>1.1148890399810938</v>
      </c>
      <c r="J251" s="414">
        <f t="shared" si="138"/>
        <v>0.92569389360448273</v>
      </c>
      <c r="K251" s="414">
        <f t="shared" si="138"/>
        <v>0.80072790865804511</v>
      </c>
      <c r="L251" s="414">
        <f t="shared" si="138"/>
        <v>0.71928481082489348</v>
      </c>
      <c r="M251" s="414">
        <f t="shared" si="138"/>
        <v>0.64159459614880832</v>
      </c>
      <c r="N251" s="414">
        <f t="shared" si="138"/>
        <v>0.58025319291943667</v>
      </c>
      <c r="O251" s="414">
        <f t="shared" si="138"/>
        <v>0.53353913773100792</v>
      </c>
      <c r="P251" s="414">
        <f t="shared" si="138"/>
        <v>0.50189584484640926</v>
      </c>
      <c r="Q251" s="414">
        <f t="shared" si="138"/>
        <v>0.47291911237108686</v>
      </c>
      <c r="R251" s="414">
        <f t="shared" si="138"/>
        <v>0.45088209555932857</v>
      </c>
      <c r="S251" s="414">
        <f t="shared" si="138"/>
        <v>0.43265183311579808</v>
      </c>
      <c r="T251" s="414">
        <f t="shared" si="138"/>
        <v>0.40762522450355398</v>
      </c>
      <c r="U251" s="414">
        <f t="shared" si="138"/>
        <v>0.37416883221047237</v>
      </c>
      <c r="V251" s="414">
        <f t="shared" si="138"/>
        <v>0.36447359252306555</v>
      </c>
      <c r="W251" s="414">
        <f t="shared" si="138"/>
        <v>0.41746570193848453</v>
      </c>
      <c r="X251" s="414">
        <f t="shared" si="138"/>
        <v>0.46649396820295258</v>
      </c>
      <c r="Y251" s="414">
        <f t="shared" si="138"/>
        <v>0.51476066333404769</v>
      </c>
      <c r="Z251" s="414">
        <f t="shared" si="138"/>
        <v>0.56284629140401243</v>
      </c>
      <c r="AA251" s="414">
        <f t="shared" si="138"/>
        <v>0.60989512823056258</v>
      </c>
      <c r="AB251" s="414">
        <f t="shared" si="138"/>
        <v>0.65544454438174204</v>
      </c>
      <c r="AC251" s="414">
        <f t="shared" si="138"/>
        <v>0.70290555522948128</v>
      </c>
      <c r="AD251" s="414">
        <f t="shared" si="138"/>
        <v>0.74901253337772655</v>
      </c>
      <c r="AE251" s="414">
        <f t="shared" si="138"/>
        <v>0.78835961680883826</v>
      </c>
      <c r="AF251" s="414">
        <f t="shared" si="138"/>
        <v>0.77915408234088235</v>
      </c>
      <c r="AG251" s="414">
        <f t="shared" si="138"/>
        <v>0.84167021720138679</v>
      </c>
      <c r="AH251" s="414">
        <f t="shared" ref="AH251:BI251" si="139">SUM(AH239:AH250)</f>
        <v>0.88193201766077989</v>
      </c>
      <c r="AI251" s="414">
        <f t="shared" si="139"/>
        <v>6.3739486424239908</v>
      </c>
      <c r="AJ251" s="414">
        <f t="shared" si="139"/>
        <v>11.643254482140723</v>
      </c>
      <c r="AK251" s="414">
        <f t="shared" si="139"/>
        <v>14.991813839304495</v>
      </c>
      <c r="AL251" s="414">
        <f t="shared" si="139"/>
        <v>17.152756294891745</v>
      </c>
      <c r="AM251" s="414">
        <f t="shared" si="139"/>
        <v>18.680326656453097</v>
      </c>
      <c r="AN251" s="414">
        <f t="shared" si="139"/>
        <v>19.863412326549941</v>
      </c>
      <c r="AO251" s="414">
        <f t="shared" si="139"/>
        <v>20.854129153103578</v>
      </c>
      <c r="AP251" s="414">
        <f t="shared" si="139"/>
        <v>21.734455306177598</v>
      </c>
      <c r="AQ251" s="414">
        <f t="shared" si="139"/>
        <v>22.549211519470941</v>
      </c>
      <c r="AR251" s="414">
        <f t="shared" si="139"/>
        <v>23.323100264866667</v>
      </c>
      <c r="AS251" s="414">
        <f t="shared" si="139"/>
        <v>24.069805400758383</v>
      </c>
      <c r="AT251" s="414">
        <f t="shared" si="139"/>
        <v>24.796944988846171</v>
      </c>
      <c r="AU251" s="414">
        <f t="shared" si="139"/>
        <v>25.508793049669841</v>
      </c>
      <c r="AV251" s="414">
        <f t="shared" si="139"/>
        <v>26.207781514977505</v>
      </c>
      <c r="AW251" s="414">
        <f t="shared" si="139"/>
        <v>26.895330020598948</v>
      </c>
      <c r="AX251" s="414">
        <f t="shared" si="139"/>
        <v>27.572304114360417</v>
      </c>
      <c r="AY251" s="414">
        <f t="shared" si="139"/>
        <v>28.239267888694236</v>
      </c>
      <c r="AZ251" s="414">
        <f t="shared" si="139"/>
        <v>28.89662294483594</v>
      </c>
      <c r="BA251" s="414">
        <f t="shared" si="139"/>
        <v>29.54468458660353</v>
      </c>
      <c r="BB251" s="414">
        <f t="shared" si="139"/>
        <v>30.183723409773087</v>
      </c>
      <c r="BC251" s="414">
        <f t="shared" si="139"/>
        <v>30.813987853043336</v>
      </c>
      <c r="BD251" s="414">
        <f t="shared" si="139"/>
        <v>31.435716298997441</v>
      </c>
      <c r="BE251" s="414">
        <f t="shared" si="139"/>
        <v>28.86825869013542</v>
      </c>
      <c r="BF251" s="414">
        <f t="shared" si="139"/>
        <v>25.15155121956597</v>
      </c>
      <c r="BG251" s="414">
        <f t="shared" si="139"/>
        <v>19.826288027776016</v>
      </c>
      <c r="BH251" s="414">
        <f t="shared" si="139"/>
        <v>12.252871857427774</v>
      </c>
      <c r="BI251" s="414">
        <f t="shared" si="139"/>
        <v>3.3674150680936137</v>
      </c>
      <c r="BJ251" s="137"/>
      <c r="BK251" s="137"/>
      <c r="BL251" s="137"/>
      <c r="BM251" s="137"/>
      <c r="BN251" s="137"/>
      <c r="BO251" s="137"/>
      <c r="BP251" s="137"/>
      <c r="BQ251" s="137"/>
      <c r="BR251" s="137"/>
      <c r="BS251" s="137"/>
      <c r="BT251" s="137"/>
      <c r="BU251" s="137"/>
      <c r="BV251" s="137"/>
      <c r="BW251" s="137"/>
      <c r="BX251" s="137"/>
      <c r="BY251" s="137"/>
      <c r="BZ251" s="137"/>
      <c r="CA251" s="137"/>
      <c r="CB251" s="137"/>
      <c r="CC251" s="137"/>
      <c r="CD251" s="137"/>
      <c r="CE251" s="137"/>
      <c r="CF251" s="137"/>
      <c r="CG251" s="137"/>
      <c r="CH251" s="137"/>
      <c r="CI251" s="137"/>
      <c r="CJ251" s="137"/>
      <c r="CK251" s="137"/>
      <c r="CL251" s="137"/>
      <c r="CM251" s="137"/>
      <c r="CN251" s="137"/>
      <c r="CO251" s="137"/>
      <c r="CP251" s="137"/>
      <c r="CQ251" s="137"/>
      <c r="CR251" s="137"/>
      <c r="CS251" s="137"/>
      <c r="CT251" s="137"/>
      <c r="CU251" s="137"/>
      <c r="CV251" s="137"/>
      <c r="CW251" s="137"/>
      <c r="CX251" s="137"/>
      <c r="CY251" s="137"/>
      <c r="CZ251" s="137"/>
      <c r="DA251" s="137"/>
      <c r="DB251" s="137"/>
      <c r="DC251" s="137"/>
      <c r="DD251" s="137"/>
      <c r="DE251" s="137"/>
      <c r="DF251" s="137"/>
      <c r="DG251" s="137"/>
      <c r="DH251" s="137"/>
      <c r="DI251" s="137"/>
      <c r="DJ251" s="137"/>
      <c r="DK251" s="137"/>
      <c r="DL251" s="137"/>
      <c r="DM251" s="137"/>
      <c r="DN251" s="137"/>
      <c r="DO251" s="137"/>
      <c r="DP251" s="137"/>
      <c r="DQ251" s="137"/>
      <c r="DR251" s="137"/>
      <c r="DS251" s="137"/>
      <c r="DT251" s="137"/>
      <c r="DU251" s="137"/>
      <c r="DV251" s="137"/>
      <c r="DW251" s="137"/>
      <c r="DX251" s="137"/>
      <c r="DY251" s="137"/>
      <c r="DZ251" s="137"/>
      <c r="EA251" s="137"/>
      <c r="EB251" s="137"/>
      <c r="EC251" s="137"/>
      <c r="ED251" s="137"/>
      <c r="EE251" s="137"/>
      <c r="EF251" s="137"/>
      <c r="EG251" s="137"/>
      <c r="EH251" s="137"/>
      <c r="EI251" s="137"/>
      <c r="EJ251" s="137"/>
      <c r="EK251" s="137"/>
      <c r="EL251" s="137"/>
      <c r="EM251" s="137"/>
      <c r="EN251" s="137"/>
      <c r="EO251" s="137"/>
      <c r="EP251" s="137"/>
      <c r="EQ251" s="137"/>
      <c r="ER251" s="137"/>
      <c r="ES251" s="137"/>
      <c r="ET251" s="137"/>
      <c r="EU251" s="137"/>
      <c r="EV251" s="137"/>
      <c r="EW251" s="137"/>
      <c r="EX251" s="137"/>
      <c r="EY251" s="137"/>
      <c r="EZ251" s="137"/>
      <c r="FA251" s="137"/>
      <c r="FB251" s="137"/>
      <c r="FC251" s="137"/>
      <c r="FD251" s="137"/>
      <c r="FE251" s="137"/>
      <c r="FF251" s="137"/>
      <c r="FG251" s="137"/>
      <c r="FH251" s="137"/>
      <c r="FI251" s="137"/>
      <c r="FJ251" s="137"/>
      <c r="FK251" s="137"/>
      <c r="FL251" s="137"/>
      <c r="FM251" s="137"/>
      <c r="FN251" s="137"/>
      <c r="FO251" s="137"/>
      <c r="FP251" s="137"/>
      <c r="FQ251" s="137"/>
      <c r="FR251" s="137"/>
      <c r="FS251" s="137"/>
      <c r="FT251" s="137"/>
      <c r="FU251" s="137"/>
      <c r="FV251" s="137"/>
      <c r="FW251" s="137"/>
      <c r="FX251" s="137"/>
      <c r="FY251" s="137"/>
      <c r="FZ251" s="137"/>
      <c r="GA251" s="137"/>
      <c r="GB251" s="137"/>
      <c r="GC251" s="137"/>
      <c r="GD251" s="137"/>
      <c r="GE251" s="137"/>
      <c r="GF251" s="137"/>
      <c r="GG251" s="137"/>
      <c r="GH251" s="137"/>
      <c r="GI251" s="137"/>
      <c r="GJ251" s="137"/>
      <c r="GK251" s="137"/>
      <c r="GL251" s="137"/>
      <c r="GM251" s="137"/>
      <c r="GN251" s="137"/>
      <c r="GO251" s="137"/>
      <c r="GP251" s="137"/>
      <c r="GQ251" s="137"/>
      <c r="GR251" s="137"/>
      <c r="GS251" s="137"/>
      <c r="GT251" s="137"/>
      <c r="GU251" s="137"/>
      <c r="GV251" s="137"/>
      <c r="GW251" s="137"/>
      <c r="GX251" s="137"/>
      <c r="GY251" s="137"/>
      <c r="GZ251" s="137"/>
      <c r="HA251" s="137"/>
      <c r="HB251" s="137"/>
      <c r="HC251" s="137"/>
      <c r="HD251" s="137"/>
      <c r="HE251" s="137"/>
      <c r="HF251" s="137"/>
      <c r="HG251" s="137"/>
      <c r="HH251" s="137"/>
      <c r="HI251" s="137"/>
      <c r="HJ251" s="137"/>
      <c r="HK251" s="137"/>
      <c r="HL251" s="137"/>
      <c r="HM251" s="137"/>
      <c r="HN251" s="137"/>
      <c r="HO251" s="137"/>
      <c r="HP251" s="137"/>
      <c r="HQ251" s="137"/>
      <c r="HR251" s="137"/>
      <c r="HS251" s="137"/>
      <c r="HT251" s="137"/>
      <c r="HU251" s="137"/>
      <c r="HV251" s="137"/>
      <c r="HW251" s="137"/>
      <c r="HX251" s="137"/>
      <c r="HY251" s="137"/>
      <c r="HZ251" s="137"/>
      <c r="IA251" s="137"/>
      <c r="IB251" s="137"/>
      <c r="IC251" s="137"/>
      <c r="ID251" s="137"/>
      <c r="IE251" s="137"/>
      <c r="IF251" s="137"/>
      <c r="IG251" s="137"/>
      <c r="IH251" s="137"/>
      <c r="II251" s="137"/>
      <c r="IJ251" s="137"/>
      <c r="IK251" s="137"/>
      <c r="IL251" s="137"/>
      <c r="IM251" s="137"/>
      <c r="IN251" s="137"/>
      <c r="IO251" s="137"/>
      <c r="IP251" s="137"/>
      <c r="IQ251" s="137"/>
      <c r="IR251" s="137"/>
      <c r="IS251" s="137"/>
      <c r="IT251" s="137"/>
      <c r="IU251" s="137"/>
      <c r="IV251" s="137"/>
      <c r="IW251" s="137"/>
      <c r="IX251" s="137"/>
      <c r="IY251" s="137"/>
      <c r="IZ251" s="137"/>
      <c r="JA251" s="137"/>
      <c r="JB251" s="137"/>
      <c r="JC251" s="137"/>
      <c r="JD251" s="137"/>
      <c r="JE251" s="137"/>
      <c r="JF251" s="137"/>
      <c r="JG251" s="137"/>
      <c r="JH251" s="137"/>
      <c r="JI251" s="137"/>
      <c r="JJ251" s="137"/>
      <c r="JK251" s="137"/>
      <c r="JL251" s="137"/>
      <c r="JM251" s="137"/>
      <c r="JN251" s="137"/>
      <c r="JO251" s="137"/>
      <c r="JP251" s="137"/>
      <c r="JQ251" s="137"/>
      <c r="JR251" s="137"/>
      <c r="JS251" s="137"/>
      <c r="JT251" s="137"/>
      <c r="JU251" s="137"/>
      <c r="JV251" s="137"/>
      <c r="JW251" s="137"/>
      <c r="JX251" s="137"/>
      <c r="JY251" s="137"/>
      <c r="JZ251" s="137"/>
      <c r="KA251" s="137"/>
      <c r="KB251" s="137"/>
      <c r="KC251" s="137"/>
      <c r="KD251" s="137"/>
      <c r="KE251" s="137"/>
      <c r="KF251" s="137"/>
      <c r="KG251" s="137"/>
      <c r="KH251" s="137"/>
      <c r="KI251" s="137"/>
      <c r="KJ251" s="137"/>
      <c r="KK251" s="137"/>
      <c r="KL251" s="137"/>
      <c r="KM251" s="137"/>
      <c r="KN251" s="137"/>
      <c r="KO251" s="137"/>
      <c r="KP251" s="137"/>
      <c r="KQ251" s="137"/>
      <c r="KR251" s="137"/>
      <c r="KS251" s="137"/>
      <c r="KT251" s="137"/>
      <c r="KU251" s="137"/>
      <c r="KV251" s="137"/>
      <c r="KW251" s="137"/>
    </row>
    <row r="252" spans="1:309" x14ac:dyDescent="0.15">
      <c r="BJ252" s="137"/>
      <c r="BK252" s="137"/>
      <c r="BL252" s="137"/>
      <c r="BM252" s="137"/>
      <c r="BN252" s="137"/>
      <c r="BO252" s="137"/>
      <c r="BP252" s="137"/>
      <c r="BQ252" s="137"/>
      <c r="BR252" s="137"/>
      <c r="BS252" s="137"/>
      <c r="BT252" s="137"/>
      <c r="BU252" s="137"/>
      <c r="BV252" s="137"/>
      <c r="BW252" s="137"/>
      <c r="BX252" s="137"/>
      <c r="BY252" s="137"/>
      <c r="BZ252" s="137"/>
      <c r="CA252" s="137"/>
      <c r="CB252" s="137"/>
      <c r="CC252" s="137"/>
      <c r="CD252" s="137"/>
      <c r="CE252" s="137"/>
      <c r="CF252" s="137"/>
      <c r="CG252" s="137"/>
      <c r="CH252" s="137"/>
      <c r="CI252" s="137"/>
      <c r="CJ252" s="137"/>
      <c r="CK252" s="137"/>
      <c r="CL252" s="137"/>
      <c r="CM252" s="137"/>
      <c r="CN252" s="137"/>
      <c r="CO252" s="137"/>
      <c r="CP252" s="137"/>
      <c r="CQ252" s="137"/>
      <c r="CR252" s="137"/>
      <c r="CS252" s="137"/>
      <c r="CT252" s="137"/>
      <c r="CU252" s="137"/>
      <c r="CV252" s="137"/>
      <c r="CW252" s="137"/>
      <c r="CX252" s="137"/>
      <c r="CY252" s="137"/>
      <c r="CZ252" s="137"/>
      <c r="DA252" s="137"/>
      <c r="DB252" s="137"/>
      <c r="DC252" s="137"/>
      <c r="DD252" s="137"/>
      <c r="DE252" s="137"/>
      <c r="DF252" s="137"/>
      <c r="DG252" s="137"/>
      <c r="DH252" s="137"/>
      <c r="DI252" s="137"/>
      <c r="DJ252" s="137"/>
      <c r="DK252" s="137"/>
      <c r="DL252" s="137"/>
      <c r="DM252" s="137"/>
      <c r="DN252" s="137"/>
      <c r="DO252" s="137"/>
      <c r="DP252" s="137"/>
      <c r="DQ252" s="137"/>
      <c r="DR252" s="137"/>
      <c r="DS252" s="137"/>
      <c r="DT252" s="137"/>
      <c r="DU252" s="137"/>
      <c r="DV252" s="137"/>
      <c r="DW252" s="137"/>
      <c r="DX252" s="137"/>
      <c r="DY252" s="137"/>
      <c r="DZ252" s="137"/>
      <c r="EA252" s="137"/>
      <c r="EB252" s="137"/>
      <c r="EC252" s="137"/>
      <c r="ED252" s="137"/>
      <c r="EE252" s="137"/>
      <c r="EF252" s="137"/>
      <c r="EG252" s="137"/>
      <c r="EH252" s="137"/>
      <c r="EI252" s="137"/>
      <c r="EJ252" s="137"/>
      <c r="EK252" s="137"/>
      <c r="EL252" s="137"/>
      <c r="EM252" s="137"/>
      <c r="EN252" s="137"/>
      <c r="EO252" s="137"/>
      <c r="EP252" s="137"/>
      <c r="EQ252" s="137"/>
      <c r="ER252" s="137"/>
      <c r="ES252" s="137"/>
      <c r="ET252" s="137"/>
      <c r="EU252" s="137"/>
      <c r="EV252" s="137"/>
      <c r="EW252" s="137"/>
      <c r="EX252" s="137"/>
      <c r="EY252" s="137"/>
      <c r="EZ252" s="137"/>
      <c r="FA252" s="137"/>
      <c r="FB252" s="137"/>
      <c r="FC252" s="137"/>
      <c r="FD252" s="137"/>
      <c r="FE252" s="137"/>
      <c r="FF252" s="137"/>
      <c r="FG252" s="137"/>
      <c r="FH252" s="137"/>
      <c r="FI252" s="137"/>
      <c r="FJ252" s="137"/>
      <c r="FK252" s="137"/>
      <c r="FL252" s="137"/>
      <c r="FM252" s="137"/>
      <c r="FN252" s="137"/>
      <c r="FO252" s="137"/>
      <c r="FP252" s="137"/>
      <c r="FQ252" s="137"/>
      <c r="FR252" s="137"/>
      <c r="FS252" s="137"/>
      <c r="FT252" s="137"/>
      <c r="FU252" s="137"/>
      <c r="FV252" s="137"/>
      <c r="FW252" s="137"/>
      <c r="FX252" s="137"/>
      <c r="FY252" s="137"/>
      <c r="FZ252" s="137"/>
      <c r="GA252" s="137"/>
      <c r="GB252" s="137"/>
      <c r="GC252" s="137"/>
      <c r="GD252" s="137"/>
      <c r="GE252" s="137"/>
      <c r="GF252" s="137"/>
      <c r="GG252" s="137"/>
      <c r="GH252" s="137"/>
      <c r="GI252" s="137"/>
      <c r="GJ252" s="137"/>
      <c r="GK252" s="137"/>
      <c r="GL252" s="137"/>
      <c r="GM252" s="137"/>
      <c r="GN252" s="137"/>
      <c r="GO252" s="137"/>
      <c r="GP252" s="137"/>
      <c r="GQ252" s="137"/>
      <c r="GR252" s="137"/>
      <c r="GS252" s="137"/>
      <c r="GT252" s="137"/>
      <c r="GU252" s="137"/>
      <c r="GV252" s="137"/>
      <c r="GW252" s="137"/>
      <c r="GX252" s="137"/>
      <c r="GY252" s="137"/>
      <c r="GZ252" s="137"/>
      <c r="HA252" s="137"/>
      <c r="HB252" s="137"/>
      <c r="HC252" s="137"/>
      <c r="HD252" s="137"/>
      <c r="HE252" s="137"/>
      <c r="HF252" s="137"/>
      <c r="HG252" s="137"/>
      <c r="HH252" s="137"/>
      <c r="HI252" s="137"/>
      <c r="HJ252" s="137"/>
      <c r="HK252" s="137"/>
      <c r="HL252" s="137"/>
      <c r="HM252" s="137"/>
      <c r="HN252" s="137"/>
      <c r="HO252" s="137"/>
      <c r="HP252" s="137"/>
      <c r="HQ252" s="137"/>
      <c r="HR252" s="137"/>
      <c r="HS252" s="137"/>
      <c r="HT252" s="137"/>
      <c r="HU252" s="137"/>
      <c r="HV252" s="137"/>
      <c r="HW252" s="137"/>
      <c r="HX252" s="137"/>
      <c r="HY252" s="137"/>
      <c r="HZ252" s="137"/>
      <c r="IA252" s="137"/>
      <c r="IB252" s="137"/>
      <c r="IC252" s="137"/>
      <c r="ID252" s="137"/>
      <c r="IE252" s="137"/>
      <c r="IF252" s="137"/>
      <c r="IG252" s="137"/>
      <c r="IH252" s="137"/>
      <c r="II252" s="137"/>
      <c r="IJ252" s="137"/>
      <c r="IK252" s="137"/>
      <c r="IL252" s="137"/>
      <c r="IM252" s="137"/>
      <c r="IN252" s="137"/>
      <c r="IO252" s="137"/>
      <c r="IP252" s="137"/>
      <c r="IQ252" s="137"/>
      <c r="IR252" s="137"/>
      <c r="IS252" s="137"/>
      <c r="IT252" s="137"/>
      <c r="IU252" s="137"/>
      <c r="IV252" s="137"/>
      <c r="IW252" s="137"/>
      <c r="IX252" s="137"/>
      <c r="IY252" s="137"/>
      <c r="IZ252" s="137"/>
      <c r="JA252" s="137"/>
      <c r="JB252" s="137"/>
      <c r="JC252" s="137"/>
      <c r="JD252" s="137"/>
      <c r="JE252" s="137"/>
      <c r="JF252" s="137"/>
      <c r="JG252" s="137"/>
      <c r="JH252" s="137"/>
      <c r="JI252" s="137"/>
      <c r="JJ252" s="137"/>
      <c r="JK252" s="137"/>
      <c r="JL252" s="137"/>
      <c r="JM252" s="137"/>
      <c r="JN252" s="137"/>
      <c r="JO252" s="137"/>
      <c r="JP252" s="137"/>
      <c r="JQ252" s="137"/>
      <c r="JR252" s="137"/>
      <c r="JS252" s="137"/>
      <c r="JT252" s="137"/>
      <c r="JU252" s="137"/>
      <c r="JV252" s="137"/>
      <c r="JW252" s="137"/>
      <c r="JX252" s="137"/>
      <c r="JY252" s="137"/>
      <c r="JZ252" s="137"/>
      <c r="KA252" s="137"/>
      <c r="KB252" s="137"/>
      <c r="KC252" s="137"/>
      <c r="KD252" s="137"/>
      <c r="KE252" s="137"/>
      <c r="KF252" s="137"/>
      <c r="KG252" s="137"/>
      <c r="KH252" s="137"/>
      <c r="KI252" s="137"/>
      <c r="KJ252" s="137"/>
      <c r="KK252" s="137"/>
      <c r="KL252" s="137"/>
      <c r="KM252" s="137"/>
      <c r="KN252" s="137"/>
      <c r="KO252" s="137"/>
      <c r="KP252" s="137"/>
      <c r="KQ252" s="137"/>
      <c r="KR252" s="137"/>
      <c r="KS252" s="137"/>
      <c r="KT252" s="137"/>
      <c r="KU252" s="137"/>
      <c r="KV252" s="137"/>
      <c r="KW252" s="137"/>
    </row>
    <row r="253" spans="1:309" x14ac:dyDescent="0.15">
      <c r="A253" s="19" t="s">
        <v>1015</v>
      </c>
      <c r="BJ253" s="137"/>
      <c r="BK253" s="137"/>
      <c r="BL253" s="137"/>
      <c r="BM253" s="137"/>
      <c r="BN253" s="137"/>
      <c r="BO253" s="137"/>
      <c r="BP253" s="137"/>
      <c r="BQ253" s="137"/>
      <c r="BR253" s="137"/>
      <c r="BS253" s="137"/>
      <c r="BT253" s="137"/>
      <c r="BU253" s="137"/>
      <c r="BV253" s="137"/>
      <c r="BW253" s="137"/>
      <c r="BX253" s="137"/>
      <c r="BY253" s="137"/>
      <c r="BZ253" s="137"/>
      <c r="CA253" s="137"/>
      <c r="CB253" s="137"/>
      <c r="CC253" s="137"/>
      <c r="CD253" s="137"/>
      <c r="CE253" s="137"/>
      <c r="CF253" s="137"/>
      <c r="CG253" s="137"/>
      <c r="CH253" s="137"/>
      <c r="CI253" s="137"/>
      <c r="CJ253" s="137"/>
      <c r="CK253" s="137"/>
      <c r="CL253" s="137"/>
      <c r="CM253" s="137"/>
      <c r="CN253" s="137"/>
      <c r="CO253" s="137"/>
      <c r="CP253" s="137"/>
      <c r="CQ253" s="137"/>
      <c r="CR253" s="137"/>
      <c r="CS253" s="137"/>
      <c r="CT253" s="137"/>
      <c r="CU253" s="137"/>
      <c r="CV253" s="137"/>
      <c r="CW253" s="137"/>
      <c r="CX253" s="137"/>
      <c r="CY253" s="137"/>
      <c r="CZ253" s="137"/>
      <c r="DA253" s="137"/>
      <c r="DB253" s="137"/>
      <c r="DC253" s="137"/>
      <c r="DD253" s="137"/>
      <c r="DE253" s="137"/>
      <c r="DF253" s="137"/>
      <c r="DG253" s="137"/>
      <c r="DH253" s="137"/>
      <c r="DI253" s="137"/>
      <c r="DJ253" s="137"/>
      <c r="DK253" s="137"/>
      <c r="DL253" s="137"/>
      <c r="DM253" s="137"/>
      <c r="DN253" s="137"/>
      <c r="DO253" s="137"/>
      <c r="DP253" s="137"/>
      <c r="DQ253" s="137"/>
      <c r="DR253" s="137"/>
      <c r="DS253" s="137"/>
      <c r="DT253" s="137"/>
      <c r="DU253" s="137"/>
      <c r="DV253" s="137"/>
      <c r="DW253" s="137"/>
      <c r="DX253" s="137"/>
      <c r="DY253" s="137"/>
      <c r="DZ253" s="137"/>
      <c r="EA253" s="137"/>
      <c r="EB253" s="137"/>
      <c r="EC253" s="137"/>
      <c r="ED253" s="137"/>
      <c r="EE253" s="137"/>
      <c r="EF253" s="137"/>
      <c r="EG253" s="137"/>
      <c r="EH253" s="137"/>
      <c r="EI253" s="137"/>
      <c r="EJ253" s="137"/>
      <c r="EK253" s="137"/>
      <c r="EL253" s="137"/>
      <c r="EM253" s="137"/>
      <c r="EN253" s="137"/>
      <c r="EO253" s="137"/>
      <c r="EP253" s="137"/>
      <c r="EQ253" s="137"/>
      <c r="ER253" s="137"/>
      <c r="ES253" s="137"/>
      <c r="ET253" s="137"/>
      <c r="EU253" s="137"/>
      <c r="EV253" s="137"/>
      <c r="EW253" s="137"/>
      <c r="EX253" s="137"/>
      <c r="EY253" s="137"/>
      <c r="EZ253" s="137"/>
      <c r="FA253" s="137"/>
      <c r="FB253" s="137"/>
      <c r="FC253" s="137"/>
      <c r="FD253" s="137"/>
      <c r="FE253" s="137"/>
      <c r="FF253" s="137"/>
      <c r="FG253" s="137"/>
      <c r="FH253" s="137"/>
      <c r="FI253" s="137"/>
      <c r="FJ253" s="137"/>
      <c r="FK253" s="137"/>
      <c r="FL253" s="137"/>
      <c r="FM253" s="137"/>
      <c r="FN253" s="137"/>
      <c r="FO253" s="137"/>
      <c r="FP253" s="137"/>
      <c r="FQ253" s="137"/>
      <c r="FR253" s="137"/>
      <c r="FS253" s="137"/>
      <c r="FT253" s="137"/>
      <c r="FU253" s="137"/>
      <c r="FV253" s="137"/>
      <c r="FW253" s="137"/>
      <c r="FX253" s="137"/>
      <c r="FY253" s="137"/>
      <c r="FZ253" s="137"/>
      <c r="GA253" s="137"/>
      <c r="GB253" s="137"/>
      <c r="GC253" s="137"/>
      <c r="GD253" s="137"/>
      <c r="GE253" s="137"/>
      <c r="GF253" s="137"/>
      <c r="GG253" s="137"/>
      <c r="GH253" s="137"/>
      <c r="GI253" s="137"/>
      <c r="GJ253" s="137"/>
      <c r="GK253" s="137"/>
      <c r="GL253" s="137"/>
      <c r="GM253" s="137"/>
      <c r="GN253" s="137"/>
      <c r="GO253" s="137"/>
      <c r="GP253" s="137"/>
      <c r="GQ253" s="137"/>
      <c r="GR253" s="137"/>
      <c r="GS253" s="137"/>
      <c r="GT253" s="137"/>
      <c r="GU253" s="137"/>
      <c r="GV253" s="137"/>
      <c r="GW253" s="137"/>
      <c r="GX253" s="137"/>
      <c r="GY253" s="137"/>
      <c r="GZ253" s="137"/>
      <c r="HA253" s="137"/>
      <c r="HB253" s="137"/>
      <c r="HC253" s="137"/>
      <c r="HD253" s="137"/>
      <c r="HE253" s="137"/>
      <c r="HF253" s="137"/>
      <c r="HG253" s="137"/>
      <c r="HH253" s="137"/>
      <c r="HI253" s="137"/>
      <c r="HJ253" s="137"/>
      <c r="HK253" s="137"/>
      <c r="HL253" s="137"/>
      <c r="HM253" s="137"/>
      <c r="HN253" s="137"/>
      <c r="HO253" s="137"/>
      <c r="HP253" s="137"/>
      <c r="HQ253" s="137"/>
      <c r="HR253" s="137"/>
      <c r="HS253" s="137"/>
      <c r="HT253" s="137"/>
      <c r="HU253" s="137"/>
      <c r="HV253" s="137"/>
      <c r="HW253" s="137"/>
      <c r="HX253" s="137"/>
      <c r="HY253" s="137"/>
      <c r="HZ253" s="137"/>
      <c r="IA253" s="137"/>
      <c r="IB253" s="137"/>
      <c r="IC253" s="137"/>
      <c r="ID253" s="137"/>
      <c r="IE253" s="137"/>
      <c r="IF253" s="137"/>
      <c r="IG253" s="137"/>
      <c r="IH253" s="137"/>
      <c r="II253" s="137"/>
      <c r="IJ253" s="137"/>
      <c r="IK253" s="137"/>
      <c r="IL253" s="137"/>
      <c r="IM253" s="137"/>
      <c r="IN253" s="137"/>
      <c r="IO253" s="137"/>
      <c r="IP253" s="137"/>
      <c r="IQ253" s="137"/>
      <c r="IR253" s="137"/>
      <c r="IS253" s="137"/>
      <c r="IT253" s="137"/>
      <c r="IU253" s="137"/>
      <c r="IV253" s="137"/>
      <c r="IW253" s="137"/>
      <c r="IX253" s="137"/>
      <c r="IY253" s="137"/>
      <c r="IZ253" s="137"/>
      <c r="JA253" s="137"/>
      <c r="JB253" s="137"/>
      <c r="JC253" s="137"/>
      <c r="JD253" s="137"/>
      <c r="JE253" s="137"/>
      <c r="JF253" s="137"/>
      <c r="JG253" s="137"/>
      <c r="JH253" s="137"/>
      <c r="JI253" s="137"/>
      <c r="JJ253" s="137"/>
      <c r="JK253" s="137"/>
      <c r="JL253" s="137"/>
      <c r="JM253" s="137"/>
      <c r="JN253" s="137"/>
      <c r="JO253" s="137"/>
      <c r="JP253" s="137"/>
      <c r="JQ253" s="137"/>
      <c r="JR253" s="137"/>
      <c r="JS253" s="137"/>
      <c r="JT253" s="137"/>
      <c r="JU253" s="137"/>
      <c r="JV253" s="137"/>
      <c r="JW253" s="137"/>
      <c r="JX253" s="137"/>
      <c r="JY253" s="137"/>
      <c r="JZ253" s="137"/>
      <c r="KA253" s="137"/>
      <c r="KB253" s="137"/>
      <c r="KC253" s="137"/>
      <c r="KD253" s="137"/>
      <c r="KE253" s="137"/>
      <c r="KF253" s="137"/>
      <c r="KG253" s="137"/>
      <c r="KH253" s="137"/>
      <c r="KI253" s="137"/>
      <c r="KJ253" s="137"/>
      <c r="KK253" s="137"/>
      <c r="KL253" s="137"/>
      <c r="KM253" s="137"/>
      <c r="KN253" s="137"/>
      <c r="KO253" s="137"/>
      <c r="KP253" s="137"/>
      <c r="KQ253" s="137"/>
      <c r="KR253" s="137"/>
      <c r="KS253" s="137"/>
      <c r="KT253" s="137"/>
      <c r="KU253" s="137"/>
      <c r="KV253" s="137"/>
      <c r="KW253" s="137"/>
    </row>
    <row r="254" spans="1:309" x14ac:dyDescent="0.15">
      <c r="A254" s="12" t="s">
        <v>104</v>
      </c>
      <c r="B254" s="12">
        <f>+US!B115</f>
        <v>0</v>
      </c>
      <c r="C254" s="207">
        <f>+US!C115</f>
        <v>0</v>
      </c>
      <c r="D254" s="207">
        <f>+US!D115</f>
        <v>0</v>
      </c>
      <c r="E254" s="207">
        <f>+US!E115</f>
        <v>0</v>
      </c>
      <c r="F254" s="207">
        <f>+US!F115</f>
        <v>0</v>
      </c>
      <c r="G254" s="207">
        <f>+US!G115</f>
        <v>44.184255485189638</v>
      </c>
      <c r="H254" s="207">
        <f>+US!H115</f>
        <v>91.394986846696938</v>
      </c>
      <c r="I254" s="12">
        <f>+US!I115</f>
        <v>139.23146511716175</v>
      </c>
      <c r="J254" s="12">
        <f>+US!J115</f>
        <v>179.51431792299149</v>
      </c>
      <c r="K254" s="12">
        <f>+US!K115</f>
        <v>211.45441686141928</v>
      </c>
      <c r="L254" s="12">
        <f>+US!L115</f>
        <v>229.57244268019079</v>
      </c>
      <c r="M254" s="12">
        <f>+US!M115</f>
        <v>232.157942786685</v>
      </c>
      <c r="N254" s="12">
        <f>+US!N115</f>
        <v>238.21038385130043</v>
      </c>
      <c r="O254" s="12">
        <f>+US!O115</f>
        <v>247.94250569507551</v>
      </c>
      <c r="P254" s="12">
        <f>+US!P115</f>
        <v>260.15911645523749</v>
      </c>
      <c r="Q254" s="12">
        <f>+US!Q115</f>
        <v>270.28776555941084</v>
      </c>
      <c r="R254" s="12">
        <f>+US!R115</f>
        <v>277.60854083681448</v>
      </c>
      <c r="S254" s="12">
        <f>+US!S115</f>
        <v>282.25724683170819</v>
      </c>
      <c r="T254" s="12">
        <f>+US!T115</f>
        <v>282.31111492569971</v>
      </c>
      <c r="U254" s="12">
        <f>+US!U115</f>
        <v>276.87572302645714</v>
      </c>
      <c r="V254" s="12">
        <f>+US!V115</f>
        <v>281.29749115323966</v>
      </c>
      <c r="W254" s="12">
        <f>+US!W115</f>
        <v>274.46427434750507</v>
      </c>
      <c r="X254" s="12">
        <f>+US!X115</f>
        <v>269.20743974952313</v>
      </c>
      <c r="Y254" s="12">
        <f>+US!Y115</f>
        <v>263.584279069888</v>
      </c>
      <c r="Z254" s="12">
        <f>+US!Z115</f>
        <v>258.84621742255558</v>
      </c>
      <c r="AA254" s="12">
        <f>+US!AA115</f>
        <v>254.79866147659996</v>
      </c>
      <c r="AB254" s="12">
        <f>+US!AB115</f>
        <v>249.60430612999713</v>
      </c>
      <c r="AC254" s="12">
        <f>+US!AC115</f>
        <v>245.25261152668415</v>
      </c>
      <c r="AD254" s="12">
        <f>+US!AD115</f>
        <v>241.72358298757925</v>
      </c>
      <c r="AE254" s="12">
        <f>+US!AE115</f>
        <v>237.5706066577481</v>
      </c>
      <c r="AF254" s="12">
        <f>+US!AF115</f>
        <v>228.77189031528192</v>
      </c>
      <c r="AG254" s="12">
        <f>+US!AG115</f>
        <v>228.15322502031711</v>
      </c>
      <c r="AH254" s="12">
        <f>+US!AH115</f>
        <v>224.03084612452935</v>
      </c>
      <c r="AI254" s="12">
        <f>+US!AI115</f>
        <v>0</v>
      </c>
      <c r="AJ254" s="12">
        <f>+US!AJ115</f>
        <v>0</v>
      </c>
      <c r="AK254" s="12">
        <f>+US!AK115</f>
        <v>0</v>
      </c>
      <c r="BJ254" s="137"/>
      <c r="BK254" s="137"/>
      <c r="BL254" s="137"/>
      <c r="BM254" s="137"/>
      <c r="BN254" s="137"/>
      <c r="BO254" s="137"/>
      <c r="BP254" s="137"/>
      <c r="BQ254" s="137"/>
      <c r="BR254" s="137"/>
      <c r="BS254" s="137"/>
      <c r="BT254" s="137"/>
      <c r="BU254" s="137"/>
      <c r="BV254" s="137"/>
      <c r="BW254" s="137"/>
      <c r="BX254" s="137"/>
      <c r="BY254" s="137"/>
      <c r="BZ254" s="137"/>
      <c r="CA254" s="137"/>
      <c r="CB254" s="137"/>
      <c r="CC254" s="137"/>
      <c r="CD254" s="137"/>
      <c r="CE254" s="137"/>
      <c r="CF254" s="137"/>
      <c r="CG254" s="137"/>
      <c r="CH254" s="137"/>
      <c r="CI254" s="137"/>
      <c r="CJ254" s="137"/>
      <c r="CK254" s="137"/>
      <c r="CL254" s="137"/>
      <c r="CM254" s="137"/>
      <c r="CN254" s="137"/>
      <c r="CO254" s="137"/>
      <c r="CP254" s="137"/>
      <c r="CQ254" s="137"/>
      <c r="CR254" s="137"/>
      <c r="CS254" s="137"/>
      <c r="CT254" s="137"/>
      <c r="CU254" s="137"/>
      <c r="CV254" s="137"/>
      <c r="CW254" s="137"/>
      <c r="CX254" s="137"/>
      <c r="CY254" s="137"/>
      <c r="CZ254" s="137"/>
      <c r="DA254" s="137"/>
      <c r="DB254" s="137"/>
      <c r="DC254" s="137"/>
      <c r="DD254" s="137"/>
      <c r="DE254" s="137"/>
      <c r="DF254" s="137"/>
      <c r="DG254" s="137"/>
      <c r="DH254" s="137"/>
      <c r="DI254" s="137"/>
      <c r="DJ254" s="137"/>
      <c r="DK254" s="137"/>
      <c r="DL254" s="137"/>
      <c r="DM254" s="137"/>
      <c r="DN254" s="137"/>
      <c r="DO254" s="137"/>
      <c r="DP254" s="137"/>
      <c r="DQ254" s="137"/>
      <c r="DR254" s="137"/>
      <c r="DS254" s="137"/>
      <c r="DT254" s="137"/>
      <c r="DU254" s="137"/>
      <c r="DV254" s="137"/>
      <c r="DW254" s="137"/>
      <c r="DX254" s="137"/>
      <c r="DY254" s="137"/>
      <c r="DZ254" s="137"/>
      <c r="EA254" s="137"/>
      <c r="EB254" s="137"/>
      <c r="EC254" s="137"/>
      <c r="ED254" s="137"/>
      <c r="EE254" s="137"/>
      <c r="EF254" s="137"/>
      <c r="EG254" s="137"/>
      <c r="EH254" s="137"/>
      <c r="EI254" s="137"/>
      <c r="EJ254" s="137"/>
      <c r="EK254" s="137"/>
      <c r="EL254" s="137"/>
      <c r="EM254" s="137"/>
      <c r="EN254" s="137"/>
      <c r="EO254" s="137"/>
      <c r="EP254" s="137"/>
      <c r="EQ254" s="137"/>
      <c r="ER254" s="137"/>
      <c r="ES254" s="137"/>
      <c r="ET254" s="137"/>
      <c r="EU254" s="137"/>
      <c r="EV254" s="137"/>
      <c r="EW254" s="137"/>
      <c r="EX254" s="137"/>
      <c r="EY254" s="137"/>
      <c r="EZ254" s="137"/>
      <c r="FA254" s="137"/>
      <c r="FB254" s="137"/>
      <c r="FC254" s="137"/>
      <c r="FD254" s="137"/>
      <c r="FE254" s="137"/>
      <c r="FF254" s="137"/>
      <c r="FG254" s="137"/>
      <c r="FH254" s="137"/>
      <c r="FI254" s="137"/>
      <c r="FJ254" s="137"/>
      <c r="FK254" s="137"/>
      <c r="FL254" s="137"/>
      <c r="FM254" s="137"/>
      <c r="FN254" s="137"/>
      <c r="FO254" s="137"/>
      <c r="FP254" s="137"/>
      <c r="FQ254" s="137"/>
      <c r="FR254" s="137"/>
      <c r="FS254" s="137"/>
      <c r="FT254" s="137"/>
      <c r="FU254" s="137"/>
      <c r="FV254" s="137"/>
      <c r="FW254" s="137"/>
      <c r="FX254" s="137"/>
      <c r="FY254" s="137"/>
      <c r="FZ254" s="137"/>
      <c r="GA254" s="137"/>
      <c r="GB254" s="137"/>
      <c r="GC254" s="137"/>
      <c r="GD254" s="137"/>
      <c r="GE254" s="137"/>
      <c r="GF254" s="137"/>
      <c r="GG254" s="137"/>
      <c r="GH254" s="137"/>
      <c r="GI254" s="137"/>
      <c r="GJ254" s="137"/>
      <c r="GK254" s="137"/>
      <c r="GL254" s="137"/>
      <c r="GM254" s="137"/>
      <c r="GN254" s="137"/>
      <c r="GO254" s="137"/>
      <c r="GP254" s="137"/>
      <c r="GQ254" s="137"/>
      <c r="GR254" s="137"/>
      <c r="GS254" s="137"/>
      <c r="GT254" s="137"/>
      <c r="GU254" s="137"/>
      <c r="GV254" s="137"/>
      <c r="GW254" s="137"/>
      <c r="GX254" s="137"/>
      <c r="GY254" s="137"/>
      <c r="GZ254" s="137"/>
      <c r="HA254" s="137"/>
      <c r="HB254" s="137"/>
      <c r="HC254" s="137"/>
      <c r="HD254" s="137"/>
      <c r="HE254" s="137"/>
      <c r="HF254" s="137"/>
      <c r="HG254" s="137"/>
      <c r="HH254" s="137"/>
      <c r="HI254" s="137"/>
      <c r="HJ254" s="137"/>
      <c r="HK254" s="137"/>
      <c r="HL254" s="137"/>
      <c r="HM254" s="137"/>
      <c r="HN254" s="137"/>
      <c r="HO254" s="137"/>
      <c r="HP254" s="137"/>
      <c r="HQ254" s="137"/>
      <c r="HR254" s="137"/>
      <c r="HS254" s="137"/>
      <c r="HT254" s="137"/>
      <c r="HU254" s="137"/>
      <c r="HV254" s="137"/>
      <c r="HW254" s="137"/>
      <c r="HX254" s="137"/>
      <c r="HY254" s="137"/>
      <c r="HZ254" s="137"/>
      <c r="IA254" s="137"/>
      <c r="IB254" s="137"/>
      <c r="IC254" s="137"/>
      <c r="ID254" s="137"/>
      <c r="IE254" s="137"/>
      <c r="IF254" s="137"/>
      <c r="IG254" s="137"/>
      <c r="IH254" s="137"/>
      <c r="II254" s="137"/>
      <c r="IJ254" s="137"/>
      <c r="IK254" s="137"/>
      <c r="IL254" s="137"/>
      <c r="IM254" s="137"/>
      <c r="IN254" s="137"/>
      <c r="IO254" s="137"/>
      <c r="IP254" s="137"/>
      <c r="IQ254" s="137"/>
      <c r="IR254" s="137"/>
      <c r="IS254" s="137"/>
      <c r="IT254" s="137"/>
      <c r="IU254" s="137"/>
      <c r="IV254" s="137"/>
      <c r="IW254" s="137"/>
      <c r="IX254" s="137"/>
      <c r="IY254" s="137"/>
      <c r="IZ254" s="137"/>
      <c r="JA254" s="137"/>
      <c r="JB254" s="137"/>
      <c r="JC254" s="137"/>
      <c r="JD254" s="137"/>
      <c r="JE254" s="137"/>
      <c r="JF254" s="137"/>
      <c r="JG254" s="137"/>
      <c r="JH254" s="137"/>
      <c r="JI254" s="137"/>
      <c r="JJ254" s="137"/>
      <c r="JK254" s="137"/>
      <c r="JL254" s="137"/>
      <c r="JM254" s="137"/>
      <c r="JN254" s="137"/>
      <c r="JO254" s="137"/>
      <c r="JP254" s="137"/>
      <c r="JQ254" s="137"/>
      <c r="JR254" s="137"/>
      <c r="JS254" s="137"/>
      <c r="JT254" s="137"/>
      <c r="JU254" s="137"/>
      <c r="JV254" s="137"/>
      <c r="JW254" s="137"/>
      <c r="JX254" s="137"/>
      <c r="JY254" s="137"/>
      <c r="JZ254" s="137"/>
      <c r="KA254" s="137"/>
      <c r="KB254" s="137"/>
      <c r="KC254" s="137"/>
      <c r="KD254" s="137"/>
      <c r="KE254" s="137"/>
      <c r="KF254" s="137"/>
      <c r="KG254" s="137"/>
      <c r="KH254" s="137"/>
      <c r="KI254" s="137"/>
      <c r="KJ254" s="137"/>
      <c r="KK254" s="137"/>
      <c r="KL254" s="137"/>
      <c r="KM254" s="137"/>
      <c r="KN254" s="137"/>
      <c r="KO254" s="137"/>
      <c r="KP254" s="137"/>
      <c r="KQ254" s="137"/>
      <c r="KR254" s="137"/>
      <c r="KS254" s="137"/>
      <c r="KT254" s="137"/>
      <c r="KU254" s="137"/>
      <c r="KV254" s="137"/>
      <c r="KW254" s="137"/>
    </row>
    <row r="255" spans="1:309" x14ac:dyDescent="0.15">
      <c r="A255" s="12" t="s">
        <v>105</v>
      </c>
      <c r="B255" s="12">
        <f>+EU!B115</f>
        <v>18.171423723718135</v>
      </c>
      <c r="C255" s="207">
        <f>+EU!C115</f>
        <v>0</v>
      </c>
      <c r="D255" s="207">
        <f>+EU!D115</f>
        <v>0</v>
      </c>
      <c r="E255" s="207">
        <f>+EU!E115</f>
        <v>0</v>
      </c>
      <c r="F255" s="207">
        <f>+EU!F115</f>
        <v>18.249952197475036</v>
      </c>
      <c r="G255" s="207">
        <f>+EU!G115</f>
        <v>168.51544335918743</v>
      </c>
      <c r="H255" s="207">
        <f>+EU!H115</f>
        <v>252.52776200643439</v>
      </c>
      <c r="I255" s="12">
        <f>+EU!I115</f>
        <v>329.92555437338922</v>
      </c>
      <c r="J255" s="12">
        <f>+EU!J115</f>
        <v>387.77962106691155</v>
      </c>
      <c r="K255" s="12">
        <f>+EU!K115</f>
        <v>425.97387805448631</v>
      </c>
      <c r="L255" s="12">
        <f>+EU!L115</f>
        <v>454.29335662211474</v>
      </c>
      <c r="M255" s="12">
        <f>+EU!M115</f>
        <v>462.26780646037912</v>
      </c>
      <c r="N255" s="12">
        <f>+EU!N115</f>
        <v>468.4646190903556</v>
      </c>
      <c r="O255" s="12">
        <f>+EU!O115</f>
        <v>474.60441648165619</v>
      </c>
      <c r="P255" s="12">
        <f>+EU!P115</f>
        <v>485.92144292442123</v>
      </c>
      <c r="Q255" s="12">
        <f>+EU!Q115</f>
        <v>493.68476866267042</v>
      </c>
      <c r="R255" s="12">
        <f>+EU!R115</f>
        <v>503.28364920577303</v>
      </c>
      <c r="S255" s="12">
        <f>+EU!S115</f>
        <v>509.54781635672805</v>
      </c>
      <c r="T255" s="12">
        <f>+EU!T115</f>
        <v>506.88132276768528</v>
      </c>
      <c r="U255" s="12">
        <f>+EU!U115</f>
        <v>491.5130783055377</v>
      </c>
      <c r="V255" s="12">
        <f>+EU!V115</f>
        <v>493.29644133257887</v>
      </c>
      <c r="W255" s="12">
        <f>+EU!W115</f>
        <v>482.07148149797331</v>
      </c>
      <c r="X255" s="12">
        <f>+EU!X115</f>
        <v>466.58179153761057</v>
      </c>
      <c r="Y255" s="12">
        <f>+EU!Y115</f>
        <v>453.69430434339699</v>
      </c>
      <c r="Z255" s="12">
        <f>+EU!Z115</f>
        <v>443.74783732824284</v>
      </c>
      <c r="AA255" s="12">
        <f>+EU!AA115</f>
        <v>434.97898959078918</v>
      </c>
      <c r="AB255" s="12">
        <f>+EU!AB115</f>
        <v>425.5368046156492</v>
      </c>
      <c r="AC255" s="12">
        <f>+EU!AC115</f>
        <v>417.96392435686437</v>
      </c>
      <c r="AD255" s="12">
        <f>+EU!AD115</f>
        <v>409.0228354339439</v>
      </c>
      <c r="AE255" s="12">
        <f>+EU!AE115</f>
        <v>399.81445097531684</v>
      </c>
      <c r="AF255" s="12">
        <f>+EU!AF115</f>
        <v>381.96015439450696</v>
      </c>
      <c r="AG255" s="12">
        <f>+EU!AG115</f>
        <v>379.60596706455573</v>
      </c>
      <c r="AH255" s="12">
        <f>+EU!AH115</f>
        <v>373.63714954273598</v>
      </c>
      <c r="AI255" s="12">
        <f>+EU!AI115</f>
        <v>445.71518281391246</v>
      </c>
      <c r="AJ255" s="12">
        <f>+EU!AJ115</f>
        <v>439.45197388234072</v>
      </c>
      <c r="AK255" s="12">
        <f>+EU!AK115</f>
        <v>428.64288823138986</v>
      </c>
      <c r="BJ255" s="137"/>
      <c r="BK255" s="137"/>
      <c r="BL255" s="137"/>
      <c r="BM255" s="137"/>
      <c r="BN255" s="137"/>
      <c r="BO255" s="137"/>
      <c r="BP255" s="137"/>
      <c r="BQ255" s="137"/>
      <c r="BR255" s="137"/>
      <c r="BS255" s="137"/>
      <c r="BT255" s="137"/>
      <c r="BU255" s="137"/>
      <c r="BV255" s="137"/>
      <c r="BW255" s="137"/>
      <c r="BX255" s="137"/>
      <c r="BY255" s="137"/>
      <c r="BZ255" s="137"/>
      <c r="CA255" s="137"/>
      <c r="CB255" s="137"/>
      <c r="CC255" s="137"/>
      <c r="CD255" s="137"/>
      <c r="CE255" s="137"/>
      <c r="CF255" s="137"/>
      <c r="CG255" s="137"/>
      <c r="CH255" s="137"/>
      <c r="CI255" s="137"/>
      <c r="CJ255" s="137"/>
      <c r="CK255" s="137"/>
      <c r="CL255" s="137"/>
      <c r="CM255" s="137"/>
      <c r="CN255" s="137"/>
      <c r="CO255" s="137"/>
      <c r="CP255" s="137"/>
      <c r="CQ255" s="137"/>
      <c r="CR255" s="137"/>
      <c r="CS255" s="137"/>
      <c r="CT255" s="137"/>
      <c r="CU255" s="137"/>
      <c r="CV255" s="137"/>
      <c r="CW255" s="137"/>
      <c r="CX255" s="137"/>
      <c r="CY255" s="137"/>
      <c r="CZ255" s="137"/>
      <c r="DA255" s="137"/>
      <c r="DB255" s="137"/>
      <c r="DC255" s="137"/>
      <c r="DD255" s="137"/>
      <c r="DE255" s="137"/>
      <c r="DF255" s="137"/>
      <c r="DG255" s="137"/>
      <c r="DH255" s="137"/>
      <c r="DI255" s="137"/>
      <c r="DJ255" s="137"/>
      <c r="DK255" s="137"/>
      <c r="DL255" s="137"/>
      <c r="DM255" s="137"/>
      <c r="DN255" s="137"/>
      <c r="DO255" s="137"/>
      <c r="DP255" s="137"/>
      <c r="DQ255" s="137"/>
      <c r="DR255" s="137"/>
      <c r="DS255" s="137"/>
      <c r="DT255" s="137"/>
      <c r="DU255" s="137"/>
      <c r="DV255" s="137"/>
      <c r="DW255" s="137"/>
      <c r="DX255" s="137"/>
      <c r="DY255" s="137"/>
      <c r="DZ255" s="137"/>
      <c r="EA255" s="137"/>
      <c r="EB255" s="137"/>
      <c r="EC255" s="137"/>
      <c r="ED255" s="137"/>
      <c r="EE255" s="137"/>
      <c r="EF255" s="137"/>
      <c r="EG255" s="137"/>
      <c r="EH255" s="137"/>
      <c r="EI255" s="137"/>
      <c r="EJ255" s="137"/>
      <c r="EK255" s="137"/>
      <c r="EL255" s="137"/>
      <c r="EM255" s="137"/>
      <c r="EN255" s="137"/>
      <c r="EO255" s="137"/>
      <c r="EP255" s="137"/>
      <c r="EQ255" s="137"/>
      <c r="ER255" s="137"/>
      <c r="ES255" s="137"/>
      <c r="ET255" s="137"/>
      <c r="EU255" s="137"/>
      <c r="EV255" s="137"/>
      <c r="EW255" s="137"/>
      <c r="EX255" s="137"/>
      <c r="EY255" s="137"/>
      <c r="EZ255" s="137"/>
      <c r="FA255" s="137"/>
      <c r="FB255" s="137"/>
      <c r="FC255" s="137"/>
      <c r="FD255" s="137"/>
      <c r="FE255" s="137"/>
      <c r="FF255" s="137"/>
      <c r="FG255" s="137"/>
      <c r="FH255" s="137"/>
      <c r="FI255" s="137"/>
      <c r="FJ255" s="137"/>
      <c r="FK255" s="137"/>
      <c r="FL255" s="137"/>
      <c r="FM255" s="137"/>
      <c r="FN255" s="137"/>
      <c r="FO255" s="137"/>
      <c r="FP255" s="137"/>
      <c r="FQ255" s="137"/>
      <c r="FR255" s="137"/>
      <c r="FS255" s="137"/>
      <c r="FT255" s="137"/>
      <c r="FU255" s="137"/>
      <c r="FV255" s="137"/>
      <c r="FW255" s="137"/>
      <c r="FX255" s="137"/>
      <c r="FY255" s="137"/>
      <c r="FZ255" s="137"/>
      <c r="GA255" s="137"/>
      <c r="GB255" s="137"/>
      <c r="GC255" s="137"/>
      <c r="GD255" s="137"/>
      <c r="GE255" s="137"/>
      <c r="GF255" s="137"/>
      <c r="GG255" s="137"/>
      <c r="GH255" s="137"/>
      <c r="GI255" s="137"/>
      <c r="GJ255" s="137"/>
      <c r="GK255" s="137"/>
      <c r="GL255" s="137"/>
      <c r="GM255" s="137"/>
      <c r="GN255" s="137"/>
      <c r="GO255" s="137"/>
      <c r="GP255" s="137"/>
      <c r="GQ255" s="137"/>
      <c r="GR255" s="137"/>
      <c r="GS255" s="137"/>
      <c r="GT255" s="137"/>
      <c r="GU255" s="137"/>
      <c r="GV255" s="137"/>
      <c r="GW255" s="137"/>
      <c r="GX255" s="137"/>
      <c r="GY255" s="137"/>
      <c r="GZ255" s="137"/>
      <c r="HA255" s="137"/>
      <c r="HB255" s="137"/>
      <c r="HC255" s="137"/>
      <c r="HD255" s="137"/>
      <c r="HE255" s="137"/>
      <c r="HF255" s="137"/>
      <c r="HG255" s="137"/>
      <c r="HH255" s="137"/>
      <c r="HI255" s="137"/>
      <c r="HJ255" s="137"/>
      <c r="HK255" s="137"/>
      <c r="HL255" s="137"/>
      <c r="HM255" s="137"/>
      <c r="HN255" s="137"/>
      <c r="HO255" s="137"/>
      <c r="HP255" s="137"/>
      <c r="HQ255" s="137"/>
      <c r="HR255" s="137"/>
      <c r="HS255" s="137"/>
      <c r="HT255" s="137"/>
      <c r="HU255" s="137"/>
      <c r="HV255" s="137"/>
      <c r="HW255" s="137"/>
      <c r="HX255" s="137"/>
      <c r="HY255" s="137"/>
      <c r="HZ255" s="137"/>
      <c r="IA255" s="137"/>
      <c r="IB255" s="137"/>
      <c r="IC255" s="137"/>
      <c r="ID255" s="137"/>
      <c r="IE255" s="137"/>
      <c r="IF255" s="137"/>
      <c r="IG255" s="137"/>
      <c r="IH255" s="137"/>
      <c r="II255" s="137"/>
      <c r="IJ255" s="137"/>
      <c r="IK255" s="137"/>
      <c r="IL255" s="137"/>
      <c r="IM255" s="137"/>
      <c r="IN255" s="137"/>
      <c r="IO255" s="137"/>
      <c r="IP255" s="137"/>
      <c r="IQ255" s="137"/>
      <c r="IR255" s="137"/>
      <c r="IS255" s="137"/>
      <c r="IT255" s="137"/>
      <c r="IU255" s="137"/>
      <c r="IV255" s="137"/>
      <c r="IW255" s="137"/>
      <c r="IX255" s="137"/>
      <c r="IY255" s="137"/>
      <c r="IZ255" s="137"/>
      <c r="JA255" s="137"/>
      <c r="JB255" s="137"/>
      <c r="JC255" s="137"/>
      <c r="JD255" s="137"/>
      <c r="JE255" s="137"/>
      <c r="JF255" s="137"/>
      <c r="JG255" s="137"/>
      <c r="JH255" s="137"/>
      <c r="JI255" s="137"/>
      <c r="JJ255" s="137"/>
      <c r="JK255" s="137"/>
      <c r="JL255" s="137"/>
      <c r="JM255" s="137"/>
      <c r="JN255" s="137"/>
      <c r="JO255" s="137"/>
      <c r="JP255" s="137"/>
      <c r="JQ255" s="137"/>
      <c r="JR255" s="137"/>
      <c r="JS255" s="137"/>
      <c r="JT255" s="137"/>
      <c r="JU255" s="137"/>
      <c r="JV255" s="137"/>
      <c r="JW255" s="137"/>
      <c r="JX255" s="137"/>
      <c r="JY255" s="137"/>
      <c r="JZ255" s="137"/>
      <c r="KA255" s="137"/>
      <c r="KB255" s="137"/>
      <c r="KC255" s="137"/>
      <c r="KD255" s="137"/>
      <c r="KE255" s="137"/>
      <c r="KF255" s="137"/>
      <c r="KG255" s="137"/>
      <c r="KH255" s="137"/>
      <c r="KI255" s="137"/>
      <c r="KJ255" s="137"/>
      <c r="KK255" s="137"/>
      <c r="KL255" s="137"/>
      <c r="KM255" s="137"/>
      <c r="KN255" s="137"/>
      <c r="KO255" s="137"/>
      <c r="KP255" s="137"/>
      <c r="KQ255" s="137"/>
      <c r="KR255" s="137"/>
      <c r="KS255" s="137"/>
      <c r="KT255" s="137"/>
      <c r="KU255" s="137"/>
      <c r="KV255" s="137"/>
      <c r="KW255" s="137"/>
    </row>
    <row r="256" spans="1:309" x14ac:dyDescent="0.15">
      <c r="A256" s="12" t="s">
        <v>51</v>
      </c>
      <c r="B256" s="12">
        <f>+Japan!B115</f>
        <v>6.8402893611262732</v>
      </c>
      <c r="C256" s="207">
        <f>+Japan!C115</f>
        <v>143.75727302734646</v>
      </c>
      <c r="D256" s="207">
        <f>+Japan!D115</f>
        <v>54.829588873537098</v>
      </c>
      <c r="E256" s="207">
        <f>+Japan!E115</f>
        <v>104.51369592851479</v>
      </c>
      <c r="F256" s="207">
        <f>+Japan!F115</f>
        <v>244.50074418821887</v>
      </c>
      <c r="G256" s="207">
        <f>+Japan!G115</f>
        <v>418.70661048594548</v>
      </c>
      <c r="H256" s="207">
        <f>+Japan!H115</f>
        <v>485.35785019893609</v>
      </c>
      <c r="I256" s="12">
        <f>+Japan!I115</f>
        <v>522.05263045246647</v>
      </c>
      <c r="J256" s="12">
        <f>+Japan!J115</f>
        <v>531.85048309556146</v>
      </c>
      <c r="K256" s="12">
        <f>+Japan!K115</f>
        <v>535.99773885086813</v>
      </c>
      <c r="L256" s="12">
        <f>+Japan!L115</f>
        <v>543.07256851564716</v>
      </c>
      <c r="M256" s="12">
        <f>+Japan!M115</f>
        <v>533.71243281804016</v>
      </c>
      <c r="N256" s="12">
        <f>+Japan!N115</f>
        <v>524.90843071707343</v>
      </c>
      <c r="O256" s="12">
        <f>+Japan!O115</f>
        <v>523.72696168386847</v>
      </c>
      <c r="P256" s="12">
        <f>+Japan!P115</f>
        <v>525.23104943344663</v>
      </c>
      <c r="Q256" s="12">
        <f>+Japan!Q115</f>
        <v>525.04823100323506</v>
      </c>
      <c r="R256" s="12">
        <f>+Japan!R115</f>
        <v>523.10131054735518</v>
      </c>
      <c r="S256" s="12">
        <f>+Japan!S115</f>
        <v>521.07251395924368</v>
      </c>
      <c r="T256" s="12">
        <f>+Japan!T115</f>
        <v>511.34958166159271</v>
      </c>
      <c r="U256" s="12">
        <f>+Japan!U115</f>
        <v>490.4689943116461</v>
      </c>
      <c r="V256" s="12">
        <f>+Japan!V115</f>
        <v>494.62217128262864</v>
      </c>
      <c r="W256" s="12">
        <f>+Japan!W115</f>
        <v>477.55808423228353</v>
      </c>
      <c r="X256" s="12">
        <f>+Japan!X115</f>
        <v>464.44280624706545</v>
      </c>
      <c r="Y256" s="12">
        <f>+Japan!Y115</f>
        <v>453.29386540887901</v>
      </c>
      <c r="Z256" s="12">
        <f>+Japan!Z115</f>
        <v>439.59716886565087</v>
      </c>
      <c r="AA256" s="12">
        <f>+Japan!AA115</f>
        <v>428.88856478489998</v>
      </c>
      <c r="AB256" s="12">
        <f>+Japan!AB115</f>
        <v>417.37768550114168</v>
      </c>
      <c r="AC256" s="12">
        <f>+Japan!AC115</f>
        <v>407.86363703233633</v>
      </c>
      <c r="AD256" s="12">
        <f>+Japan!AD115</f>
        <v>397.25528256585488</v>
      </c>
      <c r="AE256" s="12">
        <f>+Japan!AE115</f>
        <v>385.72596443483167</v>
      </c>
      <c r="AF256" s="12">
        <f>+Japan!AF115</f>
        <v>369.6730992031097</v>
      </c>
      <c r="AG256" s="12">
        <f>+Japan!AG115</f>
        <v>363.34771187588876</v>
      </c>
      <c r="AH256" s="12">
        <f>+Japan!AH115</f>
        <v>355.23844891177941</v>
      </c>
      <c r="AI256" s="12">
        <f>+Japan!AI115</f>
        <v>439.34229160706872</v>
      </c>
      <c r="AJ256" s="12">
        <f>+Japan!AJ115</f>
        <v>434.87724374211837</v>
      </c>
      <c r="AK256" s="12">
        <f>+Japan!AK115</f>
        <v>424.89920085930362</v>
      </c>
      <c r="BJ256" s="137"/>
      <c r="BK256" s="137"/>
      <c r="BL256" s="137"/>
      <c r="BM256" s="137"/>
      <c r="BN256" s="137"/>
      <c r="BO256" s="137"/>
      <c r="BP256" s="137"/>
      <c r="BQ256" s="137"/>
      <c r="BR256" s="137"/>
      <c r="BS256" s="137"/>
      <c r="BT256" s="137"/>
      <c r="BU256" s="137"/>
      <c r="BV256" s="137"/>
      <c r="BW256" s="137"/>
      <c r="BX256" s="137"/>
      <c r="BY256" s="137"/>
      <c r="BZ256" s="137"/>
      <c r="CA256" s="137"/>
      <c r="CB256" s="137"/>
      <c r="CC256" s="137"/>
      <c r="CD256" s="137"/>
      <c r="CE256" s="137"/>
      <c r="CF256" s="137"/>
      <c r="CG256" s="137"/>
      <c r="CH256" s="137"/>
      <c r="CI256" s="137"/>
      <c r="CJ256" s="137"/>
      <c r="CK256" s="137"/>
      <c r="CL256" s="137"/>
      <c r="CM256" s="137"/>
      <c r="CN256" s="137"/>
      <c r="CO256" s="137"/>
      <c r="CP256" s="137"/>
      <c r="CQ256" s="137"/>
      <c r="CR256" s="137"/>
      <c r="CS256" s="137"/>
      <c r="CT256" s="137"/>
      <c r="CU256" s="137"/>
      <c r="CV256" s="137"/>
      <c r="CW256" s="137"/>
      <c r="CX256" s="137"/>
      <c r="CY256" s="137"/>
      <c r="CZ256" s="137"/>
      <c r="DA256" s="137"/>
      <c r="DB256" s="137"/>
      <c r="DC256" s="137"/>
      <c r="DD256" s="137"/>
      <c r="DE256" s="137"/>
      <c r="DF256" s="137"/>
      <c r="DG256" s="137"/>
      <c r="DH256" s="137"/>
      <c r="DI256" s="137"/>
      <c r="DJ256" s="137"/>
      <c r="DK256" s="137"/>
      <c r="DL256" s="137"/>
      <c r="DM256" s="137"/>
      <c r="DN256" s="137"/>
      <c r="DO256" s="137"/>
      <c r="DP256" s="137"/>
      <c r="DQ256" s="137"/>
      <c r="DR256" s="137"/>
      <c r="DS256" s="137"/>
      <c r="DT256" s="137"/>
      <c r="DU256" s="137"/>
      <c r="DV256" s="137"/>
      <c r="DW256" s="137"/>
      <c r="DX256" s="137"/>
      <c r="DY256" s="137"/>
      <c r="DZ256" s="137"/>
      <c r="EA256" s="137"/>
      <c r="EB256" s="137"/>
      <c r="EC256" s="137"/>
      <c r="ED256" s="137"/>
      <c r="EE256" s="137"/>
      <c r="EF256" s="137"/>
      <c r="EG256" s="137"/>
      <c r="EH256" s="137"/>
      <c r="EI256" s="137"/>
      <c r="EJ256" s="137"/>
      <c r="EK256" s="137"/>
      <c r="EL256" s="137"/>
      <c r="EM256" s="137"/>
      <c r="EN256" s="137"/>
      <c r="EO256" s="137"/>
      <c r="EP256" s="137"/>
      <c r="EQ256" s="137"/>
      <c r="ER256" s="137"/>
      <c r="ES256" s="137"/>
      <c r="ET256" s="137"/>
      <c r="EU256" s="137"/>
      <c r="EV256" s="137"/>
      <c r="EW256" s="137"/>
      <c r="EX256" s="137"/>
      <c r="EY256" s="137"/>
      <c r="EZ256" s="137"/>
      <c r="FA256" s="137"/>
      <c r="FB256" s="137"/>
      <c r="FC256" s="137"/>
      <c r="FD256" s="137"/>
      <c r="FE256" s="137"/>
      <c r="FF256" s="137"/>
      <c r="FG256" s="137"/>
      <c r="FH256" s="137"/>
      <c r="FI256" s="137"/>
      <c r="FJ256" s="137"/>
      <c r="FK256" s="137"/>
      <c r="FL256" s="137"/>
      <c r="FM256" s="137"/>
      <c r="FN256" s="137"/>
      <c r="FO256" s="137"/>
      <c r="FP256" s="137"/>
      <c r="FQ256" s="137"/>
      <c r="FR256" s="137"/>
      <c r="FS256" s="137"/>
      <c r="FT256" s="137"/>
      <c r="FU256" s="137"/>
      <c r="FV256" s="137"/>
      <c r="FW256" s="137"/>
      <c r="FX256" s="137"/>
      <c r="FY256" s="137"/>
      <c r="FZ256" s="137"/>
      <c r="GA256" s="137"/>
      <c r="GB256" s="137"/>
      <c r="GC256" s="137"/>
      <c r="GD256" s="137"/>
      <c r="GE256" s="137"/>
      <c r="GF256" s="137"/>
      <c r="GG256" s="137"/>
      <c r="GH256" s="137"/>
      <c r="GI256" s="137"/>
      <c r="GJ256" s="137"/>
      <c r="GK256" s="137"/>
      <c r="GL256" s="137"/>
      <c r="GM256" s="137"/>
      <c r="GN256" s="137"/>
      <c r="GO256" s="137"/>
      <c r="GP256" s="137"/>
      <c r="GQ256" s="137"/>
      <c r="GR256" s="137"/>
      <c r="GS256" s="137"/>
      <c r="GT256" s="137"/>
      <c r="GU256" s="137"/>
      <c r="GV256" s="137"/>
      <c r="GW256" s="137"/>
      <c r="GX256" s="137"/>
      <c r="GY256" s="137"/>
      <c r="GZ256" s="137"/>
      <c r="HA256" s="137"/>
      <c r="HB256" s="137"/>
      <c r="HC256" s="137"/>
      <c r="HD256" s="137"/>
      <c r="HE256" s="137"/>
      <c r="HF256" s="137"/>
      <c r="HG256" s="137"/>
      <c r="HH256" s="137"/>
      <c r="HI256" s="137"/>
      <c r="HJ256" s="137"/>
      <c r="HK256" s="137"/>
      <c r="HL256" s="137"/>
      <c r="HM256" s="137"/>
      <c r="HN256" s="137"/>
      <c r="HO256" s="137"/>
      <c r="HP256" s="137"/>
      <c r="HQ256" s="137"/>
      <c r="HR256" s="137"/>
      <c r="HS256" s="137"/>
      <c r="HT256" s="137"/>
      <c r="HU256" s="137"/>
      <c r="HV256" s="137"/>
      <c r="HW256" s="137"/>
      <c r="HX256" s="137"/>
      <c r="HY256" s="137"/>
      <c r="HZ256" s="137"/>
      <c r="IA256" s="137"/>
      <c r="IB256" s="137"/>
      <c r="IC256" s="137"/>
      <c r="ID256" s="137"/>
      <c r="IE256" s="137"/>
      <c r="IF256" s="137"/>
      <c r="IG256" s="137"/>
      <c r="IH256" s="137"/>
      <c r="II256" s="137"/>
      <c r="IJ256" s="137"/>
      <c r="IK256" s="137"/>
      <c r="IL256" s="137"/>
      <c r="IM256" s="137"/>
      <c r="IN256" s="137"/>
      <c r="IO256" s="137"/>
      <c r="IP256" s="137"/>
      <c r="IQ256" s="137"/>
      <c r="IR256" s="137"/>
      <c r="IS256" s="137"/>
      <c r="IT256" s="137"/>
      <c r="IU256" s="137"/>
      <c r="IV256" s="137"/>
      <c r="IW256" s="137"/>
      <c r="IX256" s="137"/>
      <c r="IY256" s="137"/>
      <c r="IZ256" s="137"/>
      <c r="JA256" s="137"/>
      <c r="JB256" s="137"/>
      <c r="JC256" s="137"/>
      <c r="JD256" s="137"/>
      <c r="JE256" s="137"/>
      <c r="JF256" s="137"/>
      <c r="JG256" s="137"/>
      <c r="JH256" s="137"/>
      <c r="JI256" s="137"/>
      <c r="JJ256" s="137"/>
      <c r="JK256" s="137"/>
      <c r="JL256" s="137"/>
      <c r="JM256" s="137"/>
      <c r="JN256" s="137"/>
      <c r="JO256" s="137"/>
      <c r="JP256" s="137"/>
      <c r="JQ256" s="137"/>
      <c r="JR256" s="137"/>
      <c r="JS256" s="137"/>
      <c r="JT256" s="137"/>
      <c r="JU256" s="137"/>
      <c r="JV256" s="137"/>
      <c r="JW256" s="137"/>
      <c r="JX256" s="137"/>
      <c r="JY256" s="137"/>
      <c r="JZ256" s="137"/>
      <c r="KA256" s="137"/>
      <c r="KB256" s="137"/>
      <c r="KC256" s="137"/>
      <c r="KD256" s="137"/>
      <c r="KE256" s="137"/>
      <c r="KF256" s="137"/>
      <c r="KG256" s="137"/>
      <c r="KH256" s="137"/>
      <c r="KI256" s="137"/>
      <c r="KJ256" s="137"/>
      <c r="KK256" s="137"/>
      <c r="KL256" s="137"/>
      <c r="KM256" s="137"/>
      <c r="KN256" s="137"/>
      <c r="KO256" s="137"/>
      <c r="KP256" s="137"/>
      <c r="KQ256" s="137"/>
      <c r="KR256" s="137"/>
      <c r="KS256" s="137"/>
      <c r="KT256" s="137"/>
      <c r="KU256" s="137"/>
      <c r="KV256" s="137"/>
      <c r="KW256" s="137"/>
    </row>
    <row r="257" spans="1:37" x14ac:dyDescent="0.15">
      <c r="A257" s="12" t="s">
        <v>52</v>
      </c>
      <c r="B257" s="12">
        <f>+Russia!B115</f>
        <v>191.14436454498588</v>
      </c>
      <c r="C257" s="207">
        <f>+Russia!C115</f>
        <v>0</v>
      </c>
      <c r="D257" s="207">
        <f>+Russia!D115</f>
        <v>0</v>
      </c>
      <c r="E257" s="207">
        <f>+Russia!E115</f>
        <v>0</v>
      </c>
      <c r="F257" s="207">
        <f>+Russia!F115</f>
        <v>0</v>
      </c>
      <c r="G257" s="207">
        <f>+Russia!G115</f>
        <v>0</v>
      </c>
      <c r="H257" s="207">
        <f>+Russia!H115</f>
        <v>0</v>
      </c>
      <c r="I257" s="12">
        <f>+Russia!I115</f>
        <v>0</v>
      </c>
      <c r="J257" s="12">
        <f>+Russia!J115</f>
        <v>0.16296558824311808</v>
      </c>
      <c r="K257" s="12">
        <f>+Russia!K115</f>
        <v>11.098318308894928</v>
      </c>
      <c r="L257" s="12">
        <f>+Russia!L115</f>
        <v>33.320226698826801</v>
      </c>
      <c r="M257" s="12">
        <f>+Russia!M115</f>
        <v>47.656070755711809</v>
      </c>
      <c r="N257" s="12">
        <f>+Russia!N115</f>
        <v>62.285582615958987</v>
      </c>
      <c r="O257" s="12">
        <f>+Russia!O115</f>
        <v>82.794586830291351</v>
      </c>
      <c r="P257" s="12">
        <f>+Russia!P115</f>
        <v>102.68775482723271</v>
      </c>
      <c r="Q257" s="12">
        <f>+Russia!Q115</f>
        <v>119.92808460873587</v>
      </c>
      <c r="R257" s="12">
        <f>+Russia!R115</f>
        <v>138.83222370889317</v>
      </c>
      <c r="S257" s="12">
        <f>+Russia!S115</f>
        <v>155.91150465394435</v>
      </c>
      <c r="T257" s="12">
        <f>+Russia!T115</f>
        <v>165.83015727884319</v>
      </c>
      <c r="U257" s="12">
        <f>+Russia!U115</f>
        <v>155.5904415834824</v>
      </c>
      <c r="V257" s="12">
        <f>+Russia!V115</f>
        <v>163.50476149407501</v>
      </c>
      <c r="W257" s="12">
        <f>+Russia!W115</f>
        <v>163.5975567290497</v>
      </c>
      <c r="X257" s="12">
        <f>+Russia!X115</f>
        <v>163.22601116928561</v>
      </c>
      <c r="Y257" s="12">
        <f>+Russia!Y115</f>
        <v>160.34434247076058</v>
      </c>
      <c r="Z257" s="12">
        <f>+Russia!Z115</f>
        <v>156.58580547173503</v>
      </c>
      <c r="AA257" s="12">
        <f>+Russia!AA115</f>
        <v>150.37621951095531</v>
      </c>
      <c r="AB257" s="12">
        <f>+Russia!AB115</f>
        <v>146.69020419673723</v>
      </c>
      <c r="AC257" s="12">
        <f>+Russia!AC115</f>
        <v>144.68071336770231</v>
      </c>
      <c r="AD257" s="12">
        <f>+Russia!AD115</f>
        <v>143.51768040251997</v>
      </c>
      <c r="AE257" s="12">
        <f>+Russia!AE115</f>
        <v>141.82351963776929</v>
      </c>
      <c r="AF257" s="12">
        <f>+Russia!AF115</f>
        <v>136.4976219878443</v>
      </c>
      <c r="AG257" s="12">
        <f>+Russia!AG115</f>
        <v>137.3299367765369</v>
      </c>
      <c r="AH257" s="12">
        <f>+Russia!AH115</f>
        <v>132.8680939108531</v>
      </c>
      <c r="AI257" s="12">
        <f>+Russia!AI115</f>
        <v>183.87910676482235</v>
      </c>
      <c r="AJ257" s="12">
        <f>+Russia!AJ115</f>
        <v>183.5351328031023</v>
      </c>
      <c r="AK257" s="12">
        <f>+Russia!AK115</f>
        <v>179.85559105799769</v>
      </c>
    </row>
    <row r="258" spans="1:37" x14ac:dyDescent="0.15">
      <c r="A258" s="12" t="s">
        <v>53</v>
      </c>
      <c r="B258" s="12">
        <f>+Eurasia!B115</f>
        <v>277.97290026288198</v>
      </c>
      <c r="C258" s="207">
        <f>+Eurasia!C115</f>
        <v>0</v>
      </c>
      <c r="D258" s="207">
        <f>+Eurasia!D115</f>
        <v>0</v>
      </c>
      <c r="E258" s="207">
        <f>+Eurasia!E115</f>
        <v>0</v>
      </c>
      <c r="F258" s="207">
        <f>+Eurasia!F115</f>
        <v>0</v>
      </c>
      <c r="G258" s="207">
        <f>+Eurasia!G115</f>
        <v>0</v>
      </c>
      <c r="H258" s="207">
        <f>+Eurasia!H115</f>
        <v>0</v>
      </c>
      <c r="I258" s="12">
        <f>+Eurasia!I115</f>
        <v>0</v>
      </c>
      <c r="J258" s="12">
        <f>+Eurasia!J115</f>
        <v>0</v>
      </c>
      <c r="K258" s="12">
        <f>+Eurasia!K115</f>
        <v>0</v>
      </c>
      <c r="L258" s="12">
        <f>+Eurasia!L115</f>
        <v>0</v>
      </c>
      <c r="M258" s="12">
        <f>+Eurasia!M115</f>
        <v>0.68703852555768163</v>
      </c>
      <c r="N258" s="12">
        <f>+Eurasia!N115</f>
        <v>5.89579767925553</v>
      </c>
      <c r="O258" s="12">
        <f>+Eurasia!O115</f>
        <v>16.022651938011474</v>
      </c>
      <c r="P258" s="12">
        <f>+Eurasia!P115</f>
        <v>33.498324116138143</v>
      </c>
      <c r="Q258" s="12">
        <f>+Eurasia!Q115</f>
        <v>48.652725072418889</v>
      </c>
      <c r="R258" s="12">
        <f>+Eurasia!R115</f>
        <v>68.758754225763965</v>
      </c>
      <c r="S258" s="12">
        <f>+Eurasia!S115</f>
        <v>88.566428050950122</v>
      </c>
      <c r="T258" s="12">
        <f>+Eurasia!T115</f>
        <v>101.72111301632521</v>
      </c>
      <c r="U258" s="12">
        <f>+Eurasia!U115</f>
        <v>95.680832765181435</v>
      </c>
      <c r="V258" s="12">
        <f>+Eurasia!V115</f>
        <v>104.42133043235967</v>
      </c>
      <c r="W258" s="12">
        <f>+Eurasia!W115</f>
        <v>107.67828992467484</v>
      </c>
      <c r="X258" s="12">
        <f>+Eurasia!X115</f>
        <v>107.1078786590551</v>
      </c>
      <c r="Y258" s="12">
        <f>+Eurasia!Y115</f>
        <v>107.24012826912572</v>
      </c>
      <c r="Z258" s="12">
        <f>+Eurasia!Z115</f>
        <v>105.02004513173856</v>
      </c>
      <c r="AA258" s="12">
        <f>+Eurasia!AA115</f>
        <v>102.57594761282397</v>
      </c>
      <c r="AB258" s="12">
        <f>+Eurasia!AB115</f>
        <v>103.01837699302897</v>
      </c>
      <c r="AC258" s="12">
        <f>+Eurasia!AC115</f>
        <v>105.57740785697932</v>
      </c>
      <c r="AD258" s="12">
        <f>+Eurasia!AD115</f>
        <v>107.96122544543827</v>
      </c>
      <c r="AE258" s="12">
        <f>+Eurasia!AE115</f>
        <v>109.69823406590336</v>
      </c>
      <c r="AF258" s="12">
        <f>+Eurasia!AF115</f>
        <v>104.59906671172176</v>
      </c>
      <c r="AG258" s="12">
        <f>+Eurasia!AG115</f>
        <v>108.03024784070719</v>
      </c>
      <c r="AH258" s="12">
        <f>+Eurasia!AH115</f>
        <v>104.72353068138969</v>
      </c>
      <c r="AI258" s="12">
        <f>+Eurasia!AI115</f>
        <v>182.63833308471982</v>
      </c>
      <c r="AJ258" s="12">
        <f>+Eurasia!AJ115</f>
        <v>183.62968121795311</v>
      </c>
      <c r="AK258" s="12">
        <f>+Eurasia!AK115</f>
        <v>180.15595871025963</v>
      </c>
    </row>
    <row r="259" spans="1:37" x14ac:dyDescent="0.15">
      <c r="A259" s="12" t="s">
        <v>54</v>
      </c>
      <c r="B259" s="12">
        <f>+China!B115</f>
        <v>0</v>
      </c>
      <c r="C259" s="207">
        <f>+China!C115</f>
        <v>0</v>
      </c>
      <c r="D259" s="207">
        <f>+China!D115</f>
        <v>0</v>
      </c>
      <c r="E259" s="207">
        <f>+China!E115</f>
        <v>0</v>
      </c>
      <c r="F259" s="207">
        <f>+China!F115</f>
        <v>0</v>
      </c>
      <c r="G259" s="207">
        <f>+China!G115</f>
        <v>0</v>
      </c>
      <c r="H259" s="207">
        <f>+China!H115</f>
        <v>0</v>
      </c>
      <c r="I259" s="12">
        <f>+China!I115</f>
        <v>0</v>
      </c>
      <c r="J259" s="12">
        <f>+China!J115</f>
        <v>0</v>
      </c>
      <c r="K259" s="12">
        <f>+China!K115</f>
        <v>0</v>
      </c>
      <c r="L259" s="12">
        <f>+China!L115</f>
        <v>0</v>
      </c>
      <c r="M259" s="12">
        <f>+China!M115</f>
        <v>0</v>
      </c>
      <c r="N259" s="12">
        <f>+China!N115</f>
        <v>0</v>
      </c>
      <c r="O259" s="12">
        <f>+China!O115</f>
        <v>0</v>
      </c>
      <c r="P259" s="12">
        <f>+China!P115</f>
        <v>0</v>
      </c>
      <c r="Q259" s="12">
        <f>+China!Q115</f>
        <v>0</v>
      </c>
      <c r="R259" s="12">
        <f>+China!R115</f>
        <v>0</v>
      </c>
      <c r="S259" s="12">
        <f>+China!S115</f>
        <v>0.10629565116387141</v>
      </c>
      <c r="T259" s="12">
        <f>+China!T115</f>
        <v>10.660009535524834</v>
      </c>
      <c r="U259" s="12">
        <f>+China!U115</f>
        <v>30.038850762916834</v>
      </c>
      <c r="V259" s="12">
        <f>+China!V115</f>
        <v>55.211380885725085</v>
      </c>
      <c r="W259" s="12">
        <f>+China!W115</f>
        <v>69.707890732152109</v>
      </c>
      <c r="X259" s="12">
        <f>+China!X115</f>
        <v>81.033183581703639</v>
      </c>
      <c r="Y259" s="12">
        <f>+China!Y115</f>
        <v>91.709721085053928</v>
      </c>
      <c r="Z259" s="12">
        <f>+China!Z115</f>
        <v>101.20697991369939</v>
      </c>
      <c r="AA259" s="12">
        <f>+China!AA115</f>
        <v>109.42547410841499</v>
      </c>
      <c r="AB259" s="12">
        <f>+China!AB115</f>
        <v>116.65152226942944</v>
      </c>
      <c r="AC259" s="12">
        <f>+China!AC115</f>
        <v>123.25981856695932</v>
      </c>
      <c r="AD259" s="12">
        <f>+China!AD115</f>
        <v>128.86592578280747</v>
      </c>
      <c r="AE259" s="12">
        <f>+China!AE115</f>
        <v>132.88562422559852</v>
      </c>
      <c r="AF259" s="12">
        <f>+China!AF115</f>
        <v>132.54604282619044</v>
      </c>
      <c r="AG259" s="12">
        <f>+China!AG115</f>
        <v>138.01634586125036</v>
      </c>
      <c r="AH259" s="12">
        <f>+China!AH115</f>
        <v>137.91799152997513</v>
      </c>
      <c r="AI259" s="12">
        <f>+China!AI115</f>
        <v>217.99683740597413</v>
      </c>
      <c r="AJ259" s="12">
        <f>+China!AJ115</f>
        <v>217.52833251697371</v>
      </c>
      <c r="AK259" s="12">
        <f>+China!AK115</f>
        <v>212.75877344042885</v>
      </c>
    </row>
    <row r="260" spans="1:37" x14ac:dyDescent="0.15">
      <c r="A260" s="12" t="s">
        <v>55</v>
      </c>
      <c r="B260" s="12">
        <f>+India!B115</f>
        <v>0</v>
      </c>
      <c r="C260" s="207">
        <f>+India!C115</f>
        <v>0</v>
      </c>
      <c r="D260" s="207">
        <f>+India!D115</f>
        <v>0</v>
      </c>
      <c r="E260" s="207">
        <f>+India!E115</f>
        <v>0</v>
      </c>
      <c r="F260" s="207">
        <f>+India!F115</f>
        <v>0</v>
      </c>
      <c r="G260" s="207">
        <f>+India!G115</f>
        <v>0</v>
      </c>
      <c r="H260" s="207">
        <f>+India!H115</f>
        <v>0</v>
      </c>
      <c r="I260" s="12">
        <f>+India!I115</f>
        <v>0</v>
      </c>
      <c r="J260" s="12">
        <f>+India!J115</f>
        <v>0</v>
      </c>
      <c r="K260" s="12">
        <f>+India!K115</f>
        <v>0</v>
      </c>
      <c r="L260" s="12">
        <f>+India!L115</f>
        <v>0</v>
      </c>
      <c r="M260" s="12">
        <f>+India!M115</f>
        <v>0</v>
      </c>
      <c r="N260" s="12">
        <f>+India!N115</f>
        <v>0</v>
      </c>
      <c r="O260" s="12">
        <f>+India!O115</f>
        <v>0</v>
      </c>
      <c r="P260" s="12">
        <f>+India!P115</f>
        <v>0</v>
      </c>
      <c r="Q260" s="12">
        <f>+India!Q115</f>
        <v>0</v>
      </c>
      <c r="R260" s="12">
        <f>+India!R115</f>
        <v>0</v>
      </c>
      <c r="S260" s="12">
        <f>+India!S115</f>
        <v>0</v>
      </c>
      <c r="T260" s="12">
        <f>+India!T115</f>
        <v>0</v>
      </c>
      <c r="U260" s="12">
        <f>+India!U115</f>
        <v>1.6304446605888792</v>
      </c>
      <c r="V260" s="12">
        <f>+India!V115</f>
        <v>20.877797791815649</v>
      </c>
      <c r="W260" s="12">
        <f>+India!W115</f>
        <v>31.332497696922008</v>
      </c>
      <c r="X260" s="12">
        <f>+India!X115</f>
        <v>43.394987940798337</v>
      </c>
      <c r="Y260" s="12">
        <f>+India!Y115</f>
        <v>58.379339835036426</v>
      </c>
      <c r="Z260" s="12">
        <f>+India!Z115</f>
        <v>76.181163246447113</v>
      </c>
      <c r="AA260" s="12">
        <f>+India!AA115</f>
        <v>95.22784095666205</v>
      </c>
      <c r="AB260" s="12">
        <f>+India!AB115</f>
        <v>114.16286971000649</v>
      </c>
      <c r="AC260" s="12">
        <f>+India!AC115</f>
        <v>128.77174355735596</v>
      </c>
      <c r="AD260" s="12">
        <f>+India!AD115</f>
        <v>141.59124391970269</v>
      </c>
      <c r="AE260" s="12">
        <f>+India!AE115</f>
        <v>148.18528489075575</v>
      </c>
      <c r="AF260" s="12">
        <f>+India!AF115</f>
        <v>134.44964870340041</v>
      </c>
      <c r="AG260" s="12">
        <f>+India!AG115</f>
        <v>150.41272891826387</v>
      </c>
      <c r="AH260" s="12">
        <f>+India!AH115</f>
        <v>161.59659456854448</v>
      </c>
      <c r="AI260" s="12">
        <f>+India!AI115</f>
        <v>348.27825976590577</v>
      </c>
      <c r="AJ260" s="12">
        <f>+India!AJ115</f>
        <v>347.00429011790607</v>
      </c>
      <c r="AK260" s="12">
        <f>+India!AK115</f>
        <v>338.77427768927953</v>
      </c>
    </row>
    <row r="261" spans="1:37" x14ac:dyDescent="0.15">
      <c r="A261" s="12" t="s">
        <v>56</v>
      </c>
      <c r="B261" s="12">
        <f>+MidEast!B115</f>
        <v>0</v>
      </c>
      <c r="C261" s="207">
        <f>+MidEast!C115</f>
        <v>0</v>
      </c>
      <c r="D261" s="207">
        <f>+MidEast!D115</f>
        <v>0</v>
      </c>
      <c r="E261" s="207">
        <f>+MidEast!E115</f>
        <v>0</v>
      </c>
      <c r="F261" s="207">
        <f>+MidEast!F115</f>
        <v>0</v>
      </c>
      <c r="G261" s="207">
        <f>+MidEast!G115</f>
        <v>0</v>
      </c>
      <c r="H261" s="207">
        <f>+MidEast!H115</f>
        <v>0</v>
      </c>
      <c r="I261" s="12">
        <f>+MidEast!I115</f>
        <v>0</v>
      </c>
      <c r="J261" s="12">
        <f>+MidEast!J115</f>
        <v>0</v>
      </c>
      <c r="K261" s="12">
        <f>+MidEast!K115</f>
        <v>0</v>
      </c>
      <c r="L261" s="12">
        <f>+MidEast!L115</f>
        <v>0</v>
      </c>
      <c r="M261" s="12">
        <f>+MidEast!M115</f>
        <v>0</v>
      </c>
      <c r="N261" s="12">
        <f>+MidEast!N115</f>
        <v>0</v>
      </c>
      <c r="O261" s="12">
        <f>+MidEast!O115</f>
        <v>0</v>
      </c>
      <c r="P261" s="12">
        <f>+MidEast!P115</f>
        <v>0</v>
      </c>
      <c r="Q261" s="12">
        <f>+MidEast!Q115</f>
        <v>0</v>
      </c>
      <c r="R261" s="12">
        <f>+MidEast!R115</f>
        <v>0</v>
      </c>
      <c r="S261" s="12">
        <f>+MidEast!S115</f>
        <v>0</v>
      </c>
      <c r="T261" s="12">
        <f>+MidEast!T115</f>
        <v>0</v>
      </c>
      <c r="U261" s="12">
        <f>+MidEast!U115</f>
        <v>0</v>
      </c>
      <c r="V261" s="12">
        <f>+MidEast!V115</f>
        <v>0</v>
      </c>
      <c r="W261" s="12">
        <f>+MidEast!W115</f>
        <v>0</v>
      </c>
      <c r="X261" s="12">
        <f>+MidEast!X115</f>
        <v>0</v>
      </c>
      <c r="Y261" s="12">
        <f>+MidEast!Y115</f>
        <v>0</v>
      </c>
      <c r="Z261" s="12">
        <f>+MidEast!Z115</f>
        <v>0</v>
      </c>
      <c r="AA261" s="12">
        <f>+MidEast!AA115</f>
        <v>0</v>
      </c>
      <c r="AB261" s="12">
        <f>+MidEast!AB115</f>
        <v>0</v>
      </c>
      <c r="AC261" s="12">
        <f>+MidEast!AC115</f>
        <v>0</v>
      </c>
      <c r="AD261" s="12">
        <f>+MidEast!AD115</f>
        <v>0</v>
      </c>
      <c r="AE261" s="12">
        <f>+MidEast!AE115</f>
        <v>0</v>
      </c>
      <c r="AF261" s="12">
        <f>+MidEast!AF115</f>
        <v>0</v>
      </c>
      <c r="AG261" s="12">
        <f>+MidEast!AG115</f>
        <v>0.10681602606032048</v>
      </c>
      <c r="AH261" s="12">
        <f>+MidEast!AH115</f>
        <v>3.5057957932201003</v>
      </c>
      <c r="AI261" s="12">
        <f>+MidEast!AI115</f>
        <v>295.20570035703832</v>
      </c>
      <c r="AJ261" s="12">
        <f>+MidEast!AJ115</f>
        <v>305.30766760369056</v>
      </c>
      <c r="AK261" s="12">
        <f>+MidEast!AK115</f>
        <v>300.6557056950607</v>
      </c>
    </row>
    <row r="262" spans="1:37" x14ac:dyDescent="0.15">
      <c r="A262" s="12" t="s">
        <v>57</v>
      </c>
      <c r="B262" s="12">
        <f>+Africa!B115</f>
        <v>264.63056746376981</v>
      </c>
      <c r="C262" s="207">
        <f>+Africa!C115</f>
        <v>0</v>
      </c>
      <c r="D262" s="207">
        <f>+Africa!D115</f>
        <v>0</v>
      </c>
      <c r="E262" s="207">
        <f>+Africa!E115</f>
        <v>0</v>
      </c>
      <c r="F262" s="207">
        <f>+Africa!F115</f>
        <v>0</v>
      </c>
      <c r="G262" s="207">
        <f>+Africa!G115</f>
        <v>0</v>
      </c>
      <c r="H262" s="207">
        <f>+Africa!H115</f>
        <v>0</v>
      </c>
      <c r="I262" s="12">
        <f>+Africa!I115</f>
        <v>0</v>
      </c>
      <c r="J262" s="12">
        <f>+Africa!J115</f>
        <v>0</v>
      </c>
      <c r="K262" s="12">
        <f>+Africa!K115</f>
        <v>0</v>
      </c>
      <c r="L262" s="12">
        <f>+Africa!L115</f>
        <v>0</v>
      </c>
      <c r="M262" s="12">
        <f>+Africa!M115</f>
        <v>0</v>
      </c>
      <c r="N262" s="12">
        <f>+Africa!N115</f>
        <v>0</v>
      </c>
      <c r="O262" s="12">
        <f>+Africa!O115</f>
        <v>0</v>
      </c>
      <c r="P262" s="12">
        <f>+Africa!P115</f>
        <v>0</v>
      </c>
      <c r="Q262" s="12">
        <f>+Africa!Q115</f>
        <v>0</v>
      </c>
      <c r="R262" s="12">
        <f>+Africa!R115</f>
        <v>0</v>
      </c>
      <c r="S262" s="12">
        <f>+Africa!S115</f>
        <v>0</v>
      </c>
      <c r="T262" s="12">
        <f>+Africa!T115</f>
        <v>0</v>
      </c>
      <c r="U262" s="12">
        <f>+Africa!U115</f>
        <v>0</v>
      </c>
      <c r="V262" s="12">
        <f>+Africa!V115</f>
        <v>0</v>
      </c>
      <c r="W262" s="12">
        <f>+Africa!W115</f>
        <v>0</v>
      </c>
      <c r="X262" s="12">
        <f>+Africa!X115</f>
        <v>0</v>
      </c>
      <c r="Y262" s="12">
        <f>+Africa!Y115</f>
        <v>0</v>
      </c>
      <c r="Z262" s="12">
        <f>+Africa!Z115</f>
        <v>0</v>
      </c>
      <c r="AA262" s="12">
        <f>+Africa!AA115</f>
        <v>0</v>
      </c>
      <c r="AB262" s="12">
        <f>+Africa!AB115</f>
        <v>0</v>
      </c>
      <c r="AC262" s="12">
        <f>+Africa!AC115</f>
        <v>0</v>
      </c>
      <c r="AD262" s="12">
        <f>+Africa!AD115</f>
        <v>0</v>
      </c>
      <c r="AE262" s="12">
        <f>+Africa!AE115</f>
        <v>0</v>
      </c>
      <c r="AF262" s="12">
        <f>+Africa!AF115</f>
        <v>0</v>
      </c>
      <c r="AG262" s="12">
        <f>+Africa!AG115</f>
        <v>0</v>
      </c>
      <c r="AH262" s="12">
        <f>+Africa!AH115</f>
        <v>0</v>
      </c>
      <c r="AI262" s="12">
        <f>+Africa!AI115</f>
        <v>301.14669495730215</v>
      </c>
      <c r="AJ262" s="12">
        <f>+Africa!AJ115</f>
        <v>325.18079256651856</v>
      </c>
      <c r="AK262" s="12">
        <f>+Africa!AK115</f>
        <v>323.19071618310733</v>
      </c>
    </row>
    <row r="263" spans="1:37" x14ac:dyDescent="0.15">
      <c r="A263" s="12" t="s">
        <v>58</v>
      </c>
      <c r="B263" s="12">
        <f>+LatAm!B115</f>
        <v>0</v>
      </c>
      <c r="C263" s="207">
        <f>+LatAm!C115</f>
        <v>0</v>
      </c>
      <c r="D263" s="207">
        <f>+LatAm!D115</f>
        <v>0</v>
      </c>
      <c r="E263" s="207">
        <f>+LatAm!E115</f>
        <v>0</v>
      </c>
      <c r="F263" s="207">
        <f>+LatAm!F115</f>
        <v>0</v>
      </c>
      <c r="G263" s="207">
        <f>+LatAm!G115</f>
        <v>0</v>
      </c>
      <c r="H263" s="207">
        <f>+LatAm!H115</f>
        <v>1.3853417790522611</v>
      </c>
      <c r="I263" s="12">
        <f>+LatAm!I115</f>
        <v>43.431329724488734</v>
      </c>
      <c r="J263" s="12">
        <f>+LatAm!J115</f>
        <v>92.22111719881201</v>
      </c>
      <c r="K263" s="12">
        <f>+LatAm!K115</f>
        <v>123.41073552782807</v>
      </c>
      <c r="L263" s="12">
        <f>+LatAm!L115</f>
        <v>158.53365847300933</v>
      </c>
      <c r="M263" s="12">
        <f>+LatAm!M115</f>
        <v>170.63010426314347</v>
      </c>
      <c r="N263" s="12">
        <f>+LatAm!N115</f>
        <v>184.95926763869397</v>
      </c>
      <c r="O263" s="12">
        <f>+LatAm!O115</f>
        <v>209.47658909919613</v>
      </c>
      <c r="P263" s="12">
        <f>+LatAm!P115</f>
        <v>245.610860731564</v>
      </c>
      <c r="Q263" s="12">
        <f>+LatAm!Q115</f>
        <v>273.92319220958365</v>
      </c>
      <c r="R263" s="12">
        <f>+LatAm!R115</f>
        <v>304.70004246743906</v>
      </c>
      <c r="S263" s="12">
        <f>+LatAm!S115</f>
        <v>331.86812845892581</v>
      </c>
      <c r="T263" s="12">
        <f>+LatAm!T115</f>
        <v>350.43187827904887</v>
      </c>
      <c r="U263" s="12">
        <f>+LatAm!U115</f>
        <v>347.64751853504413</v>
      </c>
      <c r="V263" s="12">
        <f>+LatAm!V115</f>
        <v>369.98765942789322</v>
      </c>
      <c r="W263" s="12">
        <f>+LatAm!W115</f>
        <v>370.49538288293371</v>
      </c>
      <c r="X263" s="12">
        <f>+LatAm!X115</f>
        <v>366.18559331189221</v>
      </c>
      <c r="Y263" s="12">
        <f>+LatAm!Y115</f>
        <v>362.10441070131361</v>
      </c>
      <c r="Z263" s="12">
        <f>+LatAm!Z115</f>
        <v>355.34621193328235</v>
      </c>
      <c r="AA263" s="12">
        <f>+LatAm!AA115</f>
        <v>346.9895952134371</v>
      </c>
      <c r="AB263" s="12">
        <f>+LatAm!AB115</f>
        <v>337.71254154375373</v>
      </c>
      <c r="AC263" s="12">
        <f>+LatAm!AC115</f>
        <v>332.68435689678302</v>
      </c>
      <c r="AD263" s="12">
        <f>+LatAm!AD115</f>
        <v>327.39215384606672</v>
      </c>
      <c r="AE263" s="12">
        <f>+LatAm!AE115</f>
        <v>320.61530309805954</v>
      </c>
      <c r="AF263" s="12">
        <f>+LatAm!AF115</f>
        <v>302.20713766077751</v>
      </c>
      <c r="AG263" s="12">
        <f>+LatAm!AG115</f>
        <v>305.95905489644969</v>
      </c>
      <c r="AH263" s="12">
        <f>+LatAm!AH115</f>
        <v>304.29408590482234</v>
      </c>
      <c r="AI263" s="12">
        <f>+LatAm!AI115</f>
        <v>419.6685274392608</v>
      </c>
      <c r="AJ263" s="12">
        <f>+LatAm!AJ115</f>
        <v>413.47914061126528</v>
      </c>
      <c r="AK263" s="12">
        <f>+LatAm!AK115</f>
        <v>402.6859639434013</v>
      </c>
    </row>
    <row r="264" spans="1:37" x14ac:dyDescent="0.15">
      <c r="A264" s="12" t="s">
        <v>114</v>
      </c>
      <c r="B264" s="12">
        <f>+OHI!B115</f>
        <v>0</v>
      </c>
      <c r="C264" s="207">
        <f>+OHI!C115</f>
        <v>0</v>
      </c>
      <c r="D264" s="207">
        <f>+OHI!D115</f>
        <v>0</v>
      </c>
      <c r="E264" s="207">
        <f>+OHI!E115</f>
        <v>0</v>
      </c>
      <c r="F264" s="207">
        <f>+OHI!F115</f>
        <v>0</v>
      </c>
      <c r="G264" s="207">
        <f>+OHI!G115</f>
        <v>0</v>
      </c>
      <c r="H264" s="207">
        <f>+OHI!H115</f>
        <v>0</v>
      </c>
      <c r="I264" s="12">
        <f>+OHI!I115</f>
        <v>5.4753352350848639</v>
      </c>
      <c r="J264" s="12">
        <f>+OHI!J115</f>
        <v>19.635597248514362</v>
      </c>
      <c r="K264" s="12">
        <f>+OHI!K115</f>
        <v>55.406122417346019</v>
      </c>
      <c r="L264" s="12">
        <f>+OHI!L115</f>
        <v>87.840075991586289</v>
      </c>
      <c r="M264" s="12">
        <f>+OHI!M115</f>
        <v>102.95195103956716</v>
      </c>
      <c r="N264" s="12">
        <f>+OHI!N115</f>
        <v>127.97557358029712</v>
      </c>
      <c r="O264" s="12">
        <f>+OHI!O115</f>
        <v>146.74854051520967</v>
      </c>
      <c r="P264" s="12">
        <f>+OHI!P115</f>
        <v>173.58494064699033</v>
      </c>
      <c r="Q264" s="12">
        <f>+OHI!Q115</f>
        <v>196.73803474645544</v>
      </c>
      <c r="R264" s="12">
        <f>+OHI!R115</f>
        <v>219.27555570116229</v>
      </c>
      <c r="S264" s="12">
        <f>+OHI!S115</f>
        <v>240.75912349544993</v>
      </c>
      <c r="T264" s="12">
        <f>+OHI!T115</f>
        <v>253.57789954975451</v>
      </c>
      <c r="U264" s="12">
        <f>+OHI!U115</f>
        <v>257.75910603390554</v>
      </c>
      <c r="V264" s="12">
        <f>+OHI!V115</f>
        <v>276.44097051054632</v>
      </c>
      <c r="W264" s="12">
        <f>+OHI!W115</f>
        <v>276.45976547347931</v>
      </c>
      <c r="X264" s="12">
        <f>+OHI!X115</f>
        <v>274.13905312832236</v>
      </c>
      <c r="Y264" s="12">
        <f>+OHI!Y115</f>
        <v>272.6583390490249</v>
      </c>
      <c r="Z264" s="12">
        <f>+OHI!Z115</f>
        <v>270.9734701342685</v>
      </c>
      <c r="AA264" s="12">
        <f>+OHI!AA115</f>
        <v>266.9462714496521</v>
      </c>
      <c r="AB264" s="12">
        <f>+OHI!AB115</f>
        <v>264.23856020748866</v>
      </c>
      <c r="AC264" s="12">
        <f>+OHI!AC115</f>
        <v>262.92994903211746</v>
      </c>
      <c r="AD264" s="12">
        <f>+OHI!AD115</f>
        <v>261.07946345365667</v>
      </c>
      <c r="AE264" s="12">
        <f>+OHI!AE115</f>
        <v>257.3319207598945</v>
      </c>
      <c r="AF264" s="12">
        <f>+OHI!AF115</f>
        <v>246.79733738463781</v>
      </c>
      <c r="AG264" s="12">
        <f>+OHI!AG115</f>
        <v>247.55203916383616</v>
      </c>
      <c r="AH264" s="12">
        <f>+OHI!AH115</f>
        <v>245.44235803957289</v>
      </c>
      <c r="AI264" s="12">
        <f>+OHI!AI115</f>
        <v>341.13262888826841</v>
      </c>
      <c r="AJ264" s="12">
        <f>+OHI!AJ115</f>
        <v>339.73714574041321</v>
      </c>
      <c r="AK264" s="12">
        <f>+OHI!AK115</f>
        <v>332.4488741952643</v>
      </c>
    </row>
    <row r="265" spans="1:37" x14ac:dyDescent="0.15">
      <c r="A265" s="207" t="s">
        <v>1012</v>
      </c>
      <c r="B265" s="12">
        <f>+OthAsia!B115</f>
        <v>0</v>
      </c>
      <c r="C265" s="207">
        <f>+OthAsia!C115</f>
        <v>0</v>
      </c>
      <c r="D265" s="207">
        <f>+OthAsia!D115</f>
        <v>0</v>
      </c>
      <c r="E265" s="207">
        <f>+OthAsia!E115</f>
        <v>0</v>
      </c>
      <c r="F265" s="207">
        <f>+OthAsia!F115</f>
        <v>0</v>
      </c>
      <c r="G265" s="207">
        <f>+OthAsia!G115</f>
        <v>0</v>
      </c>
      <c r="H265" s="207">
        <f>+OthAsia!H115</f>
        <v>0</v>
      </c>
      <c r="I265" s="12">
        <f>+OthAsia!I115</f>
        <v>0</v>
      </c>
      <c r="J265" s="12">
        <f>+OthAsia!J115</f>
        <v>0</v>
      </c>
      <c r="K265" s="12">
        <f>+OthAsia!K115</f>
        <v>0</v>
      </c>
      <c r="L265" s="12">
        <f>+OthAsia!L115</f>
        <v>0</v>
      </c>
      <c r="M265" s="12">
        <f>+OthAsia!M115</f>
        <v>0</v>
      </c>
      <c r="N265" s="12">
        <f>+OthAsia!N115</f>
        <v>0</v>
      </c>
      <c r="O265" s="12">
        <f>+OthAsia!O115</f>
        <v>0</v>
      </c>
      <c r="P265" s="12">
        <f>+OthAsia!P115</f>
        <v>0.71128748803991892</v>
      </c>
      <c r="Q265" s="12">
        <f>+OthAsia!Q115</f>
        <v>14.88904320491158</v>
      </c>
      <c r="R265" s="12">
        <f>+OthAsia!R115</f>
        <v>39.94132163697801</v>
      </c>
      <c r="S265" s="12">
        <f>+OthAsia!S115</f>
        <v>71.838182730858492</v>
      </c>
      <c r="T265" s="12">
        <f>+OthAsia!T115</f>
        <v>100.95306265958949</v>
      </c>
      <c r="U265" s="12">
        <f>+OthAsia!U115</f>
        <v>125.26252888779662</v>
      </c>
      <c r="V265" s="12">
        <f>+OthAsia!V115</f>
        <v>158.77854872818565</v>
      </c>
      <c r="W265" s="12">
        <f>+OthAsia!W115</f>
        <v>169.5093114220636</v>
      </c>
      <c r="X265" s="12">
        <f>+OthAsia!X115</f>
        <v>183.42010330104179</v>
      </c>
      <c r="Y265" s="12">
        <f>+OthAsia!Y115</f>
        <v>193.77623647525897</v>
      </c>
      <c r="Z265" s="12">
        <f>+OthAsia!Z115</f>
        <v>202.86214061289076</v>
      </c>
      <c r="AA265" s="12">
        <f>+OthAsia!AA115</f>
        <v>211.43434949462844</v>
      </c>
      <c r="AB265" s="12">
        <f>+OthAsia!AB115</f>
        <v>219.91437996753814</v>
      </c>
      <c r="AC265" s="12">
        <f>+OthAsia!AC115</f>
        <v>227.61004819352704</v>
      </c>
      <c r="AD265" s="12">
        <f>+OthAsia!AD115</f>
        <v>234.35829015714145</v>
      </c>
      <c r="AE265" s="12">
        <f>+OthAsia!AE115</f>
        <v>238.71127984835974</v>
      </c>
      <c r="AF265" s="12">
        <f>+OthAsia!AF115</f>
        <v>228.8784845348564</v>
      </c>
      <c r="AG265" s="12">
        <f>+OthAsia!AG115</f>
        <v>230.62359902809399</v>
      </c>
      <c r="AH265" s="12">
        <f>+OthAsia!AH115</f>
        <v>233.82209313204754</v>
      </c>
      <c r="AI265" s="12">
        <f>+OthAsia!AI115</f>
        <v>387.07654719023282</v>
      </c>
      <c r="AJ265" s="12">
        <f>+OthAsia!AJ115</f>
        <v>382.17284777293526</v>
      </c>
      <c r="AK265" s="12">
        <f>+OthAsia!AK115</f>
        <v>372.22069516460886</v>
      </c>
    </row>
    <row r="266" spans="1:37" x14ac:dyDescent="0.15">
      <c r="B266" s="414"/>
    </row>
    <row r="268" spans="1:37" x14ac:dyDescent="0.15">
      <c r="A268" s="19" t="s">
        <v>1016</v>
      </c>
    </row>
    <row r="269" spans="1:37" x14ac:dyDescent="0.15">
      <c r="A269" s="12" t="s">
        <v>104</v>
      </c>
      <c r="B269" s="414">
        <f t="shared" ref="B269:Z269" si="140">+B254*B284</f>
        <v>0</v>
      </c>
      <c r="C269" s="414">
        <f t="shared" si="140"/>
        <v>0</v>
      </c>
      <c r="D269" s="414">
        <f t="shared" si="140"/>
        <v>0</v>
      </c>
      <c r="E269" s="414">
        <f t="shared" si="140"/>
        <v>0</v>
      </c>
      <c r="F269" s="414">
        <f t="shared" si="140"/>
        <v>0</v>
      </c>
      <c r="G269" s="414">
        <f t="shared" si="140"/>
        <v>29.288298873721846</v>
      </c>
      <c r="H269" s="414">
        <f t="shared" si="140"/>
        <v>56.126013901810644</v>
      </c>
      <c r="I269" s="414">
        <f t="shared" si="140"/>
        <v>80.435718156800505</v>
      </c>
      <c r="J269" s="414">
        <f t="shared" si="140"/>
        <v>98.37368715861443</v>
      </c>
      <c r="K269" s="414">
        <f t="shared" si="140"/>
        <v>111.03889372325574</v>
      </c>
      <c r="L269" s="414">
        <f t="shared" si="140"/>
        <v>115.47106607759666</v>
      </c>
      <c r="M269" s="414">
        <f t="shared" si="140"/>
        <v>109.12423520582986</v>
      </c>
      <c r="N269" s="414">
        <f t="shared" si="140"/>
        <v>105.95681684119529</v>
      </c>
      <c r="O269" s="414">
        <f t="shared" si="140"/>
        <v>105.98980861756814</v>
      </c>
      <c r="P269" s="414">
        <f t="shared" si="140"/>
        <v>108.4361149779572</v>
      </c>
      <c r="Q269" s="414">
        <f t="shared" si="140"/>
        <v>109.8724817752491</v>
      </c>
      <c r="R269" s="414">
        <f t="shared" si="140"/>
        <v>109.68856667554969</v>
      </c>
      <c r="S269" s="414">
        <f t="shared" si="140"/>
        <v>107.92027845318846</v>
      </c>
      <c r="T269" s="414">
        <f t="shared" si="140"/>
        <v>102.80302138183498</v>
      </c>
      <c r="U269" s="414">
        <f t="shared" si="140"/>
        <v>93.647552957101965</v>
      </c>
      <c r="V269" s="414">
        <f t="shared" si="140"/>
        <v>93.397582485730894</v>
      </c>
      <c r="W269" s="414">
        <f t="shared" si="140"/>
        <v>88.626564210078755</v>
      </c>
      <c r="X269" s="414">
        <f t="shared" si="140"/>
        <v>85.305745214519192</v>
      </c>
      <c r="Y269" s="414">
        <f t="shared" si="140"/>
        <v>81.746317922445513</v>
      </c>
      <c r="Z269" s="414">
        <f t="shared" si="140"/>
        <v>79.028869550404607</v>
      </c>
      <c r="AA269" s="414">
        <f t="shared" ref="AA269:AB280" si="141">+AA254*AA155</f>
        <v>22.97834476922095</v>
      </c>
      <c r="AB269" s="414">
        <f t="shared" si="141"/>
        <v>24.036229585360957</v>
      </c>
    </row>
    <row r="270" spans="1:37" x14ac:dyDescent="0.15">
      <c r="A270" s="12" t="s">
        <v>105</v>
      </c>
      <c r="B270" s="414">
        <f t="shared" ref="B270:Z270" si="142">+B255*B285</f>
        <v>22.597013399300494</v>
      </c>
      <c r="C270" s="414">
        <f t="shared" si="142"/>
        <v>0</v>
      </c>
      <c r="D270" s="414">
        <f t="shared" si="142"/>
        <v>0</v>
      </c>
      <c r="E270" s="414">
        <f t="shared" si="142"/>
        <v>0</v>
      </c>
      <c r="F270" s="414">
        <f t="shared" si="142"/>
        <v>11.638718270351994</v>
      </c>
      <c r="G270" s="414">
        <f t="shared" si="142"/>
        <v>99.779638199129565</v>
      </c>
      <c r="H270" s="414">
        <f t="shared" si="142"/>
        <v>138.99120284834044</v>
      </c>
      <c r="I270" s="414">
        <f t="shared" si="142"/>
        <v>171.74198894705199</v>
      </c>
      <c r="J270" s="414">
        <f t="shared" si="142"/>
        <v>191.60288514250846</v>
      </c>
      <c r="K270" s="414">
        <f t="shared" si="142"/>
        <v>200.11736916840269</v>
      </c>
      <c r="L270" s="414">
        <f t="shared" si="142"/>
        <v>206.91271911012609</v>
      </c>
      <c r="M270" s="414">
        <f t="shared" si="142"/>
        <v>200.44891678238034</v>
      </c>
      <c r="N270" s="414">
        <f t="shared" si="142"/>
        <v>193.49682216213651</v>
      </c>
      <c r="O270" s="414">
        <f t="shared" si="142"/>
        <v>187.51785568183513</v>
      </c>
      <c r="P270" s="414">
        <f t="shared" si="142"/>
        <v>186.97976286080606</v>
      </c>
      <c r="Q270" s="414">
        <f t="shared" si="142"/>
        <v>184.69447360887636</v>
      </c>
      <c r="R270" s="414">
        <f t="shared" si="142"/>
        <v>185.51471733539481</v>
      </c>
      <c r="S270" s="414">
        <f t="shared" si="142"/>
        <v>184.89656301461338</v>
      </c>
      <c r="T270" s="414">
        <f t="shared" si="142"/>
        <v>176.8537062232285</v>
      </c>
      <c r="U270" s="414">
        <f t="shared" si="142"/>
        <v>157.46639805157818</v>
      </c>
      <c r="V270" s="414">
        <f t="shared" si="142"/>
        <v>155.68675350198868</v>
      </c>
      <c r="W270" s="414">
        <f t="shared" si="142"/>
        <v>149.68460629051373</v>
      </c>
      <c r="X270" s="414">
        <f t="shared" si="142"/>
        <v>139.4434400001405</v>
      </c>
      <c r="Y270" s="414">
        <f t="shared" si="142"/>
        <v>131.8099243223775</v>
      </c>
      <c r="Z270" s="414">
        <f t="shared" si="142"/>
        <v>127.05242066405147</v>
      </c>
      <c r="AA270" s="414">
        <f t="shared" si="141"/>
        <v>55.719526883645813</v>
      </c>
      <c r="AB270" s="414">
        <f t="shared" si="141"/>
        <v>56.267764268678093</v>
      </c>
    </row>
    <row r="271" spans="1:37" x14ac:dyDescent="0.15">
      <c r="A271" s="12" t="s">
        <v>51</v>
      </c>
      <c r="B271" s="414">
        <f t="shared" ref="B271:Z271" si="143">+B256*B286</f>
        <v>2.6510842625991056</v>
      </c>
      <c r="C271" s="414">
        <f t="shared" si="143"/>
        <v>52.09602890696975</v>
      </c>
      <c r="D271" s="414">
        <f t="shared" si="143"/>
        <v>17.085767339751822</v>
      </c>
      <c r="E271" s="414">
        <f t="shared" si="143"/>
        <v>28.002928869120044</v>
      </c>
      <c r="F271" s="414">
        <f t="shared" si="143"/>
        <v>57.899223005894214</v>
      </c>
      <c r="G271" s="414">
        <f t="shared" si="143"/>
        <v>89.951619314049708</v>
      </c>
      <c r="H271" s="414">
        <f t="shared" si="143"/>
        <v>95.997864789507545</v>
      </c>
      <c r="I271" s="414">
        <f t="shared" si="143"/>
        <v>93.906866056021144</v>
      </c>
      <c r="J271" s="414">
        <f t="shared" si="143"/>
        <v>85.747736385931091</v>
      </c>
      <c r="K271" s="414">
        <f t="shared" si="143"/>
        <v>78.75158058161314</v>
      </c>
      <c r="L271" s="414">
        <f t="shared" si="143"/>
        <v>75.459854902083336</v>
      </c>
      <c r="M271" s="414">
        <f t="shared" si="143"/>
        <v>68.909483407647528</v>
      </c>
      <c r="N271" s="414">
        <f t="shared" si="143"/>
        <v>63.088055329710642</v>
      </c>
      <c r="O271" s="414">
        <f t="shared" si="143"/>
        <v>59.749917267849696</v>
      </c>
      <c r="P271" s="414">
        <f t="shared" si="143"/>
        <v>57.486465852260729</v>
      </c>
      <c r="Q271" s="414">
        <f t="shared" si="143"/>
        <v>55.134623437024807</v>
      </c>
      <c r="R271" s="414">
        <f t="shared" si="143"/>
        <v>52.65811026257132</v>
      </c>
      <c r="S271" s="414">
        <f t="shared" si="143"/>
        <v>50.495193853862503</v>
      </c>
      <c r="T271" s="414">
        <f t="shared" si="143"/>
        <v>46.558730514902422</v>
      </c>
      <c r="U271" s="414">
        <f t="shared" si="143"/>
        <v>40.160988445852219</v>
      </c>
      <c r="V271" s="414">
        <f t="shared" si="143"/>
        <v>40.295101293685953</v>
      </c>
      <c r="W271" s="414">
        <f t="shared" si="143"/>
        <v>37.267596044528034</v>
      </c>
      <c r="X271" s="414">
        <f t="shared" si="143"/>
        <v>35.251834360548962</v>
      </c>
      <c r="Y271" s="414">
        <f t="shared" si="143"/>
        <v>33.727019044654298</v>
      </c>
      <c r="Z271" s="414">
        <f t="shared" si="143"/>
        <v>31.572231402365418</v>
      </c>
      <c r="AA271" s="414">
        <f t="shared" si="141"/>
        <v>13.603560163006788</v>
      </c>
      <c r="AB271" s="414">
        <f t="shared" si="141"/>
        <v>13.459061031339719</v>
      </c>
    </row>
    <row r="272" spans="1:37" x14ac:dyDescent="0.15">
      <c r="A272" s="12" t="s">
        <v>52</v>
      </c>
      <c r="B272" s="414">
        <f t="shared" ref="B272:Z272" si="144">+B257*B287</f>
        <v>154.2326549017979</v>
      </c>
      <c r="C272" s="414">
        <f t="shared" si="144"/>
        <v>0</v>
      </c>
      <c r="D272" s="414">
        <f t="shared" si="144"/>
        <v>0</v>
      </c>
      <c r="E272" s="414">
        <f t="shared" si="144"/>
        <v>0</v>
      </c>
      <c r="F272" s="414">
        <f t="shared" si="144"/>
        <v>0</v>
      </c>
      <c r="G272" s="414">
        <f t="shared" si="144"/>
        <v>0</v>
      </c>
      <c r="H272" s="414">
        <f t="shared" si="144"/>
        <v>0</v>
      </c>
      <c r="I272" s="414">
        <f t="shared" si="144"/>
        <v>0</v>
      </c>
      <c r="J272" s="414">
        <f t="shared" si="144"/>
        <v>2.348865700231181E-2</v>
      </c>
      <c r="K272" s="414">
        <f t="shared" si="144"/>
        <v>1.5576828738534021</v>
      </c>
      <c r="L272" s="414">
        <f t="shared" si="144"/>
        <v>4.7380831908103271</v>
      </c>
      <c r="M272" s="414">
        <f t="shared" si="144"/>
        <v>6.597528056936139</v>
      </c>
      <c r="N272" s="414">
        <f t="shared" si="144"/>
        <v>8.4061943643350681</v>
      </c>
      <c r="O272" s="414">
        <f t="shared" si="144"/>
        <v>11.215762072173286</v>
      </c>
      <c r="P272" s="414">
        <f t="shared" si="144"/>
        <v>14.007716857869168</v>
      </c>
      <c r="Q272" s="414">
        <f t="shared" si="144"/>
        <v>16.41228397372792</v>
      </c>
      <c r="R272" s="414">
        <f t="shared" si="144"/>
        <v>19.448740116847823</v>
      </c>
      <c r="S272" s="414">
        <f t="shared" si="144"/>
        <v>22.488234644610035</v>
      </c>
      <c r="T272" s="414">
        <f t="shared" si="144"/>
        <v>23.943708860095626</v>
      </c>
      <c r="U272" s="414">
        <f t="shared" si="144"/>
        <v>19.758170490504884</v>
      </c>
      <c r="V272" s="414">
        <f t="shared" si="144"/>
        <v>20.74332318523593</v>
      </c>
      <c r="W272" s="414">
        <f t="shared" si="144"/>
        <v>20.736887656894822</v>
      </c>
      <c r="X272" s="414">
        <f t="shared" si="144"/>
        <v>20.654008855796608</v>
      </c>
      <c r="Y272" s="414">
        <f t="shared" si="144"/>
        <v>19.844604041919133</v>
      </c>
      <c r="Z272" s="414">
        <f t="shared" si="144"/>
        <v>18.792087175407669</v>
      </c>
      <c r="AA272" s="414">
        <f t="shared" si="141"/>
        <v>2.0632397586908593</v>
      </c>
      <c r="AB272" s="414">
        <f t="shared" si="141"/>
        <v>2.4783320647768514</v>
      </c>
    </row>
    <row r="273" spans="1:29" x14ac:dyDescent="0.15">
      <c r="A273" s="12" t="s">
        <v>53</v>
      </c>
      <c r="B273" s="414">
        <f t="shared" ref="B273:Z273" si="145">+B258*B288</f>
        <v>167.22713994646648</v>
      </c>
      <c r="C273" s="414">
        <f t="shared" si="145"/>
        <v>0</v>
      </c>
      <c r="D273" s="414">
        <f t="shared" si="145"/>
        <v>0</v>
      </c>
      <c r="E273" s="414">
        <f t="shared" si="145"/>
        <v>0</v>
      </c>
      <c r="F273" s="414">
        <f t="shared" si="145"/>
        <v>0</v>
      </c>
      <c r="G273" s="414">
        <f t="shared" si="145"/>
        <v>0</v>
      </c>
      <c r="H273" s="414">
        <f t="shared" si="145"/>
        <v>0</v>
      </c>
      <c r="I273" s="414">
        <f t="shared" si="145"/>
        <v>0</v>
      </c>
      <c r="J273" s="414">
        <f t="shared" si="145"/>
        <v>0</v>
      </c>
      <c r="K273" s="414">
        <f t="shared" si="145"/>
        <v>0</v>
      </c>
      <c r="L273" s="414">
        <f t="shared" si="145"/>
        <v>0</v>
      </c>
      <c r="M273" s="414">
        <f t="shared" si="145"/>
        <v>5.313609951530425E-2</v>
      </c>
      <c r="N273" s="414">
        <f t="shared" si="145"/>
        <v>0.44043232388497755</v>
      </c>
      <c r="O273" s="414">
        <f t="shared" si="145"/>
        <v>1.1719060963516978</v>
      </c>
      <c r="P273" s="414">
        <f t="shared" si="145"/>
        <v>2.469635863114811</v>
      </c>
      <c r="Q273" s="414">
        <f t="shared" si="145"/>
        <v>3.5424295833920141</v>
      </c>
      <c r="R273" s="414">
        <f t="shared" si="145"/>
        <v>5.0762615335998218</v>
      </c>
      <c r="S273" s="414">
        <f t="shared" si="145"/>
        <v>6.65445096842656</v>
      </c>
      <c r="T273" s="414">
        <f t="shared" si="145"/>
        <v>7.5673365292351074</v>
      </c>
      <c r="U273" s="414">
        <f t="shared" si="145"/>
        <v>6.3469536179878725</v>
      </c>
      <c r="V273" s="414">
        <f t="shared" si="145"/>
        <v>6.7449528930276434</v>
      </c>
      <c r="W273" s="414">
        <f t="shared" si="145"/>
        <v>6.9245087163405685</v>
      </c>
      <c r="X273" s="414">
        <f t="shared" si="145"/>
        <v>6.7006605682622675</v>
      </c>
      <c r="Y273" s="414">
        <f t="shared" si="145"/>
        <v>6.5638043999035069</v>
      </c>
      <c r="Z273" s="414">
        <f t="shared" si="145"/>
        <v>6.1854697800823075</v>
      </c>
      <c r="AA273" s="414">
        <f t="shared" si="141"/>
        <v>0.70186863545682199</v>
      </c>
      <c r="AB273" s="414">
        <f t="shared" si="141"/>
        <v>0.88193885252455995</v>
      </c>
    </row>
    <row r="274" spans="1:29" x14ac:dyDescent="0.15">
      <c r="A274" s="12" t="s">
        <v>54</v>
      </c>
      <c r="B274" s="414">
        <f t="shared" ref="B274:Z274" si="146">+B259*B289</f>
        <v>0</v>
      </c>
      <c r="C274" s="414">
        <f t="shared" si="146"/>
        <v>0</v>
      </c>
      <c r="D274" s="414">
        <f t="shared" si="146"/>
        <v>0</v>
      </c>
      <c r="E274" s="414">
        <f t="shared" si="146"/>
        <v>0</v>
      </c>
      <c r="F274" s="414">
        <f t="shared" si="146"/>
        <v>0</v>
      </c>
      <c r="G274" s="414">
        <f t="shared" si="146"/>
        <v>0</v>
      </c>
      <c r="H274" s="414">
        <f t="shared" si="146"/>
        <v>0</v>
      </c>
      <c r="I274" s="414">
        <f t="shared" si="146"/>
        <v>0</v>
      </c>
      <c r="J274" s="414">
        <f t="shared" si="146"/>
        <v>0</v>
      </c>
      <c r="K274" s="414">
        <f t="shared" si="146"/>
        <v>0</v>
      </c>
      <c r="L274" s="414">
        <f t="shared" si="146"/>
        <v>0</v>
      </c>
      <c r="M274" s="414">
        <f t="shared" si="146"/>
        <v>0</v>
      </c>
      <c r="N274" s="414">
        <f t="shared" si="146"/>
        <v>0</v>
      </c>
      <c r="O274" s="414">
        <f t="shared" si="146"/>
        <v>0</v>
      </c>
      <c r="P274" s="414">
        <f t="shared" si="146"/>
        <v>0</v>
      </c>
      <c r="Q274" s="414">
        <f t="shared" si="146"/>
        <v>0</v>
      </c>
      <c r="R274" s="414">
        <f t="shared" si="146"/>
        <v>0</v>
      </c>
      <c r="S274" s="414">
        <f t="shared" si="146"/>
        <v>2.9465484382701676E-2</v>
      </c>
      <c r="T274" s="414">
        <f t="shared" si="146"/>
        <v>3.0444318930838872</v>
      </c>
      <c r="U274" s="414">
        <f t="shared" si="146"/>
        <v>8.8512176242596823</v>
      </c>
      <c r="V274" s="414">
        <f t="shared" si="146"/>
        <v>17.031802333791465</v>
      </c>
      <c r="W274" s="414">
        <f t="shared" si="146"/>
        <v>22.35927703090708</v>
      </c>
      <c r="X274" s="414">
        <f t="shared" si="146"/>
        <v>26.682279656865607</v>
      </c>
      <c r="Y274" s="414">
        <f t="shared" si="146"/>
        <v>31.047674846213607</v>
      </c>
      <c r="Z274" s="414">
        <f t="shared" si="146"/>
        <v>35.193319656820513</v>
      </c>
      <c r="AA274" s="414">
        <f t="shared" si="141"/>
        <v>7.539329825171035</v>
      </c>
      <c r="AB274" s="414">
        <f t="shared" si="141"/>
        <v>9.5381874513539362</v>
      </c>
    </row>
    <row r="275" spans="1:29" x14ac:dyDescent="0.15">
      <c r="A275" s="12" t="s">
        <v>55</v>
      </c>
      <c r="B275" s="414">
        <f t="shared" ref="B275:Z275" si="147">+B260*B290</f>
        <v>0</v>
      </c>
      <c r="C275" s="414">
        <f t="shared" si="147"/>
        <v>0</v>
      </c>
      <c r="D275" s="414">
        <f t="shared" si="147"/>
        <v>0</v>
      </c>
      <c r="E275" s="414">
        <f t="shared" si="147"/>
        <v>0</v>
      </c>
      <c r="F275" s="414">
        <f t="shared" si="147"/>
        <v>0</v>
      </c>
      <c r="G275" s="414">
        <f t="shared" si="147"/>
        <v>0</v>
      </c>
      <c r="H275" s="414">
        <f t="shared" si="147"/>
        <v>0</v>
      </c>
      <c r="I275" s="414">
        <f t="shared" si="147"/>
        <v>0</v>
      </c>
      <c r="J275" s="414">
        <f t="shared" si="147"/>
        <v>0</v>
      </c>
      <c r="K275" s="414">
        <f t="shared" si="147"/>
        <v>0</v>
      </c>
      <c r="L275" s="414">
        <f t="shared" si="147"/>
        <v>0</v>
      </c>
      <c r="M275" s="414">
        <f t="shared" si="147"/>
        <v>0</v>
      </c>
      <c r="N275" s="414">
        <f t="shared" si="147"/>
        <v>0</v>
      </c>
      <c r="O275" s="414">
        <f t="shared" si="147"/>
        <v>0</v>
      </c>
      <c r="P275" s="414">
        <f t="shared" si="147"/>
        <v>0</v>
      </c>
      <c r="Q275" s="414">
        <f t="shared" si="147"/>
        <v>0</v>
      </c>
      <c r="R275" s="414">
        <f t="shared" si="147"/>
        <v>0</v>
      </c>
      <c r="S275" s="414">
        <f t="shared" si="147"/>
        <v>0</v>
      </c>
      <c r="T275" s="414">
        <f t="shared" si="147"/>
        <v>0</v>
      </c>
      <c r="U275" s="414">
        <f t="shared" si="147"/>
        <v>0.17593508621008028</v>
      </c>
      <c r="V275" s="414">
        <f t="shared" si="147"/>
        <v>2.3216756943176859</v>
      </c>
      <c r="W275" s="414">
        <f t="shared" si="147"/>
        <v>3.4921841058748599</v>
      </c>
      <c r="X275" s="414">
        <f t="shared" si="147"/>
        <v>4.8690841780234662</v>
      </c>
      <c r="Y275" s="414">
        <f t="shared" si="147"/>
        <v>6.6667604722596483</v>
      </c>
      <c r="Z275" s="414">
        <f t="shared" si="147"/>
        <v>8.9567255511983834</v>
      </c>
      <c r="AA275" s="414">
        <f t="shared" si="141"/>
        <v>4.3245303783549316</v>
      </c>
      <c r="AB275" s="414">
        <f t="shared" si="141"/>
        <v>5.7398663965726575</v>
      </c>
    </row>
    <row r="276" spans="1:29" x14ac:dyDescent="0.15">
      <c r="A276" s="12" t="s">
        <v>56</v>
      </c>
      <c r="B276" s="414">
        <f t="shared" ref="B276:Z276" si="148">+B261*B291</f>
        <v>0</v>
      </c>
      <c r="C276" s="414">
        <f t="shared" si="148"/>
        <v>0</v>
      </c>
      <c r="D276" s="414">
        <f t="shared" si="148"/>
        <v>0</v>
      </c>
      <c r="E276" s="414">
        <f t="shared" si="148"/>
        <v>0</v>
      </c>
      <c r="F276" s="414">
        <f t="shared" si="148"/>
        <v>0</v>
      </c>
      <c r="G276" s="414">
        <f t="shared" si="148"/>
        <v>0</v>
      </c>
      <c r="H276" s="414">
        <f t="shared" si="148"/>
        <v>0</v>
      </c>
      <c r="I276" s="414">
        <f t="shared" si="148"/>
        <v>0</v>
      </c>
      <c r="J276" s="414">
        <f t="shared" si="148"/>
        <v>0</v>
      </c>
      <c r="K276" s="414">
        <f t="shared" si="148"/>
        <v>0</v>
      </c>
      <c r="L276" s="414">
        <f t="shared" si="148"/>
        <v>0</v>
      </c>
      <c r="M276" s="414">
        <f t="shared" si="148"/>
        <v>0</v>
      </c>
      <c r="N276" s="414">
        <f t="shared" si="148"/>
        <v>0</v>
      </c>
      <c r="O276" s="414">
        <f t="shared" si="148"/>
        <v>0</v>
      </c>
      <c r="P276" s="414">
        <f t="shared" si="148"/>
        <v>0</v>
      </c>
      <c r="Q276" s="414">
        <f t="shared" si="148"/>
        <v>0</v>
      </c>
      <c r="R276" s="414">
        <f t="shared" si="148"/>
        <v>0</v>
      </c>
      <c r="S276" s="414">
        <f t="shared" si="148"/>
        <v>0</v>
      </c>
      <c r="T276" s="414">
        <f t="shared" si="148"/>
        <v>0</v>
      </c>
      <c r="U276" s="414">
        <f t="shared" si="148"/>
        <v>0</v>
      </c>
      <c r="V276" s="414">
        <f t="shared" si="148"/>
        <v>0</v>
      </c>
      <c r="W276" s="414">
        <f t="shared" si="148"/>
        <v>0</v>
      </c>
      <c r="X276" s="414">
        <f t="shared" si="148"/>
        <v>0</v>
      </c>
      <c r="Y276" s="414">
        <f t="shared" si="148"/>
        <v>0</v>
      </c>
      <c r="Z276" s="414">
        <f t="shared" si="148"/>
        <v>0</v>
      </c>
      <c r="AA276" s="414">
        <f t="shared" si="141"/>
        <v>0</v>
      </c>
      <c r="AB276" s="414">
        <f t="shared" si="141"/>
        <v>0</v>
      </c>
    </row>
    <row r="277" spans="1:29" x14ac:dyDescent="0.15">
      <c r="A277" s="12" t="s">
        <v>57</v>
      </c>
      <c r="B277" s="414">
        <f t="shared" ref="B277:Z277" si="149">+B262*B292</f>
        <v>84.171500689308274</v>
      </c>
      <c r="C277" s="414">
        <f t="shared" si="149"/>
        <v>0</v>
      </c>
      <c r="D277" s="414">
        <f t="shared" si="149"/>
        <v>0</v>
      </c>
      <c r="E277" s="414">
        <f t="shared" si="149"/>
        <v>0</v>
      </c>
      <c r="F277" s="414">
        <f t="shared" si="149"/>
        <v>0</v>
      </c>
      <c r="G277" s="414">
        <f t="shared" si="149"/>
        <v>0</v>
      </c>
      <c r="H277" s="414">
        <f t="shared" si="149"/>
        <v>0</v>
      </c>
      <c r="I277" s="414">
        <f t="shared" si="149"/>
        <v>0</v>
      </c>
      <c r="J277" s="414">
        <f t="shared" si="149"/>
        <v>0</v>
      </c>
      <c r="K277" s="414">
        <f t="shared" si="149"/>
        <v>0</v>
      </c>
      <c r="L277" s="414">
        <f t="shared" si="149"/>
        <v>0</v>
      </c>
      <c r="M277" s="414">
        <f t="shared" si="149"/>
        <v>0</v>
      </c>
      <c r="N277" s="414">
        <f t="shared" si="149"/>
        <v>0</v>
      </c>
      <c r="O277" s="414">
        <f t="shared" si="149"/>
        <v>0</v>
      </c>
      <c r="P277" s="414">
        <f t="shared" si="149"/>
        <v>0</v>
      </c>
      <c r="Q277" s="414">
        <f t="shared" si="149"/>
        <v>0</v>
      </c>
      <c r="R277" s="414">
        <f t="shared" si="149"/>
        <v>0</v>
      </c>
      <c r="S277" s="414">
        <f t="shared" si="149"/>
        <v>0</v>
      </c>
      <c r="T277" s="414">
        <f t="shared" si="149"/>
        <v>0</v>
      </c>
      <c r="U277" s="414">
        <f t="shared" si="149"/>
        <v>0</v>
      </c>
      <c r="V277" s="414">
        <f t="shared" si="149"/>
        <v>0</v>
      </c>
      <c r="W277" s="414">
        <f t="shared" si="149"/>
        <v>0</v>
      </c>
      <c r="X277" s="414">
        <f t="shared" si="149"/>
        <v>0</v>
      </c>
      <c r="Y277" s="414">
        <f t="shared" si="149"/>
        <v>0</v>
      </c>
      <c r="Z277" s="414">
        <f t="shared" si="149"/>
        <v>0</v>
      </c>
      <c r="AA277" s="414">
        <f t="shared" si="141"/>
        <v>0</v>
      </c>
      <c r="AB277" s="414">
        <f t="shared" si="141"/>
        <v>0</v>
      </c>
    </row>
    <row r="278" spans="1:29" x14ac:dyDescent="0.15">
      <c r="A278" s="12" t="s">
        <v>58</v>
      </c>
      <c r="B278" s="414">
        <f t="shared" ref="B278:Z278" si="150">+B263*B293</f>
        <v>0</v>
      </c>
      <c r="C278" s="414">
        <f t="shared" si="150"/>
        <v>0</v>
      </c>
      <c r="D278" s="414">
        <f t="shared" si="150"/>
        <v>0</v>
      </c>
      <c r="E278" s="414">
        <f t="shared" si="150"/>
        <v>0</v>
      </c>
      <c r="F278" s="414">
        <f t="shared" si="150"/>
        <v>0</v>
      </c>
      <c r="G278" s="414">
        <f t="shared" si="150"/>
        <v>0</v>
      </c>
      <c r="H278" s="414">
        <f t="shared" si="150"/>
        <v>0.31015118534167047</v>
      </c>
      <c r="I278" s="414">
        <f t="shared" si="150"/>
        <v>9.3618814364377503</v>
      </c>
      <c r="J278" s="414">
        <f t="shared" si="150"/>
        <v>18.823191289895089</v>
      </c>
      <c r="K278" s="414">
        <f t="shared" si="150"/>
        <v>23.402504663372714</v>
      </c>
      <c r="L278" s="414">
        <f t="shared" si="150"/>
        <v>28.951780437201304</v>
      </c>
      <c r="M278" s="414">
        <f t="shared" si="150"/>
        <v>29.176144836558645</v>
      </c>
      <c r="N278" s="414">
        <f t="shared" si="150"/>
        <v>29.805334879772548</v>
      </c>
      <c r="O278" s="414">
        <f t="shared" si="150"/>
        <v>32.57797518519849</v>
      </c>
      <c r="P278" s="414">
        <f t="shared" si="150"/>
        <v>37.992442427590859</v>
      </c>
      <c r="Q278" s="414">
        <f t="shared" si="150"/>
        <v>41.761733586144956</v>
      </c>
      <c r="R278" s="414">
        <f t="shared" si="150"/>
        <v>46.48075491535495</v>
      </c>
      <c r="S278" s="414">
        <f t="shared" si="150"/>
        <v>50.776158051434436</v>
      </c>
      <c r="T278" s="414">
        <f t="shared" si="150"/>
        <v>53.109880310359806</v>
      </c>
      <c r="U278" s="414">
        <f t="shared" si="150"/>
        <v>49.224199472042621</v>
      </c>
      <c r="V278" s="414">
        <f t="shared" si="150"/>
        <v>53.51578830110148</v>
      </c>
      <c r="W278" s="414">
        <f t="shared" si="150"/>
        <v>53.836082014243956</v>
      </c>
      <c r="X278" s="414">
        <f t="shared" si="150"/>
        <v>52.592396535483097</v>
      </c>
      <c r="Y278" s="414">
        <f t="shared" si="150"/>
        <v>51.518771571139695</v>
      </c>
      <c r="Z278" s="414">
        <f t="shared" si="150"/>
        <v>49.52002176337578</v>
      </c>
      <c r="AA278" s="414">
        <f t="shared" si="141"/>
        <v>20.111487592332828</v>
      </c>
      <c r="AB278" s="414">
        <f t="shared" si="141"/>
        <v>19.848991149425668</v>
      </c>
    </row>
    <row r="279" spans="1:29" x14ac:dyDescent="0.15">
      <c r="A279" s="12" t="s">
        <v>114</v>
      </c>
      <c r="B279" s="414">
        <f t="shared" ref="B279:Z279" si="151">+B264*B294</f>
        <v>0</v>
      </c>
      <c r="C279" s="414">
        <f t="shared" si="151"/>
        <v>0</v>
      </c>
      <c r="D279" s="414">
        <f t="shared" si="151"/>
        <v>0</v>
      </c>
      <c r="E279" s="414">
        <f t="shared" si="151"/>
        <v>0</v>
      </c>
      <c r="F279" s="414">
        <f t="shared" si="151"/>
        <v>0</v>
      </c>
      <c r="G279" s="414">
        <f t="shared" si="151"/>
        <v>0</v>
      </c>
      <c r="H279" s="414">
        <f t="shared" si="151"/>
        <v>0</v>
      </c>
      <c r="I279" s="414">
        <f t="shared" si="151"/>
        <v>0.86542278977493481</v>
      </c>
      <c r="J279" s="414">
        <f t="shared" si="151"/>
        <v>2.8072959747011561</v>
      </c>
      <c r="K279" s="414">
        <f t="shared" si="151"/>
        <v>7.685915715992155</v>
      </c>
      <c r="L279" s="414">
        <f t="shared" si="151"/>
        <v>11.868611198463885</v>
      </c>
      <c r="M279" s="414">
        <f t="shared" si="151"/>
        <v>13.152010747179302</v>
      </c>
      <c r="N279" s="414">
        <f t="shared" si="151"/>
        <v>15.862894446308296</v>
      </c>
      <c r="O279" s="414">
        <f t="shared" si="151"/>
        <v>17.434547761874498</v>
      </c>
      <c r="P279" s="414">
        <f t="shared" si="151"/>
        <v>20.251522231568</v>
      </c>
      <c r="Q279" s="414">
        <f t="shared" si="151"/>
        <v>22.459584231475059</v>
      </c>
      <c r="R279" s="414">
        <f t="shared" si="151"/>
        <v>24.62318599997716</v>
      </c>
      <c r="S279" s="414">
        <f t="shared" si="151"/>
        <v>26.732574303447073</v>
      </c>
      <c r="T279" s="414">
        <f t="shared" si="151"/>
        <v>27.321013136607245</v>
      </c>
      <c r="U279" s="414">
        <f t="shared" si="151"/>
        <v>26.320986399882457</v>
      </c>
      <c r="V279" s="414">
        <f t="shared" si="151"/>
        <v>28.376981917890756</v>
      </c>
      <c r="W279" s="414">
        <f t="shared" si="151"/>
        <v>28.150152518777908</v>
      </c>
      <c r="X279" s="414">
        <f t="shared" si="151"/>
        <v>27.469303749782984</v>
      </c>
      <c r="Y279" s="414">
        <f t="shared" si="151"/>
        <v>27.023842128248578</v>
      </c>
      <c r="Z279" s="414">
        <f t="shared" si="151"/>
        <v>26.584035219172957</v>
      </c>
      <c r="AA279" s="414">
        <f t="shared" si="141"/>
        <v>9.5527017467341189</v>
      </c>
      <c r="AB279" s="414">
        <f t="shared" si="141"/>
        <v>9.9226652827149024</v>
      </c>
    </row>
    <row r="280" spans="1:29" x14ac:dyDescent="0.15">
      <c r="A280" s="207" t="s">
        <v>1012</v>
      </c>
      <c r="B280" s="414">
        <f t="shared" ref="B280:Z280" si="152">+B265*B295</f>
        <v>0</v>
      </c>
      <c r="C280" s="414">
        <f t="shared" si="152"/>
        <v>0</v>
      </c>
      <c r="D280" s="414">
        <f t="shared" si="152"/>
        <v>0</v>
      </c>
      <c r="E280" s="414">
        <f t="shared" si="152"/>
        <v>0</v>
      </c>
      <c r="F280" s="414">
        <f t="shared" si="152"/>
        <v>0</v>
      </c>
      <c r="G280" s="414">
        <f t="shared" si="152"/>
        <v>0</v>
      </c>
      <c r="H280" s="414">
        <f t="shared" si="152"/>
        <v>0</v>
      </c>
      <c r="I280" s="414">
        <f t="shared" si="152"/>
        <v>0</v>
      </c>
      <c r="J280" s="414">
        <f t="shared" si="152"/>
        <v>0</v>
      </c>
      <c r="K280" s="414">
        <f t="shared" si="152"/>
        <v>0</v>
      </c>
      <c r="L280" s="414">
        <f t="shared" si="152"/>
        <v>0</v>
      </c>
      <c r="M280" s="414">
        <f t="shared" si="152"/>
        <v>0</v>
      </c>
      <c r="N280" s="414">
        <f t="shared" si="152"/>
        <v>0</v>
      </c>
      <c r="O280" s="414">
        <f t="shared" si="152"/>
        <v>0</v>
      </c>
      <c r="P280" s="414">
        <f t="shared" si="152"/>
        <v>0.12354893352924719</v>
      </c>
      <c r="Q280" s="414">
        <f t="shared" si="152"/>
        <v>2.572274225650955</v>
      </c>
      <c r="R280" s="414">
        <f t="shared" si="152"/>
        <v>6.8882818541953235</v>
      </c>
      <c r="S280" s="414">
        <f t="shared" si="152"/>
        <v>12.447881398882712</v>
      </c>
      <c r="T280" s="414">
        <f t="shared" si="152"/>
        <v>17.359653596211167</v>
      </c>
      <c r="U280" s="414">
        <f t="shared" si="152"/>
        <v>21.124365030706869</v>
      </c>
      <c r="V280" s="414">
        <f t="shared" si="152"/>
        <v>27.112763208640597</v>
      </c>
      <c r="W280" s="414">
        <f t="shared" si="152"/>
        <v>28.978443355528306</v>
      </c>
      <c r="X280" s="414">
        <f t="shared" si="152"/>
        <v>31.839062407155307</v>
      </c>
      <c r="Y280" s="414">
        <f t="shared" si="152"/>
        <v>33.913571827031483</v>
      </c>
      <c r="Z280" s="414">
        <f t="shared" si="152"/>
        <v>35.793906630949031</v>
      </c>
      <c r="AA280" s="414">
        <f t="shared" si="141"/>
        <v>15.164892917102147</v>
      </c>
      <c r="AB280" s="414">
        <f t="shared" si="141"/>
        <v>16.917594476104028</v>
      </c>
    </row>
    <row r="281" spans="1:29" x14ac:dyDescent="0.15">
      <c r="B281" s="414">
        <f t="shared" ref="B281:AB281" si="153">SUM(B269:B280)</f>
        <v>430.8793931994723</v>
      </c>
      <c r="C281" s="414">
        <f t="shared" si="153"/>
        <v>52.09602890696975</v>
      </c>
      <c r="D281" s="414">
        <f t="shared" si="153"/>
        <v>17.085767339751822</v>
      </c>
      <c r="E281" s="414">
        <f t="shared" si="153"/>
        <v>28.002928869120044</v>
      </c>
      <c r="F281" s="414">
        <f t="shared" si="153"/>
        <v>69.537941276246215</v>
      </c>
      <c r="G281" s="414">
        <f t="shared" si="153"/>
        <v>219.01955638690112</v>
      </c>
      <c r="H281" s="414">
        <f t="shared" si="153"/>
        <v>291.42523272500028</v>
      </c>
      <c r="I281" s="414">
        <f t="shared" si="153"/>
        <v>356.31187738608628</v>
      </c>
      <c r="J281" s="414">
        <f t="shared" si="153"/>
        <v>397.37828460865251</v>
      </c>
      <c r="K281" s="414">
        <f t="shared" si="153"/>
        <v>422.55394672648993</v>
      </c>
      <c r="L281" s="414">
        <f t="shared" si="153"/>
        <v>443.40211491628162</v>
      </c>
      <c r="M281" s="414">
        <f t="shared" si="153"/>
        <v>427.46145513604716</v>
      </c>
      <c r="N281" s="414">
        <f t="shared" si="153"/>
        <v>417.05655034734332</v>
      </c>
      <c r="O281" s="414">
        <f t="shared" si="153"/>
        <v>415.65777268285092</v>
      </c>
      <c r="P281" s="414">
        <f t="shared" si="153"/>
        <v>427.74721000469611</v>
      </c>
      <c r="Q281" s="414">
        <f t="shared" si="153"/>
        <v>436.44988442154113</v>
      </c>
      <c r="R281" s="414">
        <f t="shared" si="153"/>
        <v>450.37861869349098</v>
      </c>
      <c r="S281" s="414">
        <f t="shared" si="153"/>
        <v>462.44080017284779</v>
      </c>
      <c r="T281" s="414">
        <f t="shared" si="153"/>
        <v>458.56148244555868</v>
      </c>
      <c r="U281" s="414">
        <f t="shared" si="153"/>
        <v>423.07676717612691</v>
      </c>
      <c r="V281" s="414">
        <f t="shared" si="153"/>
        <v>445.22672481541099</v>
      </c>
      <c r="W281" s="414">
        <f t="shared" si="153"/>
        <v>440.05630194368814</v>
      </c>
      <c r="X281" s="414">
        <f t="shared" si="153"/>
        <v>430.807815526578</v>
      </c>
      <c r="Y281" s="414">
        <f t="shared" si="153"/>
        <v>423.86229057619295</v>
      </c>
      <c r="Z281" s="414">
        <f t="shared" si="153"/>
        <v>418.67908739382813</v>
      </c>
      <c r="AA281" s="414">
        <f t="shared" si="153"/>
        <v>151.75948266971631</v>
      </c>
      <c r="AB281" s="414">
        <f t="shared" si="153"/>
        <v>159.09063055885136</v>
      </c>
    </row>
    <row r="283" spans="1:29" x14ac:dyDescent="0.15">
      <c r="A283" s="19" t="s">
        <v>1017</v>
      </c>
    </row>
    <row r="284" spans="1:29" x14ac:dyDescent="0.15">
      <c r="A284" s="12" t="s">
        <v>104</v>
      </c>
      <c r="B284" s="12">
        <f>+US!B116</f>
        <v>1.3531593612572181</v>
      </c>
      <c r="C284" s="207">
        <f>+US!C116</f>
        <v>1.0249346945718352</v>
      </c>
      <c r="D284" s="207">
        <f>+US!D116</f>
        <v>0.90434403659634821</v>
      </c>
      <c r="E284" s="207">
        <f>+US!E116</f>
        <v>0.80274829064954667</v>
      </c>
      <c r="F284" s="207">
        <f>+US!F116</f>
        <v>0.73022605431524468</v>
      </c>
      <c r="G284" s="207">
        <f>+US!G116</f>
        <v>0.6628673166969884</v>
      </c>
      <c r="H284" s="207">
        <f>+US!H116</f>
        <v>0.61410385665851286</v>
      </c>
      <c r="I284" s="12">
        <f>+US!I116</f>
        <v>0.57771221533232253</v>
      </c>
      <c r="J284" s="12">
        <f>+US!J116</f>
        <v>0.54799911392480138</v>
      </c>
      <c r="K284" s="12">
        <f>+US!K116</f>
        <v>0.52511976515499892</v>
      </c>
      <c r="L284" s="12">
        <f>+US!L116</f>
        <v>0.50298313129183059</v>
      </c>
      <c r="M284" s="12">
        <f>+US!M116</f>
        <v>0.4700430831526497</v>
      </c>
      <c r="N284" s="12">
        <f>+US!N116</f>
        <v>0.44480351833586473</v>
      </c>
      <c r="O284" s="12">
        <f>+US!O116</f>
        <v>0.42747736343326487</v>
      </c>
      <c r="P284" s="12">
        <f>+US!P116</f>
        <v>0.41680690054393893</v>
      </c>
      <c r="Q284" s="12">
        <f>+US!Q116</f>
        <v>0.40650186865782678</v>
      </c>
      <c r="R284" s="12">
        <f>+US!R116</f>
        <v>0.39511956780907359</v>
      </c>
      <c r="S284" s="12">
        <f>+US!S116</f>
        <v>0.3823472370136678</v>
      </c>
      <c r="T284" s="12">
        <f>+US!T116</f>
        <v>0.36414797698946882</v>
      </c>
      <c r="U284" s="12">
        <f>+US!U116</f>
        <v>0.33822955632752744</v>
      </c>
      <c r="V284" s="12">
        <f>+US!V116</f>
        <v>0.33202422852343044</v>
      </c>
      <c r="W284" s="12">
        <f>+US!W116</f>
        <v>0.32290746918073121</v>
      </c>
      <c r="X284" s="12">
        <f>+US!X116</f>
        <v>0.31687736896829316</v>
      </c>
      <c r="Y284" s="12">
        <f>+US!Y116</f>
        <v>0.31013351103830777</v>
      </c>
      <c r="Z284" s="12">
        <f>+US!Z116</f>
        <v>0.30531205106000564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 x14ac:dyDescent="0.15">
      <c r="A285" s="12" t="s">
        <v>105</v>
      </c>
      <c r="B285" s="12">
        <f>+EU!B116</f>
        <v>1.2435466666162149</v>
      </c>
      <c r="C285" s="207">
        <f>+EU!C116</f>
        <v>0.88056397828851396</v>
      </c>
      <c r="D285" s="207">
        <f>+EU!D116</f>
        <v>0.78487216872798093</v>
      </c>
      <c r="E285" s="207">
        <f>+EU!E116</f>
        <v>0.69669523858310478</v>
      </c>
      <c r="F285" s="207">
        <f>+EU!F116</f>
        <v>0.63773965785851561</v>
      </c>
      <c r="G285" s="207">
        <f>+EU!G116</f>
        <v>0.59210975688709544</v>
      </c>
      <c r="H285" s="207">
        <f>+EU!H116</f>
        <v>0.55039969365744013</v>
      </c>
      <c r="I285" s="12">
        <f>+EU!I116</f>
        <v>0.52054770135412154</v>
      </c>
      <c r="J285" s="12">
        <f>+EU!J116</f>
        <v>0.49410251269869415</v>
      </c>
      <c r="K285" s="12">
        <f>+EU!K116</f>
        <v>0.46978788953534301</v>
      </c>
      <c r="L285" s="12">
        <f>+EU!L116</f>
        <v>0.45546058751248247</v>
      </c>
      <c r="M285" s="12">
        <f>+EU!M116</f>
        <v>0.43362075831590657</v>
      </c>
      <c r="N285" s="12">
        <f>+EU!N116</f>
        <v>0.41304468742561667</v>
      </c>
      <c r="O285" s="12">
        <f>+EU!O116</f>
        <v>0.39510347811751312</v>
      </c>
      <c r="P285" s="12">
        <f>+EU!P116</f>
        <v>0.38479422051331114</v>
      </c>
      <c r="Q285" s="12">
        <f>+EU!Q116</f>
        <v>0.37411418243505939</v>
      </c>
      <c r="R285" s="12">
        <f>+EU!R116</f>
        <v>0.36860867152778309</v>
      </c>
      <c r="S285" s="12">
        <f>+EU!S116</f>
        <v>0.36286400820363757</v>
      </c>
      <c r="T285" s="12">
        <f>+EU!T116</f>
        <v>0.348905549049564</v>
      </c>
      <c r="U285" s="12">
        <f>+EU!U116</f>
        <v>0.32037071850546539</v>
      </c>
      <c r="V285" s="12">
        <f>+EU!V116</f>
        <v>0.31560485837161184</v>
      </c>
      <c r="W285" s="12">
        <f>+EU!W116</f>
        <v>0.31050292754383363</v>
      </c>
      <c r="X285" s="12">
        <f>+EU!X116</f>
        <v>0.2988617269881183</v>
      </c>
      <c r="Y285" s="12">
        <f>+EU!Y116</f>
        <v>0.29052585201204506</v>
      </c>
      <c r="Z285" s="12">
        <f>+EU!Z116</f>
        <v>0.28631670957321209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 x14ac:dyDescent="0.15">
      <c r="A286" s="12" t="s">
        <v>51</v>
      </c>
      <c r="B286" s="12">
        <f>+Japan!B116</f>
        <v>0.38756902268862453</v>
      </c>
      <c r="C286" s="207">
        <f>+Japan!C116</f>
        <v>0.3623888225610658</v>
      </c>
      <c r="D286" s="207">
        <f>+Japan!D116</f>
        <v>0.31161582077807776</v>
      </c>
      <c r="E286" s="207">
        <f>+Japan!E116</f>
        <v>0.26793549515532844</v>
      </c>
      <c r="F286" s="207">
        <f>+Japan!F116</f>
        <v>0.23680591729129</v>
      </c>
      <c r="G286" s="207">
        <f>+Japan!G116</f>
        <v>0.21483209737160114</v>
      </c>
      <c r="H286" s="207">
        <f>+Japan!H116</f>
        <v>0.19778780697615256</v>
      </c>
      <c r="I286" s="12">
        <f>+Japan!I116</f>
        <v>0.17988007449484822</v>
      </c>
      <c r="J286" s="12">
        <f>+Japan!J116</f>
        <v>0.16122526746022373</v>
      </c>
      <c r="K286" s="12">
        <f>+Japan!K116</f>
        <v>0.14692521045042015</v>
      </c>
      <c r="L286" s="12">
        <f>+Japan!L116</f>
        <v>0.13894985546468303</v>
      </c>
      <c r="M286" s="12">
        <f>+Japan!M116</f>
        <v>0.12911350602008742</v>
      </c>
      <c r="N286" s="12">
        <f>+Japan!N116</f>
        <v>0.12018868746978692</v>
      </c>
      <c r="O286" s="12">
        <f>+Japan!O116</f>
        <v>0.11408600595192554</v>
      </c>
      <c r="P286" s="12">
        <f>+Japan!P116</f>
        <v>0.10944986194984077</v>
      </c>
      <c r="Q286" s="12">
        <f>+Japan!Q116</f>
        <v>0.10500868335786298</v>
      </c>
      <c r="R286" s="12">
        <f>+Japan!R116</f>
        <v>0.10066522335314299</v>
      </c>
      <c r="S286" s="12">
        <f>+Japan!S116</f>
        <v>9.6906270242863066E-2</v>
      </c>
      <c r="T286" s="12">
        <f>+Japan!T116</f>
        <v>9.1050686623450963E-2</v>
      </c>
      <c r="U286" s="12">
        <f>+Japan!U116</f>
        <v>8.1882828296244464E-2</v>
      </c>
      <c r="V286" s="12">
        <f>+Japan!V116</f>
        <v>8.1466427574798717E-2</v>
      </c>
      <c r="W286" s="12">
        <f>+Japan!W116</f>
        <v>7.8037828852670271E-2</v>
      </c>
      <c r="X286" s="12">
        <f>+Japan!X116</f>
        <v>7.5901346487421667E-2</v>
      </c>
      <c r="Y286" s="12">
        <f>+Japan!Y116</f>
        <v>7.440431388638348E-2</v>
      </c>
      <c r="Z286" s="12">
        <f>+Japan!Z116</f>
        <v>7.1820825151889187E-2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 x14ac:dyDescent="0.15">
      <c r="A287" s="12" t="s">
        <v>52</v>
      </c>
      <c r="B287" s="12">
        <f>+Russia!B116</f>
        <v>0.80689093434140557</v>
      </c>
      <c r="C287" s="207">
        <f>+Russia!C116</f>
        <v>0.56828748614327362</v>
      </c>
      <c r="D287" s="207">
        <f>+Russia!D116</f>
        <v>0.41473621871269523</v>
      </c>
      <c r="E287" s="207">
        <f>+Russia!E116</f>
        <v>0.32776451972306964</v>
      </c>
      <c r="F287" s="207">
        <f>+Russia!F116</f>
        <v>0.25095147589457284</v>
      </c>
      <c r="G287" s="207">
        <f>+Russia!G116</f>
        <v>0.21293850319041679</v>
      </c>
      <c r="H287" s="207">
        <f>+Russia!H116</f>
        <v>0.18318261078490614</v>
      </c>
      <c r="I287" s="12">
        <f>+Russia!I116</f>
        <v>0.16747973824286308</v>
      </c>
      <c r="J287" s="12">
        <f>+Russia!J116</f>
        <v>0.14413261876654945</v>
      </c>
      <c r="K287" s="12">
        <f>+Russia!K116</f>
        <v>0.14035305444474158</v>
      </c>
      <c r="L287" s="12">
        <f>+Russia!L116</f>
        <v>0.14219840800114228</v>
      </c>
      <c r="M287" s="12">
        <f>+Russia!M116</f>
        <v>0.1384404536990787</v>
      </c>
      <c r="N287" s="12">
        <f>+Russia!N116</f>
        <v>0.13496212142970643</v>
      </c>
      <c r="O287" s="12">
        <f>+Russia!O116</f>
        <v>0.13546491988857742</v>
      </c>
      <c r="P287" s="12">
        <f>+Russia!P116</f>
        <v>0.13641078122154379</v>
      </c>
      <c r="Q287" s="12">
        <f>+Russia!Q116</f>
        <v>0.13685104725280009</v>
      </c>
      <c r="R287" s="12">
        <f>+Russia!R116</f>
        <v>0.14008808327977532</v>
      </c>
      <c r="S287" s="12">
        <f>+Russia!S116</f>
        <v>0.14423717284060675</v>
      </c>
      <c r="T287" s="12">
        <f>+Russia!T116</f>
        <v>0.14438693934200589</v>
      </c>
      <c r="U287" s="12">
        <f>+Russia!U116</f>
        <v>0.12698833096314335</v>
      </c>
      <c r="V287" s="12">
        <f>+Russia!V116</f>
        <v>0.12686678354616365</v>
      </c>
      <c r="W287" s="12">
        <f>+Russia!W116</f>
        <v>0.12675548505433526</v>
      </c>
      <c r="X287" s="12">
        <f>+Russia!X116</f>
        <v>0.12653625918957145</v>
      </c>
      <c r="Y287" s="12">
        <f>+Russia!Y116</f>
        <v>0.123762421150206</v>
      </c>
      <c r="Z287" s="12">
        <f>+Russia!Z116</f>
        <v>0.12001143474527638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 x14ac:dyDescent="0.15">
      <c r="A288" s="12" t="s">
        <v>53</v>
      </c>
      <c r="B288" s="12">
        <f>+Eurasia!B116</f>
        <v>0.60159511876272098</v>
      </c>
      <c r="C288" s="207">
        <f>+Eurasia!C116</f>
        <v>0.36711252194952565</v>
      </c>
      <c r="D288" s="207">
        <f>+Eurasia!D116</f>
        <v>0.26279858823898428</v>
      </c>
      <c r="E288" s="207">
        <f>+Eurasia!E116</f>
        <v>0.19502195576715431</v>
      </c>
      <c r="F288" s="207">
        <f>+Eurasia!F116</f>
        <v>0.14274849122857375</v>
      </c>
      <c r="G288" s="207">
        <f>+Eurasia!G116</f>
        <v>0.1416857922743901</v>
      </c>
      <c r="H288" s="207">
        <f>+Eurasia!H116</f>
        <v>0.12186782245638256</v>
      </c>
      <c r="I288" s="12">
        <f>+Eurasia!I116</f>
        <v>0.1065452585451777</v>
      </c>
      <c r="J288" s="12">
        <f>+Eurasia!J116</f>
        <v>9.4942775357885756E-2</v>
      </c>
      <c r="K288" s="12">
        <f>+Eurasia!K116</f>
        <v>8.4731681586393881E-2</v>
      </c>
      <c r="L288" s="12">
        <f>+Eurasia!L116</f>
        <v>8.0093618951304429E-2</v>
      </c>
      <c r="M288" s="12">
        <f>+Eurasia!M116</f>
        <v>7.734078590741722E-2</v>
      </c>
      <c r="N288" s="12">
        <f>+Eurasia!N116</f>
        <v>7.470275403693831E-2</v>
      </c>
      <c r="O288" s="12">
        <f>+Eurasia!O116</f>
        <v>7.3140582525637751E-2</v>
      </c>
      <c r="P288" s="12">
        <f>+Eurasia!P116</f>
        <v>7.3724161679032771E-2</v>
      </c>
      <c r="Q288" s="12">
        <f>+Eurasia!Q116</f>
        <v>7.2810507080932424E-2</v>
      </c>
      <c r="R288" s="12">
        <f>+Eurasia!R116</f>
        <v>7.3827130679714123E-2</v>
      </c>
      <c r="S288" s="12">
        <f>+Eurasia!S116</f>
        <v>7.5135139971981429E-2</v>
      </c>
      <c r="T288" s="12">
        <f>+Eurasia!T116</f>
        <v>7.4392978063665377E-2</v>
      </c>
      <c r="U288" s="12">
        <f>+Eurasia!U116</f>
        <v>6.633464022584834E-2</v>
      </c>
      <c r="V288" s="12">
        <f>+Eurasia!V116</f>
        <v>6.4593631062733664E-2</v>
      </c>
      <c r="W288" s="12">
        <f>+Eurasia!W116</f>
        <v>6.4307380078050383E-2</v>
      </c>
      <c r="X288" s="12">
        <f>+Eurasia!X116</f>
        <v>6.2559922315255201E-2</v>
      </c>
      <c r="Y288" s="12">
        <f>+Eurasia!Y116</f>
        <v>6.1206607133397255E-2</v>
      </c>
      <c r="Z288" s="12">
        <f>+Eurasia!Z116</f>
        <v>5.8897992019744147E-2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 x14ac:dyDescent="0.15">
      <c r="A289" s="12" t="s">
        <v>54</v>
      </c>
      <c r="B289" s="12">
        <f>+China!B116</f>
        <v>0.48490804268827326</v>
      </c>
      <c r="C289" s="207">
        <f>+China!C116</f>
        <v>0.42036998311694618</v>
      </c>
      <c r="D289" s="207">
        <f>+China!D116</f>
        <v>0.38293478291362321</v>
      </c>
      <c r="E289" s="207">
        <f>+China!E116</f>
        <v>0.35486277236465741</v>
      </c>
      <c r="F289" s="207">
        <f>+China!F116</f>
        <v>0.33236894449457705</v>
      </c>
      <c r="G289" s="207">
        <f>+China!G116</f>
        <v>0.31058672089805961</v>
      </c>
      <c r="H289" s="207">
        <f>+China!H116</f>
        <v>0.29178364449996097</v>
      </c>
      <c r="I289" s="12">
        <f>+China!I116</f>
        <v>0.27602949053667636</v>
      </c>
      <c r="J289" s="12">
        <f>+China!J116</f>
        <v>0.26088309641801505</v>
      </c>
      <c r="K289" s="12">
        <f>+China!K116</f>
        <v>0.24879316229458809</v>
      </c>
      <c r="L289" s="12">
        <f>+China!L116</f>
        <v>0.24140171106479738</v>
      </c>
      <c r="M289" s="12">
        <f>+China!M116</f>
        <v>0.23593165071699002</v>
      </c>
      <c r="N289" s="12">
        <f>+China!N116</f>
        <v>0.23410194289183833</v>
      </c>
      <c r="O289" s="12">
        <f>+China!O116</f>
        <v>0.23586065067811124</v>
      </c>
      <c r="P289" s="12">
        <f>+China!P116</f>
        <v>0.2393023195903034</v>
      </c>
      <c r="Q289" s="12">
        <f>+China!Q116</f>
        <v>0.24701868868606586</v>
      </c>
      <c r="R289" s="12">
        <f>+China!R116</f>
        <v>0.25934319030263631</v>
      </c>
      <c r="S289" s="12">
        <f>+China!S116</f>
        <v>0.27720310342025201</v>
      </c>
      <c r="T289" s="12">
        <f>+China!T116</f>
        <v>0.28559373075026034</v>
      </c>
      <c r="U289" s="12">
        <f>+China!U116</f>
        <v>0.29465899658140621</v>
      </c>
      <c r="V289" s="12">
        <f>+China!V116</f>
        <v>0.30848354199007261</v>
      </c>
      <c r="W289" s="12">
        <f>+China!W116</f>
        <v>0.32075675789446995</v>
      </c>
      <c r="X289" s="12">
        <f>+China!X116</f>
        <v>0.32927596420992844</v>
      </c>
      <c r="Y289" s="12">
        <f>+China!Y116</f>
        <v>0.33854289903923274</v>
      </c>
      <c r="Z289" s="12">
        <f>+China!Z116</f>
        <v>0.34773609178764503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 x14ac:dyDescent="0.15">
      <c r="A290" s="12" t="s">
        <v>55</v>
      </c>
      <c r="B290" s="12">
        <f>+India!B116</f>
        <v>0.26272072224848791</v>
      </c>
      <c r="C290" s="207">
        <f>+India!C116</f>
        <v>0.25135402819392283</v>
      </c>
      <c r="D290" s="207">
        <f>+India!D116</f>
        <v>0.21680863863852845</v>
      </c>
      <c r="E290" s="207">
        <f>+India!E116</f>
        <v>0.18901541956840245</v>
      </c>
      <c r="F290" s="207">
        <f>+India!F116</f>
        <v>0.17046892275931622</v>
      </c>
      <c r="G290" s="207">
        <f>+India!G116</f>
        <v>0.15729102344717191</v>
      </c>
      <c r="H290" s="207">
        <f>+India!H116</f>
        <v>0.14697403075640958</v>
      </c>
      <c r="I290" s="12">
        <f>+India!I116</f>
        <v>0.1344098204544949</v>
      </c>
      <c r="J290" s="12">
        <f>+India!J116</f>
        <v>0.12675340213327232</v>
      </c>
      <c r="K290" s="12">
        <f>+India!K116</f>
        <v>0.1236818183724122</v>
      </c>
      <c r="L290" s="12">
        <f>+India!L116</f>
        <v>0.11610999979162299</v>
      </c>
      <c r="M290" s="12">
        <f>+India!M116</f>
        <v>0.11087134673514568</v>
      </c>
      <c r="N290" s="12">
        <f>+India!N116</f>
        <v>0.10555703127149317</v>
      </c>
      <c r="O290" s="12">
        <f>+India!O116</f>
        <v>0.10506818872961207</v>
      </c>
      <c r="P290" s="12">
        <f>+India!P116</f>
        <v>0.10522248650416635</v>
      </c>
      <c r="Q290" s="12">
        <f>+India!Q116</f>
        <v>0.10590321602654931</v>
      </c>
      <c r="R290" s="12">
        <f>+India!R116</f>
        <v>0.10720302855134099</v>
      </c>
      <c r="S290" s="12">
        <f>+India!S116</f>
        <v>0.10855387945023438</v>
      </c>
      <c r="T290" s="12">
        <f>+India!T116</f>
        <v>0.10563410898767803</v>
      </c>
      <c r="U290" s="12">
        <f>+India!U116</f>
        <v>0.10790619912640063</v>
      </c>
      <c r="V290" s="12">
        <f>+India!V116</f>
        <v>0.11120309323178766</v>
      </c>
      <c r="W290" s="12">
        <f>+India!W116</f>
        <v>0.1114556566685049</v>
      </c>
      <c r="X290" s="12">
        <f>+India!X116</f>
        <v>0.11220383756451598</v>
      </c>
      <c r="Y290" s="12">
        <f>+India!Y116</f>
        <v>0.11419725695936329</v>
      </c>
      <c r="Z290" s="12">
        <f>+India!Z116</f>
        <v>0.11757139389199471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 x14ac:dyDescent="0.15">
      <c r="A291" s="12" t="s">
        <v>56</v>
      </c>
      <c r="B291" s="12">
        <f>+MidEast!B116</f>
        <v>0.28449498821855751</v>
      </c>
      <c r="C291" s="207">
        <f>+MidEast!C116</f>
        <v>0.24935212857970179</v>
      </c>
      <c r="D291" s="207">
        <f>+MidEast!D116</f>
        <v>0.23095079835798871</v>
      </c>
      <c r="E291" s="207">
        <f>+MidEast!E116</f>
        <v>0.20304875267350367</v>
      </c>
      <c r="F291" s="207">
        <f>+MidEast!F116</f>
        <v>0.17991778440811218</v>
      </c>
      <c r="G291" s="207">
        <f>+MidEast!G116</f>
        <v>0.17461230000933545</v>
      </c>
      <c r="H291" s="207">
        <f>+MidEast!H116</f>
        <v>0.16302424458255019</v>
      </c>
      <c r="I291" s="12">
        <f>+MidEast!I116</f>
        <v>0.15156626933925038</v>
      </c>
      <c r="J291" s="12">
        <f>+MidEast!J116</f>
        <v>0.14313840215194143</v>
      </c>
      <c r="K291" s="12">
        <f>+MidEast!K116</f>
        <v>0.13209889408985873</v>
      </c>
      <c r="L291" s="12">
        <f>+MidEast!L116</f>
        <v>0.13276871991342631</v>
      </c>
      <c r="M291" s="12">
        <f>+MidEast!M116</f>
        <v>0.12409851578824685</v>
      </c>
      <c r="N291" s="12">
        <f>+MidEast!N116</f>
        <v>0.11701909919961498</v>
      </c>
      <c r="O291" s="12">
        <f>+MidEast!O116</f>
        <v>0.11514210290582977</v>
      </c>
      <c r="P291" s="12">
        <f>+MidEast!P116</f>
        <v>0.11771458644026501</v>
      </c>
      <c r="Q291" s="12">
        <f>+MidEast!Q116</f>
        <v>0.11607818880807422</v>
      </c>
      <c r="R291" s="12">
        <f>+MidEast!R116</f>
        <v>0.11589183842136773</v>
      </c>
      <c r="S291" s="12">
        <f>+MidEast!S116</f>
        <v>0.11552603420922242</v>
      </c>
      <c r="T291" s="12">
        <f>+MidEast!T116</f>
        <v>0.11462252141187755</v>
      </c>
      <c r="U291" s="12">
        <f>+MidEast!U116</f>
        <v>0.10905461472301488</v>
      </c>
      <c r="V291" s="12">
        <f>+MidEast!V116</f>
        <v>0.10946881468045166</v>
      </c>
      <c r="W291" s="12">
        <f>+MidEast!W116</f>
        <v>0.11188954582008</v>
      </c>
      <c r="X291" s="12">
        <f>+MidEast!X116</f>
        <v>0.11035246737503759</v>
      </c>
      <c r="Y291" s="12">
        <f>+MidEast!Y116</f>
        <v>0.10873589088075898</v>
      </c>
      <c r="Z291" s="12">
        <f>+MidEast!Z116</f>
        <v>0.10853853273388961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 x14ac:dyDescent="0.15">
      <c r="A292" s="12" t="s">
        <v>57</v>
      </c>
      <c r="B292" s="12">
        <f>+Africa!B116</f>
        <v>0.31807172352011859</v>
      </c>
      <c r="C292" s="207">
        <f>+Africa!C116</f>
        <v>0.21697436312026022</v>
      </c>
      <c r="D292" s="207">
        <f>+Africa!D116</f>
        <v>0.17931968356943587</v>
      </c>
      <c r="E292" s="207">
        <f>+Africa!E116</f>
        <v>0.14939361872932533</v>
      </c>
      <c r="F292" s="207">
        <f>+Africa!F116</f>
        <v>0.12877974987173721</v>
      </c>
      <c r="G292" s="207">
        <f>+Africa!G116</f>
        <v>0.11412136780386117</v>
      </c>
      <c r="H292" s="207">
        <f>+Africa!H116</f>
        <v>0.10461859527269125</v>
      </c>
      <c r="I292" s="12">
        <f>+Africa!I116</f>
        <v>9.5730017764819583E-2</v>
      </c>
      <c r="J292" s="12">
        <f>+Africa!J116</f>
        <v>8.81229218740186E-2</v>
      </c>
      <c r="K292" s="12">
        <f>+Africa!K116</f>
        <v>8.5583983610361153E-2</v>
      </c>
      <c r="L292" s="12">
        <f>+Africa!L116</f>
        <v>8.0732437951381256E-2</v>
      </c>
      <c r="M292" s="12">
        <f>+Africa!M116</f>
        <v>7.6459866434152035E-2</v>
      </c>
      <c r="N292" s="12">
        <f>+Africa!N116</f>
        <v>7.3504785965189112E-2</v>
      </c>
      <c r="O292" s="12">
        <f>+Africa!O116</f>
        <v>7.1030981095897741E-2</v>
      </c>
      <c r="P292" s="12">
        <f>+Africa!P116</f>
        <v>6.9687065398632134E-2</v>
      </c>
      <c r="Q292" s="12">
        <f>+Africa!Q116</f>
        <v>6.8784063449813609E-2</v>
      </c>
      <c r="R292" s="12">
        <f>+Africa!R116</f>
        <v>6.8269928687182499E-2</v>
      </c>
      <c r="S292" s="12">
        <f>+Africa!S116</f>
        <v>6.8067383047641719E-2</v>
      </c>
      <c r="T292" s="12">
        <f>+Africa!T116</f>
        <v>6.7516364534559184E-2</v>
      </c>
      <c r="U292" s="12">
        <f>+Africa!U116</f>
        <v>6.5732503754621072E-2</v>
      </c>
      <c r="V292" s="12">
        <f>+Africa!V116</f>
        <v>6.5762577939400726E-2</v>
      </c>
      <c r="W292" s="12">
        <f>+Africa!W116</f>
        <v>6.3504347900519967E-2</v>
      </c>
      <c r="X292" s="12">
        <f>+Africa!X116</f>
        <v>6.3620120777683531E-2</v>
      </c>
      <c r="Y292" s="12">
        <f>+Africa!Y116</f>
        <v>6.313598436987862E-2</v>
      </c>
      <c r="Z292" s="12">
        <f>+Africa!Z116</f>
        <v>6.2619532468013578E-2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 x14ac:dyDescent="0.15">
      <c r="A293" s="12" t="s">
        <v>58</v>
      </c>
      <c r="B293" s="12">
        <f>+LatAm!B116</f>
        <v>0.39622122051011505</v>
      </c>
      <c r="C293" s="207">
        <f>+LatAm!C116</f>
        <v>0.33886881765913685</v>
      </c>
      <c r="D293" s="207">
        <f>+LatAm!D116</f>
        <v>0.3039021992449546</v>
      </c>
      <c r="E293" s="207">
        <f>+LatAm!E116</f>
        <v>0.2803538334236863</v>
      </c>
      <c r="F293" s="207">
        <f>+LatAm!F116</f>
        <v>0.26279068371821307</v>
      </c>
      <c r="G293" s="207">
        <f>+LatAm!G116</f>
        <v>0.23754829211639275</v>
      </c>
      <c r="H293" s="207">
        <f>+LatAm!H116</f>
        <v>0.22388062645006696</v>
      </c>
      <c r="I293" s="12">
        <f>+LatAm!I116</f>
        <v>0.21555594764944666</v>
      </c>
      <c r="J293" s="12">
        <f>+LatAm!J116</f>
        <v>0.20410933918004595</v>
      </c>
      <c r="K293" s="12">
        <f>+LatAm!K116</f>
        <v>0.18963102815391331</v>
      </c>
      <c r="L293" s="12">
        <f>+LatAm!L116</f>
        <v>0.18262229431947666</v>
      </c>
      <c r="M293" s="12">
        <f>+LatAm!M116</f>
        <v>0.1709906054535581</v>
      </c>
      <c r="N293" s="12">
        <f>+LatAm!N116</f>
        <v>0.16114539844521525</v>
      </c>
      <c r="O293" s="12">
        <f>+LatAm!O116</f>
        <v>0.15552084042084255</v>
      </c>
      <c r="P293" s="12">
        <f>+LatAm!P116</f>
        <v>0.15468551477906353</v>
      </c>
      <c r="Q293" s="12">
        <f>+LatAm!Q116</f>
        <v>0.15245782311923514</v>
      </c>
      <c r="R293" s="12">
        <f>+LatAm!R116</f>
        <v>0.15254594170370681</v>
      </c>
      <c r="S293" s="12">
        <f>+LatAm!S116</f>
        <v>0.15300100762076896</v>
      </c>
      <c r="T293" s="12">
        <f>+LatAm!T116</f>
        <v>0.15155550508469556</v>
      </c>
      <c r="U293" s="12">
        <f>+LatAm!U116</f>
        <v>0.14159226471533304</v>
      </c>
      <c r="V293" s="12">
        <f>+LatAm!V116</f>
        <v>0.14464208991146407</v>
      </c>
      <c r="W293" s="12">
        <f>+LatAm!W116</f>
        <v>0.14530837495282545</v>
      </c>
      <c r="X293" s="12">
        <f>+LatAm!X116</f>
        <v>0.14362224373663013</v>
      </c>
      <c r="Y293" s="12">
        <f>+LatAm!Y116</f>
        <v>0.14227601224563818</v>
      </c>
      <c r="Z293" s="12">
        <f>+LatAm!Z116</f>
        <v>0.13935711174169871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 x14ac:dyDescent="0.15">
      <c r="A294" s="12" t="s">
        <v>114</v>
      </c>
      <c r="B294" s="12">
        <f>+OHI!B116</f>
        <v>0.34033529692301251</v>
      </c>
      <c r="C294" s="207">
        <f>+OHI!C116</f>
        <v>0.27581559498477043</v>
      </c>
      <c r="D294" s="207">
        <f>+OHI!D116</f>
        <v>0.23915711361147821</v>
      </c>
      <c r="E294" s="207">
        <f>+OHI!E116</f>
        <v>0.21456976214660378</v>
      </c>
      <c r="F294" s="207">
        <f>+OHI!F116</f>
        <v>0.19734421907434549</v>
      </c>
      <c r="G294" s="207">
        <f>+OHI!G116</f>
        <v>0.18185921672301247</v>
      </c>
      <c r="H294" s="207">
        <f>+OHI!H116</f>
        <v>0.16831072703376512</v>
      </c>
      <c r="I294" s="12">
        <f>+OHI!I116</f>
        <v>0.15805841151597019</v>
      </c>
      <c r="J294" s="12">
        <f>+OHI!J116</f>
        <v>0.14296972682679959</v>
      </c>
      <c r="K294" s="12">
        <f>+OHI!K116</f>
        <v>0.13871961040872122</v>
      </c>
      <c r="L294" s="12">
        <f>+OHI!L116</f>
        <v>0.13511613081483118</v>
      </c>
      <c r="M294" s="12">
        <f>+OHI!M116</f>
        <v>0.12774901897803409</v>
      </c>
      <c r="N294" s="12">
        <f>+OHI!N116</f>
        <v>0.12395251689460306</v>
      </c>
      <c r="O294" s="12">
        <f>+OHI!O116</f>
        <v>0.11880559561726957</v>
      </c>
      <c r="P294" s="12">
        <f>+OHI!P116</f>
        <v>0.11666635455867309</v>
      </c>
      <c r="Q294" s="12">
        <f>+OHI!Q116</f>
        <v>0.11415984845238324</v>
      </c>
      <c r="R294" s="12">
        <f>+OHI!R116</f>
        <v>0.11229334670360908</v>
      </c>
      <c r="S294" s="12">
        <f>+OHI!S116</f>
        <v>0.11103452245269654</v>
      </c>
      <c r="T294" s="12">
        <f>+OHI!T116</f>
        <v>0.10774209103047874</v>
      </c>
      <c r="U294" s="12">
        <f>+OHI!U116</f>
        <v>0.10211467134907042</v>
      </c>
      <c r="V294" s="12">
        <f>+OHI!V116</f>
        <v>0.10265114416825621</v>
      </c>
      <c r="W294" s="12">
        <f>+OHI!W116</f>
        <v>0.10182368660613779</v>
      </c>
      <c r="X294" s="12">
        <f>+OHI!X116</f>
        <v>0.10020208152147085</v>
      </c>
      <c r="Y294" s="12">
        <f>+OHI!Y116</f>
        <v>9.9112472490304429E-2</v>
      </c>
      <c r="Z294" s="12">
        <f>+OHI!Z116</f>
        <v>9.8105675090629563E-2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 x14ac:dyDescent="0.15">
      <c r="A295" s="207" t="s">
        <v>1012</v>
      </c>
      <c r="B295" s="12">
        <f>+OthAsia!B116</f>
        <v>0.35157696853612941</v>
      </c>
      <c r="C295" s="207">
        <f>+OthAsia!C116</f>
        <v>0.40376188066653579</v>
      </c>
      <c r="D295" s="207">
        <f>+OthAsia!D116</f>
        <v>0.36121413398474445</v>
      </c>
      <c r="E295" s="207">
        <f>+OthAsia!E116</f>
        <v>0.32818867927761619</v>
      </c>
      <c r="F295" s="207">
        <f>+OthAsia!F116</f>
        <v>0.30197494392528174</v>
      </c>
      <c r="G295" s="207">
        <f>+OthAsia!G116</f>
        <v>0.28353951167130881</v>
      </c>
      <c r="H295" s="207">
        <f>+OthAsia!H116</f>
        <v>0.26771725151902076</v>
      </c>
      <c r="I295" s="12">
        <f>+OthAsia!I116</f>
        <v>0.24727068558622986</v>
      </c>
      <c r="J295" s="12">
        <f>+OthAsia!J116</f>
        <v>0.21133119888731833</v>
      </c>
      <c r="K295" s="12">
        <f>+OthAsia!K116</f>
        <v>0.19847092554655679</v>
      </c>
      <c r="L295" s="12">
        <f>+OthAsia!L116</f>
        <v>0.1913197772789646</v>
      </c>
      <c r="M295" s="12">
        <f>+OthAsia!M116</f>
        <v>0.18233959060688495</v>
      </c>
      <c r="N295" s="12">
        <f>+OthAsia!N116</f>
        <v>0.17775877896809938</v>
      </c>
      <c r="O295" s="12">
        <f>+OthAsia!O116</f>
        <v>0.17488146304435287</v>
      </c>
      <c r="P295" s="12">
        <f>+OthAsia!P116</f>
        <v>0.17369760554864894</v>
      </c>
      <c r="Q295" s="12">
        <f>+OthAsia!Q116</f>
        <v>0.17276289619486201</v>
      </c>
      <c r="R295" s="12">
        <f>+OthAsia!R116</f>
        <v>0.17246003817305069</v>
      </c>
      <c r="S295" s="12">
        <f>+OthAsia!S116</f>
        <v>0.17327667440473346</v>
      </c>
      <c r="T295" s="12">
        <f>+OthAsia!T116</f>
        <v>0.17195767160375675</v>
      </c>
      <c r="U295" s="12">
        <f>+OthAsia!U116</f>
        <v>0.1686407357273533</v>
      </c>
      <c r="V295" s="12">
        <f>+OthAsia!V116</f>
        <v>0.17075835133784456</v>
      </c>
      <c r="W295" s="12">
        <f>+OthAsia!W116</f>
        <v>0.17095487623906674</v>
      </c>
      <c r="X295" s="12">
        <f>+OthAsia!X116</f>
        <v>0.1735854567418863</v>
      </c>
      <c r="Y295" s="12">
        <f>+OthAsia!Y116</f>
        <v>0.17501409070539728</v>
      </c>
      <c r="Z295" s="12">
        <f>+OthAsia!Z116</f>
        <v>0.17644448847285074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 x14ac:dyDescent="0.15">
      <c r="A296" s="207"/>
      <c r="B296" s="12">
        <f t="shared" ref="B296:V296" si="154">SUM(B284:B295)</f>
        <v>6.8310900663108773</v>
      </c>
      <c r="C296" s="207">
        <f t="shared" si="154"/>
        <v>5.3597842998354883</v>
      </c>
      <c r="D296" s="207">
        <f t="shared" si="154"/>
        <v>4.5926541833748402</v>
      </c>
      <c r="E296" s="207">
        <f t="shared" si="154"/>
        <v>4.0095983380619993</v>
      </c>
      <c r="F296" s="207">
        <f t="shared" si="154"/>
        <v>3.5721168448397802</v>
      </c>
      <c r="G296" s="207">
        <f t="shared" si="154"/>
        <v>3.2839918990896342</v>
      </c>
      <c r="H296" s="207">
        <f t="shared" si="154"/>
        <v>3.0336509106478595</v>
      </c>
      <c r="I296" s="12">
        <f t="shared" si="154"/>
        <v>2.8307856308162207</v>
      </c>
      <c r="J296" s="12">
        <f t="shared" si="154"/>
        <v>2.6197103756795661</v>
      </c>
      <c r="K296" s="12">
        <f t="shared" si="154"/>
        <v>2.4838970236483089</v>
      </c>
      <c r="L296" s="12">
        <f t="shared" si="154"/>
        <v>2.3997566723559434</v>
      </c>
      <c r="M296" s="12">
        <f t="shared" si="154"/>
        <v>2.2769991818081512</v>
      </c>
      <c r="N296" s="12">
        <f t="shared" si="154"/>
        <v>2.180741322333966</v>
      </c>
      <c r="O296" s="12">
        <f t="shared" si="154"/>
        <v>2.1215821724088344</v>
      </c>
      <c r="P296" s="12">
        <f t="shared" si="154"/>
        <v>2.09816185872742</v>
      </c>
      <c r="Q296" s="12">
        <f t="shared" si="154"/>
        <v>2.0724510135214649</v>
      </c>
      <c r="R296" s="12">
        <f t="shared" si="154"/>
        <v>2.066315989192383</v>
      </c>
      <c r="S296" s="12">
        <f t="shared" si="154"/>
        <v>2.0681524328783061</v>
      </c>
      <c r="T296" s="12">
        <f t="shared" si="154"/>
        <v>2.0275061234714609</v>
      </c>
      <c r="U296" s="12">
        <f t="shared" si="154"/>
        <v>1.9235060602954286</v>
      </c>
      <c r="V296" s="12">
        <f t="shared" si="154"/>
        <v>1.9335255423380155</v>
      </c>
      <c r="W296" s="12"/>
      <c r="X296" s="12"/>
      <c r="Y296" s="12"/>
      <c r="Z296" s="12"/>
      <c r="AA296" s="12"/>
      <c r="AB296" s="12"/>
      <c r="AC296" s="12"/>
    </row>
    <row r="298" spans="1:309" x14ac:dyDescent="0.15">
      <c r="A298" s="19" t="s">
        <v>1018</v>
      </c>
    </row>
    <row r="299" spans="1:309" s="137" customFormat="1" x14ac:dyDescent="0.15">
      <c r="A299" s="12" t="s">
        <v>104</v>
      </c>
      <c r="B299" s="137">
        <f t="shared" ref="B299:P299" si="155">+B284*B170</f>
        <v>0</v>
      </c>
      <c r="C299" s="137">
        <f t="shared" si="155"/>
        <v>1.0249346945718352</v>
      </c>
      <c r="D299" s="137">
        <f t="shared" si="155"/>
        <v>0.90434403659634821</v>
      </c>
      <c r="E299" s="137">
        <f t="shared" si="155"/>
        <v>0.80274829064954667</v>
      </c>
      <c r="F299" s="137">
        <f t="shared" si="155"/>
        <v>0.73022605431524468</v>
      </c>
      <c r="G299" s="137">
        <f t="shared" si="155"/>
        <v>0.6628673166969884</v>
      </c>
      <c r="H299" s="137">
        <f t="shared" si="155"/>
        <v>0.61410385665851286</v>
      </c>
      <c r="I299" s="137">
        <f t="shared" si="155"/>
        <v>0.57771221533232253</v>
      </c>
      <c r="J299" s="137">
        <f t="shared" si="155"/>
        <v>0.54799911392480138</v>
      </c>
      <c r="K299" s="137">
        <f t="shared" si="155"/>
        <v>0.52511976515499892</v>
      </c>
      <c r="L299" s="137">
        <f t="shared" si="155"/>
        <v>0.50298313129183059</v>
      </c>
      <c r="M299" s="137">
        <f t="shared" si="155"/>
        <v>0.4700430831526497</v>
      </c>
      <c r="N299" s="137">
        <f t="shared" si="155"/>
        <v>0.44480351833586473</v>
      </c>
      <c r="O299" s="137">
        <f t="shared" si="155"/>
        <v>0.42747736343326487</v>
      </c>
      <c r="P299" s="137">
        <f t="shared" si="155"/>
        <v>0.41680690054393893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37" customFormat="1" x14ac:dyDescent="0.15">
      <c r="A300" s="12" t="s">
        <v>105</v>
      </c>
      <c r="B300" s="137">
        <f t="shared" ref="B300:P300" si="156">+B285*B171</f>
        <v>0</v>
      </c>
      <c r="C300" s="137">
        <f t="shared" si="156"/>
        <v>0.88056397828851396</v>
      </c>
      <c r="D300" s="137">
        <f t="shared" si="156"/>
        <v>0.78487216872798093</v>
      </c>
      <c r="E300" s="137">
        <f t="shared" si="156"/>
        <v>0.69669523858310478</v>
      </c>
      <c r="F300" s="137">
        <f t="shared" si="156"/>
        <v>0.63773965785851561</v>
      </c>
      <c r="G300" s="137">
        <f t="shared" si="156"/>
        <v>0.59210975688709544</v>
      </c>
      <c r="H300" s="137">
        <f t="shared" si="156"/>
        <v>0.55039969365744013</v>
      </c>
      <c r="I300" s="137">
        <f t="shared" si="156"/>
        <v>0.52054770135412154</v>
      </c>
      <c r="J300" s="137">
        <f t="shared" si="156"/>
        <v>0.49410251269869415</v>
      </c>
      <c r="K300" s="137">
        <f t="shared" si="156"/>
        <v>0.46978788953534301</v>
      </c>
      <c r="L300" s="137">
        <f t="shared" si="156"/>
        <v>0.45546058751248247</v>
      </c>
      <c r="M300" s="137">
        <f t="shared" si="156"/>
        <v>0.43362075831590657</v>
      </c>
      <c r="N300" s="137">
        <f t="shared" si="156"/>
        <v>0.41304468742561667</v>
      </c>
      <c r="O300" s="137">
        <f t="shared" si="156"/>
        <v>0.39510347811751312</v>
      </c>
      <c r="P300" s="137">
        <f t="shared" si="156"/>
        <v>0.38479422051331114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37" customFormat="1" x14ac:dyDescent="0.15">
      <c r="A301" s="12" t="s">
        <v>51</v>
      </c>
      <c r="B301" s="137">
        <f t="shared" ref="B301:P301" si="157">+B286*B172</f>
        <v>0</v>
      </c>
      <c r="C301" s="137">
        <f t="shared" si="157"/>
        <v>0.3623888225610658</v>
      </c>
      <c r="D301" s="137">
        <f t="shared" si="157"/>
        <v>0.31161582077807776</v>
      </c>
      <c r="E301" s="137">
        <f t="shared" si="157"/>
        <v>0.26793549515532844</v>
      </c>
      <c r="F301" s="137">
        <f t="shared" si="157"/>
        <v>0.23680591729129</v>
      </c>
      <c r="G301" s="137">
        <f t="shared" si="157"/>
        <v>0.21483209737160114</v>
      </c>
      <c r="H301" s="137">
        <f t="shared" si="157"/>
        <v>0.19778780697615256</v>
      </c>
      <c r="I301" s="137">
        <f t="shared" si="157"/>
        <v>0.17988007449484822</v>
      </c>
      <c r="J301" s="137">
        <f t="shared" si="157"/>
        <v>0.16122526746022373</v>
      </c>
      <c r="K301" s="137">
        <f t="shared" si="157"/>
        <v>0.14692521045042015</v>
      </c>
      <c r="L301" s="137">
        <f t="shared" si="157"/>
        <v>0.13894985546468303</v>
      </c>
      <c r="M301" s="137">
        <f t="shared" si="157"/>
        <v>0.12911350602008742</v>
      </c>
      <c r="N301" s="137">
        <f t="shared" si="157"/>
        <v>0.12018868746978692</v>
      </c>
      <c r="O301" s="137">
        <f t="shared" si="157"/>
        <v>0.11408600595192554</v>
      </c>
      <c r="P301" s="137">
        <f t="shared" si="157"/>
        <v>0.10944986194984077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37" customFormat="1" x14ac:dyDescent="0.15">
      <c r="A302" s="12" t="s">
        <v>52</v>
      </c>
      <c r="B302" s="137">
        <f t="shared" ref="B302:P302" si="158">+B287*B173</f>
        <v>0</v>
      </c>
      <c r="C302" s="137">
        <f t="shared" si="158"/>
        <v>0.56828748614327362</v>
      </c>
      <c r="D302" s="137">
        <f t="shared" si="158"/>
        <v>0.41473621871269523</v>
      </c>
      <c r="E302" s="137">
        <f t="shared" si="158"/>
        <v>0.32776451972306964</v>
      </c>
      <c r="F302" s="137">
        <f t="shared" si="158"/>
        <v>0.25095147589457284</v>
      </c>
      <c r="G302" s="137">
        <f t="shared" si="158"/>
        <v>0.21293850319041679</v>
      </c>
      <c r="H302" s="137">
        <f t="shared" si="158"/>
        <v>0.18318261078490614</v>
      </c>
      <c r="I302" s="137">
        <f t="shared" si="158"/>
        <v>0.16747973824286308</v>
      </c>
      <c r="J302" s="137">
        <f t="shared" si="158"/>
        <v>0.14413261876654945</v>
      </c>
      <c r="K302" s="137">
        <f t="shared" si="158"/>
        <v>0.14035305444474158</v>
      </c>
      <c r="L302" s="137">
        <f t="shared" si="158"/>
        <v>0.14219840800114228</v>
      </c>
      <c r="M302" s="137">
        <f t="shared" si="158"/>
        <v>0.1384404536990787</v>
      </c>
      <c r="N302" s="137">
        <f t="shared" si="158"/>
        <v>0.13496212142970643</v>
      </c>
      <c r="O302" s="137">
        <f t="shared" si="158"/>
        <v>0.13546491988857742</v>
      </c>
      <c r="P302" s="137">
        <f t="shared" si="158"/>
        <v>0.13641078122154379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37" customFormat="1" x14ac:dyDescent="0.15">
      <c r="A303" s="12" t="s">
        <v>53</v>
      </c>
      <c r="B303" s="137">
        <f t="shared" ref="B303:P303" si="159">+B288*B174</f>
        <v>0</v>
      </c>
      <c r="C303" s="137">
        <f t="shared" si="159"/>
        <v>0</v>
      </c>
      <c r="D303" s="137">
        <f t="shared" si="159"/>
        <v>0.26279858823898428</v>
      </c>
      <c r="E303" s="137">
        <f t="shared" si="159"/>
        <v>0.19502195576715431</v>
      </c>
      <c r="F303" s="137">
        <f t="shared" si="159"/>
        <v>0.14274849122857375</v>
      </c>
      <c r="G303" s="137">
        <f t="shared" si="159"/>
        <v>0.1416857922743901</v>
      </c>
      <c r="H303" s="137">
        <f t="shared" si="159"/>
        <v>0.12186782245638256</v>
      </c>
      <c r="I303" s="137">
        <f t="shared" si="159"/>
        <v>0.1065452585451777</v>
      </c>
      <c r="J303" s="137">
        <f t="shared" si="159"/>
        <v>9.4942775357885756E-2</v>
      </c>
      <c r="K303" s="137">
        <f t="shared" si="159"/>
        <v>8.4731681586393881E-2</v>
      </c>
      <c r="L303" s="137">
        <f t="shared" si="159"/>
        <v>8.0093618951304429E-2</v>
      </c>
      <c r="M303" s="137">
        <f t="shared" si="159"/>
        <v>7.734078590741722E-2</v>
      </c>
      <c r="N303" s="137">
        <f t="shared" si="159"/>
        <v>7.470275403693831E-2</v>
      </c>
      <c r="O303" s="137">
        <f t="shared" si="159"/>
        <v>7.3140582525637751E-2</v>
      </c>
      <c r="P303" s="137">
        <f t="shared" si="159"/>
        <v>7.3724161679032771E-2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37" customFormat="1" x14ac:dyDescent="0.15">
      <c r="A304" s="12" t="s">
        <v>54</v>
      </c>
      <c r="B304" s="137">
        <f t="shared" ref="B304:P304" si="160">+B289*B175</f>
        <v>0</v>
      </c>
      <c r="C304" s="137">
        <f t="shared" si="160"/>
        <v>0</v>
      </c>
      <c r="D304" s="137">
        <f t="shared" si="160"/>
        <v>0</v>
      </c>
      <c r="E304" s="137">
        <f t="shared" si="160"/>
        <v>0.35486277236465741</v>
      </c>
      <c r="F304" s="137">
        <f t="shared" si="160"/>
        <v>0.33236894449457705</v>
      </c>
      <c r="G304" s="137">
        <f t="shared" si="160"/>
        <v>0.31058672089805961</v>
      </c>
      <c r="H304" s="137">
        <f t="shared" si="160"/>
        <v>0.29178364449996097</v>
      </c>
      <c r="I304" s="137">
        <f t="shared" si="160"/>
        <v>0.27602949053667636</v>
      </c>
      <c r="J304" s="137">
        <f t="shared" si="160"/>
        <v>0.26088309641801505</v>
      </c>
      <c r="K304" s="137">
        <f t="shared" si="160"/>
        <v>0.24879316229458809</v>
      </c>
      <c r="L304" s="137">
        <f t="shared" si="160"/>
        <v>0.24140171106479738</v>
      </c>
      <c r="M304" s="137">
        <f t="shared" si="160"/>
        <v>0.23593165071699002</v>
      </c>
      <c r="N304" s="137">
        <f t="shared" si="160"/>
        <v>0.23410194289183833</v>
      </c>
      <c r="O304" s="137">
        <f t="shared" si="160"/>
        <v>0.23586065067811124</v>
      </c>
      <c r="P304" s="137">
        <f t="shared" si="160"/>
        <v>0.2393023195903034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37" customFormat="1" x14ac:dyDescent="0.15">
      <c r="A305" s="12" t="s">
        <v>55</v>
      </c>
      <c r="B305" s="137">
        <f t="shared" ref="B305:P305" si="161">+B290*B176</f>
        <v>0</v>
      </c>
      <c r="C305" s="137">
        <f t="shared" si="161"/>
        <v>0</v>
      </c>
      <c r="D305" s="137">
        <f t="shared" si="161"/>
        <v>0</v>
      </c>
      <c r="E305" s="137">
        <f t="shared" si="161"/>
        <v>0</v>
      </c>
      <c r="F305" s="137">
        <f t="shared" si="161"/>
        <v>0.17046892275931622</v>
      </c>
      <c r="G305" s="137">
        <f t="shared" si="161"/>
        <v>0.15729102344717191</v>
      </c>
      <c r="H305" s="137">
        <f t="shared" si="161"/>
        <v>0.14697403075640958</v>
      </c>
      <c r="I305" s="137">
        <f t="shared" si="161"/>
        <v>0.1344098204544949</v>
      </c>
      <c r="J305" s="137">
        <f t="shared" si="161"/>
        <v>0.12675340213327232</v>
      </c>
      <c r="K305" s="137">
        <f t="shared" si="161"/>
        <v>0.1236818183724122</v>
      </c>
      <c r="L305" s="137">
        <f t="shared" si="161"/>
        <v>0.11610999979162299</v>
      </c>
      <c r="M305" s="137">
        <f t="shared" si="161"/>
        <v>0.11087134673514568</v>
      </c>
      <c r="N305" s="137">
        <f t="shared" si="161"/>
        <v>0.10555703127149317</v>
      </c>
      <c r="O305" s="137">
        <f t="shared" si="161"/>
        <v>0.10506818872961207</v>
      </c>
      <c r="P305" s="137">
        <f t="shared" si="161"/>
        <v>0.10522248650416635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37" customFormat="1" x14ac:dyDescent="0.15">
      <c r="A306" s="12" t="s">
        <v>56</v>
      </c>
      <c r="B306" s="137">
        <f t="shared" ref="B306:P306" si="162">+B291*B177</f>
        <v>0</v>
      </c>
      <c r="C306" s="137">
        <f t="shared" si="162"/>
        <v>0</v>
      </c>
      <c r="D306" s="137">
        <f t="shared" si="162"/>
        <v>0</v>
      </c>
      <c r="E306" s="137">
        <f t="shared" si="162"/>
        <v>0</v>
      </c>
      <c r="F306" s="137">
        <f t="shared" si="162"/>
        <v>0</v>
      </c>
      <c r="G306" s="137">
        <f t="shared" si="162"/>
        <v>0.17461230000933545</v>
      </c>
      <c r="H306" s="137">
        <f t="shared" si="162"/>
        <v>0.16302424458255019</v>
      </c>
      <c r="I306" s="137">
        <f t="shared" si="162"/>
        <v>0.15156626933925038</v>
      </c>
      <c r="J306" s="137">
        <f t="shared" si="162"/>
        <v>0.14313840215194143</v>
      </c>
      <c r="K306" s="137">
        <f t="shared" si="162"/>
        <v>0.13209889408985873</v>
      </c>
      <c r="L306" s="137">
        <f t="shared" si="162"/>
        <v>0.13276871991342631</v>
      </c>
      <c r="M306" s="137">
        <f t="shared" si="162"/>
        <v>0.12409851578824685</v>
      </c>
      <c r="N306" s="137">
        <f t="shared" si="162"/>
        <v>0.11701909919961498</v>
      </c>
      <c r="O306" s="137">
        <f t="shared" si="162"/>
        <v>0.11514210290582977</v>
      </c>
      <c r="P306" s="137">
        <f t="shared" si="162"/>
        <v>0.11771458644026501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37" customFormat="1" x14ac:dyDescent="0.15">
      <c r="A307" s="12" t="s">
        <v>57</v>
      </c>
      <c r="B307" s="137">
        <f t="shared" ref="B307:P307" si="163">+B292*B178</f>
        <v>0</v>
      </c>
      <c r="C307" s="137">
        <f t="shared" si="163"/>
        <v>0</v>
      </c>
      <c r="D307" s="137">
        <f t="shared" si="163"/>
        <v>0</v>
      </c>
      <c r="E307" s="137">
        <f t="shared" si="163"/>
        <v>0</v>
      </c>
      <c r="F307" s="137">
        <f t="shared" si="163"/>
        <v>0</v>
      </c>
      <c r="G307" s="137">
        <f t="shared" si="163"/>
        <v>0</v>
      </c>
      <c r="H307" s="137">
        <f t="shared" si="163"/>
        <v>0</v>
      </c>
      <c r="I307" s="137">
        <f t="shared" si="163"/>
        <v>9.5730017764819583E-2</v>
      </c>
      <c r="J307" s="137">
        <f t="shared" si="163"/>
        <v>8.81229218740186E-2</v>
      </c>
      <c r="K307" s="137">
        <f t="shared" si="163"/>
        <v>8.5583983610361153E-2</v>
      </c>
      <c r="L307" s="137">
        <f t="shared" si="163"/>
        <v>8.0732437951381256E-2</v>
      </c>
      <c r="M307" s="137">
        <f t="shared" si="163"/>
        <v>7.6459866434152035E-2</v>
      </c>
      <c r="N307" s="137">
        <f t="shared" si="163"/>
        <v>7.3504785965189112E-2</v>
      </c>
      <c r="O307" s="137">
        <f t="shared" si="163"/>
        <v>7.1030981095897741E-2</v>
      </c>
      <c r="P307" s="137">
        <f t="shared" si="163"/>
        <v>6.9687065398632134E-2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37" customFormat="1" x14ac:dyDescent="0.15">
      <c r="A308" s="12" t="s">
        <v>58</v>
      </c>
      <c r="B308" s="137">
        <f t="shared" ref="B308:P308" si="164">+B293*B179</f>
        <v>0</v>
      </c>
      <c r="C308" s="137">
        <f t="shared" si="164"/>
        <v>0</v>
      </c>
      <c r="D308" s="137">
        <f t="shared" si="164"/>
        <v>0</v>
      </c>
      <c r="E308" s="137">
        <f t="shared" si="164"/>
        <v>0.2803538334236863</v>
      </c>
      <c r="F308" s="137">
        <f t="shared" si="164"/>
        <v>0.26279068371821307</v>
      </c>
      <c r="G308" s="137">
        <f t="shared" si="164"/>
        <v>0.23754829211639275</v>
      </c>
      <c r="H308" s="137">
        <f t="shared" si="164"/>
        <v>0.22388062645006696</v>
      </c>
      <c r="I308" s="137">
        <f t="shared" si="164"/>
        <v>0.21555594764944666</v>
      </c>
      <c r="J308" s="137">
        <f t="shared" si="164"/>
        <v>0.20410933918004595</v>
      </c>
      <c r="K308" s="137">
        <f t="shared" si="164"/>
        <v>0.18963102815391331</v>
      </c>
      <c r="L308" s="137">
        <f t="shared" si="164"/>
        <v>0.18262229431947666</v>
      </c>
      <c r="M308" s="137">
        <f t="shared" si="164"/>
        <v>0.1709906054535581</v>
      </c>
      <c r="N308" s="137">
        <f t="shared" si="164"/>
        <v>0.16114539844521525</v>
      </c>
      <c r="O308" s="137">
        <f t="shared" si="164"/>
        <v>0.15552084042084255</v>
      </c>
      <c r="P308" s="137">
        <f t="shared" si="164"/>
        <v>0.15468551477906353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37" customFormat="1" x14ac:dyDescent="0.15">
      <c r="A309" s="12" t="s">
        <v>114</v>
      </c>
      <c r="B309" s="137">
        <f t="shared" ref="B309:P309" si="165">+B294*B180</f>
        <v>0</v>
      </c>
      <c r="C309" s="137">
        <f t="shared" si="165"/>
        <v>0.27581559498477043</v>
      </c>
      <c r="D309" s="137">
        <f t="shared" si="165"/>
        <v>0.23915711361147821</v>
      </c>
      <c r="E309" s="137">
        <f t="shared" si="165"/>
        <v>0.21456976214660378</v>
      </c>
      <c r="F309" s="137">
        <f t="shared" si="165"/>
        <v>0.19734421907434549</v>
      </c>
      <c r="G309" s="137">
        <f t="shared" si="165"/>
        <v>0.18185921672301247</v>
      </c>
      <c r="H309" s="137">
        <f t="shared" si="165"/>
        <v>0.16831072703376512</v>
      </c>
      <c r="I309" s="137">
        <f t="shared" si="165"/>
        <v>0.15805841151597019</v>
      </c>
      <c r="J309" s="137">
        <f t="shared" si="165"/>
        <v>0.14296972682679959</v>
      </c>
      <c r="K309" s="137">
        <f t="shared" si="165"/>
        <v>0.13871961040872122</v>
      </c>
      <c r="L309" s="137">
        <f t="shared" si="165"/>
        <v>0.13511613081483118</v>
      </c>
      <c r="M309" s="137">
        <f t="shared" si="165"/>
        <v>0.12774901897803409</v>
      </c>
      <c r="N309" s="137">
        <f t="shared" si="165"/>
        <v>0.12395251689460306</v>
      </c>
      <c r="O309" s="137">
        <f t="shared" si="165"/>
        <v>0.11880559561726957</v>
      </c>
      <c r="P309" s="137">
        <f t="shared" si="165"/>
        <v>0.11666635455867309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37" customFormat="1" x14ac:dyDescent="0.15">
      <c r="A310" s="207" t="s">
        <v>1012</v>
      </c>
      <c r="B310" s="137">
        <f t="shared" ref="B310:P310" si="166">+B295*B181</f>
        <v>0</v>
      </c>
      <c r="C310" s="137">
        <f t="shared" si="166"/>
        <v>0</v>
      </c>
      <c r="D310" s="137">
        <f t="shared" si="166"/>
        <v>0</v>
      </c>
      <c r="E310" s="137">
        <f t="shared" si="166"/>
        <v>0</v>
      </c>
      <c r="F310" s="137">
        <f t="shared" si="166"/>
        <v>0.30197494392528174</v>
      </c>
      <c r="G310" s="137">
        <f t="shared" si="166"/>
        <v>0.28353951167130881</v>
      </c>
      <c r="H310" s="137">
        <f t="shared" si="166"/>
        <v>0.26771725151902076</v>
      </c>
      <c r="I310" s="137">
        <f t="shared" si="166"/>
        <v>0.24727068558622986</v>
      </c>
      <c r="J310" s="137">
        <f t="shared" si="166"/>
        <v>0.21133119888731833</v>
      </c>
      <c r="K310" s="137">
        <f t="shared" si="166"/>
        <v>0.19847092554655679</v>
      </c>
      <c r="L310" s="137">
        <f t="shared" si="166"/>
        <v>0.1913197772789646</v>
      </c>
      <c r="M310" s="137">
        <f t="shared" si="166"/>
        <v>0.18233959060688495</v>
      </c>
      <c r="N310" s="137">
        <f t="shared" si="166"/>
        <v>0.17775877896809938</v>
      </c>
      <c r="O310" s="137">
        <f t="shared" si="166"/>
        <v>0.17488146304435287</v>
      </c>
      <c r="P310" s="137">
        <f t="shared" si="166"/>
        <v>0.17369760554864894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37" customFormat="1" ht="16" x14ac:dyDescent="0.2">
      <c r="B311" s="137">
        <f t="shared" ref="B311:P311" si="167">SUM(B299:B310)</f>
        <v>0</v>
      </c>
      <c r="C311" s="137">
        <f t="shared" si="167"/>
        <v>3.1119905765494593</v>
      </c>
      <c r="D311" s="137">
        <f t="shared" si="167"/>
        <v>2.9175239466655642</v>
      </c>
      <c r="E311" s="137">
        <f t="shared" si="167"/>
        <v>3.1399518678131511</v>
      </c>
      <c r="F311" s="137">
        <f t="shared" si="167"/>
        <v>3.2634193105599305</v>
      </c>
      <c r="G311" s="137">
        <f t="shared" si="167"/>
        <v>3.1698705312857731</v>
      </c>
      <c r="H311" s="137">
        <f t="shared" si="167"/>
        <v>2.9290323153751681</v>
      </c>
      <c r="I311" s="137">
        <f t="shared" si="167"/>
        <v>2.8307856308162207</v>
      </c>
      <c r="J311" s="137">
        <f t="shared" si="167"/>
        <v>2.6197103756795661</v>
      </c>
      <c r="K311" s="137">
        <f t="shared" si="167"/>
        <v>2.4838970236483089</v>
      </c>
      <c r="L311" s="137">
        <f t="shared" si="167"/>
        <v>2.3997566723559434</v>
      </c>
      <c r="M311" s="137">
        <f t="shared" si="167"/>
        <v>2.2769991818081512</v>
      </c>
      <c r="N311" s="137">
        <f t="shared" si="167"/>
        <v>2.180741322333966</v>
      </c>
      <c r="O311" s="137">
        <f t="shared" si="167"/>
        <v>2.1215821724088344</v>
      </c>
      <c r="P311" s="137">
        <f t="shared" si="167"/>
        <v>2.09816185872742</v>
      </c>
      <c r="BJ311" s="512"/>
      <c r="BK311" s="512"/>
      <c r="BL311" s="512"/>
      <c r="BM311" s="512"/>
      <c r="BN311" s="512"/>
      <c r="BO311" s="512"/>
      <c r="BP311" s="512"/>
      <c r="BQ311" s="512"/>
      <c r="BR311" s="512"/>
      <c r="BS311" s="512"/>
      <c r="BT311" s="512"/>
      <c r="BU311" s="512"/>
      <c r="BV311" s="512"/>
      <c r="BW311" s="512"/>
      <c r="BX311" s="512"/>
      <c r="BY311" s="512"/>
      <c r="BZ311" s="512"/>
      <c r="CA311" s="512"/>
      <c r="CB311" s="512"/>
      <c r="CC311" s="512"/>
      <c r="CD311" s="512"/>
      <c r="CE311" s="512"/>
      <c r="CF311" s="512"/>
      <c r="CG311" s="512"/>
      <c r="CH311" s="512"/>
      <c r="CI311" s="512"/>
      <c r="CJ311" s="512"/>
      <c r="CK311" s="512"/>
      <c r="CL311" s="512"/>
      <c r="CM311" s="512"/>
      <c r="CN311" s="512"/>
      <c r="CO311" s="512"/>
      <c r="CP311" s="512"/>
      <c r="CQ311" s="512"/>
      <c r="CR311" s="512"/>
      <c r="CS311" s="512"/>
      <c r="CT311" s="512"/>
      <c r="CU311" s="512"/>
      <c r="CV311" s="512"/>
      <c r="CW311" s="512"/>
      <c r="CX311" s="512"/>
      <c r="CY311" s="512"/>
      <c r="CZ311" s="512"/>
      <c r="DA311" s="512"/>
      <c r="DB311" s="512"/>
      <c r="DC311" s="512"/>
      <c r="DD311" s="512"/>
      <c r="DE311" s="512"/>
      <c r="DF311" s="512"/>
      <c r="DG311" s="512"/>
      <c r="DH311" s="512"/>
      <c r="DI311" s="512"/>
      <c r="DJ311" s="512"/>
      <c r="DK311" s="512"/>
      <c r="DL311" s="512"/>
      <c r="DM311" s="512"/>
      <c r="DN311" s="512"/>
      <c r="DO311" s="512"/>
      <c r="DP311" s="512"/>
      <c r="DQ311" s="512"/>
      <c r="DR311" s="512"/>
      <c r="DS311" s="512"/>
      <c r="DT311" s="512"/>
      <c r="DU311" s="512"/>
      <c r="DV311" s="512"/>
      <c r="DW311" s="512"/>
      <c r="DX311" s="512"/>
      <c r="DY311" s="512"/>
      <c r="DZ311" s="512"/>
      <c r="EA311" s="512"/>
      <c r="EB311" s="512"/>
      <c r="EC311" s="512"/>
      <c r="ED311" s="512"/>
      <c r="EE311" s="512"/>
      <c r="EF311" s="512"/>
      <c r="EG311" s="512"/>
      <c r="EH311" s="512"/>
      <c r="EI311" s="512"/>
      <c r="EJ311" s="512"/>
      <c r="EK311" s="512"/>
      <c r="EL311" s="512"/>
      <c r="EM311" s="512"/>
      <c r="EN311" s="512"/>
      <c r="EO311" s="512"/>
      <c r="EP311" s="512"/>
      <c r="EQ311" s="512"/>
      <c r="ER311" s="512"/>
      <c r="ES311" s="512"/>
      <c r="ET311" s="512"/>
      <c r="EU311" s="512"/>
      <c r="EV311" s="512"/>
      <c r="EW311" s="512"/>
      <c r="EX311" s="512"/>
      <c r="EY311" s="512"/>
      <c r="EZ311" s="512"/>
      <c r="FA311" s="512"/>
      <c r="FB311" s="512"/>
      <c r="FC311" s="512"/>
      <c r="FD311" s="512"/>
      <c r="FE311" s="512"/>
      <c r="FF311" s="512"/>
      <c r="FG311" s="512"/>
      <c r="FH311" s="512"/>
      <c r="FI311" s="512"/>
      <c r="FJ311" s="512"/>
      <c r="FK311" s="512"/>
      <c r="FL311" s="512"/>
      <c r="FM311" s="512"/>
      <c r="FN311" s="512"/>
      <c r="FO311" s="512"/>
      <c r="FP311" s="512"/>
      <c r="FQ311" s="512"/>
      <c r="FR311" s="512"/>
      <c r="FS311" s="512"/>
      <c r="FT311" s="512"/>
      <c r="FU311" s="512"/>
      <c r="FV311" s="512"/>
      <c r="FW311" s="512"/>
      <c r="FX311" s="512"/>
      <c r="FY311" s="512"/>
      <c r="FZ311" s="512"/>
      <c r="GA311" s="512"/>
      <c r="GB311" s="512"/>
      <c r="GC311" s="512"/>
      <c r="GD311" s="512"/>
      <c r="GE311" s="512"/>
      <c r="GF311" s="512"/>
      <c r="GG311" s="512"/>
      <c r="GH311" s="512"/>
      <c r="GI311" s="512"/>
      <c r="GJ311" s="512"/>
      <c r="GK311" s="512"/>
      <c r="GL311" s="512"/>
      <c r="GM311" s="512"/>
      <c r="GN311" s="512"/>
      <c r="GO311" s="512"/>
      <c r="GP311" s="512"/>
      <c r="GQ311" s="512"/>
      <c r="GR311" s="512"/>
      <c r="GS311" s="512"/>
      <c r="GT311" s="512"/>
      <c r="GU311" s="512"/>
      <c r="GV311" s="512"/>
      <c r="GW311" s="512"/>
      <c r="GX311" s="512"/>
      <c r="GY311" s="512"/>
      <c r="GZ311" s="512"/>
      <c r="HA311" s="512"/>
      <c r="HB311" s="512"/>
      <c r="HC311" s="512"/>
      <c r="HD311" s="512"/>
      <c r="HE311" s="512"/>
      <c r="HF311" s="512"/>
      <c r="HG311" s="512"/>
      <c r="HH311" s="512"/>
      <c r="HI311" s="512"/>
      <c r="HJ311" s="512"/>
      <c r="HK311" s="512"/>
      <c r="HL311" s="512"/>
      <c r="HM311" s="512"/>
      <c r="HN311" s="512"/>
      <c r="HO311" s="512"/>
      <c r="HP311" s="512"/>
      <c r="HQ311" s="512"/>
      <c r="HR311" s="512"/>
      <c r="HS311" s="512"/>
      <c r="HT311" s="512"/>
      <c r="HU311" s="512"/>
      <c r="HV311" s="512"/>
      <c r="HW311" s="512"/>
      <c r="HX311" s="512"/>
      <c r="HY311" s="512"/>
      <c r="HZ311" s="512"/>
      <c r="IA311" s="512"/>
      <c r="IB311" s="512"/>
      <c r="IC311" s="512"/>
      <c r="ID311" s="512"/>
      <c r="IE311" s="512"/>
      <c r="IF311" s="512"/>
      <c r="IG311" s="512"/>
      <c r="IH311" s="512"/>
      <c r="II311" s="512"/>
      <c r="IJ311" s="512"/>
      <c r="IK311" s="512"/>
      <c r="IL311" s="512"/>
      <c r="IM311" s="512"/>
      <c r="IN311" s="512"/>
      <c r="IO311" s="512"/>
      <c r="IP311" s="512"/>
      <c r="IQ311" s="512"/>
      <c r="IR311" s="512"/>
      <c r="IS311" s="512"/>
      <c r="IT311" s="512"/>
      <c r="IU311" s="512"/>
      <c r="IV311" s="512"/>
      <c r="IW311" s="512"/>
      <c r="IX311" s="512"/>
      <c r="IY311" s="512"/>
      <c r="IZ311" s="512"/>
      <c r="JA311" s="512"/>
      <c r="JB311" s="512"/>
      <c r="JC311" s="512"/>
      <c r="JD311" s="512"/>
      <c r="JE311" s="512"/>
      <c r="JF311" s="512"/>
      <c r="JG311" s="512"/>
      <c r="JH311" s="512"/>
      <c r="JI311" s="512"/>
      <c r="JJ311" s="512"/>
      <c r="JK311" s="512"/>
      <c r="JL311" s="512"/>
      <c r="JM311" s="512"/>
      <c r="JN311" s="512"/>
      <c r="JO311" s="512"/>
      <c r="JP311" s="512"/>
      <c r="JQ311" s="512"/>
      <c r="JR311" s="512"/>
      <c r="JS311" s="512"/>
      <c r="JT311" s="512"/>
      <c r="JU311" s="512"/>
      <c r="JV311" s="512"/>
      <c r="JW311" s="512"/>
      <c r="JX311" s="512"/>
      <c r="JY311" s="512"/>
      <c r="JZ311" s="512"/>
      <c r="KA311" s="512"/>
      <c r="KB311" s="512"/>
      <c r="KC311" s="512"/>
      <c r="KD311" s="512"/>
      <c r="KE311" s="512"/>
      <c r="KF311" s="512"/>
      <c r="KG311" s="512"/>
      <c r="KH311" s="512"/>
      <c r="KI311" s="512"/>
      <c r="KJ311" s="512"/>
      <c r="KK311" s="512"/>
      <c r="KL311" s="512"/>
      <c r="KM311" s="512"/>
      <c r="KN311" s="512"/>
      <c r="KO311" s="512"/>
      <c r="KP311" s="512"/>
      <c r="KQ311" s="512"/>
      <c r="KR311" s="512"/>
      <c r="KS311" s="512"/>
      <c r="KT311" s="512"/>
      <c r="KU311" s="512"/>
      <c r="KV311" s="512"/>
      <c r="KW311" s="512"/>
    </row>
    <row r="312" spans="1:309" x14ac:dyDescent="0.15">
      <c r="B312" s="19">
        <v>0</v>
      </c>
    </row>
    <row r="313" spans="1:309" x14ac:dyDescent="0.15">
      <c r="A313" s="19" t="s">
        <v>1058</v>
      </c>
      <c r="B313" s="19">
        <v>0</v>
      </c>
      <c r="C313" s="19">
        <v>0</v>
      </c>
      <c r="D313" s="19">
        <v>0</v>
      </c>
    </row>
    <row r="314" spans="1:309" x14ac:dyDescent="0.15">
      <c r="A314" s="19" t="s">
        <v>1059</v>
      </c>
      <c r="B314" s="19">
        <f>+Controls!B4</f>
        <v>-1286.367566184224</v>
      </c>
      <c r="BJ314" s="517"/>
      <c r="BK314" s="517"/>
      <c r="BL314" s="517"/>
      <c r="BM314" s="517"/>
      <c r="BN314" s="517"/>
      <c r="BO314" s="517"/>
      <c r="BP314" s="517"/>
      <c r="BQ314" s="517"/>
      <c r="BR314" s="517"/>
      <c r="BS314" s="517"/>
      <c r="BT314" s="517"/>
      <c r="BU314" s="517"/>
      <c r="BV314" s="517"/>
      <c r="BW314" s="517"/>
      <c r="BX314" s="517"/>
      <c r="BY314" s="517"/>
      <c r="BZ314" s="517"/>
      <c r="CA314" s="517"/>
      <c r="CB314" s="517"/>
      <c r="CC314" s="517"/>
      <c r="CD314" s="517"/>
      <c r="CE314" s="517"/>
      <c r="CF314" s="517"/>
      <c r="CG314" s="517"/>
      <c r="CH314" s="517"/>
      <c r="CI314" s="517"/>
      <c r="CJ314" s="517"/>
      <c r="CK314" s="517"/>
      <c r="CL314" s="517"/>
      <c r="CM314" s="517"/>
      <c r="CN314" s="517"/>
      <c r="CO314" s="517"/>
      <c r="CP314" s="517"/>
      <c r="CQ314" s="517"/>
      <c r="CR314" s="517"/>
      <c r="CS314" s="517"/>
      <c r="CT314" s="517"/>
      <c r="CU314" s="517"/>
      <c r="CV314" s="517"/>
      <c r="CW314" s="517"/>
      <c r="CX314" s="517"/>
      <c r="CY314" s="517"/>
      <c r="CZ314" s="517"/>
      <c r="DA314" s="517"/>
      <c r="DB314" s="517"/>
      <c r="DC314" s="517"/>
      <c r="DD314" s="517"/>
      <c r="DE314" s="517"/>
      <c r="DF314" s="517"/>
      <c r="DG314" s="517"/>
      <c r="DH314" s="517"/>
      <c r="DI314" s="517"/>
      <c r="DJ314" s="517"/>
      <c r="DK314" s="517"/>
      <c r="DL314" s="517"/>
      <c r="DM314" s="517"/>
      <c r="DN314" s="517"/>
      <c r="DO314" s="517"/>
      <c r="DP314" s="517"/>
      <c r="DQ314" s="517"/>
      <c r="DR314" s="517"/>
      <c r="DS314" s="517"/>
      <c r="DT314" s="517"/>
      <c r="DU314" s="517"/>
      <c r="DV314" s="517"/>
      <c r="DW314" s="517"/>
      <c r="DX314" s="517"/>
      <c r="DY314" s="517"/>
      <c r="DZ314" s="517"/>
      <c r="EA314" s="517"/>
      <c r="EB314" s="517"/>
      <c r="EC314" s="517"/>
      <c r="ED314" s="517"/>
      <c r="EE314" s="517"/>
      <c r="EF314" s="517"/>
      <c r="EG314" s="517"/>
      <c r="EH314" s="517"/>
      <c r="EI314" s="517"/>
      <c r="EJ314" s="517"/>
      <c r="EK314" s="517"/>
      <c r="EL314" s="517"/>
      <c r="EM314" s="517"/>
      <c r="EN314" s="517"/>
      <c r="EO314" s="517"/>
      <c r="EP314" s="517"/>
      <c r="EQ314" s="517"/>
      <c r="ER314" s="517"/>
      <c r="ES314" s="517"/>
      <c r="ET314" s="517"/>
      <c r="EU314" s="517"/>
      <c r="EV314" s="517"/>
      <c r="EW314" s="517"/>
      <c r="EX314" s="517"/>
      <c r="EY314" s="517"/>
      <c r="EZ314" s="517"/>
      <c r="FA314" s="517"/>
      <c r="FB314" s="517"/>
      <c r="FC314" s="517"/>
      <c r="FD314" s="517"/>
      <c r="FE314" s="517"/>
      <c r="FF314" s="517"/>
      <c r="FG314" s="517"/>
      <c r="FH314" s="517"/>
      <c r="FI314" s="517"/>
      <c r="FJ314" s="517"/>
      <c r="FK314" s="517"/>
      <c r="FL314" s="517"/>
      <c r="FM314" s="517"/>
      <c r="FN314" s="517"/>
      <c r="FO314" s="517"/>
      <c r="FP314" s="517"/>
      <c r="FQ314" s="517"/>
      <c r="FR314" s="517"/>
      <c r="FS314" s="517"/>
      <c r="FT314" s="517"/>
      <c r="FU314" s="517"/>
      <c r="FV314" s="517"/>
      <c r="FW314" s="517"/>
      <c r="FX314" s="517"/>
      <c r="FY314" s="517"/>
      <c r="FZ314" s="517"/>
      <c r="GA314" s="517"/>
      <c r="GB314" s="517"/>
      <c r="GC314" s="517"/>
      <c r="GD314" s="517"/>
      <c r="GE314" s="517"/>
      <c r="GF314" s="517"/>
      <c r="GG314" s="517"/>
      <c r="GH314" s="517"/>
      <c r="GI314" s="517"/>
      <c r="GJ314" s="517"/>
      <c r="GK314" s="517"/>
      <c r="GL314" s="517"/>
      <c r="GM314" s="517"/>
      <c r="GN314" s="517"/>
      <c r="GO314" s="517"/>
      <c r="GP314" s="517"/>
      <c r="GQ314" s="517"/>
      <c r="GR314" s="517"/>
      <c r="GS314" s="517"/>
      <c r="GT314" s="517"/>
      <c r="GU314" s="517"/>
      <c r="GV314" s="517"/>
      <c r="GW314" s="517"/>
      <c r="GX314" s="517"/>
      <c r="GY314" s="517"/>
      <c r="GZ314" s="517"/>
      <c r="HA314" s="517"/>
      <c r="HB314" s="517"/>
      <c r="HC314" s="517"/>
      <c r="HD314" s="517"/>
      <c r="HE314" s="517"/>
      <c r="HF314" s="517"/>
      <c r="HG314" s="517"/>
      <c r="HH314" s="517"/>
      <c r="HI314" s="517"/>
      <c r="HJ314" s="517"/>
      <c r="HK314" s="517"/>
      <c r="HL314" s="517"/>
      <c r="HM314" s="517"/>
      <c r="HN314" s="517"/>
      <c r="HO314" s="517"/>
      <c r="HP314" s="517"/>
      <c r="HQ314" s="517"/>
      <c r="HR314" s="517"/>
      <c r="HS314" s="517"/>
      <c r="HT314" s="517"/>
      <c r="HU314" s="517"/>
      <c r="HV314" s="517"/>
      <c r="HW314" s="517"/>
      <c r="HX314" s="517"/>
      <c r="HY314" s="517"/>
      <c r="HZ314" s="517"/>
      <c r="IA314" s="517"/>
      <c r="IB314" s="517"/>
      <c r="IC314" s="517"/>
      <c r="ID314" s="517"/>
      <c r="IE314" s="517"/>
      <c r="IF314" s="517"/>
      <c r="IG314" s="517"/>
      <c r="IH314" s="517"/>
      <c r="II314" s="517"/>
      <c r="IJ314" s="517"/>
      <c r="IK314" s="517"/>
      <c r="IL314" s="517"/>
      <c r="IM314" s="517"/>
      <c r="IN314" s="517"/>
      <c r="IO314" s="517"/>
      <c r="IP314" s="517"/>
      <c r="IQ314" s="517"/>
      <c r="IR314" s="517"/>
      <c r="IS314" s="517"/>
      <c r="IT314" s="517"/>
      <c r="IU314" s="517"/>
      <c r="IV314" s="517"/>
      <c r="IW314" s="517"/>
      <c r="IX314" s="517"/>
      <c r="IY314" s="517"/>
      <c r="IZ314" s="517"/>
      <c r="JA314" s="517"/>
      <c r="JB314" s="517"/>
      <c r="JC314" s="517"/>
      <c r="JD314" s="517"/>
      <c r="JE314" s="517"/>
      <c r="JF314" s="517"/>
      <c r="JG314" s="517"/>
      <c r="JH314" s="517"/>
      <c r="JI314" s="517"/>
      <c r="JJ314" s="517"/>
      <c r="JK314" s="517"/>
      <c r="JL314" s="517"/>
      <c r="JM314" s="517"/>
      <c r="JN314" s="517"/>
      <c r="JO314" s="517"/>
      <c r="JP314" s="517"/>
      <c r="JQ314" s="517"/>
      <c r="JR314" s="517"/>
      <c r="JS314" s="517"/>
      <c r="JT314" s="517"/>
      <c r="JU314" s="517"/>
      <c r="JV314" s="517"/>
      <c r="JW314" s="517"/>
      <c r="JX314" s="517"/>
      <c r="JY314" s="517"/>
      <c r="JZ314" s="517"/>
      <c r="KA314" s="517"/>
      <c r="KB314" s="517"/>
      <c r="KC314" s="517"/>
      <c r="KD314" s="517"/>
      <c r="KE314" s="517"/>
      <c r="KF314" s="517"/>
      <c r="KG314" s="517"/>
      <c r="KH314" s="517"/>
      <c r="KI314" s="517"/>
      <c r="KJ314" s="517"/>
      <c r="KK314" s="517"/>
      <c r="KL314" s="517"/>
      <c r="KM314" s="517"/>
      <c r="KN314" s="517"/>
      <c r="KO314" s="517"/>
      <c r="KP314" s="517"/>
      <c r="KQ314" s="517"/>
      <c r="KR314" s="517"/>
      <c r="KS314" s="517"/>
      <c r="KT314" s="517"/>
      <c r="KU314" s="517"/>
      <c r="KV314" s="517"/>
      <c r="KW314" s="517"/>
    </row>
    <row r="315" spans="1:309" x14ac:dyDescent="0.15">
      <c r="A315" s="19" t="s">
        <v>1060</v>
      </c>
      <c r="B315" s="19">
        <v>1578.5561093571273</v>
      </c>
      <c r="C315" s="19">
        <v>1578.5561093571273</v>
      </c>
      <c r="BJ315" s="517"/>
      <c r="BK315" s="517"/>
      <c r="BL315" s="517"/>
      <c r="BM315" s="517"/>
      <c r="BN315" s="517"/>
      <c r="BO315" s="517"/>
      <c r="BP315" s="517"/>
      <c r="BQ315" s="517"/>
      <c r="BR315" s="517"/>
      <c r="BS315" s="517"/>
      <c r="BT315" s="517"/>
      <c r="BU315" s="517"/>
      <c r="BV315" s="517"/>
      <c r="BW315" s="517"/>
      <c r="BX315" s="517"/>
      <c r="BY315" s="517"/>
      <c r="BZ315" s="517"/>
      <c r="CA315" s="517"/>
      <c r="CB315" s="517"/>
      <c r="CC315" s="517"/>
      <c r="CD315" s="517"/>
      <c r="CE315" s="517"/>
      <c r="CF315" s="517"/>
      <c r="CG315" s="517"/>
      <c r="CH315" s="517"/>
      <c r="CI315" s="517"/>
      <c r="CJ315" s="517"/>
      <c r="CK315" s="517"/>
      <c r="CL315" s="517"/>
      <c r="CM315" s="517"/>
      <c r="CN315" s="517"/>
      <c r="CO315" s="517"/>
      <c r="CP315" s="517"/>
      <c r="CQ315" s="517"/>
      <c r="CR315" s="517"/>
      <c r="CS315" s="517"/>
      <c r="CT315" s="517"/>
      <c r="CU315" s="517"/>
      <c r="CV315" s="517"/>
      <c r="CW315" s="517"/>
      <c r="CX315" s="517"/>
      <c r="CY315" s="517"/>
      <c r="CZ315" s="517"/>
      <c r="DA315" s="517"/>
      <c r="DB315" s="517"/>
      <c r="DC315" s="517"/>
      <c r="DD315" s="517"/>
      <c r="DE315" s="517"/>
      <c r="DF315" s="517"/>
      <c r="DG315" s="517"/>
      <c r="DH315" s="517"/>
      <c r="DI315" s="517"/>
      <c r="DJ315" s="517"/>
      <c r="DK315" s="517"/>
      <c r="DL315" s="517"/>
      <c r="DM315" s="517"/>
      <c r="DN315" s="517"/>
      <c r="DO315" s="517"/>
      <c r="DP315" s="517"/>
      <c r="DQ315" s="517"/>
      <c r="DR315" s="517"/>
      <c r="DS315" s="517"/>
      <c r="DT315" s="517"/>
      <c r="DU315" s="517"/>
      <c r="DV315" s="517"/>
      <c r="DW315" s="517"/>
      <c r="DX315" s="517"/>
      <c r="DY315" s="517"/>
      <c r="DZ315" s="517"/>
      <c r="EA315" s="517"/>
      <c r="EB315" s="517"/>
      <c r="EC315" s="517"/>
      <c r="ED315" s="517"/>
      <c r="EE315" s="517"/>
      <c r="EF315" s="517"/>
      <c r="EG315" s="517"/>
      <c r="EH315" s="517"/>
      <c r="EI315" s="517"/>
      <c r="EJ315" s="517"/>
      <c r="EK315" s="517"/>
      <c r="EL315" s="517"/>
      <c r="EM315" s="517"/>
      <c r="EN315" s="517"/>
      <c r="EO315" s="517"/>
      <c r="EP315" s="517"/>
      <c r="EQ315" s="517"/>
      <c r="ER315" s="517"/>
      <c r="ES315" s="517"/>
      <c r="ET315" s="517"/>
      <c r="EU315" s="517"/>
      <c r="EV315" s="517"/>
      <c r="EW315" s="517"/>
      <c r="EX315" s="517"/>
      <c r="EY315" s="517"/>
      <c r="EZ315" s="517"/>
      <c r="FA315" s="517"/>
      <c r="FB315" s="517"/>
      <c r="FC315" s="517"/>
      <c r="FD315" s="517"/>
      <c r="FE315" s="517"/>
      <c r="FF315" s="517"/>
      <c r="FG315" s="517"/>
      <c r="FH315" s="517"/>
      <c r="FI315" s="517"/>
      <c r="FJ315" s="517"/>
      <c r="FK315" s="517"/>
      <c r="FL315" s="517"/>
      <c r="FM315" s="517"/>
      <c r="FN315" s="517"/>
      <c r="FO315" s="517"/>
      <c r="FP315" s="517"/>
      <c r="FQ315" s="517"/>
      <c r="FR315" s="517"/>
      <c r="FS315" s="517"/>
      <c r="FT315" s="517"/>
      <c r="FU315" s="517"/>
      <c r="FV315" s="517"/>
      <c r="FW315" s="517"/>
      <c r="FX315" s="517"/>
      <c r="FY315" s="517"/>
      <c r="FZ315" s="517"/>
      <c r="GA315" s="517"/>
      <c r="GB315" s="517"/>
      <c r="GC315" s="517"/>
      <c r="GD315" s="517"/>
      <c r="GE315" s="517"/>
      <c r="GF315" s="517"/>
      <c r="GG315" s="517"/>
      <c r="GH315" s="517"/>
      <c r="GI315" s="517"/>
      <c r="GJ315" s="517"/>
      <c r="GK315" s="517"/>
      <c r="GL315" s="517"/>
      <c r="GM315" s="517"/>
      <c r="GN315" s="517"/>
      <c r="GO315" s="517"/>
      <c r="GP315" s="517"/>
      <c r="GQ315" s="517"/>
      <c r="GR315" s="517"/>
      <c r="GS315" s="517"/>
      <c r="GT315" s="517"/>
      <c r="GU315" s="517"/>
      <c r="GV315" s="517"/>
      <c r="GW315" s="517"/>
      <c r="GX315" s="517"/>
      <c r="GY315" s="517"/>
      <c r="GZ315" s="517"/>
      <c r="HA315" s="517"/>
      <c r="HB315" s="517"/>
      <c r="HC315" s="517"/>
      <c r="HD315" s="517"/>
      <c r="HE315" s="517"/>
      <c r="HF315" s="517"/>
      <c r="HG315" s="517"/>
      <c r="HH315" s="517"/>
      <c r="HI315" s="517"/>
      <c r="HJ315" s="517"/>
      <c r="HK315" s="517"/>
      <c r="HL315" s="517"/>
      <c r="HM315" s="517"/>
      <c r="HN315" s="517"/>
      <c r="HO315" s="517"/>
      <c r="HP315" s="517"/>
      <c r="HQ315" s="517"/>
      <c r="HR315" s="517"/>
      <c r="HS315" s="517"/>
      <c r="HT315" s="517"/>
      <c r="HU315" s="517"/>
      <c r="HV315" s="517"/>
      <c r="HW315" s="517"/>
      <c r="HX315" s="517"/>
      <c r="HY315" s="517"/>
      <c r="HZ315" s="517"/>
      <c r="IA315" s="517"/>
      <c r="IB315" s="517"/>
      <c r="IC315" s="517"/>
      <c r="ID315" s="517"/>
      <c r="IE315" s="517"/>
      <c r="IF315" s="517"/>
      <c r="IG315" s="517"/>
      <c r="IH315" s="517"/>
      <c r="II315" s="517"/>
      <c r="IJ315" s="517"/>
      <c r="IK315" s="517"/>
      <c r="IL315" s="517"/>
      <c r="IM315" s="517"/>
      <c r="IN315" s="517"/>
      <c r="IO315" s="517"/>
      <c r="IP315" s="517"/>
      <c r="IQ315" s="517"/>
      <c r="IR315" s="517"/>
      <c r="IS315" s="517"/>
      <c r="IT315" s="517"/>
      <c r="IU315" s="517"/>
      <c r="IV315" s="517"/>
      <c r="IW315" s="517"/>
      <c r="IX315" s="517"/>
      <c r="IY315" s="517"/>
      <c r="IZ315" s="517"/>
      <c r="JA315" s="517"/>
      <c r="JB315" s="517"/>
      <c r="JC315" s="517"/>
      <c r="JD315" s="517"/>
      <c r="JE315" s="517"/>
      <c r="JF315" s="517"/>
      <c r="JG315" s="517"/>
      <c r="JH315" s="517"/>
      <c r="JI315" s="517"/>
      <c r="JJ315" s="517"/>
      <c r="JK315" s="517"/>
      <c r="JL315" s="517"/>
      <c r="JM315" s="517"/>
      <c r="JN315" s="517"/>
      <c r="JO315" s="517"/>
      <c r="JP315" s="517"/>
      <c r="JQ315" s="517"/>
      <c r="JR315" s="517"/>
      <c r="JS315" s="517"/>
      <c r="JT315" s="517"/>
      <c r="JU315" s="517"/>
      <c r="JV315" s="517"/>
      <c r="JW315" s="517"/>
      <c r="JX315" s="517"/>
      <c r="JY315" s="517"/>
      <c r="JZ315" s="517"/>
      <c r="KA315" s="517"/>
      <c r="KB315" s="517"/>
      <c r="KC315" s="517"/>
      <c r="KD315" s="517"/>
      <c r="KE315" s="517"/>
      <c r="KF315" s="517"/>
      <c r="KG315" s="517"/>
      <c r="KH315" s="517"/>
      <c r="KI315" s="517"/>
      <c r="KJ315" s="517"/>
      <c r="KK315" s="517"/>
      <c r="KL315" s="517"/>
      <c r="KM315" s="517"/>
      <c r="KN315" s="517"/>
      <c r="KO315" s="517"/>
      <c r="KP315" s="517"/>
      <c r="KQ315" s="517"/>
      <c r="KR315" s="517"/>
      <c r="KS315" s="517"/>
      <c r="KT315" s="517"/>
      <c r="KU315" s="517"/>
      <c r="KV315" s="517"/>
      <c r="KW315" s="517"/>
    </row>
    <row r="316" spans="1:309" x14ac:dyDescent="0.15">
      <c r="A316" s="19" t="s">
        <v>1061</v>
      </c>
      <c r="B316" s="19">
        <v>1578.5559497380314</v>
      </c>
      <c r="C316" s="19">
        <v>1578.5559497380314</v>
      </c>
      <c r="BJ316" s="517"/>
      <c r="BK316" s="517"/>
      <c r="BL316" s="517"/>
      <c r="BM316" s="517"/>
      <c r="BN316" s="517"/>
      <c r="BO316" s="517"/>
      <c r="BP316" s="517"/>
      <c r="BQ316" s="517"/>
      <c r="BR316" s="517"/>
      <c r="BS316" s="517"/>
      <c r="BT316" s="517"/>
      <c r="BU316" s="517"/>
      <c r="BV316" s="517"/>
      <c r="BW316" s="517"/>
      <c r="BX316" s="517"/>
      <c r="BY316" s="517"/>
      <c r="BZ316" s="517"/>
      <c r="CA316" s="517"/>
      <c r="CB316" s="517"/>
      <c r="CC316" s="517"/>
      <c r="CD316" s="517"/>
      <c r="CE316" s="517"/>
      <c r="CF316" s="517"/>
      <c r="CG316" s="517"/>
      <c r="CH316" s="517"/>
      <c r="CI316" s="517"/>
      <c r="CJ316" s="517"/>
      <c r="CK316" s="517"/>
      <c r="CL316" s="517"/>
      <c r="CM316" s="517"/>
      <c r="CN316" s="517"/>
      <c r="CO316" s="517"/>
      <c r="CP316" s="517"/>
      <c r="CQ316" s="517"/>
      <c r="CR316" s="517"/>
      <c r="CS316" s="517"/>
      <c r="CT316" s="517"/>
      <c r="CU316" s="517"/>
      <c r="CV316" s="517"/>
      <c r="CW316" s="517"/>
      <c r="CX316" s="517"/>
      <c r="CY316" s="517"/>
      <c r="CZ316" s="517"/>
      <c r="DA316" s="517"/>
      <c r="DB316" s="517"/>
      <c r="DC316" s="517"/>
      <c r="DD316" s="517"/>
      <c r="DE316" s="517"/>
      <c r="DF316" s="517"/>
      <c r="DG316" s="517"/>
      <c r="DH316" s="517"/>
      <c r="DI316" s="517"/>
      <c r="DJ316" s="517"/>
      <c r="DK316" s="517"/>
      <c r="DL316" s="517"/>
      <c r="DM316" s="517"/>
      <c r="DN316" s="517"/>
      <c r="DO316" s="517"/>
      <c r="DP316" s="517"/>
      <c r="DQ316" s="517"/>
      <c r="DR316" s="517"/>
      <c r="DS316" s="517"/>
      <c r="DT316" s="517"/>
      <c r="DU316" s="517"/>
      <c r="DV316" s="517"/>
      <c r="DW316" s="517"/>
      <c r="DX316" s="517"/>
      <c r="DY316" s="517"/>
      <c r="DZ316" s="517"/>
      <c r="EA316" s="517"/>
      <c r="EB316" s="517"/>
      <c r="EC316" s="517"/>
      <c r="ED316" s="517"/>
      <c r="EE316" s="517"/>
      <c r="EF316" s="517"/>
      <c r="EG316" s="517"/>
      <c r="EH316" s="517"/>
      <c r="EI316" s="517"/>
      <c r="EJ316" s="517"/>
      <c r="EK316" s="517"/>
      <c r="EL316" s="517"/>
      <c r="EM316" s="517"/>
      <c r="EN316" s="517"/>
      <c r="EO316" s="517"/>
      <c r="EP316" s="517"/>
      <c r="EQ316" s="517"/>
      <c r="ER316" s="517"/>
      <c r="ES316" s="517"/>
      <c r="ET316" s="517"/>
      <c r="EU316" s="517"/>
      <c r="EV316" s="517"/>
      <c r="EW316" s="517"/>
      <c r="EX316" s="517"/>
      <c r="EY316" s="517"/>
      <c r="EZ316" s="517"/>
      <c r="FA316" s="517"/>
      <c r="FB316" s="517"/>
      <c r="FC316" s="517"/>
      <c r="FD316" s="517"/>
      <c r="FE316" s="517"/>
      <c r="FF316" s="517"/>
      <c r="FG316" s="517"/>
      <c r="FH316" s="517"/>
      <c r="FI316" s="517"/>
      <c r="FJ316" s="517"/>
      <c r="FK316" s="517"/>
      <c r="FL316" s="517"/>
      <c r="FM316" s="517"/>
      <c r="FN316" s="517"/>
      <c r="FO316" s="517"/>
      <c r="FP316" s="517"/>
      <c r="FQ316" s="517"/>
      <c r="FR316" s="517"/>
      <c r="FS316" s="517"/>
      <c r="FT316" s="517"/>
      <c r="FU316" s="517"/>
      <c r="FV316" s="517"/>
      <c r="FW316" s="517"/>
      <c r="FX316" s="517"/>
      <c r="FY316" s="517"/>
      <c r="FZ316" s="517"/>
      <c r="GA316" s="517"/>
      <c r="GB316" s="517"/>
      <c r="GC316" s="517"/>
      <c r="GD316" s="517"/>
      <c r="GE316" s="517"/>
      <c r="GF316" s="517"/>
      <c r="GG316" s="517"/>
      <c r="GH316" s="517"/>
      <c r="GI316" s="517"/>
      <c r="GJ316" s="517"/>
      <c r="GK316" s="517"/>
      <c r="GL316" s="517"/>
      <c r="GM316" s="517"/>
      <c r="GN316" s="517"/>
      <c r="GO316" s="517"/>
      <c r="GP316" s="517"/>
      <c r="GQ316" s="517"/>
      <c r="GR316" s="517"/>
      <c r="GS316" s="517"/>
      <c r="GT316" s="517"/>
      <c r="GU316" s="517"/>
      <c r="GV316" s="517"/>
      <c r="GW316" s="517"/>
      <c r="GX316" s="517"/>
      <c r="GY316" s="517"/>
      <c r="GZ316" s="517"/>
      <c r="HA316" s="517"/>
      <c r="HB316" s="517"/>
      <c r="HC316" s="517"/>
      <c r="HD316" s="517"/>
      <c r="HE316" s="517"/>
      <c r="HF316" s="517"/>
      <c r="HG316" s="517"/>
      <c r="HH316" s="517"/>
      <c r="HI316" s="517"/>
      <c r="HJ316" s="517"/>
      <c r="HK316" s="517"/>
      <c r="HL316" s="517"/>
      <c r="HM316" s="517"/>
      <c r="HN316" s="517"/>
      <c r="HO316" s="517"/>
      <c r="HP316" s="517"/>
      <c r="HQ316" s="517"/>
      <c r="HR316" s="517"/>
      <c r="HS316" s="517"/>
      <c r="HT316" s="517"/>
      <c r="HU316" s="517"/>
      <c r="HV316" s="517"/>
      <c r="HW316" s="517"/>
      <c r="HX316" s="517"/>
      <c r="HY316" s="517"/>
      <c r="HZ316" s="517"/>
      <c r="IA316" s="517"/>
      <c r="IB316" s="517"/>
      <c r="IC316" s="517"/>
      <c r="ID316" s="517"/>
      <c r="IE316" s="517"/>
      <c r="IF316" s="517"/>
      <c r="IG316" s="517"/>
      <c r="IH316" s="517"/>
      <c r="II316" s="517"/>
      <c r="IJ316" s="517"/>
      <c r="IK316" s="517"/>
      <c r="IL316" s="517"/>
      <c r="IM316" s="517"/>
      <c r="IN316" s="517"/>
      <c r="IO316" s="517"/>
      <c r="IP316" s="517"/>
      <c r="IQ316" s="517"/>
      <c r="IR316" s="517"/>
      <c r="IS316" s="517"/>
      <c r="IT316" s="517"/>
      <c r="IU316" s="517"/>
      <c r="IV316" s="517"/>
      <c r="IW316" s="517"/>
      <c r="IX316" s="517"/>
      <c r="IY316" s="517"/>
      <c r="IZ316" s="517"/>
      <c r="JA316" s="517"/>
      <c r="JB316" s="517"/>
      <c r="JC316" s="517"/>
      <c r="JD316" s="517"/>
      <c r="JE316" s="517"/>
      <c r="JF316" s="517"/>
      <c r="JG316" s="517"/>
      <c r="JH316" s="517"/>
      <c r="JI316" s="517"/>
      <c r="JJ316" s="517"/>
      <c r="JK316" s="517"/>
      <c r="JL316" s="517"/>
      <c r="JM316" s="517"/>
      <c r="JN316" s="517"/>
      <c r="JO316" s="517"/>
      <c r="JP316" s="517"/>
      <c r="JQ316" s="517"/>
      <c r="JR316" s="517"/>
      <c r="JS316" s="517"/>
      <c r="JT316" s="517"/>
      <c r="JU316" s="517"/>
      <c r="JV316" s="517"/>
      <c r="JW316" s="517"/>
      <c r="JX316" s="517"/>
      <c r="JY316" s="517"/>
      <c r="JZ316" s="517"/>
      <c r="KA316" s="517"/>
      <c r="KB316" s="517"/>
      <c r="KC316" s="517"/>
      <c r="KD316" s="517"/>
      <c r="KE316" s="517"/>
      <c r="KF316" s="517"/>
      <c r="KG316" s="517"/>
      <c r="KH316" s="517"/>
      <c r="KI316" s="517"/>
      <c r="KJ316" s="517"/>
      <c r="KK316" s="517"/>
      <c r="KL316" s="517"/>
      <c r="KM316" s="517"/>
      <c r="KN316" s="517"/>
      <c r="KO316" s="517"/>
      <c r="KP316" s="517"/>
      <c r="KQ316" s="517"/>
      <c r="KR316" s="517"/>
      <c r="KS316" s="517"/>
      <c r="KT316" s="517"/>
      <c r="KU316" s="517"/>
      <c r="KV316" s="517"/>
      <c r="KW316" s="517"/>
    </row>
    <row r="317" spans="1:309" x14ac:dyDescent="0.15">
      <c r="A317" s="19" t="s">
        <v>1065</v>
      </c>
      <c r="B317" s="19">
        <f>-(C316-$C315)*100000</f>
        <v>15.961909593897872</v>
      </c>
      <c r="BJ317" s="517"/>
      <c r="BK317" s="517"/>
      <c r="BL317" s="517"/>
      <c r="BM317" s="517"/>
      <c r="BN317" s="517"/>
      <c r="BO317" s="517"/>
      <c r="BP317" s="517"/>
      <c r="BQ317" s="517"/>
      <c r="BR317" s="517"/>
      <c r="BS317" s="517"/>
      <c r="BT317" s="517"/>
      <c r="BU317" s="517"/>
      <c r="BV317" s="517"/>
      <c r="BW317" s="517"/>
      <c r="BX317" s="517"/>
      <c r="BY317" s="517"/>
      <c r="BZ317" s="517"/>
      <c r="CA317" s="517"/>
      <c r="CB317" s="517"/>
      <c r="CC317" s="517"/>
      <c r="CD317" s="517"/>
      <c r="CE317" s="517"/>
      <c r="CF317" s="517"/>
      <c r="CG317" s="517"/>
      <c r="CH317" s="517"/>
      <c r="CI317" s="517"/>
      <c r="CJ317" s="517"/>
      <c r="CK317" s="517"/>
      <c r="CL317" s="517"/>
      <c r="CM317" s="517"/>
      <c r="CN317" s="517"/>
      <c r="CO317" s="517"/>
      <c r="CP317" s="517"/>
      <c r="CQ317" s="517"/>
      <c r="CR317" s="517"/>
      <c r="CS317" s="517"/>
      <c r="CT317" s="517"/>
      <c r="CU317" s="517"/>
      <c r="CV317" s="517"/>
      <c r="CW317" s="517"/>
      <c r="CX317" s="517"/>
      <c r="CY317" s="517"/>
      <c r="CZ317" s="517"/>
      <c r="DA317" s="517"/>
      <c r="DB317" s="517"/>
      <c r="DC317" s="517"/>
      <c r="DD317" s="517"/>
      <c r="DE317" s="517"/>
      <c r="DF317" s="517"/>
      <c r="DG317" s="517"/>
      <c r="DH317" s="517"/>
      <c r="DI317" s="517"/>
      <c r="DJ317" s="517"/>
      <c r="DK317" s="517"/>
      <c r="DL317" s="517"/>
      <c r="DM317" s="517"/>
      <c r="DN317" s="517"/>
      <c r="DO317" s="517"/>
      <c r="DP317" s="517"/>
      <c r="DQ317" s="517"/>
      <c r="DR317" s="517"/>
      <c r="DS317" s="517"/>
      <c r="DT317" s="517"/>
      <c r="DU317" s="517"/>
      <c r="DV317" s="517"/>
      <c r="DW317" s="517"/>
      <c r="DX317" s="517"/>
      <c r="DY317" s="517"/>
      <c r="DZ317" s="517"/>
      <c r="EA317" s="517"/>
      <c r="EB317" s="517"/>
      <c r="EC317" s="517"/>
      <c r="ED317" s="517"/>
      <c r="EE317" s="517"/>
      <c r="EF317" s="517"/>
      <c r="EG317" s="517"/>
      <c r="EH317" s="517"/>
      <c r="EI317" s="517"/>
      <c r="EJ317" s="517"/>
      <c r="EK317" s="517"/>
      <c r="EL317" s="517"/>
      <c r="EM317" s="517"/>
      <c r="EN317" s="517"/>
      <c r="EO317" s="517"/>
      <c r="EP317" s="517"/>
      <c r="EQ317" s="517"/>
      <c r="ER317" s="517"/>
      <c r="ES317" s="517"/>
      <c r="ET317" s="517"/>
      <c r="EU317" s="517"/>
      <c r="EV317" s="517"/>
      <c r="EW317" s="517"/>
      <c r="EX317" s="517"/>
      <c r="EY317" s="517"/>
      <c r="EZ317" s="517"/>
      <c r="FA317" s="517"/>
      <c r="FB317" s="517"/>
      <c r="FC317" s="517"/>
      <c r="FD317" s="517"/>
      <c r="FE317" s="517"/>
      <c r="FF317" s="517"/>
      <c r="FG317" s="517"/>
      <c r="FH317" s="517"/>
      <c r="FI317" s="517"/>
      <c r="FJ317" s="517"/>
      <c r="FK317" s="517"/>
      <c r="FL317" s="517"/>
      <c r="FM317" s="517"/>
      <c r="FN317" s="517"/>
      <c r="FO317" s="517"/>
      <c r="FP317" s="517"/>
      <c r="FQ317" s="517"/>
      <c r="FR317" s="517"/>
      <c r="FS317" s="517"/>
      <c r="FT317" s="517"/>
      <c r="FU317" s="517"/>
      <c r="FV317" s="517"/>
      <c r="FW317" s="517"/>
      <c r="FX317" s="517"/>
      <c r="FY317" s="517"/>
      <c r="FZ317" s="517"/>
      <c r="GA317" s="517"/>
      <c r="GB317" s="517"/>
      <c r="GC317" s="517"/>
      <c r="GD317" s="517"/>
      <c r="GE317" s="517"/>
      <c r="GF317" s="517"/>
      <c r="GG317" s="517"/>
      <c r="GH317" s="517"/>
      <c r="GI317" s="517"/>
      <c r="GJ317" s="517"/>
      <c r="GK317" s="517"/>
      <c r="GL317" s="517"/>
      <c r="GM317" s="517"/>
      <c r="GN317" s="517"/>
      <c r="GO317" s="517"/>
      <c r="GP317" s="517"/>
      <c r="GQ317" s="517"/>
      <c r="GR317" s="517"/>
      <c r="GS317" s="517"/>
      <c r="GT317" s="517"/>
      <c r="GU317" s="517"/>
      <c r="GV317" s="517"/>
      <c r="GW317" s="517"/>
      <c r="GX317" s="517"/>
      <c r="GY317" s="517"/>
      <c r="GZ317" s="517"/>
      <c r="HA317" s="517"/>
      <c r="HB317" s="517"/>
      <c r="HC317" s="517"/>
      <c r="HD317" s="517"/>
      <c r="HE317" s="517"/>
      <c r="HF317" s="517"/>
      <c r="HG317" s="517"/>
      <c r="HH317" s="517"/>
      <c r="HI317" s="517"/>
      <c r="HJ317" s="517"/>
      <c r="HK317" s="517"/>
      <c r="HL317" s="517"/>
      <c r="HM317" s="517"/>
      <c r="HN317" s="517"/>
      <c r="HO317" s="517"/>
      <c r="HP317" s="517"/>
      <c r="HQ317" s="517"/>
      <c r="HR317" s="517"/>
      <c r="HS317" s="517"/>
      <c r="HT317" s="517"/>
      <c r="HU317" s="517"/>
      <c r="HV317" s="517"/>
      <c r="HW317" s="517"/>
      <c r="HX317" s="517"/>
      <c r="HY317" s="517"/>
      <c r="HZ317" s="517"/>
      <c r="IA317" s="517"/>
      <c r="IB317" s="517"/>
      <c r="IC317" s="517"/>
      <c r="ID317" s="517"/>
      <c r="IE317" s="517"/>
      <c r="IF317" s="517"/>
      <c r="IG317" s="517"/>
      <c r="IH317" s="517"/>
      <c r="II317" s="517"/>
      <c r="IJ317" s="517"/>
      <c r="IK317" s="517"/>
      <c r="IL317" s="517"/>
      <c r="IM317" s="517"/>
      <c r="IN317" s="517"/>
      <c r="IO317" s="517"/>
      <c r="IP317" s="517"/>
      <c r="IQ317" s="517"/>
      <c r="IR317" s="517"/>
      <c r="IS317" s="517"/>
      <c r="IT317" s="517"/>
      <c r="IU317" s="517"/>
      <c r="IV317" s="517"/>
      <c r="IW317" s="517"/>
      <c r="IX317" s="517"/>
      <c r="IY317" s="517"/>
      <c r="IZ317" s="517"/>
      <c r="JA317" s="517"/>
      <c r="JB317" s="517"/>
      <c r="JC317" s="517"/>
      <c r="JD317" s="517"/>
      <c r="JE317" s="517"/>
      <c r="JF317" s="517"/>
      <c r="JG317" s="517"/>
      <c r="JH317" s="517"/>
      <c r="JI317" s="517"/>
      <c r="JJ317" s="517"/>
      <c r="JK317" s="517"/>
      <c r="JL317" s="517"/>
      <c r="JM317" s="517"/>
      <c r="JN317" s="517"/>
      <c r="JO317" s="517"/>
      <c r="JP317" s="517"/>
      <c r="JQ317" s="517"/>
      <c r="JR317" s="517"/>
      <c r="JS317" s="517"/>
      <c r="JT317" s="517"/>
      <c r="JU317" s="517"/>
      <c r="JV317" s="517"/>
      <c r="JW317" s="517"/>
      <c r="JX317" s="517"/>
      <c r="JY317" s="517"/>
      <c r="JZ317" s="517"/>
      <c r="KA317" s="517"/>
      <c r="KB317" s="517"/>
      <c r="KC317" s="517"/>
      <c r="KD317" s="517"/>
      <c r="KE317" s="517"/>
      <c r="KF317" s="517"/>
      <c r="KG317" s="517"/>
      <c r="KH317" s="517"/>
      <c r="KI317" s="517"/>
      <c r="KJ317" s="517"/>
      <c r="KK317" s="517"/>
      <c r="KL317" s="517"/>
      <c r="KM317" s="517"/>
      <c r="KN317" s="517"/>
      <c r="KO317" s="517"/>
      <c r="KP317" s="517"/>
      <c r="KQ317" s="517"/>
      <c r="KR317" s="517"/>
      <c r="KS317" s="517"/>
      <c r="KT317" s="517"/>
      <c r="KU317" s="517"/>
      <c r="KV317" s="517"/>
      <c r="KW317" s="517"/>
    </row>
    <row r="318" spans="1:309" x14ac:dyDescent="0.15">
      <c r="A318" s="19" t="s">
        <v>1066</v>
      </c>
      <c r="B318" s="414">
        <f>+B317/B366</f>
        <v>15.961909593897872</v>
      </c>
      <c r="C318" s="414"/>
      <c r="D318" s="414"/>
      <c r="BJ318" s="517"/>
      <c r="BK318" s="517"/>
      <c r="BL318" s="517"/>
      <c r="BM318" s="517"/>
      <c r="BN318" s="517"/>
      <c r="BO318" s="517"/>
      <c r="BP318" s="517"/>
      <c r="BQ318" s="517"/>
      <c r="BR318" s="517"/>
      <c r="BS318" s="517"/>
      <c r="BT318" s="517"/>
      <c r="BU318" s="517"/>
      <c r="BV318" s="517"/>
      <c r="BW318" s="517"/>
      <c r="BX318" s="517"/>
      <c r="BY318" s="517"/>
      <c r="BZ318" s="517"/>
      <c r="CA318" s="517"/>
      <c r="CB318" s="517"/>
      <c r="CC318" s="517"/>
      <c r="CD318" s="517"/>
      <c r="CE318" s="517"/>
      <c r="CF318" s="517"/>
      <c r="CG318" s="517"/>
      <c r="CH318" s="517"/>
      <c r="CI318" s="517"/>
      <c r="CJ318" s="517"/>
      <c r="CK318" s="517"/>
      <c r="CL318" s="517"/>
      <c r="CM318" s="517"/>
      <c r="CN318" s="517"/>
      <c r="CO318" s="517"/>
      <c r="CP318" s="517"/>
      <c r="CQ318" s="517"/>
      <c r="CR318" s="517"/>
      <c r="CS318" s="517"/>
      <c r="CT318" s="517"/>
      <c r="CU318" s="517"/>
      <c r="CV318" s="517"/>
      <c r="CW318" s="517"/>
      <c r="CX318" s="517"/>
      <c r="CY318" s="517"/>
      <c r="CZ318" s="517"/>
      <c r="DA318" s="517"/>
      <c r="DB318" s="517"/>
      <c r="DC318" s="517"/>
      <c r="DD318" s="517"/>
      <c r="DE318" s="517"/>
      <c r="DF318" s="517"/>
      <c r="DG318" s="517"/>
      <c r="DH318" s="517"/>
      <c r="DI318" s="517"/>
      <c r="DJ318" s="517"/>
      <c r="DK318" s="517"/>
      <c r="DL318" s="517"/>
      <c r="DM318" s="517"/>
      <c r="DN318" s="517"/>
      <c r="DO318" s="517"/>
      <c r="DP318" s="517"/>
      <c r="DQ318" s="517"/>
      <c r="DR318" s="517"/>
      <c r="DS318" s="517"/>
      <c r="DT318" s="517"/>
      <c r="DU318" s="517"/>
      <c r="DV318" s="517"/>
      <c r="DW318" s="517"/>
      <c r="DX318" s="517"/>
      <c r="DY318" s="517"/>
      <c r="DZ318" s="517"/>
      <c r="EA318" s="517"/>
      <c r="EB318" s="517"/>
      <c r="EC318" s="517"/>
      <c r="ED318" s="517"/>
      <c r="EE318" s="517"/>
      <c r="EF318" s="517"/>
      <c r="EG318" s="517"/>
      <c r="EH318" s="517"/>
      <c r="EI318" s="517"/>
      <c r="EJ318" s="517"/>
      <c r="EK318" s="517"/>
      <c r="EL318" s="517"/>
      <c r="EM318" s="517"/>
      <c r="EN318" s="517"/>
      <c r="EO318" s="517"/>
      <c r="EP318" s="517"/>
      <c r="EQ318" s="517"/>
      <c r="ER318" s="517"/>
      <c r="ES318" s="517"/>
      <c r="ET318" s="517"/>
      <c r="EU318" s="517"/>
      <c r="EV318" s="517"/>
      <c r="EW318" s="517"/>
      <c r="EX318" s="517"/>
      <c r="EY318" s="517"/>
      <c r="EZ318" s="517"/>
      <c r="FA318" s="517"/>
      <c r="FB318" s="517"/>
      <c r="FC318" s="517"/>
      <c r="FD318" s="517"/>
      <c r="FE318" s="517"/>
      <c r="FF318" s="517"/>
      <c r="FG318" s="517"/>
      <c r="FH318" s="517"/>
      <c r="FI318" s="517"/>
      <c r="FJ318" s="517"/>
      <c r="FK318" s="517"/>
      <c r="FL318" s="517"/>
      <c r="FM318" s="517"/>
      <c r="FN318" s="517"/>
      <c r="FO318" s="517"/>
      <c r="FP318" s="517"/>
      <c r="FQ318" s="517"/>
      <c r="FR318" s="517"/>
      <c r="FS318" s="517"/>
      <c r="FT318" s="517"/>
      <c r="FU318" s="517"/>
      <c r="FV318" s="517"/>
      <c r="FW318" s="517"/>
      <c r="FX318" s="517"/>
      <c r="FY318" s="517"/>
      <c r="FZ318" s="517"/>
      <c r="GA318" s="517"/>
      <c r="GB318" s="517"/>
      <c r="GC318" s="517"/>
      <c r="GD318" s="517"/>
      <c r="GE318" s="517"/>
      <c r="GF318" s="517"/>
      <c r="GG318" s="517"/>
      <c r="GH318" s="517"/>
      <c r="GI318" s="517"/>
      <c r="GJ318" s="517"/>
      <c r="GK318" s="517"/>
      <c r="GL318" s="517"/>
      <c r="GM318" s="517"/>
      <c r="GN318" s="517"/>
      <c r="GO318" s="517"/>
      <c r="GP318" s="517"/>
      <c r="GQ318" s="517"/>
      <c r="GR318" s="517"/>
      <c r="GS318" s="517"/>
      <c r="GT318" s="517"/>
      <c r="GU318" s="517"/>
      <c r="GV318" s="517"/>
      <c r="GW318" s="517"/>
      <c r="GX318" s="517"/>
      <c r="GY318" s="517"/>
      <c r="GZ318" s="517"/>
      <c r="HA318" s="517"/>
      <c r="HB318" s="517"/>
      <c r="HC318" s="517"/>
      <c r="HD318" s="517"/>
      <c r="HE318" s="517"/>
      <c r="HF318" s="517"/>
      <c r="HG318" s="517"/>
      <c r="HH318" s="517"/>
      <c r="HI318" s="517"/>
      <c r="HJ318" s="517"/>
      <c r="HK318" s="517"/>
      <c r="HL318" s="517"/>
      <c r="HM318" s="517"/>
      <c r="HN318" s="517"/>
      <c r="HO318" s="517"/>
      <c r="HP318" s="517"/>
      <c r="HQ318" s="517"/>
      <c r="HR318" s="517"/>
      <c r="HS318" s="517"/>
      <c r="HT318" s="517"/>
      <c r="HU318" s="517"/>
      <c r="HV318" s="517"/>
      <c r="HW318" s="517"/>
      <c r="HX318" s="517"/>
      <c r="HY318" s="517"/>
      <c r="HZ318" s="517"/>
      <c r="IA318" s="517"/>
      <c r="IB318" s="517"/>
      <c r="IC318" s="517"/>
      <c r="ID318" s="517"/>
      <c r="IE318" s="517"/>
      <c r="IF318" s="517"/>
      <c r="IG318" s="517"/>
      <c r="IH318" s="517"/>
      <c r="II318" s="517"/>
      <c r="IJ318" s="517"/>
      <c r="IK318" s="517"/>
      <c r="IL318" s="517"/>
      <c r="IM318" s="517"/>
      <c r="IN318" s="517"/>
      <c r="IO318" s="517"/>
      <c r="IP318" s="517"/>
      <c r="IQ318" s="517"/>
      <c r="IR318" s="517"/>
      <c r="IS318" s="517"/>
      <c r="IT318" s="517"/>
      <c r="IU318" s="517"/>
      <c r="IV318" s="517"/>
      <c r="IW318" s="517"/>
      <c r="IX318" s="517"/>
      <c r="IY318" s="517"/>
      <c r="IZ318" s="517"/>
      <c r="JA318" s="517"/>
      <c r="JB318" s="517"/>
      <c r="JC318" s="517"/>
      <c r="JD318" s="517"/>
      <c r="JE318" s="517"/>
      <c r="JF318" s="517"/>
      <c r="JG318" s="517"/>
      <c r="JH318" s="517"/>
      <c r="JI318" s="517"/>
      <c r="JJ318" s="517"/>
      <c r="JK318" s="517"/>
      <c r="JL318" s="517"/>
      <c r="JM318" s="517"/>
      <c r="JN318" s="517"/>
      <c r="JO318" s="517"/>
      <c r="JP318" s="517"/>
      <c r="JQ318" s="517"/>
      <c r="JR318" s="517"/>
      <c r="JS318" s="517"/>
      <c r="JT318" s="517"/>
      <c r="JU318" s="517"/>
      <c r="JV318" s="517"/>
      <c r="JW318" s="517"/>
      <c r="JX318" s="517"/>
      <c r="JY318" s="517"/>
      <c r="JZ318" s="517"/>
      <c r="KA318" s="517"/>
      <c r="KB318" s="517"/>
      <c r="KC318" s="517"/>
      <c r="KD318" s="517"/>
      <c r="KE318" s="517"/>
      <c r="KF318" s="517"/>
      <c r="KG318" s="517"/>
      <c r="KH318" s="517"/>
      <c r="KI318" s="517"/>
      <c r="KJ318" s="517"/>
      <c r="KK318" s="517"/>
      <c r="KL318" s="517"/>
      <c r="KM318" s="517"/>
      <c r="KN318" s="517"/>
      <c r="KO318" s="517"/>
      <c r="KP318" s="517"/>
      <c r="KQ318" s="517"/>
      <c r="KR318" s="517"/>
      <c r="KS318" s="517"/>
      <c r="KT318" s="517"/>
      <c r="KU318" s="517"/>
      <c r="KV318" s="517"/>
      <c r="KW318" s="517"/>
    </row>
    <row r="320" spans="1:309" x14ac:dyDescent="0.15">
      <c r="B320" s="414"/>
      <c r="C320" s="414"/>
      <c r="D320" s="414"/>
      <c r="BJ320" s="517"/>
      <c r="BK320" s="517"/>
      <c r="BL320" s="517"/>
      <c r="BM320" s="517"/>
      <c r="BN320" s="517"/>
      <c r="BO320" s="517"/>
      <c r="BP320" s="517"/>
      <c r="BQ320" s="517"/>
      <c r="BR320" s="517"/>
      <c r="BS320" s="517"/>
      <c r="BT320" s="517"/>
      <c r="BU320" s="517"/>
      <c r="BV320" s="517"/>
      <c r="BW320" s="517"/>
      <c r="BX320" s="517"/>
      <c r="BY320" s="517"/>
      <c r="BZ320" s="517"/>
      <c r="CA320" s="517"/>
      <c r="CB320" s="517"/>
      <c r="CC320" s="517"/>
      <c r="CD320" s="517"/>
      <c r="CE320" s="517"/>
      <c r="CF320" s="517"/>
      <c r="CG320" s="517"/>
      <c r="CH320" s="517"/>
      <c r="CI320" s="517"/>
      <c r="CJ320" s="517"/>
      <c r="CK320" s="517"/>
      <c r="CL320" s="517"/>
      <c r="CM320" s="517"/>
      <c r="CN320" s="517"/>
      <c r="CO320" s="517"/>
      <c r="CP320" s="517"/>
      <c r="CQ320" s="517"/>
      <c r="CR320" s="517"/>
      <c r="CS320" s="517"/>
      <c r="CT320" s="517"/>
      <c r="CU320" s="517"/>
      <c r="CV320" s="517"/>
      <c r="CW320" s="517"/>
      <c r="CX320" s="517"/>
      <c r="CY320" s="517"/>
      <c r="CZ320" s="517"/>
      <c r="DA320" s="517"/>
      <c r="DB320" s="517"/>
      <c r="DC320" s="517"/>
      <c r="DD320" s="517"/>
      <c r="DE320" s="517"/>
      <c r="DF320" s="517"/>
      <c r="DG320" s="517"/>
      <c r="DH320" s="517"/>
      <c r="DI320" s="517"/>
      <c r="DJ320" s="517"/>
      <c r="DK320" s="517"/>
      <c r="DL320" s="517"/>
      <c r="DM320" s="517"/>
      <c r="DN320" s="517"/>
      <c r="DO320" s="517"/>
      <c r="DP320" s="517"/>
      <c r="DQ320" s="517"/>
      <c r="DR320" s="517"/>
      <c r="DS320" s="517"/>
      <c r="DT320" s="517"/>
      <c r="DU320" s="517"/>
      <c r="DV320" s="517"/>
      <c r="DW320" s="517"/>
      <c r="DX320" s="517"/>
      <c r="DY320" s="517"/>
      <c r="DZ320" s="517"/>
      <c r="EA320" s="517"/>
      <c r="EB320" s="517"/>
      <c r="EC320" s="517"/>
      <c r="ED320" s="517"/>
      <c r="EE320" s="517"/>
      <c r="EF320" s="517"/>
      <c r="EG320" s="517"/>
      <c r="EH320" s="517"/>
      <c r="EI320" s="517"/>
      <c r="EJ320" s="517"/>
      <c r="EK320" s="517"/>
      <c r="EL320" s="517"/>
      <c r="EM320" s="517"/>
      <c r="EN320" s="517"/>
      <c r="EO320" s="517"/>
      <c r="EP320" s="517"/>
      <c r="EQ320" s="517"/>
      <c r="ER320" s="517"/>
      <c r="ES320" s="517"/>
      <c r="ET320" s="517"/>
      <c r="EU320" s="517"/>
      <c r="EV320" s="517"/>
      <c r="EW320" s="517"/>
      <c r="EX320" s="517"/>
      <c r="EY320" s="517"/>
      <c r="EZ320" s="517"/>
      <c r="FA320" s="517"/>
      <c r="FB320" s="517"/>
      <c r="FC320" s="517"/>
      <c r="FD320" s="517"/>
      <c r="FE320" s="517"/>
      <c r="FF320" s="517"/>
      <c r="FG320" s="517"/>
      <c r="FH320" s="517"/>
      <c r="FI320" s="517"/>
      <c r="FJ320" s="517"/>
      <c r="FK320" s="517"/>
      <c r="FL320" s="517"/>
      <c r="FM320" s="517"/>
      <c r="FN320" s="517"/>
      <c r="FO320" s="517"/>
      <c r="FP320" s="517"/>
      <c r="FQ320" s="517"/>
      <c r="FR320" s="517"/>
      <c r="FS320" s="517"/>
      <c r="FT320" s="517"/>
      <c r="FU320" s="517"/>
      <c r="FV320" s="517"/>
      <c r="FW320" s="517"/>
      <c r="FX320" s="517"/>
      <c r="FY320" s="517"/>
      <c r="FZ320" s="517"/>
      <c r="GA320" s="517"/>
      <c r="GB320" s="517"/>
      <c r="GC320" s="517"/>
      <c r="GD320" s="517"/>
      <c r="GE320" s="517"/>
      <c r="GF320" s="517"/>
      <c r="GG320" s="517"/>
      <c r="GH320" s="517"/>
      <c r="GI320" s="517"/>
      <c r="GJ320" s="517"/>
      <c r="GK320" s="517"/>
      <c r="GL320" s="517"/>
      <c r="GM320" s="517"/>
      <c r="GN320" s="517"/>
      <c r="GO320" s="517"/>
      <c r="GP320" s="517"/>
      <c r="GQ320" s="517"/>
      <c r="GR320" s="517"/>
      <c r="GS320" s="517"/>
      <c r="GT320" s="517"/>
      <c r="GU320" s="517"/>
      <c r="GV320" s="517"/>
      <c r="GW320" s="517"/>
      <c r="GX320" s="517"/>
      <c r="GY320" s="517"/>
      <c r="GZ320" s="517"/>
      <c r="HA320" s="517"/>
      <c r="HB320" s="517"/>
      <c r="HC320" s="517"/>
      <c r="HD320" s="517"/>
      <c r="HE320" s="517"/>
      <c r="HF320" s="517"/>
      <c r="HG320" s="517"/>
      <c r="HH320" s="517"/>
      <c r="HI320" s="517"/>
      <c r="HJ320" s="517"/>
      <c r="HK320" s="517"/>
      <c r="HL320" s="517"/>
      <c r="HM320" s="517"/>
      <c r="HN320" s="517"/>
      <c r="HO320" s="517"/>
      <c r="HP320" s="517"/>
      <c r="HQ320" s="517"/>
      <c r="HR320" s="517"/>
      <c r="HS320" s="517"/>
      <c r="HT320" s="517"/>
      <c r="HU320" s="517"/>
      <c r="HV320" s="517"/>
      <c r="HW320" s="517"/>
      <c r="HX320" s="517"/>
      <c r="HY320" s="517"/>
      <c r="HZ320" s="517"/>
      <c r="IA320" s="517"/>
      <c r="IB320" s="517"/>
      <c r="IC320" s="517"/>
      <c r="ID320" s="517"/>
      <c r="IE320" s="517"/>
      <c r="IF320" s="517"/>
      <c r="IG320" s="517"/>
      <c r="IH320" s="517"/>
      <c r="II320" s="517"/>
      <c r="IJ320" s="517"/>
      <c r="IK320" s="517"/>
      <c r="IL320" s="517"/>
      <c r="IM320" s="517"/>
      <c r="IN320" s="517"/>
      <c r="IO320" s="517"/>
      <c r="IP320" s="517"/>
      <c r="IQ320" s="517"/>
      <c r="IR320" s="517"/>
      <c r="IS320" s="517"/>
      <c r="IT320" s="517"/>
      <c r="IU320" s="517"/>
      <c r="IV320" s="517"/>
      <c r="IW320" s="517"/>
      <c r="IX320" s="517"/>
      <c r="IY320" s="517"/>
      <c r="IZ320" s="517"/>
      <c r="JA320" s="517"/>
      <c r="JB320" s="517"/>
      <c r="JC320" s="517"/>
      <c r="JD320" s="517"/>
      <c r="JE320" s="517"/>
      <c r="JF320" s="517"/>
      <c r="JG320" s="517"/>
      <c r="JH320" s="517"/>
      <c r="JI320" s="517"/>
      <c r="JJ320" s="517"/>
      <c r="JK320" s="517"/>
      <c r="JL320" s="517"/>
      <c r="JM320" s="517"/>
      <c r="JN320" s="517"/>
      <c r="JO320" s="517"/>
      <c r="JP320" s="517"/>
      <c r="JQ320" s="517"/>
      <c r="JR320" s="517"/>
      <c r="JS320" s="517"/>
      <c r="JT320" s="517"/>
      <c r="JU320" s="517"/>
      <c r="JV320" s="517"/>
      <c r="JW320" s="517"/>
      <c r="JX320" s="517"/>
      <c r="JY320" s="517"/>
      <c r="JZ320" s="517"/>
      <c r="KA320" s="517"/>
      <c r="KB320" s="517"/>
      <c r="KC320" s="517"/>
      <c r="KD320" s="517"/>
      <c r="KE320" s="517"/>
      <c r="KF320" s="517"/>
      <c r="KG320" s="517"/>
      <c r="KH320" s="517"/>
      <c r="KI320" s="517"/>
      <c r="KJ320" s="517"/>
      <c r="KK320" s="517"/>
      <c r="KL320" s="517"/>
      <c r="KM320" s="517"/>
      <c r="KN320" s="517"/>
      <c r="KO320" s="517"/>
      <c r="KP320" s="517"/>
      <c r="KQ320" s="517"/>
      <c r="KR320" s="517"/>
      <c r="KS320" s="517"/>
      <c r="KT320" s="517"/>
      <c r="KU320" s="517"/>
      <c r="KV320" s="517"/>
      <c r="KW320" s="517"/>
    </row>
    <row r="321" spans="1:46" ht="15" x14ac:dyDescent="0.2">
      <c r="A321" s="275" t="s">
        <v>1062</v>
      </c>
      <c r="B321" s="276">
        <v>2005</v>
      </c>
      <c r="C321" s="276">
        <v>2005</v>
      </c>
      <c r="D321" s="276">
        <v>2005</v>
      </c>
      <c r="E321" s="276">
        <v>2005</v>
      </c>
      <c r="F321" s="276">
        <v>2005</v>
      </c>
      <c r="G321" s="276">
        <v>2005</v>
      </c>
      <c r="H321" s="276">
        <v>2005</v>
      </c>
      <c r="I321" s="276">
        <v>2005</v>
      </c>
      <c r="J321" s="276">
        <v>2005</v>
      </c>
      <c r="K321" s="276">
        <v>2005</v>
      </c>
      <c r="L321" s="276">
        <v>2005</v>
      </c>
      <c r="M321" s="276">
        <v>2005</v>
      </c>
      <c r="N321" s="276">
        <v>2005</v>
      </c>
      <c r="O321" s="276">
        <v>2005</v>
      </c>
      <c r="P321" s="276">
        <v>2005</v>
      </c>
      <c r="Q321" s="276">
        <v>2005</v>
      </c>
      <c r="R321" s="276">
        <v>2005</v>
      </c>
      <c r="S321" s="276">
        <v>2005</v>
      </c>
      <c r="T321" s="276">
        <v>2005</v>
      </c>
      <c r="U321" s="276">
        <v>2005</v>
      </c>
      <c r="V321" s="276">
        <v>2005</v>
      </c>
      <c r="W321" s="276">
        <v>2005</v>
      </c>
      <c r="X321" s="276">
        <v>2005</v>
      </c>
      <c r="Y321" s="276">
        <v>2005</v>
      </c>
      <c r="Z321" s="276">
        <v>2005</v>
      </c>
      <c r="AA321" s="276">
        <v>2005</v>
      </c>
      <c r="AB321" s="276">
        <v>2005</v>
      </c>
      <c r="AC321" s="276">
        <v>2005</v>
      </c>
      <c r="AD321" s="276">
        <v>2005</v>
      </c>
      <c r="AE321" s="276">
        <v>2005</v>
      </c>
      <c r="AF321" s="276">
        <v>2005</v>
      </c>
    </row>
    <row r="322" spans="1:46" ht="14" x14ac:dyDescent="0.2">
      <c r="A322" s="274"/>
      <c r="B322" s="274"/>
      <c r="C322" s="274"/>
      <c r="D322" s="274"/>
      <c r="E322" s="274"/>
      <c r="F322" s="274"/>
      <c r="G322" s="274"/>
      <c r="H322" s="274"/>
      <c r="I322" s="274"/>
      <c r="J322" s="274"/>
      <c r="K322" s="274"/>
      <c r="L322" s="274"/>
      <c r="M322" s="274"/>
      <c r="N322" s="274"/>
      <c r="O322" s="274"/>
      <c r="P322" s="274"/>
      <c r="Q322" s="274"/>
      <c r="R322" s="274"/>
      <c r="S322" s="274"/>
      <c r="T322" s="274"/>
      <c r="U322" s="274"/>
      <c r="V322" s="274"/>
      <c r="W322" s="274"/>
      <c r="X322" s="274"/>
      <c r="Y322" s="274"/>
      <c r="Z322" s="274"/>
      <c r="AA322" s="274"/>
      <c r="AB322" s="274"/>
      <c r="AC322" s="274"/>
      <c r="AD322" s="274"/>
      <c r="AE322" s="274"/>
      <c r="AF322" s="274"/>
    </row>
    <row r="323" spans="1:46" ht="15" x14ac:dyDescent="0.2">
      <c r="A323" s="278" t="s">
        <v>104</v>
      </c>
      <c r="B323" s="279">
        <f>+US!B148</f>
        <v>1</v>
      </c>
      <c r="C323" s="279">
        <f>+US!C148</f>
        <v>1.0413984656421742</v>
      </c>
      <c r="D323" s="279">
        <f>+US!D148</f>
        <v>0.94859274222668066</v>
      </c>
      <c r="E323" s="279">
        <f>+US!E148</f>
        <v>0.85209224117811033</v>
      </c>
      <c r="F323" s="279">
        <f>+US!F148</f>
        <v>0.73652347906215476</v>
      </c>
      <c r="G323" s="279">
        <f>+US!G148</f>
        <v>0.63339815011055134</v>
      </c>
      <c r="H323" s="279">
        <f>+US!H148</f>
        <v>0.52892073022287001</v>
      </c>
      <c r="I323" s="279">
        <f>+US!I148</f>
        <v>0.43784687695539976</v>
      </c>
      <c r="J323" s="279">
        <f>+US!J148</f>
        <v>0.362520921971767</v>
      </c>
      <c r="K323" s="279">
        <f>+US!K148</f>
        <v>0.29804365080127815</v>
      </c>
      <c r="L323" s="279">
        <f>+US!L148</f>
        <v>0.24560088429948915</v>
      </c>
      <c r="M323" s="279">
        <f>+US!M148</f>
        <v>0.21648268904772996</v>
      </c>
      <c r="N323" s="279">
        <f>+US!N148</f>
        <v>0.18394537529298408</v>
      </c>
      <c r="O323" s="279">
        <f>+US!O148</f>
        <v>0.15373476860609483</v>
      </c>
      <c r="P323" s="279">
        <f>+US!P148</f>
        <v>0.12649457748649914</v>
      </c>
      <c r="Q323" s="279">
        <f>+US!Q148</f>
        <v>0.10472671113217814</v>
      </c>
      <c r="R323" s="279">
        <f>+US!R148</f>
        <v>8.75371955312782E-2</v>
      </c>
      <c r="S323" s="279">
        <f>+US!S148</f>
        <v>7.4016122859659042E-2</v>
      </c>
      <c r="T323" s="279">
        <f>+US!T148</f>
        <v>6.4328835739717677E-2</v>
      </c>
      <c r="U323" s="279">
        <f>+US!U148</f>
        <v>5.8318761599855516E-2</v>
      </c>
      <c r="V323" s="279">
        <f>+US!V148</f>
        <v>4.872848885072445E-2</v>
      </c>
      <c r="W323" s="279">
        <f>+US!W148</f>
        <v>4.1308183046341339E-2</v>
      </c>
      <c r="X323" s="279">
        <f>+US!X148</f>
        <v>3.4663559179516641E-2</v>
      </c>
      <c r="Y323" s="279">
        <f>+US!Y148</f>
        <v>2.9275027858228053E-2</v>
      </c>
      <c r="Z323" s="279">
        <f>+US!Z148</f>
        <v>2.4565896852383834E-2</v>
      </c>
      <c r="AA323" s="279">
        <f>+US!AA148</f>
        <v>2.0498494608577854E-2</v>
      </c>
      <c r="AB323" s="279">
        <f>+US!AB148</f>
        <v>1.7420228919255282E-2</v>
      </c>
      <c r="AC323" s="279">
        <f>+US!AC148</f>
        <v>1.4614253906533543E-2</v>
      </c>
      <c r="AD323" s="279">
        <f>+US!AD148</f>
        <v>1.2136592563866802E-2</v>
      </c>
      <c r="AE323" s="279">
        <f>+US!AE148</f>
        <v>1.0185705599392737E-2</v>
      </c>
      <c r="AF323" s="279">
        <f>+US!AF148</f>
        <v>9.1872529217370928E-3</v>
      </c>
    </row>
    <row r="324" spans="1:46" ht="15" x14ac:dyDescent="0.2">
      <c r="A324" s="278" t="s">
        <v>105</v>
      </c>
      <c r="B324" s="279">
        <f>+EU!B148</f>
        <v>1</v>
      </c>
      <c r="C324" s="279">
        <f>+EU!C148</f>
        <v>0.92765442522334962</v>
      </c>
      <c r="D324" s="279">
        <f>+EU!D148</f>
        <v>0.80141843288173775</v>
      </c>
      <c r="E324" s="279">
        <f>+EU!E148</f>
        <v>0.69575680625077041</v>
      </c>
      <c r="F324" s="279">
        <f>+EU!F148</f>
        <v>0.57738021052583299</v>
      </c>
      <c r="G324" s="279">
        <f>+EU!G148</f>
        <v>0.4658362838271255</v>
      </c>
      <c r="H324" s="279">
        <f>+EU!H148</f>
        <v>0.375535547501335</v>
      </c>
      <c r="I324" s="279">
        <f>+EU!I148</f>
        <v>0.29844570787813263</v>
      </c>
      <c r="J324" s="279">
        <f>+EU!J148</f>
        <v>0.2382745582606825</v>
      </c>
      <c r="K324" s="279">
        <f>+EU!K148</f>
        <v>0.19279795934681251</v>
      </c>
      <c r="L324" s="279">
        <f>+EU!L148</f>
        <v>0.15580454430845314</v>
      </c>
      <c r="M324" s="279">
        <f>+EU!M148</f>
        <v>0.13418270015591</v>
      </c>
      <c r="N324" s="279">
        <f>+EU!N148</f>
        <v>0.11406646761134359</v>
      </c>
      <c r="O324" s="279">
        <f>+EU!O148</f>
        <v>9.685863406429232E-2</v>
      </c>
      <c r="P324" s="279">
        <f>+EU!P148</f>
        <v>8.0439745393036097E-2</v>
      </c>
      <c r="Q324" s="279">
        <f>+EU!Q148</f>
        <v>6.7345081457995212E-2</v>
      </c>
      <c r="R324" s="279">
        <f>+EU!R148</f>
        <v>5.5455932330389049E-2</v>
      </c>
      <c r="S324" s="279">
        <f>+EU!S148</f>
        <v>4.5905934849112082E-2</v>
      </c>
      <c r="T324" s="279">
        <f>+EU!T148</f>
        <v>3.9472875630268668E-2</v>
      </c>
      <c r="U324" s="279">
        <f>+EU!U148</f>
        <v>3.6511855432135081E-2</v>
      </c>
      <c r="V324" s="279">
        <f>+EU!V148</f>
        <v>3.0509958411340476E-2</v>
      </c>
      <c r="W324" s="279">
        <f>+EU!W148</f>
        <v>2.5626092446819404E-2</v>
      </c>
      <c r="X324" s="279">
        <f>+EU!X148</f>
        <v>2.2305847213790704E-2</v>
      </c>
      <c r="Y324" s="279">
        <f>+EU!Y148</f>
        <v>1.9164910662459029E-2</v>
      </c>
      <c r="Z324" s="279">
        <f>+EU!Z148</f>
        <v>1.6162783765945987E-2</v>
      </c>
      <c r="AA324" s="279">
        <f>+EU!AA148</f>
        <v>1.3536722481958256E-2</v>
      </c>
      <c r="AB324" s="279">
        <f>+EU!AB148</f>
        <v>1.1473847419583792E-2</v>
      </c>
      <c r="AC324" s="279">
        <f>+EU!AC148</f>
        <v>9.5178228471810532E-3</v>
      </c>
      <c r="AD324" s="279">
        <f>+EU!AD148</f>
        <v>8.0219426246194107E-3</v>
      </c>
      <c r="AE324" s="279">
        <f>+EU!AE148</f>
        <v>6.8106577001111881E-3</v>
      </c>
      <c r="AF324" s="279">
        <f>+EU!AF148</f>
        <v>6.4207579370903056E-3</v>
      </c>
    </row>
    <row r="325" spans="1:46" ht="15" x14ac:dyDescent="0.2">
      <c r="A325" s="278" t="s">
        <v>51</v>
      </c>
      <c r="B325" s="279">
        <f>+Japan!B148</f>
        <v>1</v>
      </c>
      <c r="C325" s="279">
        <f>+Japan!C148</f>
        <v>0.84508270233774851</v>
      </c>
      <c r="D325" s="279">
        <f>+Japan!D148</f>
        <v>0.66999808708961395</v>
      </c>
      <c r="E325" s="279">
        <f>+Japan!E148</f>
        <v>0.5241948536010762</v>
      </c>
      <c r="F325" s="279">
        <f>+Japan!F148</f>
        <v>0.40656828250675509</v>
      </c>
      <c r="G325" s="279">
        <f>+Japan!G148</f>
        <v>0.31284639220185745</v>
      </c>
      <c r="H325" s="279">
        <f>+Japan!H148</f>
        <v>0.24312764810047205</v>
      </c>
      <c r="I325" s="279">
        <f>+Japan!I148</f>
        <v>0.19524474473418452</v>
      </c>
      <c r="J325" s="279">
        <f>+Japan!J148</f>
        <v>0.16229378000265771</v>
      </c>
      <c r="K325" s="279">
        <f>+Japan!K148</f>
        <v>0.13453346559041024</v>
      </c>
      <c r="L325" s="279">
        <f>+Japan!L148</f>
        <v>0.10993250855326914</v>
      </c>
      <c r="M325" s="279">
        <f>+Japan!M148</f>
        <v>9.7319368952825711E-2</v>
      </c>
      <c r="N325" s="279">
        <f>+Japan!N148</f>
        <v>8.4480188553453461E-2</v>
      </c>
      <c r="O325" s="279">
        <f>+Japan!O148</f>
        <v>7.1690610402771679E-2</v>
      </c>
      <c r="P325" s="279">
        <f>+Japan!P148</f>
        <v>6.0237304759611421E-2</v>
      </c>
      <c r="Q325" s="279">
        <f>+Japan!Q148</f>
        <v>5.0947937143334961E-2</v>
      </c>
      <c r="R325" s="279">
        <f>+Japan!R148</f>
        <v>4.3335254919808386E-2</v>
      </c>
      <c r="S325" s="279">
        <f>+Japan!S148</f>
        <v>3.6807447744846601E-2</v>
      </c>
      <c r="T325" s="279">
        <f>+Japan!T148</f>
        <v>3.2538094381955991E-2</v>
      </c>
      <c r="U325" s="279">
        <f>+Japan!U148</f>
        <v>3.0862130593690165E-2</v>
      </c>
      <c r="V325" s="279">
        <f>+Japan!V148</f>
        <v>2.5258659496576533E-2</v>
      </c>
      <c r="W325" s="279">
        <f>+Japan!W148</f>
        <v>2.1949180825426084E-2</v>
      </c>
      <c r="X325" s="279">
        <f>+Japan!X148</f>
        <v>1.8705686410525467E-2</v>
      </c>
      <c r="Y325" s="279">
        <f>+Japan!Y148</f>
        <v>1.579341936270828E-2</v>
      </c>
      <c r="Z325" s="279">
        <f>+Japan!Z148</f>
        <v>1.367889179413128E-2</v>
      </c>
      <c r="AA325" s="279">
        <f>+Japan!AA148</f>
        <v>1.1633419852277021E-2</v>
      </c>
      <c r="AB325" s="279">
        <f>+Japan!AB148</f>
        <v>1.0053499060172614E-2</v>
      </c>
      <c r="AC325" s="279">
        <f>+Japan!AC148</f>
        <v>8.5214551774061998E-3</v>
      </c>
      <c r="AD325" s="279">
        <f>+Japan!AD148</f>
        <v>7.3355181249501978E-3</v>
      </c>
      <c r="AE325" s="279">
        <f>+Japan!AE148</f>
        <v>6.4217828238579897E-3</v>
      </c>
      <c r="AF325" s="279">
        <f>+Japan!AF148</f>
        <v>5.9238136605093287E-3</v>
      </c>
    </row>
    <row r="326" spans="1:46" ht="15" x14ac:dyDescent="0.2">
      <c r="A326" s="278" t="s">
        <v>52</v>
      </c>
      <c r="B326" s="279">
        <f>+Russia!B148</f>
        <v>1</v>
      </c>
      <c r="C326" s="279">
        <f>+Russia!C148</f>
        <v>0.87753884154743866</v>
      </c>
      <c r="D326" s="279">
        <f>+Russia!D148</f>
        <v>0.89214737741978523</v>
      </c>
      <c r="E326" s="279">
        <f>+Russia!E148</f>
        <v>0.81285813706719223</v>
      </c>
      <c r="F326" s="279">
        <f>+Russia!F148</f>
        <v>0.79662742242439755</v>
      </c>
      <c r="G326" s="279">
        <f>+Russia!G148</f>
        <v>0.68144003440565148</v>
      </c>
      <c r="H326" s="279">
        <f>+Russia!H148</f>
        <v>0.57874815984103589</v>
      </c>
      <c r="I326" s="279">
        <f>+Russia!I148</f>
        <v>0.45501379474526521</v>
      </c>
      <c r="J326" s="279">
        <f>+Russia!J148</f>
        <v>0.39666363678379624</v>
      </c>
      <c r="K326" s="279">
        <f>+Russia!K148</f>
        <v>0.29481915609241272</v>
      </c>
      <c r="L326" s="279">
        <f>+Russia!L148</f>
        <v>0.21748066149668935</v>
      </c>
      <c r="M326" s="279">
        <f>+Russia!M148</f>
        <v>0.1796090609709278</v>
      </c>
      <c r="N326" s="279">
        <f>+Russia!N148</f>
        <v>0.14639504507810766</v>
      </c>
      <c r="O326" s="279">
        <f>+Russia!O148</f>
        <v>0.11497525221004432</v>
      </c>
      <c r="P326" s="279">
        <f>+Russia!P148</f>
        <v>9.0404331523937523E-2</v>
      </c>
      <c r="Q326" s="279">
        <f>+Russia!Q148</f>
        <v>7.1936710352896935E-2</v>
      </c>
      <c r="R326" s="279">
        <f>+Russia!R148</f>
        <v>5.5790292631485897E-2</v>
      </c>
      <c r="S326" s="279">
        <f>+Russia!S148</f>
        <v>4.309559557434791E-2</v>
      </c>
      <c r="T326" s="279">
        <f>+Russia!T148</f>
        <v>3.485331223658026E-2</v>
      </c>
      <c r="U326" s="279">
        <f>+Russia!U148</f>
        <v>3.4378066386976505E-2</v>
      </c>
      <c r="V326" s="279">
        <f>+Russia!V148</f>
        <v>2.8032643561536581E-2</v>
      </c>
      <c r="W326" s="279">
        <f>+Russia!W148</f>
        <v>2.2856331153042364E-2</v>
      </c>
      <c r="X326" s="279">
        <f>+Russia!X148</f>
        <v>1.871901676935081E-2</v>
      </c>
      <c r="Y326" s="279">
        <f>+Russia!Y148</f>
        <v>1.5845729693393189E-2</v>
      </c>
      <c r="Z326" s="279">
        <f>+Russia!Z148</f>
        <v>1.3618997328508879E-2</v>
      </c>
      <c r="AA326" s="279">
        <f>+Russia!AA148</f>
        <v>1.2198600304370935E-2</v>
      </c>
      <c r="AB326" s="279">
        <f>+Russia!AB148</f>
        <v>1.0615044747469535E-2</v>
      </c>
      <c r="AC326" s="279">
        <f>+Russia!AC148</f>
        <v>8.9695974938351838E-3</v>
      </c>
      <c r="AD326" s="279">
        <f>+Russia!AD148</f>
        <v>7.4719040082052686E-3</v>
      </c>
      <c r="AE326" s="279">
        <f>+Russia!AE148</f>
        <v>6.2852695595773328E-3</v>
      </c>
      <c r="AF326" s="279">
        <f>+Russia!AF148</f>
        <v>5.6616598575951506E-3</v>
      </c>
    </row>
    <row r="327" spans="1:46" ht="15" x14ac:dyDescent="0.2">
      <c r="A327" s="278" t="s">
        <v>53</v>
      </c>
      <c r="B327" s="279">
        <f>+Eurasia!B148</f>
        <v>1</v>
      </c>
      <c r="C327" s="279">
        <f>+Eurasia!C148</f>
        <v>1.0732296949637317</v>
      </c>
      <c r="D327" s="279">
        <f>+Eurasia!D148</f>
        <v>1.099147720630328</v>
      </c>
      <c r="E327" s="279">
        <f>+Eurasia!E148</f>
        <v>1.0748979170641486</v>
      </c>
      <c r="F327" s="279">
        <f>+Eurasia!F148</f>
        <v>1.0902369857135048</v>
      </c>
      <c r="G327" s="279">
        <f>+Eurasia!G148</f>
        <v>0.70791786723580152</v>
      </c>
      <c r="H327" s="279">
        <f>+Eurasia!H148</f>
        <v>0.57883474695845871</v>
      </c>
      <c r="I327" s="279">
        <f>+Eurasia!I148</f>
        <v>0.47138349597327378</v>
      </c>
      <c r="J327" s="279">
        <f>+Eurasia!J148</f>
        <v>0.3799014334272291</v>
      </c>
      <c r="K327" s="279">
        <f>+Eurasia!K148</f>
        <v>0.31322184088533106</v>
      </c>
      <c r="L327" s="279">
        <f>+Eurasia!L148</f>
        <v>0.24634362236621024</v>
      </c>
      <c r="M327" s="279">
        <f>+Eurasia!M148</f>
        <v>0.19493966090443718</v>
      </c>
      <c r="N327" s="279">
        <f>+Eurasia!N148</f>
        <v>0.15407985684309691</v>
      </c>
      <c r="O327" s="279">
        <f>+Eurasia!O148</f>
        <v>0.12049983946164385</v>
      </c>
      <c r="P327" s="279">
        <f>+Eurasia!P148</f>
        <v>9.1017363820112898E-2</v>
      </c>
      <c r="Q327" s="279">
        <f>+Eurasia!Q148</f>
        <v>7.1525320975483905E-2</v>
      </c>
      <c r="R327" s="279">
        <f>+Eurasia!R148</f>
        <v>5.4398692297768586E-2</v>
      </c>
      <c r="S327" s="279">
        <f>+Eurasia!S148</f>
        <v>4.1425897155081749E-2</v>
      </c>
      <c r="T327" s="279">
        <f>+Eurasia!T148</f>
        <v>3.3055920095371706E-2</v>
      </c>
      <c r="U327" s="279">
        <f>+Eurasia!U148</f>
        <v>3.105428949701777E-2</v>
      </c>
      <c r="V327" s="279">
        <f>+Eurasia!V148</f>
        <v>2.5788409735787152E-2</v>
      </c>
      <c r="W327" s="279">
        <f>+Eurasia!W148</f>
        <v>2.0875642336480139E-2</v>
      </c>
      <c r="X327" s="279">
        <f>+Eurasia!X148</f>
        <v>1.7573081505363748E-2</v>
      </c>
      <c r="Y327" s="279">
        <f>+Eurasia!Y148</f>
        <v>1.4718867147961879E-2</v>
      </c>
      <c r="Z327" s="279">
        <f>+Eurasia!Z148</f>
        <v>1.2680385942709833E-2</v>
      </c>
      <c r="AA327" s="279">
        <f>+Eurasia!AA148</f>
        <v>1.0997490655988059E-2</v>
      </c>
      <c r="AB327" s="279">
        <f>+Eurasia!AB148</f>
        <v>9.2614724107720377E-3</v>
      </c>
      <c r="AC327" s="279">
        <f>+Eurasia!AC148</f>
        <v>7.5587233674440707E-3</v>
      </c>
      <c r="AD327" s="279">
        <f>+Eurasia!AD148</f>
        <v>6.1623314720612669E-3</v>
      </c>
      <c r="AE327" s="279">
        <f>+Eurasia!AE148</f>
        <v>5.0561476995759315E-3</v>
      </c>
      <c r="AF327" s="279">
        <f>+Eurasia!AF148</f>
        <v>4.5812956785699086E-3</v>
      </c>
    </row>
    <row r="328" spans="1:46" ht="15" x14ac:dyDescent="0.2">
      <c r="A328" s="278" t="s">
        <v>54</v>
      </c>
      <c r="B328" s="279">
        <f>+China!B148</f>
        <v>1</v>
      </c>
      <c r="C328" s="279">
        <f>+China!C148</f>
        <v>0.630167274561102</v>
      </c>
      <c r="D328" s="279">
        <f>+China!D148</f>
        <v>0.4620317623450762</v>
      </c>
      <c r="E328" s="279">
        <f>+China!E148</f>
        <v>0.32628277365394348</v>
      </c>
      <c r="F328" s="279">
        <f>+China!F148</f>
        <v>0.22713082588069664</v>
      </c>
      <c r="G328" s="279">
        <f>+China!G148</f>
        <v>0.15980206591909046</v>
      </c>
      <c r="H328" s="279">
        <f>+China!H148</f>
        <v>0.11369826277392725</v>
      </c>
      <c r="I328" s="279">
        <f>+China!I148</f>
        <v>8.1764064936074021E-2</v>
      </c>
      <c r="J328" s="279">
        <f>+China!J148</f>
        <v>5.9945307999140773E-2</v>
      </c>
      <c r="K328" s="279">
        <f>+China!K148</f>
        <v>4.4522930861376757E-2</v>
      </c>
      <c r="L328" s="279">
        <f>+China!L148</f>
        <v>3.3794145739954727E-2</v>
      </c>
      <c r="M328" s="279">
        <f>+China!M148</f>
        <v>2.5677509122306708E-2</v>
      </c>
      <c r="N328" s="279">
        <f>+China!N148</f>
        <v>1.9488648613613539E-2</v>
      </c>
      <c r="O328" s="279">
        <f>+China!O148</f>
        <v>1.4604800653458989E-2</v>
      </c>
      <c r="P328" s="279">
        <f>+China!P148</f>
        <v>1.0930540342631141E-2</v>
      </c>
      <c r="Q328" s="279">
        <f>+China!Q148</f>
        <v>8.0479402053316908E-3</v>
      </c>
      <c r="R328" s="279">
        <f>+China!R148</f>
        <v>5.8183094052655761E-3</v>
      </c>
      <c r="S328" s="279">
        <f>+China!S148</f>
        <v>4.124698011161082E-3</v>
      </c>
      <c r="T328" s="279">
        <f>+China!T148</f>
        <v>3.1077961885813445E-3</v>
      </c>
      <c r="U328" s="279">
        <f>+China!U148</f>
        <v>2.3513207436803188E-3</v>
      </c>
      <c r="V328" s="279">
        <f>+China!V148</f>
        <v>1.7560556005591303E-3</v>
      </c>
      <c r="W328" s="279">
        <f>+China!W148</f>
        <v>1.3353584161690485E-3</v>
      </c>
      <c r="X328" s="279">
        <f>+China!X148</f>
        <v>1.0399537855877341E-3</v>
      </c>
      <c r="Y328" s="279">
        <f>+China!Y148</f>
        <v>8.10929903713031E-4</v>
      </c>
      <c r="Z328" s="279">
        <f>+China!Z148</f>
        <v>6.3549685867848133E-4</v>
      </c>
      <c r="AA328" s="279">
        <f>+China!AA148</f>
        <v>5.0103202681209475E-4</v>
      </c>
      <c r="AB328" s="279">
        <f>+China!AB148</f>
        <v>3.9737132136115214E-4</v>
      </c>
      <c r="AC328" s="279">
        <f>+China!AC148</f>
        <v>3.1330366830487852E-4</v>
      </c>
      <c r="AD328" s="279">
        <f>+China!AD148</f>
        <v>2.4773237252664388E-4</v>
      </c>
      <c r="AE328" s="279">
        <f>+China!AE148</f>
        <v>1.9832628290729609E-4</v>
      </c>
      <c r="AF328" s="279">
        <f>+China!AF148</f>
        <v>1.6657034616483443E-4</v>
      </c>
    </row>
    <row r="329" spans="1:46" ht="15" x14ac:dyDescent="0.2">
      <c r="A329" s="278" t="s">
        <v>55</v>
      </c>
      <c r="B329" s="279">
        <f>+India!B148</f>
        <v>1</v>
      </c>
      <c r="C329" s="279">
        <f>+India!C148</f>
        <v>0.9830006237653296</v>
      </c>
      <c r="D329" s="279">
        <f>+India!D148</f>
        <v>0.88065422047516606</v>
      </c>
      <c r="E329" s="279">
        <f>+India!E148</f>
        <v>0.76485784015322411</v>
      </c>
      <c r="F329" s="279">
        <f>+India!F148</f>
        <v>0.62397275291943133</v>
      </c>
      <c r="G329" s="279">
        <f>+India!G148</f>
        <v>0.48259283647241369</v>
      </c>
      <c r="H329" s="279">
        <f>+India!H148</f>
        <v>0.36615183427306436</v>
      </c>
      <c r="I329" s="279">
        <f>+India!I148</f>
        <v>0.29290750847517638</v>
      </c>
      <c r="J329" s="279">
        <f>+India!J148</f>
        <v>0.2275820784822532</v>
      </c>
      <c r="K329" s="279">
        <f>+India!K148</f>
        <v>0.16989935877891052</v>
      </c>
      <c r="L329" s="279">
        <f>+India!L148</f>
        <v>0.13647073124864106</v>
      </c>
      <c r="M329" s="279">
        <f>+India!M148</f>
        <v>0.10842673764918163</v>
      </c>
      <c r="N329" s="279">
        <f>+India!N148</f>
        <v>8.6971223120137012E-2</v>
      </c>
      <c r="O329" s="279">
        <f>+India!O148</f>
        <v>6.5783982283458706E-2</v>
      </c>
      <c r="P329" s="279">
        <f>+India!P148</f>
        <v>4.9671819906160007E-2</v>
      </c>
      <c r="Q329" s="279">
        <f>+India!Q148</f>
        <v>3.7600614501384896E-2</v>
      </c>
      <c r="R329" s="279">
        <f>+India!R148</f>
        <v>2.8355299591667549E-2</v>
      </c>
      <c r="S329" s="279">
        <f>+India!S148</f>
        <v>2.1514691100739235E-2</v>
      </c>
      <c r="T329" s="279">
        <f>+India!T148</f>
        <v>1.7395846737289448E-2</v>
      </c>
      <c r="U329" s="279">
        <f>+India!U148</f>
        <v>1.3175223331044117E-2</v>
      </c>
      <c r="V329" s="279">
        <f>+India!V148</f>
        <v>1.0007699768737131E-2</v>
      </c>
      <c r="W329" s="279">
        <f>+India!W148</f>
        <v>8.037782641530598E-3</v>
      </c>
      <c r="X329" s="279">
        <f>+India!X148</f>
        <v>6.4468101161220233E-3</v>
      </c>
      <c r="Y329" s="279">
        <f>+India!Y148</f>
        <v>5.1025851495686359E-3</v>
      </c>
      <c r="Z329" s="279">
        <f>+India!Z148</f>
        <v>3.9824495024089589E-3</v>
      </c>
      <c r="AA329" s="279">
        <f>+India!AA148</f>
        <v>3.0868233986961011E-3</v>
      </c>
      <c r="AB329" s="279">
        <f>+India!AB148</f>
        <v>2.3926474799769401E-3</v>
      </c>
      <c r="AC329" s="279">
        <f>+India!AC148</f>
        <v>1.8795278949811664E-3</v>
      </c>
      <c r="AD329" s="279">
        <f>+India!AD148</f>
        <v>1.4840272312984912E-3</v>
      </c>
      <c r="AE329" s="279">
        <f>+India!AE148</f>
        <v>1.2188279212203093E-3</v>
      </c>
      <c r="AF329" s="279">
        <f>+India!AF148</f>
        <v>1.1538609226217818E-3</v>
      </c>
    </row>
    <row r="330" spans="1:46" ht="15" x14ac:dyDescent="0.2">
      <c r="A330" s="278" t="s">
        <v>56</v>
      </c>
      <c r="B330" s="279">
        <f>+MidEast!B148</f>
        <v>1</v>
      </c>
      <c r="C330" s="279">
        <f>+MidEast!C148</f>
        <v>1.0349579936999156</v>
      </c>
      <c r="D330" s="279">
        <f>+MidEast!D148</f>
        <v>0.9671972488025492</v>
      </c>
      <c r="E330" s="279">
        <f>+MidEast!E148</f>
        <v>0.95272316475045316</v>
      </c>
      <c r="F330" s="279">
        <f>+MidEast!F148</f>
        <v>0.90490350146345644</v>
      </c>
      <c r="G330" s="279">
        <f>+MidEast!G148</f>
        <v>0.72790383357643418</v>
      </c>
      <c r="H330" s="279">
        <f>+MidEast!H148</f>
        <v>0.61750788887357988</v>
      </c>
      <c r="I330" s="279">
        <f>+MidEast!I148</f>
        <v>0.53549717016677678</v>
      </c>
      <c r="J330" s="279">
        <f>+MidEast!J148</f>
        <v>0.45949773242497716</v>
      </c>
      <c r="K330" s="279">
        <f>+MidEast!K148</f>
        <v>0.40625516973576697</v>
      </c>
      <c r="L330" s="279">
        <f>+MidEast!L148</f>
        <v>0.30833039494458914</v>
      </c>
      <c r="M330" s="279">
        <f>+MidEast!M148</f>
        <v>0.2625139795145402</v>
      </c>
      <c r="N330" s="279">
        <f>+MidEast!N148</f>
        <v>0.21834170876748327</v>
      </c>
      <c r="O330" s="279">
        <f>+MidEast!O148</f>
        <v>0.17143225237989712</v>
      </c>
      <c r="P330" s="279">
        <f>+MidEast!P148</f>
        <v>0.12782818035491139</v>
      </c>
      <c r="Q330" s="279">
        <f>+MidEast!Q148</f>
        <v>0.10139438221442264</v>
      </c>
      <c r="R330" s="279">
        <f>+MidEast!R148</f>
        <v>7.9242968866192545E-2</v>
      </c>
      <c r="S330" s="279">
        <f>+MidEast!S148</f>
        <v>6.239332553229588E-2</v>
      </c>
      <c r="T330" s="279">
        <f>+MidEast!T148</f>
        <v>4.9623514691727329E-2</v>
      </c>
      <c r="U330" s="279">
        <f>+MidEast!U148</f>
        <v>4.2269865982723046E-2</v>
      </c>
      <c r="V330" s="279">
        <f>+MidEast!V148</f>
        <v>3.3706639466878144E-2</v>
      </c>
      <c r="W330" s="279">
        <f>+MidEast!W148</f>
        <v>2.6497272689596108E-2</v>
      </c>
      <c r="X330" s="279">
        <f>+MidEast!X148</f>
        <v>2.2065210678666326E-2</v>
      </c>
      <c r="Y330" s="279">
        <f>+MidEast!Y148</f>
        <v>1.8443808117749778E-2</v>
      </c>
      <c r="Z330" s="279">
        <f>+MidEast!Z148</f>
        <v>1.5158371619563939E-2</v>
      </c>
      <c r="AA330" s="279">
        <f>+MidEast!AA148</f>
        <v>1.2608703256915453E-2</v>
      </c>
      <c r="AB330" s="279">
        <f>+MidEast!AB148</f>
        <v>1.0175391554724416E-2</v>
      </c>
      <c r="AC330" s="279">
        <f>+MidEast!AC148</f>
        <v>8.7201662193705561E-3</v>
      </c>
      <c r="AD330" s="279">
        <f>+MidEast!AD148</f>
        <v>7.4153414725831191E-3</v>
      </c>
      <c r="AE330" s="279">
        <f>+MidEast!AE148</f>
        <v>6.4113994332366513E-3</v>
      </c>
      <c r="AF330" s="279">
        <f>+MidEast!AF148</f>
        <v>5.8463179503483792E-3</v>
      </c>
    </row>
    <row r="331" spans="1:46" ht="15" x14ac:dyDescent="0.2">
      <c r="A331" s="278" t="s">
        <v>57</v>
      </c>
      <c r="B331" s="279">
        <f>+Africa!B148</f>
        <v>1</v>
      </c>
      <c r="C331" s="279">
        <f>+Africa!C148</f>
        <v>1.1854258017855548</v>
      </c>
      <c r="D331" s="279">
        <f>+Africa!D148</f>
        <v>1.2815519271396691</v>
      </c>
      <c r="E331" s="279">
        <f>+Africa!E148</f>
        <v>1.3498263456022002</v>
      </c>
      <c r="F331" s="279">
        <f>+Africa!F148</f>
        <v>1.3109929956353137</v>
      </c>
      <c r="G331" s="279">
        <f>+Africa!G148</f>
        <v>1.1665782411347541</v>
      </c>
      <c r="H331" s="279">
        <f>+Africa!H148</f>
        <v>0.97307452741243383</v>
      </c>
      <c r="I331" s="279">
        <f>+Africa!I148</f>
        <v>0.83066934173058304</v>
      </c>
      <c r="J331" s="279">
        <f>+Africa!J148</f>
        <v>0.71461741197225859</v>
      </c>
      <c r="K331" s="279">
        <f>+Africa!K148</f>
        <v>0.56408782150874937</v>
      </c>
      <c r="L331" s="279">
        <f>+Africa!L148</f>
        <v>0.45429251892903261</v>
      </c>
      <c r="M331" s="279">
        <f>+Africa!M148</f>
        <v>0.35724574499334938</v>
      </c>
      <c r="N331" s="279">
        <f>+Africa!N148</f>
        <v>0.27803975913366297</v>
      </c>
      <c r="O331" s="279">
        <f>+Africa!O148</f>
        <v>0.21647495240697107</v>
      </c>
      <c r="P331" s="279">
        <f>+Africa!P148</f>
        <v>0.16599909304730481</v>
      </c>
      <c r="Q331" s="279">
        <f>+Africa!Q148</f>
        <v>0.12738928836916003</v>
      </c>
      <c r="R331" s="279">
        <f>+Africa!R148</f>
        <v>9.7436781268752617E-2</v>
      </c>
      <c r="S331" s="279">
        <f>+Africa!S148</f>
        <v>7.4511662424167568E-2</v>
      </c>
      <c r="T331" s="279">
        <f>+Africa!T148</f>
        <v>5.7653316257208168E-2</v>
      </c>
      <c r="U331" s="279">
        <f>+Africa!U148</f>
        <v>4.6208513030637569E-2</v>
      </c>
      <c r="V331" s="279">
        <f>+Africa!V148</f>
        <v>3.6145029418361931E-2</v>
      </c>
      <c r="W331" s="279">
        <f>+Africa!W148</f>
        <v>3.0252555369794994E-2</v>
      </c>
      <c r="X331" s="279">
        <f>+Africa!X148</f>
        <v>2.4448352585613446E-2</v>
      </c>
      <c r="Y331" s="279">
        <f>+Africa!Y148</f>
        <v>2.0104343328316517E-2</v>
      </c>
      <c r="Z331" s="279">
        <f>+Africa!Z148</f>
        <v>1.6599889623210629E-2</v>
      </c>
      <c r="AA331" s="279">
        <f>+Africa!AA148</f>
        <v>1.3774034897630339E-2</v>
      </c>
      <c r="AB331" s="279">
        <f>+Africa!AB148</f>
        <v>1.1638409429498684E-2</v>
      </c>
      <c r="AC331" s="279">
        <f>+Africa!AC148</f>
        <v>9.5826889973395068E-3</v>
      </c>
      <c r="AD331" s="279">
        <f>+Africa!AD148</f>
        <v>7.9230196897168738E-3</v>
      </c>
      <c r="AE331" s="279">
        <f>+Africa!AE148</f>
        <v>6.6192249296294801E-3</v>
      </c>
      <c r="AF331" s="279">
        <f>+Africa!AF148</f>
        <v>5.9184416567661987E-3</v>
      </c>
    </row>
    <row r="332" spans="1:46" ht="15" x14ac:dyDescent="0.2">
      <c r="A332" s="278" t="s">
        <v>58</v>
      </c>
      <c r="B332" s="279">
        <f>+LatAm!B148</f>
        <v>1</v>
      </c>
      <c r="C332" s="279">
        <f>+LatAm!C148</f>
        <v>0.96559015451289876</v>
      </c>
      <c r="D332" s="279">
        <f>+LatAm!D148</f>
        <v>0.88238113207898261</v>
      </c>
      <c r="E332" s="279">
        <f>+LatAm!E148</f>
        <v>0.75700680186764124</v>
      </c>
      <c r="F332" s="279">
        <f>+LatAm!F148</f>
        <v>0.62173388185014089</v>
      </c>
      <c r="G332" s="279">
        <f>+LatAm!G148</f>
        <v>0.52989817194143829</v>
      </c>
      <c r="H332" s="279">
        <f>+LatAm!H148</f>
        <v>0.42453110168429764</v>
      </c>
      <c r="I332" s="279">
        <f>+LatAm!I148</f>
        <v>0.33353221021132368</v>
      </c>
      <c r="J332" s="279">
        <f>+LatAm!J148</f>
        <v>0.27161450063732984</v>
      </c>
      <c r="K332" s="279">
        <f>+LatAm!K148</f>
        <v>0.22963677548885153</v>
      </c>
      <c r="L332" s="279">
        <f>+LatAm!L148</f>
        <v>0.18553595153397479</v>
      </c>
      <c r="M332" s="279">
        <f>+LatAm!M148</f>
        <v>0.16019084160236033</v>
      </c>
      <c r="N332" s="279">
        <f>+LatAm!N148</f>
        <v>0.13559376942068449</v>
      </c>
      <c r="O332" s="279">
        <f>+LatAm!O148</f>
        <v>0.11135101274834074</v>
      </c>
      <c r="P332" s="279">
        <f>+LatAm!P148</f>
        <v>8.7832878146161045E-2</v>
      </c>
      <c r="Q332" s="279">
        <f>+LatAm!Q148</f>
        <v>7.0642241341954834E-2</v>
      </c>
      <c r="R332" s="279">
        <f>+LatAm!R148</f>
        <v>5.5740827790202306E-2</v>
      </c>
      <c r="S332" s="279">
        <f>+LatAm!S148</f>
        <v>4.4003913153459168E-2</v>
      </c>
      <c r="T332" s="279">
        <f>+LatAm!T148</f>
        <v>3.549499819619506E-2</v>
      </c>
      <c r="U332" s="279">
        <f>+LatAm!U148</f>
        <v>3.1387243256377616E-2</v>
      </c>
      <c r="V332" s="279">
        <f>+LatAm!V148</f>
        <v>2.4583729285864414E-2</v>
      </c>
      <c r="W332" s="279">
        <f>+LatAm!W148</f>
        <v>1.9975424012417149E-2</v>
      </c>
      <c r="X332" s="279">
        <f>+LatAm!X148</f>
        <v>1.6681379654811975E-2</v>
      </c>
      <c r="Y332" s="279">
        <f>+LatAm!Y148</f>
        <v>1.3911378680493957E-2</v>
      </c>
      <c r="Z332" s="279">
        <f>+LatAm!Z148</f>
        <v>1.1823415624413918E-2</v>
      </c>
      <c r="AA332" s="279">
        <f>+LatAm!AA148</f>
        <v>1.0196574289896908E-2</v>
      </c>
      <c r="AB332" s="279">
        <f>+LatAm!AB148</f>
        <v>8.9237998120789003E-3</v>
      </c>
      <c r="AC332" s="279">
        <f>+LatAm!AC148</f>
        <v>7.5293461557077888E-3</v>
      </c>
      <c r="AD332" s="279">
        <f>+LatAm!AD148</f>
        <v>6.3726989340329547E-3</v>
      </c>
      <c r="AE332" s="279">
        <f>+LatAm!AE148</f>
        <v>5.4815537773504524E-3</v>
      </c>
      <c r="AF332" s="279">
        <f>+LatAm!AF148</f>
        <v>5.2643590991338102E-3</v>
      </c>
    </row>
    <row r="333" spans="1:46" ht="15" x14ac:dyDescent="0.2">
      <c r="A333" s="278" t="s">
        <v>114</v>
      </c>
      <c r="B333" s="279">
        <f>+OHI!B148</f>
        <v>1</v>
      </c>
      <c r="C333" s="279">
        <f>+OHI!C148</f>
        <v>0.96059725587447353</v>
      </c>
      <c r="D333" s="279">
        <f>+OHI!D148</f>
        <v>0.85152386400176217</v>
      </c>
      <c r="E333" s="279">
        <f>+OHI!E148</f>
        <v>0.71006677435526733</v>
      </c>
      <c r="F333" s="279">
        <f>+OHI!F148</f>
        <v>0.56475794064329277</v>
      </c>
      <c r="G333" s="279">
        <f>+OHI!G148</f>
        <v>0.44275269753096796</v>
      </c>
      <c r="H333" s="279">
        <f>+OHI!H148</f>
        <v>0.34527614973674053</v>
      </c>
      <c r="I333" s="279">
        <f>+OHI!I148</f>
        <v>0.26750530771230618</v>
      </c>
      <c r="J333" s="279">
        <f>+OHI!J148</f>
        <v>0.22217403518624379</v>
      </c>
      <c r="K333" s="279">
        <f>+OHI!K148</f>
        <v>0.16937174958819851</v>
      </c>
      <c r="L333" s="279">
        <f>+OHI!L148</f>
        <v>0.13266850501390101</v>
      </c>
      <c r="M333" s="279">
        <f>+OHI!M148</f>
        <v>0.11300096776892775</v>
      </c>
      <c r="N333" s="279">
        <f>+OHI!N148</f>
        <v>9.1728269017876146E-2</v>
      </c>
      <c r="O333" s="279">
        <f>+OHI!O148</f>
        <v>7.6392575533093962E-2</v>
      </c>
      <c r="P333" s="279">
        <f>+OHI!P148</f>
        <v>6.1748979316780056E-2</v>
      </c>
      <c r="Q333" s="279">
        <f>+OHI!Q148</f>
        <v>5.0536830051706415E-2</v>
      </c>
      <c r="R333" s="279">
        <f>+OHI!R148</f>
        <v>4.1238428811369604E-2</v>
      </c>
      <c r="S333" s="279">
        <f>+OHI!S148</f>
        <v>3.3563184136039148E-2</v>
      </c>
      <c r="T333" s="279">
        <f>+OHI!T148</f>
        <v>2.8209642071055054E-2</v>
      </c>
      <c r="U333" s="279">
        <f>+OHI!U148</f>
        <v>2.4682345096060456E-2</v>
      </c>
      <c r="V333" s="279">
        <f>+OHI!V148</f>
        <v>1.9851294491056087E-2</v>
      </c>
      <c r="W333" s="279">
        <f>+OHI!W148</f>
        <v>1.6342023814925756E-2</v>
      </c>
      <c r="X333" s="279">
        <f>+OHI!X148</f>
        <v>1.3662616987062611E-2</v>
      </c>
      <c r="Y333" s="279">
        <f>+OHI!Y148</f>
        <v>1.1364674076015905E-2</v>
      </c>
      <c r="Z333" s="279">
        <f>+OHI!Z148</f>
        <v>9.4671945409116852E-3</v>
      </c>
      <c r="AA333" s="279">
        <f>+OHI!AA148</f>
        <v>8.0365820529632002E-3</v>
      </c>
      <c r="AB333" s="279">
        <f>+OHI!AB148</f>
        <v>6.7830735428816074E-3</v>
      </c>
      <c r="AC333" s="279">
        <f>+OHI!AC148</f>
        <v>5.6240280217769428E-3</v>
      </c>
      <c r="AD333" s="279">
        <f>+OHI!AD148</f>
        <v>4.6799391974618352E-3</v>
      </c>
      <c r="AE333" s="279">
        <f>+OHI!AE148</f>
        <v>3.9704034695538159E-3</v>
      </c>
      <c r="AF333" s="279">
        <f>+OHI!AF148</f>
        <v>3.6091081792932493E-3</v>
      </c>
    </row>
    <row r="334" spans="1:46" ht="15" x14ac:dyDescent="0.2">
      <c r="A334" s="278" t="s">
        <v>224</v>
      </c>
      <c r="B334" s="279">
        <f>+OthAsia!B148</f>
        <v>1</v>
      </c>
      <c r="C334" s="279">
        <f>+OthAsia!C148</f>
        <v>1.0598075033157766</v>
      </c>
      <c r="D334" s="279">
        <f>+OthAsia!D148</f>
        <v>0.9633678606631727</v>
      </c>
      <c r="E334" s="279">
        <f>+OthAsia!E148</f>
        <v>0.84337174602793386</v>
      </c>
      <c r="F334" s="279">
        <f>+OthAsia!F148</f>
        <v>0.71074013106566936</v>
      </c>
      <c r="G334" s="279">
        <f>+OthAsia!G148</f>
        <v>0.56627907821210333</v>
      </c>
      <c r="H334" s="279">
        <f>+OthAsia!H148</f>
        <v>0.44574621263619812</v>
      </c>
      <c r="I334" s="279">
        <f>+OthAsia!I148</f>
        <v>0.36888072337983591</v>
      </c>
      <c r="J334" s="279">
        <f>+OthAsia!J148</f>
        <v>0.34793470221857964</v>
      </c>
      <c r="K334" s="279">
        <f>+OthAsia!K148</f>
        <v>0.28656928758400751</v>
      </c>
      <c r="L334" s="279">
        <f>+OthAsia!L148</f>
        <v>0.22808454110082471</v>
      </c>
      <c r="M334" s="279">
        <f>+OthAsia!M148</f>
        <v>0.18185101424543851</v>
      </c>
      <c r="N334" s="279">
        <f>+OthAsia!N148</f>
        <v>0.14292229343847443</v>
      </c>
      <c r="O334" s="279">
        <f>+OthAsia!O148</f>
        <v>0.11158092670737786</v>
      </c>
      <c r="P334" s="279">
        <f>+OthAsia!P148</f>
        <v>8.6432434736848598E-2</v>
      </c>
      <c r="Q334" s="279">
        <f>+OthAsia!Q148</f>
        <v>6.734504104104648E-2</v>
      </c>
      <c r="R334" s="279">
        <f>+OthAsia!R148</f>
        <v>5.242053276270963E-2</v>
      </c>
      <c r="S334" s="279">
        <f>+OthAsia!S148</f>
        <v>4.0631195703684633E-2</v>
      </c>
      <c r="T334" s="279">
        <f>+OthAsia!T148</f>
        <v>3.2198455325552072E-2</v>
      </c>
      <c r="U334" s="279">
        <f>+OthAsia!U148</f>
        <v>2.6123452032565369E-2</v>
      </c>
      <c r="V334" s="279">
        <f>+OthAsia!V148</f>
        <v>2.0506769849817672E-2</v>
      </c>
      <c r="W334" s="279">
        <f>+OthAsia!W148</f>
        <v>1.6595674264947523E-2</v>
      </c>
      <c r="X334" s="279">
        <f>+OthAsia!X148</f>
        <v>1.3203429308483082E-2</v>
      </c>
      <c r="Y334" s="279">
        <f>+OthAsia!Y148</f>
        <v>1.0644947374991047E-2</v>
      </c>
      <c r="Z334" s="279">
        <f>+OthAsia!Z148</f>
        <v>8.6060791330622895E-3</v>
      </c>
      <c r="AA334" s="279">
        <f>+OthAsia!AA148</f>
        <v>6.9511384396250932E-3</v>
      </c>
      <c r="AB334" s="279">
        <f>+OthAsia!AB148</f>
        <v>5.615299312862543E-3</v>
      </c>
      <c r="AC334" s="279">
        <f>+OthAsia!AC148</f>
        <v>4.4937894821367496E-3</v>
      </c>
      <c r="AD334" s="279">
        <f>+OthAsia!AD148</f>
        <v>3.59461603004041E-3</v>
      </c>
      <c r="AE334" s="279">
        <f>+OthAsia!AE148</f>
        <v>2.9122968076600538E-3</v>
      </c>
      <c r="AF334" s="279">
        <f>+OthAsia!AF148</f>
        <v>2.6295096374777728E-3</v>
      </c>
    </row>
    <row r="335" spans="1:46" ht="14" x14ac:dyDescent="0.2">
      <c r="A335" s="274"/>
      <c r="M335" s="19"/>
    </row>
    <row r="336" spans="1:46" ht="14" x14ac:dyDescent="0.2">
      <c r="A336" s="278" t="s">
        <v>104</v>
      </c>
      <c r="C336" s="414">
        <f t="shared" ref="C336:AT336" si="168">+C323/$C323</f>
        <v>1</v>
      </c>
      <c r="D336" s="414">
        <f t="shared" si="168"/>
        <v>0.91088356044555407</v>
      </c>
      <c r="E336" s="414">
        <f t="shared" si="168"/>
        <v>0.81821922087495214</v>
      </c>
      <c r="F336" s="414">
        <f t="shared" si="168"/>
        <v>0.70724463628624656</v>
      </c>
      <c r="G336" s="414">
        <f t="shared" si="168"/>
        <v>0.60821882402137872</v>
      </c>
      <c r="H336" s="414">
        <f t="shared" si="168"/>
        <v>0.50789467016999412</v>
      </c>
      <c r="I336" s="414">
        <f t="shared" si="168"/>
        <v>0.42044125414127936</v>
      </c>
      <c r="J336" s="414">
        <f t="shared" si="168"/>
        <v>0.3481097139395341</v>
      </c>
      <c r="K336" s="414">
        <f t="shared" si="168"/>
        <v>0.28619559240227105</v>
      </c>
      <c r="L336" s="414">
        <f t="shared" si="168"/>
        <v>0.23583757073046996</v>
      </c>
      <c r="M336" s="414">
        <f t="shared" si="168"/>
        <v>0.20787690417254148</v>
      </c>
      <c r="N336" s="414">
        <f t="shared" si="168"/>
        <v>0.17663303851667853</v>
      </c>
      <c r="O336" s="414">
        <f t="shared" si="168"/>
        <v>0.14762338689571133</v>
      </c>
      <c r="P336" s="414">
        <f t="shared" si="168"/>
        <v>0.12146606861812186</v>
      </c>
      <c r="Q336" s="414">
        <f t="shared" si="168"/>
        <v>0.10056353508030073</v>
      </c>
      <c r="R336" s="414">
        <f t="shared" si="168"/>
        <v>8.4057350206770992E-2</v>
      </c>
      <c r="S336" s="414">
        <f t="shared" si="168"/>
        <v>7.1073777522820999E-2</v>
      </c>
      <c r="T336" s="414">
        <f t="shared" si="168"/>
        <v>6.1771586824885094E-2</v>
      </c>
      <c r="U336" s="414">
        <f t="shared" si="168"/>
        <v>5.6000429733582796E-2</v>
      </c>
      <c r="V336" s="414">
        <f t="shared" si="168"/>
        <v>4.6791396817236736E-2</v>
      </c>
      <c r="W336" s="414">
        <f t="shared" si="168"/>
        <v>3.9666068665531219E-2</v>
      </c>
      <c r="X336" s="414">
        <f t="shared" si="168"/>
        <v>3.3285586951716406E-2</v>
      </c>
      <c r="Y336" s="414">
        <f t="shared" si="168"/>
        <v>2.811126463507484E-2</v>
      </c>
      <c r="Z336" s="414">
        <f t="shared" si="168"/>
        <v>2.3589334594645645E-2</v>
      </c>
      <c r="AA336" s="414">
        <f t="shared" si="168"/>
        <v>1.9683622825329917E-2</v>
      </c>
      <c r="AB336" s="414">
        <f t="shared" si="168"/>
        <v>1.6727726700185953E-2</v>
      </c>
      <c r="AC336" s="414">
        <f t="shared" si="168"/>
        <v>1.4033296945105179E-2</v>
      </c>
      <c r="AD336" s="414">
        <f t="shared" si="168"/>
        <v>1.1654129484800825E-2</v>
      </c>
      <c r="AE336" s="414">
        <f t="shared" si="168"/>
        <v>9.7807956660582954E-3</v>
      </c>
      <c r="AF336" s="414">
        <f t="shared" si="168"/>
        <v>8.8220342403441225E-3</v>
      </c>
      <c r="AG336" s="414">
        <f t="shared" si="168"/>
        <v>0</v>
      </c>
      <c r="AH336" s="414">
        <f t="shared" si="168"/>
        <v>0</v>
      </c>
      <c r="AI336" s="414">
        <f t="shared" si="168"/>
        <v>0</v>
      </c>
      <c r="AJ336" s="414">
        <f t="shared" si="168"/>
        <v>0</v>
      </c>
      <c r="AK336" s="414">
        <f t="shared" si="168"/>
        <v>0</v>
      </c>
      <c r="AL336" s="414">
        <f t="shared" si="168"/>
        <v>0</v>
      </c>
      <c r="AM336" s="414">
        <f t="shared" si="168"/>
        <v>0</v>
      </c>
      <c r="AN336" s="414">
        <f t="shared" si="168"/>
        <v>0</v>
      </c>
      <c r="AO336" s="414">
        <f t="shared" si="168"/>
        <v>0</v>
      </c>
      <c r="AP336" s="414">
        <f t="shared" si="168"/>
        <v>0</v>
      </c>
      <c r="AQ336" s="414">
        <f t="shared" si="168"/>
        <v>0</v>
      </c>
      <c r="AR336" s="414">
        <f t="shared" si="168"/>
        <v>0</v>
      </c>
      <c r="AS336" s="414">
        <f t="shared" si="168"/>
        <v>0</v>
      </c>
      <c r="AT336" s="414">
        <f t="shared" si="168"/>
        <v>0</v>
      </c>
    </row>
    <row r="337" spans="1:46" ht="14" x14ac:dyDescent="0.2">
      <c r="A337" s="278" t="s">
        <v>105</v>
      </c>
      <c r="C337" s="414">
        <f t="shared" ref="C337:AT337" si="169">+C324/$C324</f>
        <v>1</v>
      </c>
      <c r="D337" s="414">
        <f t="shared" si="169"/>
        <v>0.86391916115614042</v>
      </c>
      <c r="E337" s="414">
        <f t="shared" si="169"/>
        <v>0.75001723414756993</v>
      </c>
      <c r="F337" s="414">
        <f t="shared" si="169"/>
        <v>0.62240872767552236</v>
      </c>
      <c r="G337" s="414">
        <f t="shared" si="169"/>
        <v>0.50216575392821194</v>
      </c>
      <c r="H337" s="414">
        <f t="shared" si="169"/>
        <v>0.40482267673214412</v>
      </c>
      <c r="I337" s="414">
        <f t="shared" si="169"/>
        <v>0.32172078282952882</v>
      </c>
      <c r="J337" s="414">
        <f t="shared" si="169"/>
        <v>0.25685702755453743</v>
      </c>
      <c r="K337" s="414">
        <f t="shared" si="169"/>
        <v>0.20783381624077621</v>
      </c>
      <c r="L337" s="414">
        <f t="shared" si="169"/>
        <v>0.16795537225076071</v>
      </c>
      <c r="M337" s="414">
        <f t="shared" si="169"/>
        <v>0.14464729160711229</v>
      </c>
      <c r="N337" s="414">
        <f t="shared" si="169"/>
        <v>0.12296224166006649</v>
      </c>
      <c r="O337" s="414">
        <f t="shared" si="169"/>
        <v>0.10441240987016458</v>
      </c>
      <c r="P337" s="414">
        <f t="shared" si="169"/>
        <v>8.6713050901114141E-2</v>
      </c>
      <c r="Q337" s="414">
        <f t="shared" si="169"/>
        <v>7.259716509386635E-2</v>
      </c>
      <c r="R337" s="414">
        <f t="shared" si="169"/>
        <v>5.9780809342915631E-2</v>
      </c>
      <c r="S337" s="414">
        <f t="shared" si="169"/>
        <v>4.9486030143239379E-2</v>
      </c>
      <c r="T337" s="414">
        <f t="shared" si="169"/>
        <v>4.2551271849713711E-2</v>
      </c>
      <c r="U337" s="414">
        <f t="shared" si="169"/>
        <v>3.9359328688961075E-2</v>
      </c>
      <c r="V337" s="414">
        <f t="shared" si="169"/>
        <v>3.2889357913637562E-2</v>
      </c>
      <c r="W337" s="414">
        <f t="shared" si="169"/>
        <v>2.7624610792590633E-2</v>
      </c>
      <c r="X337" s="414">
        <f t="shared" si="169"/>
        <v>2.404542748601686E-2</v>
      </c>
      <c r="Y337" s="414">
        <f t="shared" si="169"/>
        <v>2.0659536721171497E-2</v>
      </c>
      <c r="Z337" s="414">
        <f t="shared" si="169"/>
        <v>1.7423281047847645E-2</v>
      </c>
      <c r="AA337" s="414">
        <f t="shared" si="169"/>
        <v>1.459241945479756E-2</v>
      </c>
      <c r="AB337" s="414">
        <f t="shared" si="169"/>
        <v>1.2368665644883066E-2</v>
      </c>
      <c r="AC337" s="414">
        <f t="shared" si="169"/>
        <v>1.0260095341958257E-2</v>
      </c>
      <c r="AD337" s="414">
        <f t="shared" si="169"/>
        <v>8.6475549585051381E-3</v>
      </c>
      <c r="AE337" s="414">
        <f t="shared" si="169"/>
        <v>7.3418047873499859E-3</v>
      </c>
      <c r="AF337" s="414">
        <f t="shared" si="169"/>
        <v>6.9214976639004246E-3</v>
      </c>
      <c r="AG337" s="414">
        <f t="shared" si="169"/>
        <v>0</v>
      </c>
      <c r="AH337" s="414">
        <f t="shared" si="169"/>
        <v>0</v>
      </c>
      <c r="AI337" s="414">
        <f t="shared" si="169"/>
        <v>0</v>
      </c>
      <c r="AJ337" s="414">
        <f t="shared" si="169"/>
        <v>0</v>
      </c>
      <c r="AK337" s="414">
        <f t="shared" si="169"/>
        <v>0</v>
      </c>
      <c r="AL337" s="414">
        <f t="shared" si="169"/>
        <v>0</v>
      </c>
      <c r="AM337" s="414">
        <f t="shared" si="169"/>
        <v>0</v>
      </c>
      <c r="AN337" s="414">
        <f t="shared" si="169"/>
        <v>0</v>
      </c>
      <c r="AO337" s="414">
        <f t="shared" si="169"/>
        <v>0</v>
      </c>
      <c r="AP337" s="414">
        <f t="shared" si="169"/>
        <v>0</v>
      </c>
      <c r="AQ337" s="414">
        <f t="shared" si="169"/>
        <v>0</v>
      </c>
      <c r="AR337" s="414">
        <f t="shared" si="169"/>
        <v>0</v>
      </c>
      <c r="AS337" s="414">
        <f t="shared" si="169"/>
        <v>0</v>
      </c>
      <c r="AT337" s="414">
        <f t="shared" si="169"/>
        <v>0</v>
      </c>
    </row>
    <row r="338" spans="1:46" ht="14" x14ac:dyDescent="0.2">
      <c r="A338" s="278" t="s">
        <v>51</v>
      </c>
      <c r="C338" s="414">
        <f t="shared" ref="C338:AT338" si="170">+C325/$C325</f>
        <v>1</v>
      </c>
      <c r="D338" s="414">
        <f t="shared" si="170"/>
        <v>0.79281954918282105</v>
      </c>
      <c r="E338" s="414">
        <f t="shared" si="170"/>
        <v>0.62028822995784716</v>
      </c>
      <c r="F338" s="414">
        <f t="shared" si="170"/>
        <v>0.48109881007156702</v>
      </c>
      <c r="G338" s="414">
        <f t="shared" si="170"/>
        <v>0.37019618474787364</v>
      </c>
      <c r="H338" s="414">
        <f t="shared" si="170"/>
        <v>0.28769686970033714</v>
      </c>
      <c r="I338" s="414">
        <f t="shared" si="170"/>
        <v>0.23103625739123501</v>
      </c>
      <c r="J338" s="414">
        <f t="shared" si="170"/>
        <v>0.1920448490469692</v>
      </c>
      <c r="K338" s="414">
        <f t="shared" si="170"/>
        <v>0.1591956209945499</v>
      </c>
      <c r="L338" s="414">
        <f t="shared" si="170"/>
        <v>0.13008491151122054</v>
      </c>
      <c r="M338" s="414">
        <f t="shared" si="170"/>
        <v>0.11515957986551088</v>
      </c>
      <c r="N338" s="414">
        <f t="shared" si="170"/>
        <v>9.9966770494480939E-2</v>
      </c>
      <c r="O338" s="414">
        <f t="shared" si="170"/>
        <v>8.4832656264829776E-2</v>
      </c>
      <c r="P338" s="414">
        <f t="shared" si="170"/>
        <v>7.1279774858693981E-2</v>
      </c>
      <c r="Q338" s="414">
        <f t="shared" si="170"/>
        <v>6.0287516242372385E-2</v>
      </c>
      <c r="R338" s="414">
        <f t="shared" si="170"/>
        <v>5.1279306510392725E-2</v>
      </c>
      <c r="S338" s="414">
        <f t="shared" si="170"/>
        <v>4.3554846931579974E-2</v>
      </c>
      <c r="T338" s="414">
        <f t="shared" si="170"/>
        <v>3.8502852196531781E-2</v>
      </c>
      <c r="U338" s="414">
        <f t="shared" si="170"/>
        <v>3.6519657198421394E-2</v>
      </c>
      <c r="V338" s="414">
        <f t="shared" si="170"/>
        <v>2.9888979417876636E-2</v>
      </c>
      <c r="W338" s="414">
        <f t="shared" si="170"/>
        <v>2.597281989645293E-2</v>
      </c>
      <c r="X338" s="414">
        <f t="shared" si="170"/>
        <v>2.2134740610333176E-2</v>
      </c>
      <c r="Y338" s="414">
        <f t="shared" si="170"/>
        <v>1.8688608013179082E-2</v>
      </c>
      <c r="Z338" s="414">
        <f t="shared" si="170"/>
        <v>1.618645341608747E-2</v>
      </c>
      <c r="AA338" s="414">
        <f t="shared" si="170"/>
        <v>1.3766013456547557E-2</v>
      </c>
      <c r="AB338" s="414">
        <f t="shared" si="170"/>
        <v>1.1896467685779941E-2</v>
      </c>
      <c r="AC338" s="414">
        <f t="shared" si="170"/>
        <v>1.008357543449101E-2</v>
      </c>
      <c r="AD338" s="414">
        <f t="shared" si="170"/>
        <v>8.6802369811356771E-3</v>
      </c>
      <c r="AE338" s="414">
        <f t="shared" si="170"/>
        <v>7.5989992530830896E-3</v>
      </c>
      <c r="AF338" s="414">
        <f t="shared" si="170"/>
        <v>7.0097443056428791E-3</v>
      </c>
      <c r="AG338" s="414">
        <f t="shared" si="170"/>
        <v>0</v>
      </c>
      <c r="AH338" s="414">
        <f t="shared" si="170"/>
        <v>0</v>
      </c>
      <c r="AI338" s="414">
        <f t="shared" si="170"/>
        <v>0</v>
      </c>
      <c r="AJ338" s="414">
        <f t="shared" si="170"/>
        <v>0</v>
      </c>
      <c r="AK338" s="414">
        <f t="shared" si="170"/>
        <v>0</v>
      </c>
      <c r="AL338" s="414">
        <f t="shared" si="170"/>
        <v>0</v>
      </c>
      <c r="AM338" s="414">
        <f t="shared" si="170"/>
        <v>0</v>
      </c>
      <c r="AN338" s="414">
        <f t="shared" si="170"/>
        <v>0</v>
      </c>
      <c r="AO338" s="414">
        <f t="shared" si="170"/>
        <v>0</v>
      </c>
      <c r="AP338" s="414">
        <f t="shared" si="170"/>
        <v>0</v>
      </c>
      <c r="AQ338" s="414">
        <f t="shared" si="170"/>
        <v>0</v>
      </c>
      <c r="AR338" s="414">
        <f t="shared" si="170"/>
        <v>0</v>
      </c>
      <c r="AS338" s="414">
        <f t="shared" si="170"/>
        <v>0</v>
      </c>
      <c r="AT338" s="414">
        <f t="shared" si="170"/>
        <v>0</v>
      </c>
    </row>
    <row r="339" spans="1:46" ht="14" x14ac:dyDescent="0.2">
      <c r="A339" s="278" t="s">
        <v>52</v>
      </c>
      <c r="C339" s="414">
        <f t="shared" ref="C339:AT339" si="171">+C326/$C326</f>
        <v>1</v>
      </c>
      <c r="D339" s="414">
        <f t="shared" si="171"/>
        <v>1.0166471672599542</v>
      </c>
      <c r="E339" s="414">
        <f t="shared" si="171"/>
        <v>0.92629305801873174</v>
      </c>
      <c r="F339" s="414">
        <f t="shared" si="171"/>
        <v>0.90779733580753741</v>
      </c>
      <c r="G339" s="414">
        <f t="shared" si="171"/>
        <v>0.77653546731220524</v>
      </c>
      <c r="H339" s="414">
        <f t="shared" si="171"/>
        <v>0.65951286990383262</v>
      </c>
      <c r="I339" s="414">
        <f t="shared" si="171"/>
        <v>0.51851128770881616</v>
      </c>
      <c r="J339" s="414">
        <f t="shared" si="171"/>
        <v>0.45201832443601653</v>
      </c>
      <c r="K339" s="414">
        <f t="shared" si="171"/>
        <v>0.33596137530793863</v>
      </c>
      <c r="L339" s="414">
        <f t="shared" si="171"/>
        <v>0.24783023975689469</v>
      </c>
      <c r="M339" s="414">
        <f t="shared" si="171"/>
        <v>0.20467363091781546</v>
      </c>
      <c r="N339" s="414">
        <f t="shared" si="171"/>
        <v>0.16682457590134342</v>
      </c>
      <c r="O339" s="414">
        <f t="shared" si="171"/>
        <v>0.1310201289863121</v>
      </c>
      <c r="P339" s="414">
        <f t="shared" si="171"/>
        <v>0.10302031915136645</v>
      </c>
      <c r="Q339" s="414">
        <f t="shared" si="171"/>
        <v>8.1975528543038426E-2</v>
      </c>
      <c r="R339" s="414">
        <f t="shared" si="171"/>
        <v>6.3575866947503015E-2</v>
      </c>
      <c r="S339" s="414">
        <f t="shared" si="171"/>
        <v>4.9109616046571561E-2</v>
      </c>
      <c r="T339" s="414">
        <f t="shared" si="171"/>
        <v>3.9717116310339563E-2</v>
      </c>
      <c r="U339" s="414">
        <f t="shared" si="171"/>
        <v>3.9175549570381121E-2</v>
      </c>
      <c r="V339" s="414">
        <f t="shared" si="171"/>
        <v>3.1944618556261559E-2</v>
      </c>
      <c r="W339" s="414">
        <f t="shared" si="171"/>
        <v>2.6045948134600923E-2</v>
      </c>
      <c r="X339" s="414">
        <f t="shared" si="171"/>
        <v>2.1331268638026302E-2</v>
      </c>
      <c r="Y339" s="414">
        <f t="shared" si="171"/>
        <v>1.8057012343124401E-2</v>
      </c>
      <c r="Z339" s="414">
        <f t="shared" si="171"/>
        <v>1.5519537920957831E-2</v>
      </c>
      <c r="AA339" s="414">
        <f t="shared" si="171"/>
        <v>1.3900923499705276E-2</v>
      </c>
      <c r="AB339" s="414">
        <f t="shared" si="171"/>
        <v>1.2096381658447307E-2</v>
      </c>
      <c r="AC339" s="414">
        <f t="shared" si="171"/>
        <v>1.022131109093511E-2</v>
      </c>
      <c r="AD339" s="414">
        <f t="shared" si="171"/>
        <v>8.514613432984262E-3</v>
      </c>
      <c r="AE339" s="414">
        <f t="shared" si="171"/>
        <v>7.1623833179782492E-3</v>
      </c>
      <c r="AF339" s="414">
        <f t="shared" si="171"/>
        <v>6.4517484463838268E-3</v>
      </c>
      <c r="AG339" s="414">
        <f t="shared" si="171"/>
        <v>0</v>
      </c>
      <c r="AH339" s="414">
        <f t="shared" si="171"/>
        <v>0</v>
      </c>
      <c r="AI339" s="414">
        <f t="shared" si="171"/>
        <v>0</v>
      </c>
      <c r="AJ339" s="414">
        <f t="shared" si="171"/>
        <v>0</v>
      </c>
      <c r="AK339" s="414">
        <f t="shared" si="171"/>
        <v>0</v>
      </c>
      <c r="AL339" s="414">
        <f t="shared" si="171"/>
        <v>0</v>
      </c>
      <c r="AM339" s="414">
        <f t="shared" si="171"/>
        <v>0</v>
      </c>
      <c r="AN339" s="414">
        <f t="shared" si="171"/>
        <v>0</v>
      </c>
      <c r="AO339" s="414">
        <f t="shared" si="171"/>
        <v>0</v>
      </c>
      <c r="AP339" s="414">
        <f t="shared" si="171"/>
        <v>0</v>
      </c>
      <c r="AQ339" s="414">
        <f t="shared" si="171"/>
        <v>0</v>
      </c>
      <c r="AR339" s="414">
        <f t="shared" si="171"/>
        <v>0</v>
      </c>
      <c r="AS339" s="414">
        <f t="shared" si="171"/>
        <v>0</v>
      </c>
      <c r="AT339" s="414">
        <f t="shared" si="171"/>
        <v>0</v>
      </c>
    </row>
    <row r="340" spans="1:46" ht="14" x14ac:dyDescent="0.2">
      <c r="A340" s="278" t="s">
        <v>53</v>
      </c>
      <c r="C340" s="414">
        <f t="shared" ref="C340:AT340" si="172">+C327/$C327</f>
        <v>1</v>
      </c>
      <c r="D340" s="414">
        <f t="shared" si="172"/>
        <v>1.0241495607028206</v>
      </c>
      <c r="E340" s="414">
        <f t="shared" si="172"/>
        <v>1.001554394281341</v>
      </c>
      <c r="F340" s="414">
        <f t="shared" si="172"/>
        <v>1.0158468320710674</v>
      </c>
      <c r="G340" s="414">
        <f t="shared" si="172"/>
        <v>0.65961449870218569</v>
      </c>
      <c r="H340" s="414">
        <f t="shared" si="172"/>
        <v>0.53933910855683098</v>
      </c>
      <c r="I340" s="414">
        <f t="shared" si="172"/>
        <v>0.43921958010042161</v>
      </c>
      <c r="J340" s="414">
        <f t="shared" si="172"/>
        <v>0.35397961425216373</v>
      </c>
      <c r="K340" s="414">
        <f t="shared" si="172"/>
        <v>0.29184977116750016</v>
      </c>
      <c r="L340" s="414">
        <f t="shared" si="172"/>
        <v>0.22953485495435819</v>
      </c>
      <c r="M340" s="414">
        <f t="shared" si="172"/>
        <v>0.18163834062663062</v>
      </c>
      <c r="N340" s="414">
        <f t="shared" si="172"/>
        <v>0.14356652407787118</v>
      </c>
      <c r="O340" s="414">
        <f t="shared" si="172"/>
        <v>0.11227777243502005</v>
      </c>
      <c r="P340" s="414">
        <f t="shared" si="172"/>
        <v>8.4806974916202538E-2</v>
      </c>
      <c r="Q340" s="414">
        <f t="shared" si="172"/>
        <v>6.6644932870498899E-2</v>
      </c>
      <c r="R340" s="414">
        <f t="shared" si="172"/>
        <v>5.0686905657792963E-2</v>
      </c>
      <c r="S340" s="414">
        <f t="shared" si="172"/>
        <v>3.8599283405479828E-2</v>
      </c>
      <c r="T340" s="414">
        <f t="shared" si="172"/>
        <v>3.0800415093330778E-2</v>
      </c>
      <c r="U340" s="414">
        <f t="shared" si="172"/>
        <v>2.8935361780189288E-2</v>
      </c>
      <c r="V340" s="414">
        <f t="shared" si="172"/>
        <v>2.4028788857411026E-2</v>
      </c>
      <c r="W340" s="414">
        <f t="shared" si="172"/>
        <v>1.9451234376426384E-2</v>
      </c>
      <c r="X340" s="414">
        <f t="shared" si="172"/>
        <v>1.6374017219079655E-2</v>
      </c>
      <c r="Y340" s="414">
        <f t="shared" si="172"/>
        <v>1.3714554504997443E-2</v>
      </c>
      <c r="Z340" s="414">
        <f t="shared" si="172"/>
        <v>1.1815165012871125E-2</v>
      </c>
      <c r="AA340" s="414">
        <f t="shared" si="172"/>
        <v>1.0247098740926754E-2</v>
      </c>
      <c r="AB340" s="414">
        <f t="shared" si="172"/>
        <v>8.6295342499678202E-3</v>
      </c>
      <c r="AC340" s="414">
        <f t="shared" si="172"/>
        <v>7.0429689030357175E-3</v>
      </c>
      <c r="AD340" s="414">
        <f t="shared" si="172"/>
        <v>5.7418570330086838E-3</v>
      </c>
      <c r="AE340" s="414">
        <f t="shared" si="172"/>
        <v>4.7111515114635332E-3</v>
      </c>
      <c r="AF340" s="414">
        <f t="shared" si="172"/>
        <v>4.268700074241542E-3</v>
      </c>
      <c r="AG340" s="414">
        <f t="shared" si="172"/>
        <v>0</v>
      </c>
      <c r="AH340" s="414">
        <f t="shared" si="172"/>
        <v>0</v>
      </c>
      <c r="AI340" s="414">
        <f t="shared" si="172"/>
        <v>0</v>
      </c>
      <c r="AJ340" s="414">
        <f t="shared" si="172"/>
        <v>0</v>
      </c>
      <c r="AK340" s="414">
        <f t="shared" si="172"/>
        <v>0</v>
      </c>
      <c r="AL340" s="414">
        <f t="shared" si="172"/>
        <v>0</v>
      </c>
      <c r="AM340" s="414">
        <f t="shared" si="172"/>
        <v>0</v>
      </c>
      <c r="AN340" s="414">
        <f t="shared" si="172"/>
        <v>0</v>
      </c>
      <c r="AO340" s="414">
        <f t="shared" si="172"/>
        <v>0</v>
      </c>
      <c r="AP340" s="414">
        <f t="shared" si="172"/>
        <v>0</v>
      </c>
      <c r="AQ340" s="414">
        <f t="shared" si="172"/>
        <v>0</v>
      </c>
      <c r="AR340" s="414">
        <f t="shared" si="172"/>
        <v>0</v>
      </c>
      <c r="AS340" s="414">
        <f t="shared" si="172"/>
        <v>0</v>
      </c>
      <c r="AT340" s="414">
        <f t="shared" si="172"/>
        <v>0</v>
      </c>
    </row>
    <row r="341" spans="1:46" ht="14" x14ac:dyDescent="0.2">
      <c r="A341" s="278" t="s">
        <v>54</v>
      </c>
      <c r="C341" s="414">
        <f t="shared" ref="C341:AT341" si="173">+C328/$C328</f>
        <v>1</v>
      </c>
      <c r="D341" s="414">
        <f t="shared" si="173"/>
        <v>0.73318907692702928</v>
      </c>
      <c r="E341" s="414">
        <f t="shared" si="173"/>
        <v>0.51777168828894271</v>
      </c>
      <c r="F341" s="414">
        <f t="shared" si="173"/>
        <v>0.36042942096428032</v>
      </c>
      <c r="G341" s="414">
        <f t="shared" si="173"/>
        <v>0.25358674175898643</v>
      </c>
      <c r="H341" s="414">
        <f t="shared" si="173"/>
        <v>0.1804255272587991</v>
      </c>
      <c r="I341" s="414">
        <f t="shared" si="173"/>
        <v>0.12974977952166897</v>
      </c>
      <c r="J341" s="414">
        <f t="shared" si="173"/>
        <v>9.5126025134979267E-2</v>
      </c>
      <c r="K341" s="414">
        <f t="shared" si="173"/>
        <v>7.0652559500786555E-2</v>
      </c>
      <c r="L341" s="414">
        <f t="shared" si="173"/>
        <v>5.3627262322518451E-2</v>
      </c>
      <c r="M341" s="414">
        <f t="shared" si="173"/>
        <v>4.0747132005848036E-2</v>
      </c>
      <c r="N341" s="414">
        <f t="shared" si="173"/>
        <v>3.0926151516177933E-2</v>
      </c>
      <c r="O341" s="414">
        <f t="shared" si="173"/>
        <v>2.3176069661235456E-2</v>
      </c>
      <c r="P341" s="414">
        <f t="shared" si="173"/>
        <v>1.7345458553435718E-2</v>
      </c>
      <c r="Q341" s="414">
        <f t="shared" si="173"/>
        <v>1.2771117336959315E-2</v>
      </c>
      <c r="R341" s="414">
        <f t="shared" si="173"/>
        <v>9.2329602633172345E-3</v>
      </c>
      <c r="S341" s="414">
        <f t="shared" si="173"/>
        <v>6.545401796743326E-3</v>
      </c>
      <c r="T341" s="414">
        <f t="shared" si="173"/>
        <v>4.9317003818483878E-3</v>
      </c>
      <c r="U341" s="414">
        <f t="shared" si="173"/>
        <v>3.731264441362753E-3</v>
      </c>
      <c r="V341" s="414">
        <f t="shared" si="173"/>
        <v>2.786649944305955E-3</v>
      </c>
      <c r="W341" s="414">
        <f t="shared" si="173"/>
        <v>2.1190538926336615E-3</v>
      </c>
      <c r="X341" s="414">
        <f t="shared" si="173"/>
        <v>1.6502821196356786E-3</v>
      </c>
      <c r="Y341" s="414">
        <f t="shared" si="173"/>
        <v>1.2868486455089663E-3</v>
      </c>
      <c r="Z341" s="414">
        <f t="shared" si="173"/>
        <v>1.0084574117579992E-3</v>
      </c>
      <c r="AA341" s="414">
        <f t="shared" si="173"/>
        <v>7.9507782621852712E-4</v>
      </c>
      <c r="AB341" s="414">
        <f t="shared" si="173"/>
        <v>6.3058070039881517E-4</v>
      </c>
      <c r="AC341" s="414">
        <f t="shared" si="173"/>
        <v>4.9717540239309918E-4</v>
      </c>
      <c r="AD341" s="414">
        <f t="shared" si="173"/>
        <v>3.9312160838435187E-4</v>
      </c>
      <c r="AE341" s="414">
        <f t="shared" si="173"/>
        <v>3.1472006070995372E-4</v>
      </c>
      <c r="AF341" s="414">
        <f t="shared" si="173"/>
        <v>2.6432719198382225E-4</v>
      </c>
      <c r="AG341" s="414">
        <f t="shared" si="173"/>
        <v>0</v>
      </c>
      <c r="AH341" s="414">
        <f t="shared" si="173"/>
        <v>0</v>
      </c>
      <c r="AI341" s="414">
        <f t="shared" si="173"/>
        <v>0</v>
      </c>
      <c r="AJ341" s="414">
        <f t="shared" si="173"/>
        <v>0</v>
      </c>
      <c r="AK341" s="414">
        <f t="shared" si="173"/>
        <v>0</v>
      </c>
      <c r="AL341" s="414">
        <f t="shared" si="173"/>
        <v>0</v>
      </c>
      <c r="AM341" s="414">
        <f t="shared" si="173"/>
        <v>0</v>
      </c>
      <c r="AN341" s="414">
        <f t="shared" si="173"/>
        <v>0</v>
      </c>
      <c r="AO341" s="414">
        <f t="shared" si="173"/>
        <v>0</v>
      </c>
      <c r="AP341" s="414">
        <f t="shared" si="173"/>
        <v>0</v>
      </c>
      <c r="AQ341" s="414">
        <f t="shared" si="173"/>
        <v>0</v>
      </c>
      <c r="AR341" s="414">
        <f t="shared" si="173"/>
        <v>0</v>
      </c>
      <c r="AS341" s="414">
        <f t="shared" si="173"/>
        <v>0</v>
      </c>
      <c r="AT341" s="414">
        <f t="shared" si="173"/>
        <v>0</v>
      </c>
    </row>
    <row r="342" spans="1:46" ht="14" x14ac:dyDescent="0.2">
      <c r="A342" s="278" t="s">
        <v>55</v>
      </c>
      <c r="C342" s="414">
        <f t="shared" ref="C342:AT342" si="174">+C329/$C329</f>
        <v>1</v>
      </c>
      <c r="D342" s="414">
        <f t="shared" si="174"/>
        <v>0.89588368428686105</v>
      </c>
      <c r="E342" s="414">
        <f t="shared" si="174"/>
        <v>0.77808479634883487</v>
      </c>
      <c r="F342" s="414">
        <f t="shared" si="174"/>
        <v>0.63476333364808879</v>
      </c>
      <c r="G342" s="414">
        <f t="shared" si="174"/>
        <v>0.49093848447813643</v>
      </c>
      <c r="H342" s="414">
        <f t="shared" si="174"/>
        <v>0.37248382698938681</v>
      </c>
      <c r="I342" s="414">
        <f t="shared" si="174"/>
        <v>0.29797286125130862</v>
      </c>
      <c r="J342" s="414">
        <f t="shared" si="174"/>
        <v>0.23151773557427932</v>
      </c>
      <c r="K342" s="414">
        <f t="shared" si="174"/>
        <v>0.17283748826945847</v>
      </c>
      <c r="L342" s="414">
        <f t="shared" si="174"/>
        <v>0.13883076770175126</v>
      </c>
      <c r="M342" s="414">
        <f t="shared" si="174"/>
        <v>0.11030179943717533</v>
      </c>
      <c r="N342" s="414">
        <f t="shared" si="174"/>
        <v>8.8475247133616805E-2</v>
      </c>
      <c r="O342" s="414">
        <f t="shared" si="174"/>
        <v>6.6921607873936834E-2</v>
      </c>
      <c r="P342" s="414">
        <f t="shared" si="174"/>
        <v>5.0530812194090828E-2</v>
      </c>
      <c r="Q342" s="414">
        <f t="shared" si="174"/>
        <v>3.8250855179885662E-2</v>
      </c>
      <c r="R342" s="414">
        <f t="shared" si="174"/>
        <v>2.8845657781023718E-2</v>
      </c>
      <c r="S342" s="414">
        <f t="shared" si="174"/>
        <v>2.1886752236563594E-2</v>
      </c>
      <c r="T342" s="414">
        <f t="shared" si="174"/>
        <v>1.7696679245894693E-2</v>
      </c>
      <c r="U342" s="414">
        <f t="shared" si="174"/>
        <v>1.3403067111572272E-2</v>
      </c>
      <c r="V342" s="414">
        <f t="shared" si="174"/>
        <v>1.0180766447943024E-2</v>
      </c>
      <c r="W342" s="414">
        <f t="shared" si="174"/>
        <v>8.1767828495798063E-3</v>
      </c>
      <c r="X342" s="414">
        <f t="shared" si="174"/>
        <v>6.5582970755683487E-3</v>
      </c>
      <c r="Y342" s="414">
        <f t="shared" si="174"/>
        <v>5.1908259529108592E-3</v>
      </c>
      <c r="Z342" s="414">
        <f t="shared" si="174"/>
        <v>4.0513194052252035E-3</v>
      </c>
      <c r="AA342" s="414">
        <f t="shared" si="174"/>
        <v>3.1402049236471433E-3</v>
      </c>
      <c r="AB342" s="414">
        <f t="shared" si="174"/>
        <v>2.4340243761108065E-3</v>
      </c>
      <c r="AC342" s="414">
        <f t="shared" si="174"/>
        <v>1.9120312332882746E-3</v>
      </c>
      <c r="AD342" s="414">
        <f t="shared" si="174"/>
        <v>1.5096910372386202E-3</v>
      </c>
      <c r="AE342" s="414">
        <f t="shared" si="174"/>
        <v>1.2399055420246391E-3</v>
      </c>
      <c r="AF342" s="414">
        <f t="shared" si="174"/>
        <v>1.173815046222434E-3</v>
      </c>
      <c r="AG342" s="414">
        <f t="shared" si="174"/>
        <v>0</v>
      </c>
      <c r="AH342" s="414">
        <f t="shared" si="174"/>
        <v>0</v>
      </c>
      <c r="AI342" s="414">
        <f t="shared" si="174"/>
        <v>0</v>
      </c>
      <c r="AJ342" s="414">
        <f t="shared" si="174"/>
        <v>0</v>
      </c>
      <c r="AK342" s="414">
        <f t="shared" si="174"/>
        <v>0</v>
      </c>
      <c r="AL342" s="414">
        <f t="shared" si="174"/>
        <v>0</v>
      </c>
      <c r="AM342" s="414">
        <f t="shared" si="174"/>
        <v>0</v>
      </c>
      <c r="AN342" s="414">
        <f t="shared" si="174"/>
        <v>0</v>
      </c>
      <c r="AO342" s="414">
        <f t="shared" si="174"/>
        <v>0</v>
      </c>
      <c r="AP342" s="414">
        <f t="shared" si="174"/>
        <v>0</v>
      </c>
      <c r="AQ342" s="414">
        <f t="shared" si="174"/>
        <v>0</v>
      </c>
      <c r="AR342" s="414">
        <f t="shared" si="174"/>
        <v>0</v>
      </c>
      <c r="AS342" s="414">
        <f t="shared" si="174"/>
        <v>0</v>
      </c>
      <c r="AT342" s="414">
        <f t="shared" si="174"/>
        <v>0</v>
      </c>
    </row>
    <row r="343" spans="1:46" ht="14" x14ac:dyDescent="0.2">
      <c r="A343" s="278" t="s">
        <v>56</v>
      </c>
      <c r="C343" s="414">
        <f t="shared" ref="C343:AT343" si="175">+C330/$C330</f>
        <v>1</v>
      </c>
      <c r="D343" s="414">
        <f t="shared" si="175"/>
        <v>0.93452802402624513</v>
      </c>
      <c r="E343" s="414">
        <f t="shared" si="175"/>
        <v>0.92054283415360882</v>
      </c>
      <c r="F343" s="414">
        <f t="shared" si="175"/>
        <v>0.87433838568508293</v>
      </c>
      <c r="G343" s="414">
        <f t="shared" si="175"/>
        <v>0.70331727278536171</v>
      </c>
      <c r="H343" s="414">
        <f t="shared" si="175"/>
        <v>0.59665019511180795</v>
      </c>
      <c r="I343" s="414">
        <f t="shared" si="175"/>
        <v>0.51740956968930207</v>
      </c>
      <c r="J343" s="414">
        <f t="shared" si="175"/>
        <v>0.44397718093108213</v>
      </c>
      <c r="K343" s="414">
        <f t="shared" si="175"/>
        <v>0.39253300347333714</v>
      </c>
      <c r="L343" s="414">
        <f t="shared" si="175"/>
        <v>0.2979158543839307</v>
      </c>
      <c r="M343" s="414">
        <f t="shared" si="175"/>
        <v>0.25364698964840859</v>
      </c>
      <c r="N343" s="414">
        <f t="shared" si="175"/>
        <v>0.21096673497532412</v>
      </c>
      <c r="O343" s="414">
        <f t="shared" si="175"/>
        <v>0.16564174915644317</v>
      </c>
      <c r="P343" s="414">
        <f t="shared" si="175"/>
        <v>0.12351050103775996</v>
      </c>
      <c r="Q343" s="414">
        <f t="shared" si="175"/>
        <v>9.7969562853409659E-2</v>
      </c>
      <c r="R343" s="414">
        <f t="shared" si="175"/>
        <v>7.6566362450038644E-2</v>
      </c>
      <c r="S343" s="414">
        <f t="shared" si="175"/>
        <v>6.0285853060802315E-2</v>
      </c>
      <c r="T343" s="414">
        <f t="shared" si="175"/>
        <v>4.7947370805191916E-2</v>
      </c>
      <c r="U343" s="414">
        <f t="shared" si="175"/>
        <v>4.0842107834358272E-2</v>
      </c>
      <c r="V343" s="414">
        <f t="shared" si="175"/>
        <v>3.2568123220517227E-2</v>
      </c>
      <c r="W343" s="414">
        <f t="shared" si="175"/>
        <v>2.5602268740270197E-2</v>
      </c>
      <c r="X343" s="414">
        <f t="shared" si="175"/>
        <v>2.1319909419496786E-2</v>
      </c>
      <c r="Y343" s="414">
        <f t="shared" si="175"/>
        <v>1.7820827734094036E-2</v>
      </c>
      <c r="Z343" s="414">
        <f t="shared" si="175"/>
        <v>1.4646364115101548E-2</v>
      </c>
      <c r="AA343" s="414">
        <f t="shared" si="175"/>
        <v>1.2182816436674942E-2</v>
      </c>
      <c r="AB343" s="414">
        <f t="shared" si="175"/>
        <v>9.8316952153275072E-3</v>
      </c>
      <c r="AC343" s="414">
        <f t="shared" si="175"/>
        <v>8.4256233320122113E-3</v>
      </c>
      <c r="AD343" s="414">
        <f t="shared" si="175"/>
        <v>7.1648719249693387E-3</v>
      </c>
      <c r="AE343" s="414">
        <f t="shared" si="175"/>
        <v>6.1948402469130803E-3</v>
      </c>
      <c r="AF343" s="414">
        <f t="shared" si="175"/>
        <v>5.6488456400516579E-3</v>
      </c>
      <c r="AG343" s="414">
        <f t="shared" si="175"/>
        <v>0</v>
      </c>
      <c r="AH343" s="414">
        <f t="shared" si="175"/>
        <v>0</v>
      </c>
      <c r="AI343" s="414">
        <f t="shared" si="175"/>
        <v>0</v>
      </c>
      <c r="AJ343" s="414">
        <f t="shared" si="175"/>
        <v>0</v>
      </c>
      <c r="AK343" s="414">
        <f t="shared" si="175"/>
        <v>0</v>
      </c>
      <c r="AL343" s="414">
        <f t="shared" si="175"/>
        <v>0</v>
      </c>
      <c r="AM343" s="414">
        <f t="shared" si="175"/>
        <v>0</v>
      </c>
      <c r="AN343" s="414">
        <f t="shared" si="175"/>
        <v>0</v>
      </c>
      <c r="AO343" s="414">
        <f t="shared" si="175"/>
        <v>0</v>
      </c>
      <c r="AP343" s="414">
        <f t="shared" si="175"/>
        <v>0</v>
      </c>
      <c r="AQ343" s="414">
        <f t="shared" si="175"/>
        <v>0</v>
      </c>
      <c r="AR343" s="414">
        <f t="shared" si="175"/>
        <v>0</v>
      </c>
      <c r="AS343" s="414">
        <f t="shared" si="175"/>
        <v>0</v>
      </c>
      <c r="AT343" s="414">
        <f t="shared" si="175"/>
        <v>0</v>
      </c>
    </row>
    <row r="344" spans="1:46" ht="14" x14ac:dyDescent="0.2">
      <c r="A344" s="278" t="s">
        <v>57</v>
      </c>
      <c r="C344" s="414">
        <f t="shared" ref="C344:AT344" si="176">+C331/$C331</f>
        <v>1</v>
      </c>
      <c r="D344" s="414">
        <f t="shared" si="176"/>
        <v>1.0810899553639914</v>
      </c>
      <c r="E344" s="414">
        <f t="shared" si="176"/>
        <v>1.1386848030210039</v>
      </c>
      <c r="F344" s="414">
        <f t="shared" si="176"/>
        <v>1.1059258147246522</v>
      </c>
      <c r="G344" s="414">
        <f t="shared" si="176"/>
        <v>0.98410059860143795</v>
      </c>
      <c r="H344" s="414">
        <f t="shared" si="176"/>
        <v>0.82086498028534083</v>
      </c>
      <c r="I344" s="414">
        <f t="shared" si="176"/>
        <v>0.70073499368697922</v>
      </c>
      <c r="J344" s="414">
        <f t="shared" si="176"/>
        <v>0.60283605342136282</v>
      </c>
      <c r="K344" s="414">
        <f t="shared" si="176"/>
        <v>0.4758524917030561</v>
      </c>
      <c r="L344" s="414">
        <f t="shared" si="176"/>
        <v>0.38323150908707382</v>
      </c>
      <c r="M344" s="414">
        <f t="shared" si="176"/>
        <v>0.30136491415594785</v>
      </c>
      <c r="N344" s="414">
        <f t="shared" si="176"/>
        <v>0.23454842868685993</v>
      </c>
      <c r="O344" s="414">
        <f t="shared" si="176"/>
        <v>0.18261366681989236</v>
      </c>
      <c r="P344" s="414">
        <f t="shared" si="176"/>
        <v>0.14003330516112242</v>
      </c>
      <c r="Q344" s="414">
        <f t="shared" si="176"/>
        <v>0.10746289491698184</v>
      </c>
      <c r="R344" s="414">
        <f t="shared" si="176"/>
        <v>8.2195596824354483E-2</v>
      </c>
      <c r="S344" s="414">
        <f t="shared" si="176"/>
        <v>6.2856454036966228E-2</v>
      </c>
      <c r="T344" s="414">
        <f t="shared" si="176"/>
        <v>4.8635111679168369E-2</v>
      </c>
      <c r="U344" s="414">
        <f t="shared" si="176"/>
        <v>3.8980519034625127E-2</v>
      </c>
      <c r="V344" s="414">
        <f t="shared" si="176"/>
        <v>3.0491178244912723E-2</v>
      </c>
      <c r="W344" s="414">
        <f t="shared" si="176"/>
        <v>2.5520412432584898E-2</v>
      </c>
      <c r="X344" s="414">
        <f t="shared" si="176"/>
        <v>2.0624110381930245E-2</v>
      </c>
      <c r="Y344" s="414">
        <f t="shared" si="176"/>
        <v>1.6959596541625994E-2</v>
      </c>
      <c r="Z344" s="414">
        <f t="shared" si="176"/>
        <v>1.4003313913200593E-2</v>
      </c>
      <c r="AA344" s="414">
        <f t="shared" si="176"/>
        <v>1.1619482954465066E-2</v>
      </c>
      <c r="AB344" s="414">
        <f t="shared" si="176"/>
        <v>9.8179147205740419E-3</v>
      </c>
      <c r="AC344" s="414">
        <f t="shared" si="176"/>
        <v>8.0837526759629519E-3</v>
      </c>
      <c r="AD344" s="414">
        <f t="shared" si="176"/>
        <v>6.6836909385494881E-3</v>
      </c>
      <c r="AE344" s="414">
        <f t="shared" si="176"/>
        <v>5.5838374022728647E-3</v>
      </c>
      <c r="AF344" s="414">
        <f t="shared" si="176"/>
        <v>4.9926715344406286E-3</v>
      </c>
      <c r="AG344" s="414">
        <f t="shared" si="176"/>
        <v>0</v>
      </c>
      <c r="AH344" s="414">
        <f t="shared" si="176"/>
        <v>0</v>
      </c>
      <c r="AI344" s="414">
        <f t="shared" si="176"/>
        <v>0</v>
      </c>
      <c r="AJ344" s="414">
        <f t="shared" si="176"/>
        <v>0</v>
      </c>
      <c r="AK344" s="414">
        <f t="shared" si="176"/>
        <v>0</v>
      </c>
      <c r="AL344" s="414">
        <f t="shared" si="176"/>
        <v>0</v>
      </c>
      <c r="AM344" s="414">
        <f t="shared" si="176"/>
        <v>0</v>
      </c>
      <c r="AN344" s="414">
        <f t="shared" si="176"/>
        <v>0</v>
      </c>
      <c r="AO344" s="414">
        <f t="shared" si="176"/>
        <v>0</v>
      </c>
      <c r="AP344" s="414">
        <f t="shared" si="176"/>
        <v>0</v>
      </c>
      <c r="AQ344" s="414">
        <f t="shared" si="176"/>
        <v>0</v>
      </c>
      <c r="AR344" s="414">
        <f t="shared" si="176"/>
        <v>0</v>
      </c>
      <c r="AS344" s="414">
        <f t="shared" si="176"/>
        <v>0</v>
      </c>
      <c r="AT344" s="414">
        <f t="shared" si="176"/>
        <v>0</v>
      </c>
    </row>
    <row r="345" spans="1:46" ht="14" x14ac:dyDescent="0.2">
      <c r="A345" s="278" t="s">
        <v>58</v>
      </c>
      <c r="C345" s="414">
        <f t="shared" ref="C345:AT345" si="177">+C332/$C332</f>
        <v>1</v>
      </c>
      <c r="D345" s="414">
        <f t="shared" si="177"/>
        <v>0.91382573440188841</v>
      </c>
      <c r="E345" s="414">
        <f t="shared" si="177"/>
        <v>0.78398355485461702</v>
      </c>
      <c r="F345" s="414">
        <f t="shared" si="177"/>
        <v>0.64389003858866034</v>
      </c>
      <c r="G345" s="414">
        <f t="shared" si="177"/>
        <v>0.54878166421316765</v>
      </c>
      <c r="H345" s="414">
        <f t="shared" si="177"/>
        <v>0.4396597248844738</v>
      </c>
      <c r="I345" s="414">
        <f t="shared" si="177"/>
        <v>0.34541798987125877</v>
      </c>
      <c r="J345" s="414">
        <f t="shared" si="177"/>
        <v>0.28129377600618594</v>
      </c>
      <c r="K345" s="414">
        <f t="shared" si="177"/>
        <v>0.23782012939505789</v>
      </c>
      <c r="L345" s="414">
        <f t="shared" si="177"/>
        <v>0.1921477250641295</v>
      </c>
      <c r="M345" s="414">
        <f t="shared" si="177"/>
        <v>0.16589941483317022</v>
      </c>
      <c r="N345" s="414">
        <f t="shared" si="177"/>
        <v>0.14042579948330777</v>
      </c>
      <c r="O345" s="414">
        <f t="shared" si="177"/>
        <v>0.11531912605769352</v>
      </c>
      <c r="P345" s="414">
        <f t="shared" si="177"/>
        <v>9.0962897390424596E-2</v>
      </c>
      <c r="Q345" s="414">
        <f t="shared" si="177"/>
        <v>7.3159653722433604E-2</v>
      </c>
      <c r="R345" s="414">
        <f t="shared" si="177"/>
        <v>5.7727212243916574E-2</v>
      </c>
      <c r="S345" s="414">
        <f t="shared" si="177"/>
        <v>4.5572040008690196E-2</v>
      </c>
      <c r="T345" s="414">
        <f t="shared" si="177"/>
        <v>3.6759900699381981E-2</v>
      </c>
      <c r="U345" s="414">
        <f t="shared" si="177"/>
        <v>3.250576148657109E-2</v>
      </c>
      <c r="V345" s="414">
        <f t="shared" si="177"/>
        <v>2.5459796965583096E-2</v>
      </c>
      <c r="W345" s="414">
        <f t="shared" si="177"/>
        <v>2.0687269768708386E-2</v>
      </c>
      <c r="X345" s="414">
        <f t="shared" si="177"/>
        <v>1.7275838591402227E-2</v>
      </c>
      <c r="Y345" s="414">
        <f t="shared" si="177"/>
        <v>1.4407125647953283E-2</v>
      </c>
      <c r="Z345" s="414">
        <f t="shared" si="177"/>
        <v>1.224475577878935E-2</v>
      </c>
      <c r="AA345" s="414">
        <f t="shared" si="177"/>
        <v>1.0559940200550894E-2</v>
      </c>
      <c r="AB345" s="414">
        <f t="shared" si="177"/>
        <v>9.2418090329230793E-3</v>
      </c>
      <c r="AC345" s="414">
        <f t="shared" si="177"/>
        <v>7.7976625181167469E-3</v>
      </c>
      <c r="AD345" s="414">
        <f t="shared" si="177"/>
        <v>6.59979692652078E-3</v>
      </c>
      <c r="AE345" s="414">
        <f t="shared" si="177"/>
        <v>5.6768948520562277E-3</v>
      </c>
      <c r="AF345" s="414">
        <f t="shared" si="177"/>
        <v>5.4519602074748442E-3</v>
      </c>
      <c r="AG345" s="414">
        <f t="shared" si="177"/>
        <v>0</v>
      </c>
      <c r="AH345" s="414">
        <f t="shared" si="177"/>
        <v>0</v>
      </c>
      <c r="AI345" s="414">
        <f t="shared" si="177"/>
        <v>0</v>
      </c>
      <c r="AJ345" s="414">
        <f t="shared" si="177"/>
        <v>0</v>
      </c>
      <c r="AK345" s="414">
        <f t="shared" si="177"/>
        <v>0</v>
      </c>
      <c r="AL345" s="414">
        <f t="shared" si="177"/>
        <v>0</v>
      </c>
      <c r="AM345" s="414">
        <f t="shared" si="177"/>
        <v>0</v>
      </c>
      <c r="AN345" s="414">
        <f t="shared" si="177"/>
        <v>0</v>
      </c>
      <c r="AO345" s="414">
        <f t="shared" si="177"/>
        <v>0</v>
      </c>
      <c r="AP345" s="414">
        <f t="shared" si="177"/>
        <v>0</v>
      </c>
      <c r="AQ345" s="414">
        <f t="shared" si="177"/>
        <v>0</v>
      </c>
      <c r="AR345" s="414">
        <f t="shared" si="177"/>
        <v>0</v>
      </c>
      <c r="AS345" s="414">
        <f t="shared" si="177"/>
        <v>0</v>
      </c>
      <c r="AT345" s="414">
        <f t="shared" si="177"/>
        <v>0</v>
      </c>
    </row>
    <row r="346" spans="1:46" ht="14" x14ac:dyDescent="0.2">
      <c r="A346" s="278" t="s">
        <v>114</v>
      </c>
      <c r="C346" s="414">
        <f t="shared" ref="C346:AT346" si="178">+C333/$C333</f>
        <v>1</v>
      </c>
      <c r="D346" s="414">
        <f t="shared" si="178"/>
        <v>0.88645252606575775</v>
      </c>
      <c r="E346" s="414">
        <f t="shared" si="178"/>
        <v>0.73919300728052006</v>
      </c>
      <c r="F346" s="414">
        <f t="shared" si="178"/>
        <v>0.58792374971878203</v>
      </c>
      <c r="G346" s="414">
        <f t="shared" si="178"/>
        <v>0.46091397286775598</v>
      </c>
      <c r="H346" s="414">
        <f t="shared" si="178"/>
        <v>0.35943903402307831</v>
      </c>
      <c r="I346" s="414">
        <f t="shared" si="178"/>
        <v>0.27847810940161855</v>
      </c>
      <c r="J346" s="414">
        <f t="shared" si="178"/>
        <v>0.23128739315832117</v>
      </c>
      <c r="K346" s="414">
        <f t="shared" si="178"/>
        <v>0.17631921031672323</v>
      </c>
      <c r="L346" s="414">
        <f t="shared" si="178"/>
        <v>0.13811043515123003</v>
      </c>
      <c r="M346" s="414">
        <f t="shared" si="178"/>
        <v>0.11763615508776157</v>
      </c>
      <c r="N346" s="414">
        <f t="shared" si="178"/>
        <v>9.5490871389562637E-2</v>
      </c>
      <c r="O346" s="414">
        <f t="shared" si="178"/>
        <v>7.9526123009325558E-2</v>
      </c>
      <c r="P346" s="414">
        <f t="shared" si="178"/>
        <v>6.4281861039221136E-2</v>
      </c>
      <c r="Q346" s="414">
        <f t="shared" si="178"/>
        <v>5.2609800561735455E-2</v>
      </c>
      <c r="R346" s="414">
        <f t="shared" si="178"/>
        <v>4.2929988149745926E-2</v>
      </c>
      <c r="S346" s="414">
        <f t="shared" si="178"/>
        <v>3.4939912570836069E-2</v>
      </c>
      <c r="T346" s="414">
        <f t="shared" si="178"/>
        <v>2.9366773534424257E-2</v>
      </c>
      <c r="U346" s="414">
        <f t="shared" si="178"/>
        <v>2.569479034539927E-2</v>
      </c>
      <c r="V346" s="414">
        <f t="shared" si="178"/>
        <v>2.0665574849039713E-2</v>
      </c>
      <c r="W346" s="414">
        <f t="shared" si="178"/>
        <v>1.7012357379731322E-2</v>
      </c>
      <c r="X346" s="414">
        <f t="shared" si="178"/>
        <v>1.4223043948449483E-2</v>
      </c>
      <c r="Y346" s="414">
        <f t="shared" si="178"/>
        <v>1.1830841704487432E-2</v>
      </c>
      <c r="Z346" s="414">
        <f t="shared" si="178"/>
        <v>9.8555294458896672E-3</v>
      </c>
      <c r="AA346" s="414">
        <f t="shared" si="178"/>
        <v>8.3662346564244029E-3</v>
      </c>
      <c r="AB346" s="414">
        <f t="shared" si="178"/>
        <v>7.0613084738688743E-3</v>
      </c>
      <c r="AC346" s="414">
        <f t="shared" si="178"/>
        <v>5.8547200581550119E-3</v>
      </c>
      <c r="AD346" s="414">
        <f t="shared" si="178"/>
        <v>4.8719056491593688E-3</v>
      </c>
      <c r="AE346" s="414">
        <f t="shared" si="178"/>
        <v>4.1332654713232388E-3</v>
      </c>
      <c r="AF346" s="414">
        <f t="shared" si="178"/>
        <v>3.757150207563024E-3</v>
      </c>
      <c r="AG346" s="414">
        <f t="shared" si="178"/>
        <v>0</v>
      </c>
      <c r="AH346" s="414">
        <f t="shared" si="178"/>
        <v>0</v>
      </c>
      <c r="AI346" s="414">
        <f t="shared" si="178"/>
        <v>0</v>
      </c>
      <c r="AJ346" s="414">
        <f t="shared" si="178"/>
        <v>0</v>
      </c>
      <c r="AK346" s="414">
        <f t="shared" si="178"/>
        <v>0</v>
      </c>
      <c r="AL346" s="414">
        <f t="shared" si="178"/>
        <v>0</v>
      </c>
      <c r="AM346" s="414">
        <f t="shared" si="178"/>
        <v>0</v>
      </c>
      <c r="AN346" s="414">
        <f t="shared" si="178"/>
        <v>0</v>
      </c>
      <c r="AO346" s="414">
        <f t="shared" si="178"/>
        <v>0</v>
      </c>
      <c r="AP346" s="414">
        <f t="shared" si="178"/>
        <v>0</v>
      </c>
      <c r="AQ346" s="414">
        <f t="shared" si="178"/>
        <v>0</v>
      </c>
      <c r="AR346" s="414">
        <f t="shared" si="178"/>
        <v>0</v>
      </c>
      <c r="AS346" s="414">
        <f t="shared" si="178"/>
        <v>0</v>
      </c>
      <c r="AT346" s="414">
        <f t="shared" si="178"/>
        <v>0</v>
      </c>
    </row>
    <row r="347" spans="1:46" ht="14" x14ac:dyDescent="0.2">
      <c r="A347" s="278" t="s">
        <v>224</v>
      </c>
      <c r="C347" s="414">
        <f t="shared" ref="C347:AT347" si="179">+C334/$C334</f>
        <v>1</v>
      </c>
      <c r="D347" s="414">
        <f t="shared" si="179"/>
        <v>0.90900267987264005</v>
      </c>
      <c r="E347" s="414">
        <f t="shared" si="179"/>
        <v>0.79577823650928214</v>
      </c>
      <c r="F347" s="414">
        <f t="shared" si="179"/>
        <v>0.67063134469420693</v>
      </c>
      <c r="G347" s="414">
        <f t="shared" si="179"/>
        <v>0.5343225788083299</v>
      </c>
      <c r="H347" s="414">
        <f t="shared" si="179"/>
        <v>0.42059167465941705</v>
      </c>
      <c r="I347" s="414">
        <f t="shared" si="179"/>
        <v>0.34806389106109725</v>
      </c>
      <c r="J347" s="414">
        <f t="shared" si="179"/>
        <v>0.32829990458645603</v>
      </c>
      <c r="K347" s="414">
        <f t="shared" si="179"/>
        <v>0.27039748887173365</v>
      </c>
      <c r="L347" s="414">
        <f t="shared" si="179"/>
        <v>0.2152131782302219</v>
      </c>
      <c r="M347" s="414">
        <f t="shared" si="179"/>
        <v>0.17158872123143934</v>
      </c>
      <c r="N347" s="414">
        <f t="shared" si="179"/>
        <v>0.13485684239007487</v>
      </c>
      <c r="O347" s="414">
        <f t="shared" si="179"/>
        <v>0.10528414486430711</v>
      </c>
      <c r="P347" s="414">
        <f t="shared" si="179"/>
        <v>8.1554843182777018E-2</v>
      </c>
      <c r="Q347" s="414">
        <f t="shared" si="179"/>
        <v>6.3544597325784907E-2</v>
      </c>
      <c r="R347" s="414">
        <f t="shared" si="179"/>
        <v>4.9462315183374003E-2</v>
      </c>
      <c r="S347" s="414">
        <f t="shared" si="179"/>
        <v>3.8338278957795131E-2</v>
      </c>
      <c r="T347" s="414">
        <f t="shared" si="179"/>
        <v>3.038141853573793E-2</v>
      </c>
      <c r="U347" s="414">
        <f t="shared" si="179"/>
        <v>2.4649242386786268E-2</v>
      </c>
      <c r="V347" s="414">
        <f t="shared" si="179"/>
        <v>1.9349523178179978E-2</v>
      </c>
      <c r="W347" s="414">
        <f t="shared" si="179"/>
        <v>1.5659140186331303E-2</v>
      </c>
      <c r="X347" s="414">
        <f t="shared" si="179"/>
        <v>1.2458327825736325E-2</v>
      </c>
      <c r="Y347" s="414">
        <f t="shared" si="179"/>
        <v>1.0044227222100839E-2</v>
      </c>
      <c r="Z347" s="414">
        <f t="shared" si="179"/>
        <v>8.1204172513751789E-3</v>
      </c>
      <c r="AA347" s="414">
        <f t="shared" si="179"/>
        <v>6.5588688680513676E-3</v>
      </c>
      <c r="AB347" s="414">
        <f t="shared" si="179"/>
        <v>5.2984143774168282E-3</v>
      </c>
      <c r="AC347" s="414">
        <f t="shared" si="179"/>
        <v>4.2401940617302798E-3</v>
      </c>
      <c r="AD347" s="414">
        <f t="shared" si="179"/>
        <v>3.3917631445277386E-3</v>
      </c>
      <c r="AE347" s="414">
        <f t="shared" si="179"/>
        <v>2.747948847831771E-3</v>
      </c>
      <c r="AF347" s="414">
        <f t="shared" si="179"/>
        <v>2.4811200423198866E-3</v>
      </c>
      <c r="AG347" s="414">
        <f t="shared" si="179"/>
        <v>0</v>
      </c>
      <c r="AH347" s="414">
        <f t="shared" si="179"/>
        <v>0</v>
      </c>
      <c r="AI347" s="414">
        <f t="shared" si="179"/>
        <v>0</v>
      </c>
      <c r="AJ347" s="414">
        <f t="shared" si="179"/>
        <v>0</v>
      </c>
      <c r="AK347" s="414">
        <f t="shared" si="179"/>
        <v>0</v>
      </c>
      <c r="AL347" s="414">
        <f t="shared" si="179"/>
        <v>0</v>
      </c>
      <c r="AM347" s="414">
        <f t="shared" si="179"/>
        <v>0</v>
      </c>
      <c r="AN347" s="414">
        <f t="shared" si="179"/>
        <v>0</v>
      </c>
      <c r="AO347" s="414">
        <f t="shared" si="179"/>
        <v>0</v>
      </c>
      <c r="AP347" s="414">
        <f t="shared" si="179"/>
        <v>0</v>
      </c>
      <c r="AQ347" s="414">
        <f t="shared" si="179"/>
        <v>0</v>
      </c>
      <c r="AR347" s="414">
        <f t="shared" si="179"/>
        <v>0</v>
      </c>
      <c r="AS347" s="414">
        <f t="shared" si="179"/>
        <v>0</v>
      </c>
      <c r="AT347" s="414">
        <f t="shared" si="179"/>
        <v>0</v>
      </c>
    </row>
    <row r="348" spans="1:46" x14ac:dyDescent="0.15">
      <c r="M348" s="19"/>
    </row>
    <row r="349" spans="1:46" x14ac:dyDescent="0.15">
      <c r="M349" s="19"/>
    </row>
    <row r="350" spans="1:46" x14ac:dyDescent="0.15">
      <c r="M350" s="19"/>
    </row>
    <row r="351" spans="1:46" ht="15" x14ac:dyDescent="0.2">
      <c r="A351" s="275" t="s">
        <v>1063</v>
      </c>
      <c r="B351" s="276">
        <v>2005</v>
      </c>
      <c r="C351" s="276">
        <v>2005</v>
      </c>
      <c r="D351" s="276">
        <v>2005</v>
      </c>
      <c r="E351" s="276">
        <v>2005</v>
      </c>
      <c r="F351" s="276">
        <v>2005</v>
      </c>
      <c r="G351" s="276">
        <v>2005</v>
      </c>
      <c r="H351" s="276">
        <v>2005</v>
      </c>
      <c r="I351" s="276">
        <v>2005</v>
      </c>
      <c r="J351" s="276">
        <v>2005</v>
      </c>
      <c r="K351" s="276">
        <v>2005</v>
      </c>
      <c r="L351" s="276">
        <v>2005</v>
      </c>
      <c r="M351" s="276">
        <v>2005</v>
      </c>
      <c r="N351" s="276">
        <v>2005</v>
      </c>
      <c r="O351" s="276">
        <v>2005</v>
      </c>
      <c r="P351" s="276">
        <v>2005</v>
      </c>
      <c r="Q351" s="276">
        <v>2005</v>
      </c>
      <c r="R351" s="276">
        <v>2005</v>
      </c>
      <c r="S351" s="276">
        <v>2005</v>
      </c>
      <c r="T351" s="276">
        <v>2005</v>
      </c>
      <c r="U351" s="276">
        <v>2005</v>
      </c>
      <c r="V351" s="276">
        <v>2005</v>
      </c>
      <c r="W351" s="276">
        <v>2005</v>
      </c>
      <c r="X351" s="276">
        <v>2005</v>
      </c>
      <c r="Y351" s="276">
        <v>2005</v>
      </c>
      <c r="Z351" s="276">
        <v>2005</v>
      </c>
      <c r="AA351" s="276">
        <v>2005</v>
      </c>
      <c r="AB351" s="276">
        <v>2005</v>
      </c>
      <c r="AC351" s="276">
        <v>2005</v>
      </c>
      <c r="AD351" s="276">
        <v>2005</v>
      </c>
      <c r="AE351" s="276">
        <v>2005</v>
      </c>
      <c r="AF351" s="276">
        <v>2005</v>
      </c>
    </row>
    <row r="352" spans="1:46" ht="15" x14ac:dyDescent="0.2">
      <c r="A352" s="278" t="s">
        <v>104</v>
      </c>
      <c r="B352" s="279">
        <f>+US!B84</f>
        <v>8.2889410106394958</v>
      </c>
      <c r="C352" s="279">
        <f>+US!C84</f>
        <v>8.0197008659593791</v>
      </c>
      <c r="D352" s="279">
        <f>+US!D84</f>
        <v>8.342203778431136</v>
      </c>
      <c r="E352" s="279">
        <f>+US!E84</f>
        <v>8.5950776665531698</v>
      </c>
      <c r="F352" s="279">
        <f>+US!F84</f>
        <v>8.9556022446278085</v>
      </c>
      <c r="G352" s="279">
        <f>+US!G84</f>
        <v>9.1908684910682901</v>
      </c>
      <c r="H352" s="279">
        <f>+US!H84</f>
        <v>9.512275617657334</v>
      </c>
      <c r="I352" s="279">
        <f>+US!I84</f>
        <v>9.9022461857758337</v>
      </c>
      <c r="J352" s="279">
        <f>+US!J84</f>
        <v>10.306951805892638</v>
      </c>
      <c r="K352" s="279">
        <f>+US!K84</f>
        <v>10.778776127154924</v>
      </c>
      <c r="L352" s="279">
        <f>+US!L84</f>
        <v>11.21994530902173</v>
      </c>
      <c r="M352" s="279">
        <f>+US!M84</f>
        <v>11.131853471711848</v>
      </c>
      <c r="N352" s="279">
        <f>+US!N84</f>
        <v>11.317814921037169</v>
      </c>
      <c r="O352" s="279">
        <f>+US!O84</f>
        <v>11.634454098702072</v>
      </c>
      <c r="P352" s="279">
        <f>+US!P84</f>
        <v>12.08514067066721</v>
      </c>
      <c r="Q352" s="279">
        <f>+US!Q84</f>
        <v>12.501637792601439</v>
      </c>
      <c r="R352" s="279">
        <f>+US!R84</f>
        <v>12.85037226755102</v>
      </c>
      <c r="S352" s="279">
        <f>+US!S84</f>
        <v>13.107870635382824</v>
      </c>
      <c r="T352" s="279">
        <f>+US!T84</f>
        <v>13.127584221934971</v>
      </c>
      <c r="U352" s="279">
        <f>+US!U84</f>
        <v>12.782682001220037</v>
      </c>
      <c r="V352" s="279">
        <f>+US!V84</f>
        <v>13.12629554448246</v>
      </c>
      <c r="W352" s="279">
        <f>+US!W84</f>
        <v>13.333405676735177</v>
      </c>
      <c r="X352" s="279">
        <f>+US!X84</f>
        <v>13.635908143661567</v>
      </c>
      <c r="Y352" s="279">
        <f>+US!Y84</f>
        <v>13.8857381700132</v>
      </c>
      <c r="Z352" s="279">
        <f>+US!Z84</f>
        <v>14.200809934808223</v>
      </c>
      <c r="AA352" s="279">
        <f>+US!AA84</f>
        <v>14.577662781694253</v>
      </c>
      <c r="AB352" s="279">
        <f>+US!AB84</f>
        <v>14.78317282263496</v>
      </c>
      <c r="AC352" s="279">
        <f>+US!AC84</f>
        <v>15.121219156359231</v>
      </c>
      <c r="AD352" s="279">
        <f>+US!AD84</f>
        <v>15.571880872299644</v>
      </c>
      <c r="AE352" s="279">
        <f>+US!AE84</f>
        <v>15.923768513467461</v>
      </c>
      <c r="AF352" s="279">
        <f>+US!AF84</f>
        <v>15.482693619179788</v>
      </c>
      <c r="AG352" s="279">
        <f>+US!AG84</f>
        <v>16.413489424939726</v>
      </c>
      <c r="AH352" s="279">
        <f>+US!AH84</f>
        <v>16.730143546192384</v>
      </c>
      <c r="AI352" s="279">
        <f>+US!AI84</f>
        <v>0</v>
      </c>
      <c r="AJ352" s="279">
        <f>+US!AJ84</f>
        <v>0</v>
      </c>
      <c r="AK352" s="279">
        <f>+US!AK84</f>
        <v>0</v>
      </c>
      <c r="AL352" s="279">
        <f>+US!AL84</f>
        <v>0</v>
      </c>
      <c r="AM352" s="279">
        <f>+US!AM84</f>
        <v>0</v>
      </c>
      <c r="AN352" s="279">
        <f>+US!AN84</f>
        <v>0</v>
      </c>
      <c r="AO352" s="279">
        <f>+US!AO84</f>
        <v>0</v>
      </c>
      <c r="AP352" s="279">
        <f>+US!AP84</f>
        <v>0</v>
      </c>
    </row>
    <row r="353" spans="1:309" ht="15" x14ac:dyDescent="0.2">
      <c r="A353" s="278" t="s">
        <v>105</v>
      </c>
      <c r="B353" s="279">
        <f>+EU!B84</f>
        <v>11.664575074418645</v>
      </c>
      <c r="C353" s="279">
        <f>+EU!C84</f>
        <v>11.597855505492525</v>
      </c>
      <c r="D353" s="279">
        <f>+EU!D84</f>
        <v>11.853943241752306</v>
      </c>
      <c r="E353" s="279">
        <f>+EU!E84</f>
        <v>11.90934267797482</v>
      </c>
      <c r="F353" s="279">
        <f>+EU!F84</f>
        <v>12.211622521730812</v>
      </c>
      <c r="G353" s="279">
        <f>+EU!G84</f>
        <v>12.562751175642221</v>
      </c>
      <c r="H353" s="279">
        <f>+EU!H84</f>
        <v>12.823928749674323</v>
      </c>
      <c r="I353" s="279">
        <f>+EU!I84</f>
        <v>13.215788259498922</v>
      </c>
      <c r="J353" s="279">
        <f>+EU!J84</f>
        <v>13.577912740350177</v>
      </c>
      <c r="K353" s="279">
        <f>+EU!K84</f>
        <v>13.826046251235912</v>
      </c>
      <c r="L353" s="279">
        <f>+EU!L84</f>
        <v>14.290763578561606</v>
      </c>
      <c r="M353" s="279">
        <f>+EU!M84</f>
        <v>14.35868847947599</v>
      </c>
      <c r="N353" s="279">
        <f>+EU!N84</f>
        <v>14.552716624568246</v>
      </c>
      <c r="O353" s="279">
        <f>+EU!O84</f>
        <v>14.760263734754119</v>
      </c>
      <c r="P353" s="279">
        <f>+EU!P84</f>
        <v>15.194141359144421</v>
      </c>
      <c r="Q353" s="279">
        <f>+EU!Q84</f>
        <v>15.556896972463711</v>
      </c>
      <c r="R353" s="279">
        <f>+EU!R84</f>
        <v>16.105164546202943</v>
      </c>
      <c r="S353" s="279">
        <f>+EU!S84</f>
        <v>16.614536350696905</v>
      </c>
      <c r="T353" s="279">
        <f>+EU!T84</f>
        <v>16.711106843657724</v>
      </c>
      <c r="U353" s="279">
        <f>+EU!U84</f>
        <v>16.009781366557892</v>
      </c>
      <c r="V353" s="279">
        <f>+EU!V84</f>
        <v>16.428281373929948</v>
      </c>
      <c r="W353" s="279">
        <f>+EU!W84</f>
        <v>16.815834344011908</v>
      </c>
      <c r="X353" s="279">
        <f>+EU!X84</f>
        <v>16.807933987526589</v>
      </c>
      <c r="Y353" s="279">
        <f>+EU!Y84</f>
        <v>16.946333649205343</v>
      </c>
      <c r="Z353" s="279">
        <f>+EU!Z84</f>
        <v>17.299078925361748</v>
      </c>
      <c r="AA353" s="279">
        <f>+EU!AA84</f>
        <v>17.741004580506967</v>
      </c>
      <c r="AB353" s="279">
        <f>+EU!AB84</f>
        <v>18.049616596500126</v>
      </c>
      <c r="AC353" s="279">
        <f>+EU!AC84</f>
        <v>18.629552365979364</v>
      </c>
      <c r="AD353" s="279">
        <f>+EU!AD84</f>
        <v>19.025143151695119</v>
      </c>
      <c r="AE353" s="279">
        <f>+EU!AE84</f>
        <v>19.3348913066921</v>
      </c>
      <c r="AF353" s="279">
        <f>+EU!AF84</f>
        <v>18.266983357489647</v>
      </c>
      <c r="AG353" s="279">
        <f>+EU!AG84</f>
        <v>19.522369418885731</v>
      </c>
      <c r="AH353" s="279">
        <f>+EU!AH84</f>
        <v>20.260011765710125</v>
      </c>
      <c r="AI353" s="279">
        <f>+EU!AI84</f>
        <v>96.718247415914803</v>
      </c>
      <c r="AJ353" s="279">
        <f>+EU!AJ84</f>
        <v>144.69307150489169</v>
      </c>
      <c r="AK353" s="279">
        <f>+EU!AK84</f>
        <v>173.87500578662633</v>
      </c>
      <c r="AL353" s="279">
        <f>+EU!AL84</f>
        <v>193.13819135927827</v>
      </c>
      <c r="AM353" s="279">
        <f>+EU!AM84</f>
        <v>207.28614809622405</v>
      </c>
      <c r="AN353" s="279">
        <f>+EU!AN84</f>
        <v>218.78967359313557</v>
      </c>
      <c r="AO353" s="279">
        <f>+EU!AO84</f>
        <v>228.95659341345146</v>
      </c>
      <c r="AP353" s="279">
        <f>+EU!AP84</f>
        <v>238.49625361600266</v>
      </c>
    </row>
    <row r="354" spans="1:309" ht="15" x14ac:dyDescent="0.2">
      <c r="A354" s="278" t="s">
        <v>51</v>
      </c>
      <c r="B354" s="279">
        <f>+Japan!B84</f>
        <v>3.4392586572064725</v>
      </c>
      <c r="C354" s="279">
        <f>+Japan!C84</f>
        <v>3.4387839149619777</v>
      </c>
      <c r="D354" s="279">
        <f>+Japan!D84</f>
        <v>3.4906574805140886</v>
      </c>
      <c r="E354" s="279">
        <f>+Japan!E84</f>
        <v>3.5050876957963411</v>
      </c>
      <c r="F354" s="279">
        <f>+Japan!F84</f>
        <v>3.4955666689005485</v>
      </c>
      <c r="G354" s="279">
        <f>+Japan!G84</f>
        <v>3.5524271595302519</v>
      </c>
      <c r="H354" s="279">
        <f>+Japan!H84</f>
        <v>3.6567533591240506</v>
      </c>
      <c r="I354" s="279">
        <f>+Japan!I84</f>
        <v>3.6827447479386861</v>
      </c>
      <c r="J354" s="279">
        <f>+Japan!J84</f>
        <v>3.6246206172594722</v>
      </c>
      <c r="K354" s="279">
        <f>+Japan!K84</f>
        <v>3.573958782075537</v>
      </c>
      <c r="L354" s="279">
        <f>+Japan!L84</f>
        <v>3.6387274718813702</v>
      </c>
      <c r="M354" s="279">
        <f>+Japan!M84</f>
        <v>3.5918859459002577</v>
      </c>
      <c r="N354" s="279">
        <f>+Japan!N84</f>
        <v>3.5923109048178352</v>
      </c>
      <c r="O354" s="279">
        <f>+Japan!O84</f>
        <v>3.6474618075717178</v>
      </c>
      <c r="P354" s="279">
        <f>+Japan!P84</f>
        <v>3.7280096083105447</v>
      </c>
      <c r="Q354" s="279">
        <f>+Japan!Q84</f>
        <v>3.7936571585804506</v>
      </c>
      <c r="R354" s="279">
        <f>+Japan!R84</f>
        <v>3.8459475000580898</v>
      </c>
      <c r="S354" s="279">
        <f>+Japan!S84</f>
        <v>3.9026735472335963</v>
      </c>
      <c r="T354" s="279">
        <f>+Japan!T84</f>
        <v>3.8560831489801979</v>
      </c>
      <c r="U354" s="279">
        <f>+Japan!U84</f>
        <v>3.6353450266294862</v>
      </c>
      <c r="V354" s="279">
        <f>+Japan!V84</f>
        <v>3.7834340117021994</v>
      </c>
      <c r="W354" s="279">
        <f>+Japan!W84</f>
        <v>3.7854655127257759</v>
      </c>
      <c r="X354" s="279">
        <f>+Japan!X84</f>
        <v>3.8369624365561341</v>
      </c>
      <c r="Y354" s="279">
        <f>+Japan!Y84</f>
        <v>3.9134309719802158</v>
      </c>
      <c r="Z354" s="279">
        <f>+Japan!Z84</f>
        <v>3.9241565271398056</v>
      </c>
      <c r="AA354" s="279">
        <f>+Japan!AA84</f>
        <v>3.9830320937988155</v>
      </c>
      <c r="AB354" s="279">
        <f>+Japan!AB84</f>
        <v>3.9998685742666775</v>
      </c>
      <c r="AC354" s="279">
        <f>+Japan!AC84</f>
        <v>4.0689889999381306</v>
      </c>
      <c r="AD354" s="279">
        <f>+Japan!AD84</f>
        <v>4.0968208304712457</v>
      </c>
      <c r="AE354" s="279">
        <f>+Japan!AE84</f>
        <v>4.0788296422685475</v>
      </c>
      <c r="AF354" s="279">
        <f>+Japan!AF84</f>
        <v>3.9096464032984093</v>
      </c>
      <c r="AG354" s="279">
        <f>+Japan!AG84</f>
        <v>4.0126654133926998</v>
      </c>
      <c r="AH354" s="279">
        <f>+Japan!AH84</f>
        <v>4.0507397643369307</v>
      </c>
      <c r="AI354" s="279">
        <f>+Japan!AI84</f>
        <v>17.793539035369932</v>
      </c>
      <c r="AJ354" s="279">
        <f>+Japan!AJ84</f>
        <v>26.03838985367679</v>
      </c>
      <c r="AK354" s="279">
        <f>+Japan!AK84</f>
        <v>31.086459504202047</v>
      </c>
      <c r="AL354" s="279">
        <f>+Japan!AL84</f>
        <v>34.446484018691507</v>
      </c>
      <c r="AM354" s="279">
        <f>+Japan!AM84</f>
        <v>36.931482657663778</v>
      </c>
      <c r="AN354" s="279">
        <f>+Japan!AN84</f>
        <v>38.963016036244326</v>
      </c>
      <c r="AO354" s="279">
        <f>+Japan!AO84</f>
        <v>40.765540093250017</v>
      </c>
      <c r="AP354" s="279">
        <f>+Japan!AP84</f>
        <v>42.461350707653452</v>
      </c>
    </row>
    <row r="355" spans="1:309" ht="15" x14ac:dyDescent="0.2">
      <c r="A355" s="278" t="s">
        <v>52</v>
      </c>
      <c r="B355" s="279">
        <f>+Russia!B84</f>
        <v>2.5695718910770498</v>
      </c>
      <c r="C355" s="279">
        <f>+Russia!C84</f>
        <v>2.4465258961828482</v>
      </c>
      <c r="D355" s="279">
        <f>+Russia!D84</f>
        <v>2.1015738411957186</v>
      </c>
      <c r="E355" s="279">
        <f>+Russia!E84</f>
        <v>1.9183620574612879</v>
      </c>
      <c r="F355" s="279">
        <f>+Russia!F84</f>
        <v>1.6723041016180047</v>
      </c>
      <c r="G355" s="279">
        <f>+Russia!G84</f>
        <v>1.5987202735189596</v>
      </c>
      <c r="H355" s="279">
        <f>+Russia!H84</f>
        <v>1.5375032119684078</v>
      </c>
      <c r="I355" s="279">
        <f>+Russia!I84</f>
        <v>1.5567215588315446</v>
      </c>
      <c r="J355" s="279">
        <f>+Russia!J84</f>
        <v>1.471286526032235</v>
      </c>
      <c r="K355" s="279">
        <f>+Russia!K84</f>
        <v>1.5465355941495784</v>
      </c>
      <c r="L355" s="279">
        <f>+Russia!L84</f>
        <v>1.6813402680994103</v>
      </c>
      <c r="M355" s="279">
        <f>+Russia!M84</f>
        <v>1.7446581058481532</v>
      </c>
      <c r="N355" s="279">
        <f>+Russia!N84</f>
        <v>1.8262968009571847</v>
      </c>
      <c r="O355" s="279">
        <f>+Russia!O84</f>
        <v>1.9596528601369194</v>
      </c>
      <c r="P355" s="279">
        <f>+Russia!P84</f>
        <v>2.101111095933216</v>
      </c>
      <c r="Q355" s="279">
        <f>+Russia!Q84</f>
        <v>2.2349505030960017</v>
      </c>
      <c r="R355" s="279">
        <f>+Russia!R84</f>
        <v>2.4183675960829976</v>
      </c>
      <c r="S355" s="279">
        <f>+Russia!S84</f>
        <v>2.6238113080265864</v>
      </c>
      <c r="T355" s="279">
        <f>+Russia!T84</f>
        <v>2.760905883416291</v>
      </c>
      <c r="U355" s="279">
        <f>+Russia!U84</f>
        <v>2.5449922199637154</v>
      </c>
      <c r="V355" s="279">
        <f>+Russia!V84</f>
        <v>2.6591033044298076</v>
      </c>
      <c r="W355" s="279">
        <f>+Russia!W84</f>
        <v>2.7740956448585514</v>
      </c>
      <c r="X355" s="279">
        <f>+Russia!X84</f>
        <v>2.8854814413822867</v>
      </c>
      <c r="Y355" s="279">
        <f>+Russia!Y84</f>
        <v>2.9359366213533171</v>
      </c>
      <c r="Z355" s="279">
        <f>+Russia!Z84</f>
        <v>2.9571449475274325</v>
      </c>
      <c r="AA355" s="279">
        <f>+Russia!AA84</f>
        <v>2.8976364659972909</v>
      </c>
      <c r="AB355" s="279">
        <f>+Russia!AB84</f>
        <v>2.8945688047652176</v>
      </c>
      <c r="AC355" s="279">
        <f>+Russia!AC84</f>
        <v>2.9487027240324464</v>
      </c>
      <c r="AD355" s="279">
        <f>+Russia!AD84</f>
        <v>3.0325406808833444</v>
      </c>
      <c r="AE355" s="279">
        <f>+Russia!AE84</f>
        <v>3.0985564785322985</v>
      </c>
      <c r="AF355" s="279">
        <f>+Russia!AF84</f>
        <v>3.0164766216934145</v>
      </c>
      <c r="AG355" s="279">
        <f>+Russia!AG84</f>
        <v>3.1876417220069131</v>
      </c>
      <c r="AH355" s="279">
        <f>+Russia!AH84</f>
        <v>3.1216933962361835</v>
      </c>
      <c r="AI355" s="279">
        <f>+Russia!AI84</f>
        <v>14.014123439252494</v>
      </c>
      <c r="AJ355" s="279">
        <f>+Russia!AJ84</f>
        <v>20.604807916894593</v>
      </c>
      <c r="AK355" s="279">
        <f>+Russia!AK84</f>
        <v>24.66226095091217</v>
      </c>
      <c r="AL355" s="279">
        <f>+Russia!AL84</f>
        <v>27.375024698353869</v>
      </c>
      <c r="AM355" s="279">
        <f>+Russia!AM84</f>
        <v>29.389275442942399</v>
      </c>
      <c r="AN355" s="279">
        <f>+Russia!AN84</f>
        <v>31.040687530048515</v>
      </c>
      <c r="AO355" s="279">
        <f>+Russia!AO84</f>
        <v>32.508232552063156</v>
      </c>
      <c r="AP355" s="279">
        <f>+Russia!AP84</f>
        <v>33.889559209026672</v>
      </c>
    </row>
    <row r="356" spans="1:309" ht="15" x14ac:dyDescent="0.2">
      <c r="A356" s="278" t="s">
        <v>53</v>
      </c>
      <c r="B356" s="279">
        <f>+Eurasia!B84</f>
        <v>1.5230822511801223</v>
      </c>
      <c r="C356" s="279">
        <f>+Eurasia!C84</f>
        <v>1.3307820585395933</v>
      </c>
      <c r="D356" s="279">
        <f>+Eurasia!D84</f>
        <v>1.1972792432312946</v>
      </c>
      <c r="E356" s="279">
        <f>+Eurasia!E84</f>
        <v>1.0904309104704204</v>
      </c>
      <c r="F356" s="279">
        <f>+Eurasia!F84</f>
        <v>0.96044704460506036</v>
      </c>
      <c r="G356" s="279">
        <f>+Eurasia!G84</f>
        <v>1.1259866590619163</v>
      </c>
      <c r="H356" s="279">
        <f>+Eurasia!H84</f>
        <v>1.1282141791067182</v>
      </c>
      <c r="I356" s="279">
        <f>+Eurasia!I84</f>
        <v>1.1334903377846497</v>
      </c>
      <c r="J356" s="279">
        <f>+Eurasia!J84</f>
        <v>1.1467257675311748</v>
      </c>
      <c r="K356" s="279">
        <f>+Eurasia!K84</f>
        <v>1.142645787706932</v>
      </c>
      <c r="L356" s="279">
        <f>+Eurasia!L84</f>
        <v>1.1944973743276337</v>
      </c>
      <c r="M356" s="279">
        <f>+Eurasia!M84</f>
        <v>1.2642686121705435</v>
      </c>
      <c r="N356" s="279">
        <f>+Eurasia!N84</f>
        <v>1.3391698437715644</v>
      </c>
      <c r="O356" s="279">
        <f>+Eurasia!O84</f>
        <v>1.4285715761451518</v>
      </c>
      <c r="P356" s="279">
        <f>+Eurasia!P84</f>
        <v>1.5596849940445259</v>
      </c>
      <c r="Q356" s="279">
        <f>+Eurasia!Q84</f>
        <v>1.6584660937806321</v>
      </c>
      <c r="R356" s="279">
        <f>+Eurasia!R84</f>
        <v>1.802385062123899</v>
      </c>
      <c r="S356" s="279">
        <f>+Eurasia!S84</f>
        <v>1.9571255316963718</v>
      </c>
      <c r="T356" s="279">
        <f>+Eurasia!T84</f>
        <v>2.0599683263389617</v>
      </c>
      <c r="U356" s="279">
        <f>+Eurasia!U84</f>
        <v>1.9446392914957826</v>
      </c>
      <c r="V356" s="279">
        <f>+Eurasia!V84</f>
        <v>1.9984368782873005</v>
      </c>
      <c r="W356" s="279">
        <f>+Eurasia!W84</f>
        <v>2.0945635603621877</v>
      </c>
      <c r="X356" s="279">
        <f>+Eurasia!X84</f>
        <v>2.1387899034017002</v>
      </c>
      <c r="Y356" s="279">
        <f>+Eurasia!Y84</f>
        <v>2.1912761707980528</v>
      </c>
      <c r="Z356" s="279">
        <f>+Eurasia!Z84</f>
        <v>2.2032901369753075</v>
      </c>
      <c r="AA356" s="279">
        <f>+Eurasia!AA84</f>
        <v>2.2055195038599584</v>
      </c>
      <c r="AB356" s="279">
        <f>+Eurasia!AB84</f>
        <v>2.2514721418154204</v>
      </c>
      <c r="AC356" s="279">
        <f>+Eurasia!AC84</f>
        <v>2.346934308504725</v>
      </c>
      <c r="AD356" s="279">
        <f>+Eurasia!AD84</f>
        <v>2.4482165524202015</v>
      </c>
      <c r="AE356" s="279">
        <f>+Eurasia!AE84</f>
        <v>2.5430017801441736</v>
      </c>
      <c r="AF356" s="279">
        <f>+Eurasia!AF84</f>
        <v>2.4657788659440212</v>
      </c>
      <c r="AG356" s="279">
        <f>+Eurasia!AG84</f>
        <v>2.613063549643861</v>
      </c>
      <c r="AH356" s="279">
        <f>+Eurasia!AH84</f>
        <v>2.5716810552667533</v>
      </c>
      <c r="AI356" s="279">
        <f>+Eurasia!AI84</f>
        <v>15.514650327697559</v>
      </c>
      <c r="AJ356" s="279">
        <f>+Eurasia!AJ84</f>
        <v>24.789728608405198</v>
      </c>
      <c r="AK356" s="279">
        <f>+Eurasia!AK84</f>
        <v>30.525382116326085</v>
      </c>
      <c r="AL356" s="279">
        <f>+Eurasia!AL84</f>
        <v>34.318706750907459</v>
      </c>
      <c r="AM356" s="279">
        <f>+Eurasia!AM84</f>
        <v>37.100835173118114</v>
      </c>
      <c r="AN356" s="279">
        <f>+Eurasia!AN84</f>
        <v>39.355334332994566</v>
      </c>
      <c r="AO356" s="279">
        <f>+Eurasia!AO84</f>
        <v>41.339116925442354</v>
      </c>
      <c r="AP356" s="279">
        <f>+Eurasia!AP84</f>
        <v>43.19206140579621</v>
      </c>
    </row>
    <row r="357" spans="1:309" ht="15" x14ac:dyDescent="0.2">
      <c r="A357" s="278" t="s">
        <v>54</v>
      </c>
      <c r="B357" s="279">
        <f>+China!B84</f>
        <v>1.0379406892788343</v>
      </c>
      <c r="C357" s="279">
        <f>+China!C84</f>
        <v>1.3602818821374789</v>
      </c>
      <c r="D357" s="279">
        <f>+China!D84</f>
        <v>1.5768872294190168</v>
      </c>
      <c r="E357" s="279">
        <f>+China!E84</f>
        <v>1.8119921600684368</v>
      </c>
      <c r="F357" s="279">
        <f>+China!F84</f>
        <v>2.0574348583496782</v>
      </c>
      <c r="G357" s="279">
        <f>+China!G84</f>
        <v>2.2789199622807472</v>
      </c>
      <c r="H357" s="279">
        <f>+China!H84</f>
        <v>2.504579196513995</v>
      </c>
      <c r="I357" s="279">
        <f>+China!I84</f>
        <v>2.7330589210179865</v>
      </c>
      <c r="J357" s="279">
        <f>+China!J84</f>
        <v>2.9442442543932978</v>
      </c>
      <c r="K357" s="279">
        <f>+China!K84</f>
        <v>3.1444265832985963</v>
      </c>
      <c r="L357" s="279">
        <f>+China!L84</f>
        <v>3.3681653561769584</v>
      </c>
      <c r="M357" s="279">
        <f>+China!M84</f>
        <v>3.6687095422779317</v>
      </c>
      <c r="N357" s="279">
        <f>+China!N84</f>
        <v>3.9990329122056245</v>
      </c>
      <c r="O357" s="279">
        <f>+China!O84</f>
        <v>4.3961575062494953</v>
      </c>
      <c r="P357" s="279">
        <f>+China!P84</f>
        <v>4.8369334986494001</v>
      </c>
      <c r="Q357" s="279">
        <f>+China!Q84</f>
        <v>5.3802474199321093</v>
      </c>
      <c r="R357" s="279">
        <f>+China!R84</f>
        <v>6.057894951999498</v>
      </c>
      <c r="S357" s="279">
        <f>+China!S84</f>
        <v>6.9106523535607964</v>
      </c>
      <c r="T357" s="279">
        <f>+China!T84</f>
        <v>7.569601244411448</v>
      </c>
      <c r="U357" s="279">
        <f>+China!U84</f>
        <v>8.268517365720502</v>
      </c>
      <c r="V357" s="279">
        <f>+China!V84</f>
        <v>9.1340629458188243</v>
      </c>
      <c r="W357" s="279">
        <f>+China!W84</f>
        <v>9.9955025960978716</v>
      </c>
      <c r="X357" s="279">
        <f>+China!X84</f>
        <v>10.76566515756074</v>
      </c>
      <c r="Y357" s="279">
        <f>+China!Y84</f>
        <v>11.585329158346124</v>
      </c>
      <c r="Z357" s="279">
        <f>+China!Z84</f>
        <v>12.426114243522912</v>
      </c>
      <c r="AA357" s="279">
        <f>+China!AA84</f>
        <v>13.274382131652985</v>
      </c>
      <c r="AB357" s="279">
        <f>+China!AB84</f>
        <v>14.124529393913566</v>
      </c>
      <c r="AC357" s="279">
        <f>+China!AC84</f>
        <v>15.088348514691731</v>
      </c>
      <c r="AD357" s="279">
        <f>+China!AD84</f>
        <v>16.087079647160969</v>
      </c>
      <c r="AE357" s="279">
        <f>+China!AE84</f>
        <v>17.010845423848558</v>
      </c>
      <c r="AF357" s="279">
        <f>+China!AF84</f>
        <v>17.36271593244258</v>
      </c>
      <c r="AG357" s="279">
        <f>+China!AG84</f>
        <v>18.817932247972628</v>
      </c>
      <c r="AH357" s="279">
        <f>+China!AH84</f>
        <v>19.344309309061224</v>
      </c>
      <c r="AI357" s="279">
        <f>+China!AI84</f>
        <v>129.51472430149266</v>
      </c>
      <c r="AJ357" s="279">
        <f>+China!AJ84</f>
        <v>208.44782441063921</v>
      </c>
      <c r="AK357" s="279">
        <f>+China!AK84</f>
        <v>255.16695752240054</v>
      </c>
      <c r="AL357" s="279">
        <f>+China!AL84</f>
        <v>285.30699205500264</v>
      </c>
      <c r="AM357" s="279">
        <f>+China!AM84</f>
        <v>307.11819423460611</v>
      </c>
      <c r="AN357" s="279">
        <f>+China!AN84</f>
        <v>324.67930697283202</v>
      </c>
      <c r="AO357" s="279">
        <f>+China!AO84</f>
        <v>340.09493707828187</v>
      </c>
      <c r="AP357" s="279">
        <f>+China!AP84</f>
        <v>354.48498553544994</v>
      </c>
      <c r="BJ357" s="66"/>
      <c r="BK357" s="66"/>
      <c r="BL357" s="66"/>
      <c r="BM357" s="66"/>
      <c r="BN357" s="66"/>
      <c r="BO357" s="66"/>
      <c r="BP357" s="66"/>
      <c r="BQ357" s="66"/>
      <c r="BR357" s="66"/>
      <c r="BS357" s="66"/>
      <c r="BT357" s="66"/>
      <c r="BU357" s="66"/>
      <c r="BV357" s="66"/>
      <c r="BW357" s="66"/>
      <c r="BX357" s="66"/>
      <c r="BY357" s="66"/>
      <c r="BZ357" s="66"/>
      <c r="CA357" s="66"/>
      <c r="CB357" s="66"/>
      <c r="CC357" s="66"/>
      <c r="CD357" s="66"/>
      <c r="CE357" s="66"/>
      <c r="CF357" s="66"/>
      <c r="CG357" s="66"/>
      <c r="CH357" s="66"/>
      <c r="CI357" s="66"/>
      <c r="CJ357" s="66"/>
      <c r="CK357" s="66"/>
      <c r="CL357" s="66"/>
      <c r="CM357" s="66"/>
      <c r="CN357" s="66"/>
      <c r="CO357" s="66"/>
      <c r="CP357" s="66"/>
      <c r="CQ357" s="66"/>
      <c r="CR357" s="66"/>
      <c r="CS357" s="66"/>
      <c r="CT357" s="66"/>
      <c r="CU357" s="66"/>
      <c r="CV357" s="66"/>
      <c r="CW357" s="66"/>
      <c r="CX357" s="66"/>
      <c r="CY357" s="66"/>
      <c r="CZ357" s="66"/>
      <c r="DA357" s="66"/>
      <c r="DB357" s="66"/>
      <c r="DC357" s="66"/>
      <c r="DD357" s="66"/>
      <c r="DE357" s="66"/>
      <c r="DF357" s="66"/>
      <c r="DG357" s="66"/>
      <c r="DH357" s="66"/>
      <c r="DI357" s="66"/>
      <c r="DJ357" s="66"/>
      <c r="DK357" s="66"/>
      <c r="DL357" s="66"/>
      <c r="DM357" s="66"/>
      <c r="DN357" s="66"/>
      <c r="DO357" s="66"/>
      <c r="DP357" s="66"/>
      <c r="DQ357" s="66"/>
      <c r="DR357" s="66"/>
      <c r="DS357" s="66"/>
      <c r="DT357" s="66"/>
      <c r="DU357" s="66"/>
      <c r="DV357" s="66"/>
      <c r="DW357" s="66"/>
      <c r="DX357" s="66"/>
      <c r="DY357" s="66"/>
      <c r="DZ357" s="66"/>
      <c r="EA357" s="66"/>
      <c r="EB357" s="66"/>
      <c r="EC357" s="66"/>
      <c r="ED357" s="66"/>
      <c r="EE357" s="66"/>
      <c r="EF357" s="66"/>
      <c r="EG357" s="66"/>
      <c r="EH357" s="66"/>
      <c r="EI357" s="66"/>
      <c r="EJ357" s="66"/>
      <c r="EK357" s="66"/>
      <c r="EL357" s="66"/>
      <c r="EM357" s="66"/>
      <c r="EN357" s="66"/>
      <c r="EO357" s="66"/>
      <c r="EP357" s="66"/>
      <c r="EQ357" s="66"/>
      <c r="ER357" s="66"/>
      <c r="ES357" s="66"/>
      <c r="ET357" s="66"/>
      <c r="EU357" s="66"/>
      <c r="EV357" s="66"/>
      <c r="EW357" s="66"/>
      <c r="EX357" s="66"/>
      <c r="EY357" s="66"/>
      <c r="EZ357" s="66"/>
      <c r="FA357" s="66"/>
      <c r="FB357" s="66"/>
      <c r="FC357" s="66"/>
      <c r="FD357" s="66"/>
      <c r="FE357" s="66"/>
      <c r="FF357" s="66"/>
      <c r="FG357" s="66"/>
      <c r="FH357" s="66"/>
      <c r="FI357" s="66"/>
      <c r="FJ357" s="66"/>
      <c r="FK357" s="66"/>
      <c r="FL357" s="66"/>
      <c r="FM357" s="66"/>
      <c r="FN357" s="66"/>
      <c r="FO357" s="66"/>
      <c r="FP357" s="66"/>
      <c r="FQ357" s="66"/>
      <c r="FR357" s="66"/>
      <c r="FS357" s="66"/>
      <c r="FT357" s="66"/>
      <c r="FU357" s="66"/>
      <c r="FV357" s="66"/>
      <c r="FW357" s="66"/>
      <c r="FX357" s="66"/>
      <c r="FY357" s="66"/>
      <c r="FZ357" s="66"/>
      <c r="GA357" s="66"/>
      <c r="GB357" s="66"/>
      <c r="GC357" s="66"/>
      <c r="GD357" s="66"/>
      <c r="GE357" s="66"/>
      <c r="GF357" s="66"/>
      <c r="GG357" s="66"/>
      <c r="GH357" s="66"/>
      <c r="GI357" s="66"/>
      <c r="GJ357" s="66"/>
      <c r="GK357" s="66"/>
      <c r="GL357" s="66"/>
      <c r="GM357" s="66"/>
      <c r="GN357" s="66"/>
      <c r="GO357" s="66"/>
      <c r="GP357" s="66"/>
      <c r="GQ357" s="66"/>
      <c r="GR357" s="66"/>
      <c r="GS357" s="66"/>
      <c r="GT357" s="66"/>
      <c r="GU357" s="66"/>
      <c r="GV357" s="66"/>
      <c r="GW357" s="66"/>
      <c r="GX357" s="66"/>
      <c r="GY357" s="66"/>
      <c r="GZ357" s="66"/>
      <c r="HA357" s="66"/>
      <c r="HB357" s="66"/>
      <c r="HC357" s="66"/>
      <c r="HD357" s="66"/>
      <c r="HE357" s="66"/>
      <c r="HF357" s="66"/>
      <c r="HG357" s="66"/>
      <c r="HH357" s="66"/>
      <c r="HI357" s="66"/>
      <c r="HJ357" s="66"/>
      <c r="HK357" s="66"/>
      <c r="HL357" s="66"/>
      <c r="HM357" s="66"/>
      <c r="HN357" s="66"/>
      <c r="HO357" s="66"/>
      <c r="HP357" s="66"/>
      <c r="HQ357" s="66"/>
      <c r="HR357" s="66"/>
      <c r="HS357" s="66"/>
      <c r="HT357" s="66"/>
      <c r="HU357" s="66"/>
      <c r="HV357" s="66"/>
      <c r="HW357" s="66"/>
      <c r="HX357" s="66"/>
      <c r="HY357" s="66"/>
      <c r="HZ357" s="66"/>
      <c r="IA357" s="66"/>
      <c r="IB357" s="66"/>
      <c r="IC357" s="66"/>
      <c r="ID357" s="66"/>
      <c r="IE357" s="66"/>
      <c r="IF357" s="66"/>
      <c r="IG357" s="66"/>
      <c r="IH357" s="66"/>
      <c r="II357" s="66"/>
      <c r="IJ357" s="66"/>
      <c r="IK357" s="66"/>
      <c r="IL357" s="66"/>
      <c r="IM357" s="66"/>
      <c r="IN357" s="66"/>
      <c r="IO357" s="66"/>
      <c r="IP357" s="66"/>
      <c r="IQ357" s="66"/>
      <c r="IR357" s="66"/>
      <c r="IS357" s="66"/>
      <c r="IT357" s="66"/>
      <c r="IU357" s="66"/>
      <c r="IV357" s="66"/>
      <c r="IW357" s="66"/>
      <c r="IX357" s="66"/>
      <c r="IY357" s="66"/>
      <c r="IZ357" s="66"/>
      <c r="JA357" s="66"/>
      <c r="JB357" s="66"/>
      <c r="JC357" s="66"/>
      <c r="JD357" s="66"/>
      <c r="JE357" s="66"/>
      <c r="JF357" s="66"/>
      <c r="JG357" s="66"/>
      <c r="JH357" s="66"/>
      <c r="JI357" s="66"/>
      <c r="JJ357" s="66"/>
      <c r="JK357" s="66"/>
      <c r="JL357" s="66"/>
      <c r="JM357" s="66"/>
      <c r="JN357" s="66"/>
      <c r="JO357" s="66"/>
      <c r="JP357" s="66"/>
      <c r="JQ357" s="66"/>
      <c r="JR357" s="66"/>
      <c r="JS357" s="66"/>
      <c r="JT357" s="66"/>
      <c r="JU357" s="66"/>
      <c r="JV357" s="66"/>
      <c r="JW357" s="66"/>
      <c r="JX357" s="66"/>
      <c r="JY357" s="66"/>
      <c r="JZ357" s="66"/>
      <c r="KA357" s="66"/>
      <c r="KB357" s="66"/>
      <c r="KC357" s="66"/>
      <c r="KD357" s="66"/>
      <c r="KE357" s="66"/>
      <c r="KF357" s="66"/>
      <c r="KG357" s="66"/>
      <c r="KH357" s="66"/>
      <c r="KI357" s="66"/>
      <c r="KJ357" s="66"/>
      <c r="KK357" s="66"/>
      <c r="KL357" s="66"/>
      <c r="KM357" s="66"/>
      <c r="KN357" s="66"/>
      <c r="KO357" s="66"/>
      <c r="KP357" s="66"/>
      <c r="KQ357" s="66"/>
      <c r="KR357" s="66"/>
      <c r="KS357" s="66"/>
      <c r="KT357" s="66"/>
      <c r="KU357" s="66"/>
      <c r="KV357" s="66"/>
      <c r="KW357" s="66"/>
    </row>
    <row r="358" spans="1:309" ht="15" x14ac:dyDescent="0.2">
      <c r="A358" s="278" t="s">
        <v>55</v>
      </c>
      <c r="B358" s="279">
        <f>+India!B84</f>
        <v>1.1120352217142446</v>
      </c>
      <c r="C358" s="279">
        <f>+India!C84</f>
        <v>1.1658926056343868</v>
      </c>
      <c r="D358" s="279">
        <f>+India!D84</f>
        <v>1.2563403617876476</v>
      </c>
      <c r="E358" s="279">
        <f>+India!E84</f>
        <v>1.3340853524051912</v>
      </c>
      <c r="F358" s="279">
        <f>+India!F84</f>
        <v>1.4433747232196561</v>
      </c>
      <c r="G358" s="279">
        <f>+India!G84</f>
        <v>1.5629324766136636</v>
      </c>
      <c r="H358" s="279">
        <f>+India!H84</f>
        <v>1.684739391037259</v>
      </c>
      <c r="I358" s="279">
        <f>+India!I84</f>
        <v>1.7530700894631179</v>
      </c>
      <c r="J358" s="279">
        <f>+India!J84</f>
        <v>1.8599744857351397</v>
      </c>
      <c r="K358" s="279">
        <f>+India!K84</f>
        <v>2.0266742207689612</v>
      </c>
      <c r="L358" s="279">
        <f>+India!L84</f>
        <v>2.1016861831604978</v>
      </c>
      <c r="M358" s="279">
        <f>+India!M84</f>
        <v>2.1939266363622876</v>
      </c>
      <c r="N358" s="279">
        <f>+India!N84</f>
        <v>2.2756988477860336</v>
      </c>
      <c r="O358" s="279">
        <f>+India!O84</f>
        <v>2.4547308535314563</v>
      </c>
      <c r="P358" s="279">
        <f>+India!P84</f>
        <v>2.6509167340416422</v>
      </c>
      <c r="Q358" s="279">
        <f>+India!Q84</f>
        <v>2.8579743038910772</v>
      </c>
      <c r="R358" s="279">
        <f>+India!R84</f>
        <v>3.0889978162207603</v>
      </c>
      <c r="S358" s="279">
        <f>+India!S84</f>
        <v>3.3250830575953563</v>
      </c>
      <c r="T358" s="279">
        <f>+India!T84</f>
        <v>3.430686284281431</v>
      </c>
      <c r="U358" s="279">
        <f>+India!U84</f>
        <v>3.6973583470024769</v>
      </c>
      <c r="V358" s="279">
        <f>+India!V84</f>
        <v>4.0093159205964133</v>
      </c>
      <c r="W358" s="279">
        <f>+India!W84</f>
        <v>4.2228856072138568</v>
      </c>
      <c r="X358" s="279">
        <f>+India!X84</f>
        <v>4.4518849754533658</v>
      </c>
      <c r="Y358" s="279">
        <f>+India!Y84</f>
        <v>4.735007942664506</v>
      </c>
      <c r="Z358" s="279">
        <f>+India!Z84</f>
        <v>5.0834013385983692</v>
      </c>
      <c r="AA358" s="279">
        <f>+India!AA84</f>
        <v>5.4826067108592245</v>
      </c>
      <c r="AB358" s="279">
        <f>+India!AB84</f>
        <v>5.9131128800960031</v>
      </c>
      <c r="AC358" s="279">
        <f>+India!AC84</f>
        <v>6.3208647167586154</v>
      </c>
      <c r="AD358" s="279">
        <f>+India!AD84</f>
        <v>6.7337160266504741</v>
      </c>
      <c r="AE358" s="279">
        <f>+India!AE84</f>
        <v>6.9876017700533826</v>
      </c>
      <c r="AF358" s="279">
        <f>+India!AF84</f>
        <v>6.5791654387899072</v>
      </c>
      <c r="AG358" s="279">
        <f>+India!AG84</f>
        <v>7.1851904398374922</v>
      </c>
      <c r="AH358" s="279">
        <f>+India!AH84</f>
        <v>7.7034603929801673</v>
      </c>
      <c r="AI358" s="279">
        <f>+India!AI84</f>
        <v>93.907234516106996</v>
      </c>
      <c r="AJ358" s="279">
        <f>+India!AJ84</f>
        <v>186.08852306244199</v>
      </c>
      <c r="AK358" s="279">
        <f>+India!AK84</f>
        <v>244.53175826268588</v>
      </c>
      <c r="AL358" s="279">
        <f>+India!AL84</f>
        <v>282.03342428875538</v>
      </c>
      <c r="AM358" s="279">
        <f>+India!AM84</f>
        <v>308.5924340608704</v>
      </c>
      <c r="AN358" s="279">
        <f>+India!AN84</f>
        <v>329.43599983463525</v>
      </c>
      <c r="AO358" s="279">
        <f>+India!AO84</f>
        <v>347.31428924544235</v>
      </c>
      <c r="AP358" s="279">
        <f>+India!AP84</f>
        <v>363.71317415704323</v>
      </c>
    </row>
    <row r="359" spans="1:309" ht="15" x14ac:dyDescent="0.2">
      <c r="A359" s="278" t="s">
        <v>56</v>
      </c>
      <c r="B359" s="279">
        <f>+MidEast!B84</f>
        <v>1.2444988853895516</v>
      </c>
      <c r="C359" s="279">
        <f>+MidEast!C84</f>
        <v>1.3323181918808831</v>
      </c>
      <c r="D359" s="279">
        <f>+MidEast!D84</f>
        <v>1.4722879101343409</v>
      </c>
      <c r="E359" s="279">
        <f>+MidEast!E84</f>
        <v>1.516612394175185</v>
      </c>
      <c r="F359" s="279">
        <f>+MidEast!F84</f>
        <v>1.5573771153751597</v>
      </c>
      <c r="G359" s="279">
        <f>+MidEast!G84</f>
        <v>1.7176278782150383</v>
      </c>
      <c r="H359" s="279">
        <f>+MidEast!H84</f>
        <v>1.7968125576113763</v>
      </c>
      <c r="I359" s="279">
        <f>+MidEast!I84</f>
        <v>1.8523043942821724</v>
      </c>
      <c r="J359" s="279">
        <f>+MidEast!J84</f>
        <v>1.923007264765292</v>
      </c>
      <c r="K359" s="279">
        <f>+MidEast!K84</f>
        <v>1.9569959898345357</v>
      </c>
      <c r="L359" s="279">
        <f>+MidEast!L84</f>
        <v>2.1557637867017427</v>
      </c>
      <c r="M359" s="279">
        <f>+MidEast!M84</f>
        <v>2.1504869080526072</v>
      </c>
      <c r="N359" s="279">
        <f>+MidEast!N84</f>
        <v>2.17891514971789</v>
      </c>
      <c r="O359" s="279">
        <f>+MidEast!O84</f>
        <v>2.2941904234584585</v>
      </c>
      <c r="P359" s="279">
        <f>+MidEast!P84</f>
        <v>2.5001521587382944</v>
      </c>
      <c r="Q359" s="279">
        <f>+MidEast!Q84</f>
        <v>2.6145760446156414</v>
      </c>
      <c r="R359" s="279">
        <f>+MidEast!R84</f>
        <v>2.761402685948235</v>
      </c>
      <c r="S359" s="279">
        <f>+MidEast!S84</f>
        <v>2.9020474389380819</v>
      </c>
      <c r="T359" s="279">
        <f>+MidEast!T84</f>
        <v>3.0294557349198361</v>
      </c>
      <c r="U359" s="279">
        <f>+MidEast!U84</f>
        <v>3.0210789357371102</v>
      </c>
      <c r="V359" s="279">
        <f>+MidEast!V84</f>
        <v>3.1720422317924624</v>
      </c>
      <c r="W359" s="279">
        <f>+MidEast!W84</f>
        <v>3.3878331132497372</v>
      </c>
      <c r="X359" s="279">
        <f>+MidEast!X84</f>
        <v>3.4819639239175424</v>
      </c>
      <c r="Y359" s="279">
        <f>+MidEast!Y84</f>
        <v>3.5697361447043328</v>
      </c>
      <c r="Z359" s="279">
        <f>+MidEast!Z84</f>
        <v>3.7011925073761471</v>
      </c>
      <c r="AA359" s="279">
        <f>+MidEast!AA84</f>
        <v>3.8068867077114161</v>
      </c>
      <c r="AB359" s="279">
        <f>+MidEast!AB84</f>
        <v>3.995363910365449</v>
      </c>
      <c r="AC359" s="279">
        <f>+MidEast!AC84</f>
        <v>4.028537843018321</v>
      </c>
      <c r="AD359" s="279">
        <f>+MidEast!AD84</f>
        <v>4.0830376132766366</v>
      </c>
      <c r="AE359" s="279">
        <f>+MidEast!AE84</f>
        <v>4.0926925572108299</v>
      </c>
      <c r="AF359" s="279">
        <f>+MidEast!AF84</f>
        <v>3.9502327063529385</v>
      </c>
      <c r="AG359" s="279">
        <f>+MidEast!AG84</f>
        <v>4.1159937493708414</v>
      </c>
      <c r="AH359" s="279">
        <f>+MidEast!AH84</f>
        <v>4.3245409949779603</v>
      </c>
      <c r="AI359" s="279">
        <f>+MidEast!AI84</f>
        <v>57.845050039328846</v>
      </c>
      <c r="AJ359" s="279">
        <f>+MidEast!AJ84</f>
        <v>116.4342421542613</v>
      </c>
      <c r="AK359" s="279">
        <f>+MidEast!AK84</f>
        <v>153.21670272932093</v>
      </c>
      <c r="AL359" s="279">
        <f>+MidEast!AL84</f>
        <v>176.4304539499669</v>
      </c>
      <c r="AM359" s="279">
        <f>+MidEast!AM84</f>
        <v>192.6020711612581</v>
      </c>
      <c r="AN359" s="279">
        <f>+MidEast!AN84</f>
        <v>205.11757690970148</v>
      </c>
      <c r="AO359" s="279">
        <f>+MidEast!AO84</f>
        <v>215.74745419159393</v>
      </c>
      <c r="AP359" s="279">
        <f>+MidEast!AP84</f>
        <v>225.4432907444963</v>
      </c>
    </row>
    <row r="360" spans="1:309" ht="15" x14ac:dyDescent="0.2">
      <c r="A360" s="278" t="s">
        <v>57</v>
      </c>
      <c r="B360" s="279">
        <f>+Africa!B84</f>
        <v>1.5129329620590699</v>
      </c>
      <c r="C360" s="279">
        <f>+Africa!C84</f>
        <v>1.5159209479486482</v>
      </c>
      <c r="D360" s="279">
        <f>+Africa!D84</f>
        <v>1.5667386230190714</v>
      </c>
      <c r="E360" s="279">
        <f>+Africa!E84</f>
        <v>1.5967538658471336</v>
      </c>
      <c r="F360" s="279">
        <f>+Africa!F84</f>
        <v>1.6718165830633946</v>
      </c>
      <c r="G360" s="279">
        <f>+Africa!G84</f>
        <v>1.7541946731633455</v>
      </c>
      <c r="H360" s="279">
        <f>+Africa!H84</f>
        <v>1.8557859802641243</v>
      </c>
      <c r="I360" s="279">
        <f>+Africa!I84</f>
        <v>1.9332058201885109</v>
      </c>
      <c r="J360" s="279">
        <f>+Africa!J84</f>
        <v>2.0034849102044445</v>
      </c>
      <c r="K360" s="279">
        <f>+Africa!K84</f>
        <v>2.198917382209105</v>
      </c>
      <c r="L360" s="279">
        <f>+Africa!L84</f>
        <v>2.3153514879906156</v>
      </c>
      <c r="M360" s="279">
        <f>+Africa!M84</f>
        <v>2.4083829091192888</v>
      </c>
      <c r="N360" s="279">
        <f>+Africa!N84</f>
        <v>2.5224848752168096</v>
      </c>
      <c r="O360" s="279">
        <f>+Africa!O84</f>
        <v>2.641340141538207</v>
      </c>
      <c r="P360" s="279">
        <f>+Africa!P84</f>
        <v>2.7939709318837549</v>
      </c>
      <c r="Q360" s="279">
        <f>+Africa!Q84</f>
        <v>2.9539287296793262</v>
      </c>
      <c r="R360" s="279">
        <f>+Africa!R84</f>
        <v>3.1299417939281144</v>
      </c>
      <c r="S360" s="279">
        <f>+Africa!S84</f>
        <v>3.3168943514324507</v>
      </c>
      <c r="T360" s="279">
        <f>+Africa!T84</f>
        <v>3.4876096613622281</v>
      </c>
      <c r="U360" s="279">
        <f>+Africa!U84</f>
        <v>3.5820006927935797</v>
      </c>
      <c r="V360" s="279">
        <f>+Africa!V84</f>
        <v>3.770360693462206</v>
      </c>
      <c r="W360" s="279">
        <f>+Africa!W84</f>
        <v>3.8252595148274375</v>
      </c>
      <c r="X360" s="279">
        <f>+Africa!X84</f>
        <v>4.0126611259017517</v>
      </c>
      <c r="Y360" s="279">
        <f>+Africa!Y84</f>
        <v>4.1607238678754817</v>
      </c>
      <c r="Z360" s="279">
        <f>+Africa!Z84</f>
        <v>4.3025107073225257</v>
      </c>
      <c r="AA360" s="279">
        <f>+Africa!AA84</f>
        <v>4.434533210205756</v>
      </c>
      <c r="AB360" s="279">
        <f>+Africa!AB84</f>
        <v>4.5156771169862031</v>
      </c>
      <c r="AC360" s="279">
        <f>+Africa!AC84</f>
        <v>4.6783241593031484</v>
      </c>
      <c r="AD360" s="279">
        <f>+Africa!AD84</f>
        <v>4.8333845976893928</v>
      </c>
      <c r="AE360" s="279">
        <f>+Africa!AE84</f>
        <v>4.9591093961612014</v>
      </c>
      <c r="AF360" s="279">
        <f>+Africa!AF84</f>
        <v>4.8506323897618202</v>
      </c>
      <c r="AG360" s="279">
        <f>+Africa!AG84</f>
        <v>5.0795056965498784</v>
      </c>
      <c r="AH360" s="279">
        <f>+Africa!AH84</f>
        <v>5.2752586466832048</v>
      </c>
      <c r="AI360" s="279">
        <f>+Africa!AI84</f>
        <v>77.929213931634891</v>
      </c>
      <c r="AJ360" s="279">
        <f>+Africa!AJ84</f>
        <v>161.24876716196087</v>
      </c>
      <c r="AK360" s="279">
        <f>+Africa!AK84</f>
        <v>213.99499704799308</v>
      </c>
      <c r="AL360" s="279">
        <f>+Africa!AL84</f>
        <v>247.51646932984852</v>
      </c>
      <c r="AM360" s="279">
        <f>+Africa!AM84</f>
        <v>271.08352081075196</v>
      </c>
      <c r="AN360" s="279">
        <f>+Africa!AN84</f>
        <v>289.48102640704673</v>
      </c>
      <c r="AO360" s="279">
        <f>+Africa!AO84</f>
        <v>305.20359047495873</v>
      </c>
      <c r="AP360" s="279">
        <f>+Africa!AP84</f>
        <v>319.5901146048177</v>
      </c>
    </row>
    <row r="361" spans="1:309" ht="15" x14ac:dyDescent="0.2">
      <c r="A361" s="278" t="s">
        <v>58</v>
      </c>
      <c r="B361" s="279">
        <f>+LatAm!B84</f>
        <v>3.3457619576867348</v>
      </c>
      <c r="C361" s="279">
        <f>+LatAm!C84</f>
        <v>3.4466299772717424</v>
      </c>
      <c r="D361" s="279">
        <f>+LatAm!D84</f>
        <v>3.587828234408275</v>
      </c>
      <c r="E361" s="279">
        <f>+LatAm!E84</f>
        <v>3.7951673413222284</v>
      </c>
      <c r="F361" s="279">
        <f>+LatAm!F84</f>
        <v>4.0273427205739178</v>
      </c>
      <c r="G361" s="279">
        <f>+LatAm!G84</f>
        <v>4.0570013933129365</v>
      </c>
      <c r="H361" s="279">
        <f>+LatAm!H84</f>
        <v>4.2189645211314941</v>
      </c>
      <c r="I361" s="279">
        <f>+LatAm!I84</f>
        <v>4.4449389947086848</v>
      </c>
      <c r="J361" s="279">
        <f>+LatAm!J84</f>
        <v>4.5722973756725445</v>
      </c>
      <c r="K361" s="279">
        <f>+LatAm!K84</f>
        <v>4.587269482133471</v>
      </c>
      <c r="L361" s="279">
        <f>+LatAm!L84</f>
        <v>4.7484848869875478</v>
      </c>
      <c r="M361" s="279">
        <f>+LatAm!M84</f>
        <v>4.7074639752828054</v>
      </c>
      <c r="N361" s="279">
        <f>+LatAm!N84</f>
        <v>4.7288694115514529</v>
      </c>
      <c r="O361" s="279">
        <f>+LatAm!O84</f>
        <v>4.8472197911117414</v>
      </c>
      <c r="P361" s="279">
        <f>+LatAm!P84</f>
        <v>5.1037465657205718</v>
      </c>
      <c r="Q361" s="279">
        <f>+LatAm!Q84</f>
        <v>5.3046395615868125</v>
      </c>
      <c r="R361" s="279">
        <f>+LatAm!R84</f>
        <v>5.5841224601998221</v>
      </c>
      <c r="S361" s="279">
        <f>+LatAm!S84</f>
        <v>5.8764452434288348</v>
      </c>
      <c r="T361" s="279">
        <f>+LatAm!T84</f>
        <v>6.0958715047782848</v>
      </c>
      <c r="U361" s="279">
        <f>+LatAm!U84</f>
        <v>5.9477149159971017</v>
      </c>
      <c r="V361" s="279">
        <f>+LatAm!V84</f>
        <v>6.3340731971362363</v>
      </c>
      <c r="W361" s="279">
        <f>+LatAm!W84</f>
        <v>6.6263019692827898</v>
      </c>
      <c r="X361" s="279">
        <f>+LatAm!X84</f>
        <v>6.8066625996457857</v>
      </c>
      <c r="Y361" s="279">
        <f>+LatAm!Y84</f>
        <v>6.9983510925650814</v>
      </c>
      <c r="Z361" s="279">
        <f>+LatAm!Z84</f>
        <v>7.1050560875220201</v>
      </c>
      <c r="AA361" s="279">
        <f>+LatAm!AA84</f>
        <v>7.1435419023705871</v>
      </c>
      <c r="AB361" s="279">
        <f>+LatAm!AB84</f>
        <v>7.1121932572612012</v>
      </c>
      <c r="AC361" s="279">
        <f>+LatAm!AC84</f>
        <v>7.255804278594411</v>
      </c>
      <c r="AD361" s="279">
        <f>+LatAm!AD84</f>
        <v>7.3868924242452856</v>
      </c>
      <c r="AE361" s="279">
        <f>+LatAm!AE84</f>
        <v>7.4398108837838999</v>
      </c>
      <c r="AF361" s="279">
        <f>+LatAm!AF84</f>
        <v>6.9415644023609424</v>
      </c>
      <c r="AG361" s="279">
        <f>+LatAm!AG84</f>
        <v>7.4578842370436504</v>
      </c>
      <c r="AH361" s="279">
        <f>+LatAm!AH84</f>
        <v>7.7553963080452766</v>
      </c>
      <c r="AI361" s="279">
        <f>+LatAm!AI84</f>
        <v>74.347016919928535</v>
      </c>
      <c r="AJ361" s="279">
        <f>+LatAm!AJ84</f>
        <v>135.9791183744733</v>
      </c>
      <c r="AK361" s="279">
        <f>+LatAm!AK84</f>
        <v>174.32990356732887</v>
      </c>
      <c r="AL361" s="279">
        <f>+LatAm!AL84</f>
        <v>198.97469400416159</v>
      </c>
      <c r="AM361" s="279">
        <f>+LatAm!AM84</f>
        <v>216.48555477177382</v>
      </c>
      <c r="AN361" s="279">
        <f>+LatAm!AN84</f>
        <v>230.27858549130369</v>
      </c>
      <c r="AO361" s="279">
        <f>+LatAm!AO84</f>
        <v>242.15393446956597</v>
      </c>
      <c r="AP361" s="279">
        <f>+LatAm!AP84</f>
        <v>253.08521286407324</v>
      </c>
    </row>
    <row r="362" spans="1:309" ht="15" x14ac:dyDescent="0.2">
      <c r="A362" s="278" t="s">
        <v>114</v>
      </c>
      <c r="B362" s="279">
        <f>+OHI!B84</f>
        <v>1.9615709527889007</v>
      </c>
      <c r="C362" s="279">
        <f>+OHI!C84</f>
        <v>1.9621161974963099</v>
      </c>
      <c r="D362" s="279">
        <f>+OHI!D84</f>
        <v>2.0309355136010017</v>
      </c>
      <c r="E362" s="279">
        <f>+OHI!E84</f>
        <v>2.1422745659416123</v>
      </c>
      <c r="F362" s="279">
        <f>+OHI!F84</f>
        <v>2.2807077399312297</v>
      </c>
      <c r="G362" s="279">
        <f>+OHI!G84</f>
        <v>2.3966115823895815</v>
      </c>
      <c r="H362" s="279">
        <f>+OHI!H84</f>
        <v>2.4966324976223491</v>
      </c>
      <c r="I362" s="279">
        <f>+OHI!I84</f>
        <v>2.612189093557415</v>
      </c>
      <c r="J362" s="279">
        <f>+OHI!J84</f>
        <v>2.6093032416787292</v>
      </c>
      <c r="K362" s="279">
        <f>+OHI!K84</f>
        <v>2.7596456140989885</v>
      </c>
      <c r="L362" s="279">
        <f>+OHI!L84</f>
        <v>2.9109167550474986</v>
      </c>
      <c r="M362" s="279">
        <f>+OHI!M84</f>
        <v>2.9488212678589147</v>
      </c>
      <c r="N362" s="279">
        <f>+OHI!N84</f>
        <v>3.0845795574913755</v>
      </c>
      <c r="O362" s="279">
        <f>+OHI!O84</f>
        <v>3.1719443260572482</v>
      </c>
      <c r="P362" s="279">
        <f>+OHI!P84</f>
        <v>3.3273719513105036</v>
      </c>
      <c r="Q362" s="279">
        <f>+OHI!Q84</f>
        <v>3.4616043251289641</v>
      </c>
      <c r="R362" s="279">
        <f>+OHI!R84</f>
        <v>3.6083575535641592</v>
      </c>
      <c r="S362" s="279">
        <f>+OHI!S84</f>
        <v>3.7678801882024051</v>
      </c>
      <c r="T362" s="279">
        <f>+OHI!T84</f>
        <v>3.850960113828739</v>
      </c>
      <c r="U362" s="279">
        <f>+OHI!U84</f>
        <v>3.831816239022996</v>
      </c>
      <c r="V362" s="279">
        <f>+OHI!V84</f>
        <v>4.0346622423393832</v>
      </c>
      <c r="W362" s="279">
        <f>+OHI!W84</f>
        <v>4.1844899932540951</v>
      </c>
      <c r="X362" s="279">
        <f>+OHI!X84</f>
        <v>4.2954023601893949</v>
      </c>
      <c r="Y362" s="279">
        <f>+OHI!Y84</f>
        <v>4.4242040050967768</v>
      </c>
      <c r="Z362" s="279">
        <f>+OHI!Z84</f>
        <v>4.5523846951431324</v>
      </c>
      <c r="AA362" s="279">
        <f>+OHI!AA84</f>
        <v>4.6257865356731891</v>
      </c>
      <c r="AB362" s="279">
        <f>+OHI!AB84</f>
        <v>4.7184082384670241</v>
      </c>
      <c r="AC362" s="279">
        <f>+OHI!AC84</f>
        <v>4.8703656484835385</v>
      </c>
      <c r="AD362" s="279">
        <f>+OHI!AD84</f>
        <v>5.0151019412437758</v>
      </c>
      <c r="AE362" s="279">
        <f>+OHI!AE84</f>
        <v>5.0979647962722785</v>
      </c>
      <c r="AF362" s="279">
        <f>+OHI!AF84</f>
        <v>4.9342732522357649</v>
      </c>
      <c r="AG362" s="279">
        <f>+OHI!AG84</f>
        <v>5.174028873658381</v>
      </c>
      <c r="AH362" s="279">
        <f>+OHI!AH84</f>
        <v>5.315586756236347</v>
      </c>
      <c r="AI362" s="279">
        <f>+OHI!AI84</f>
        <v>27.064691360122175</v>
      </c>
      <c r="AJ362" s="279">
        <f>+OHI!AJ84</f>
        <v>41.018646536399949</v>
      </c>
      <c r="AK362" s="279">
        <f>+OHI!AK84</f>
        <v>49.452410623789611</v>
      </c>
      <c r="AL362" s="279">
        <f>+OHI!AL84</f>
        <v>54.977875274447221</v>
      </c>
      <c r="AM362" s="279">
        <f>+OHI!AM84</f>
        <v>59.009729890110535</v>
      </c>
      <c r="AN362" s="279">
        <f>+OHI!AN84</f>
        <v>62.271440423150374</v>
      </c>
      <c r="AO362" s="279">
        <f>+OHI!AO84</f>
        <v>65.144308603630108</v>
      </c>
      <c r="AP362" s="279">
        <f>+OHI!AP84</f>
        <v>67.834439552934825</v>
      </c>
    </row>
    <row r="363" spans="1:309" ht="15" x14ac:dyDescent="0.2">
      <c r="A363" s="278" t="s">
        <v>224</v>
      </c>
      <c r="B363" s="279">
        <f>+OthAsia!B84</f>
        <v>1.9171674741047351</v>
      </c>
      <c r="C363" s="279">
        <f>+OthAsia!C84</f>
        <v>1.9263528024798784</v>
      </c>
      <c r="D363" s="279">
        <f>+OthAsia!D84</f>
        <v>2.0886918536648045</v>
      </c>
      <c r="E363" s="279">
        <f>+OthAsia!E84</f>
        <v>2.2599275963670182</v>
      </c>
      <c r="F363" s="279">
        <f>+OthAsia!F84</f>
        <v>2.4462817114639437</v>
      </c>
      <c r="G363" s="279">
        <f>+OthAsia!G84</f>
        <v>2.6475784853810245</v>
      </c>
      <c r="H363" s="279">
        <f>+OthAsia!H84</f>
        <v>2.8332202495691043</v>
      </c>
      <c r="I363" s="279">
        <f>+OthAsia!I84</f>
        <v>2.9323629828408566</v>
      </c>
      <c r="J363" s="279">
        <f>+OthAsia!J84</f>
        <v>2.7815025483120461</v>
      </c>
      <c r="K363" s="279">
        <f>+OthAsia!K84</f>
        <v>2.8879818168067719</v>
      </c>
      <c r="L363" s="279">
        <f>+OthAsia!L84</f>
        <v>3.0405250459536468</v>
      </c>
      <c r="M363" s="279">
        <f>+OthAsia!M84</f>
        <v>3.1690489506546959</v>
      </c>
      <c r="N363" s="279">
        <f>+OthAsia!N84</f>
        <v>3.3347739089154236</v>
      </c>
      <c r="O363" s="279">
        <f>+OthAsia!O84</f>
        <v>3.5247908306862623</v>
      </c>
      <c r="P363" s="279">
        <f>+OthAsia!P84</f>
        <v>3.7451490642379266</v>
      </c>
      <c r="Q363" s="279">
        <f>+OthAsia!Q84</f>
        <v>3.963785441234009</v>
      </c>
      <c r="R363" s="279">
        <f>+OthAsia!R84</f>
        <v>4.1979753023210344</v>
      </c>
      <c r="S363" s="279">
        <f>+OthAsia!S84</f>
        <v>4.4585609798059718</v>
      </c>
      <c r="T363" s="279">
        <f>+OthAsia!T84</f>
        <v>4.6659280178675013</v>
      </c>
      <c r="U363" s="279">
        <f>+OthAsia!U84</f>
        <v>4.806931824822021</v>
      </c>
      <c r="V363" s="279">
        <f>+OthAsia!V84</f>
        <v>5.1011495147592374</v>
      </c>
      <c r="W363" s="279">
        <f>+OthAsia!W84</f>
        <v>5.345214189335092</v>
      </c>
      <c r="X363" s="279">
        <f>+OthAsia!X84</f>
        <v>5.6649929508827546</v>
      </c>
      <c r="Y363" s="279">
        <f>+OthAsia!Y84</f>
        <v>5.9510054389473996</v>
      </c>
      <c r="Z363" s="279">
        <f>+OthAsia!Z84</f>
        <v>6.2399047326547201</v>
      </c>
      <c r="AA363" s="279">
        <f>+OthAsia!AA84</f>
        <v>6.5469603903564639</v>
      </c>
      <c r="AB363" s="279">
        <f>+OthAsia!AB84</f>
        <v>6.8684259652049473</v>
      </c>
      <c r="AC363" s="279">
        <f>+OthAsia!AC84</f>
        <v>7.2509153589438906</v>
      </c>
      <c r="AD363" s="279">
        <f>+OthAsia!AD84</f>
        <v>7.6570556403603547</v>
      </c>
      <c r="AE363" s="279">
        <f>+OthAsia!AE84</f>
        <v>8.0174305665267731</v>
      </c>
      <c r="AF363" s="279">
        <f>+OthAsia!AF84</f>
        <v>7.7905847474631198</v>
      </c>
      <c r="AG363" s="279">
        <f>+OthAsia!AG84</f>
        <v>8.069552700683964</v>
      </c>
      <c r="AH363" s="279">
        <f>+OthAsia!AH84</f>
        <v>8.4480278915481684</v>
      </c>
      <c r="AI363" s="279">
        <f>+OthAsia!AI84</f>
        <v>111.06624626151375</v>
      </c>
      <c r="AJ363" s="279">
        <f>+OthAsia!AJ84</f>
        <v>222.90334268782141</v>
      </c>
      <c r="AK363" s="279">
        <f>+OthAsia!AK84</f>
        <v>293.90045175458363</v>
      </c>
      <c r="AL363" s="279">
        <f>+OthAsia!AL84</f>
        <v>339.39168950602834</v>
      </c>
      <c r="AM363" s="279">
        <f>+OthAsia!AM84</f>
        <v>371.58080108199459</v>
      </c>
      <c r="AN363" s="279">
        <f>+OthAsia!AN84</f>
        <v>396.8296910503135</v>
      </c>
      <c r="AO363" s="279">
        <f>+OthAsia!AO84</f>
        <v>418.47822033072686</v>
      </c>
      <c r="AP363" s="279">
        <f>+OthAsia!AP84</f>
        <v>438.32804787620034</v>
      </c>
    </row>
    <row r="364" spans="1:309" x14ac:dyDescent="0.15">
      <c r="B364" s="414">
        <f t="shared" ref="B364:AF364" si="180">SUM(B352:B363)</f>
        <v>39.617337027543854</v>
      </c>
      <c r="C364" s="414">
        <f t="shared" si="180"/>
        <v>39.543160845985646</v>
      </c>
      <c r="D364" s="414">
        <f t="shared" si="180"/>
        <v>40.565367311158703</v>
      </c>
      <c r="E364" s="414">
        <f t="shared" si="180"/>
        <v>41.47511428438284</v>
      </c>
      <c r="F364" s="414">
        <f t="shared" si="180"/>
        <v>42.779878033459219</v>
      </c>
      <c r="G364" s="414">
        <f t="shared" si="180"/>
        <v>44.445620210177985</v>
      </c>
      <c r="H364" s="414">
        <f t="shared" si="180"/>
        <v>46.04940951128053</v>
      </c>
      <c r="I364" s="414">
        <f t="shared" si="180"/>
        <v>47.752121385888373</v>
      </c>
      <c r="J364" s="414">
        <f t="shared" si="180"/>
        <v>48.821311537827185</v>
      </c>
      <c r="K364" s="414">
        <f t="shared" si="180"/>
        <v>50.429873631473313</v>
      </c>
      <c r="L364" s="414">
        <f t="shared" si="180"/>
        <v>52.666167503910259</v>
      </c>
      <c r="M364" s="414">
        <f t="shared" si="180"/>
        <v>53.338194804715329</v>
      </c>
      <c r="N364" s="414">
        <f t="shared" si="180"/>
        <v>54.752663758036604</v>
      </c>
      <c r="O364" s="414">
        <f t="shared" si="180"/>
        <v>56.760777949942856</v>
      </c>
      <c r="P364" s="414">
        <f t="shared" si="180"/>
        <v>59.626328632682011</v>
      </c>
      <c r="Q364" s="414">
        <f t="shared" si="180"/>
        <v>62.282364346590178</v>
      </c>
      <c r="R364" s="414">
        <f t="shared" si="180"/>
        <v>65.450929536200576</v>
      </c>
      <c r="S364" s="414">
        <f t="shared" si="180"/>
        <v>68.763580986000179</v>
      </c>
      <c r="T364" s="414">
        <f t="shared" si="180"/>
        <v>70.645760985777613</v>
      </c>
      <c r="U364" s="414">
        <f t="shared" si="180"/>
        <v>70.072858226962694</v>
      </c>
      <c r="V364" s="414">
        <f t="shared" si="180"/>
        <v>73.551217858736479</v>
      </c>
      <c r="W364" s="414">
        <f t="shared" si="180"/>
        <v>76.390851721954476</v>
      </c>
      <c r="X364" s="414">
        <f t="shared" si="180"/>
        <v>78.78430900607961</v>
      </c>
      <c r="Y364" s="414">
        <f t="shared" si="180"/>
        <v>81.297073233549852</v>
      </c>
      <c r="Z364" s="414">
        <f t="shared" si="180"/>
        <v>83.995044783952338</v>
      </c>
      <c r="AA364" s="414">
        <f t="shared" si="180"/>
        <v>86.719553014686895</v>
      </c>
      <c r="AB364" s="414">
        <f t="shared" si="180"/>
        <v>89.226409702276783</v>
      </c>
      <c r="AC364" s="414">
        <f t="shared" si="180"/>
        <v>92.608558074607558</v>
      </c>
      <c r="AD364" s="414">
        <f t="shared" si="180"/>
        <v>95.970869978396422</v>
      </c>
      <c r="AE364" s="414">
        <f t="shared" si="180"/>
        <v>98.584503114961507</v>
      </c>
      <c r="AF364" s="414">
        <f t="shared" si="180"/>
        <v>95.550747737012358</v>
      </c>
    </row>
    <row r="366" spans="1:309" s="512" customFormat="1" ht="16" x14ac:dyDescent="0.2">
      <c r="A366" s="512" t="s">
        <v>1064</v>
      </c>
      <c r="B366" s="514">
        <f t="shared" ref="B366:AF366" si="181">+SUMPRODUCT(B323:B334*B352:B363)/B364</f>
        <v>1</v>
      </c>
      <c r="C366" s="514">
        <f t="shared" si="181"/>
        <v>0.96161511845297976</v>
      </c>
      <c r="D366" s="514">
        <f t="shared" si="181"/>
        <v>0.86569364022385009</v>
      </c>
      <c r="E366" s="514">
        <f t="shared" si="181"/>
        <v>0.76408605615423708</v>
      </c>
      <c r="F366" s="514">
        <f t="shared" si="181"/>
        <v>0.6532713404149556</v>
      </c>
      <c r="G366" s="514">
        <f t="shared" si="181"/>
        <v>0.53541491738997871</v>
      </c>
      <c r="H366" s="514">
        <f t="shared" si="181"/>
        <v>0.43457718295515679</v>
      </c>
      <c r="I366" s="513">
        <f t="shared" si="181"/>
        <v>0.35263871552600945</v>
      </c>
      <c r="J366" s="513">
        <f t="shared" si="181"/>
        <v>0.29257294645456994</v>
      </c>
      <c r="K366" s="513">
        <f t="shared" si="181"/>
        <v>0.23876754158612412</v>
      </c>
      <c r="L366" s="513">
        <f t="shared" si="181"/>
        <v>0.19215372592398747</v>
      </c>
      <c r="M366" s="513">
        <f t="shared" si="181"/>
        <v>0.16248247359553655</v>
      </c>
      <c r="N366" s="513">
        <f t="shared" si="181"/>
        <v>0.13465523502213658</v>
      </c>
      <c r="O366" s="513">
        <f t="shared" si="181"/>
        <v>0.10999402674770049</v>
      </c>
      <c r="P366" s="513">
        <f t="shared" si="181"/>
        <v>8.8094715515323982E-2</v>
      </c>
      <c r="Q366" s="513">
        <f t="shared" si="181"/>
        <v>7.1262345213119346E-2</v>
      </c>
      <c r="R366" s="513">
        <f t="shared" si="181"/>
        <v>5.72093094217749E-2</v>
      </c>
      <c r="S366" s="513">
        <f t="shared" si="181"/>
        <v>4.6029611663538292E-2</v>
      </c>
      <c r="T366" s="513">
        <f t="shared" si="181"/>
        <v>3.8272075749228272E-2</v>
      </c>
      <c r="U366" s="513">
        <f t="shared" si="181"/>
        <v>3.365499976771924E-2</v>
      </c>
      <c r="V366" s="513">
        <f t="shared" si="181"/>
        <v>2.722283334130873E-2</v>
      </c>
      <c r="W366" s="513">
        <f t="shared" si="181"/>
        <v>2.2439308019969743E-2</v>
      </c>
      <c r="X366" s="513">
        <f t="shared" si="181"/>
        <v>1.8694250454195295E-2</v>
      </c>
      <c r="Y366" s="513">
        <f t="shared" si="181"/>
        <v>1.557116656783198E-2</v>
      </c>
      <c r="Z366" s="513">
        <f t="shared" si="181"/>
        <v>1.2939082233277053E-2</v>
      </c>
      <c r="AA366" s="513">
        <f t="shared" si="181"/>
        <v>1.0759901140780565E-2</v>
      </c>
      <c r="AB366" s="513">
        <f t="shared" si="181"/>
        <v>9.0043647289158521E-3</v>
      </c>
      <c r="AC366" s="513">
        <f t="shared" si="181"/>
        <v>7.4327349911025463E-3</v>
      </c>
      <c r="AD366" s="513">
        <f t="shared" si="181"/>
        <v>6.1479642226849821E-3</v>
      </c>
      <c r="AE366" s="513">
        <f t="shared" si="181"/>
        <v>5.1502224899291999E-3</v>
      </c>
      <c r="AF366" s="513">
        <f t="shared" si="181"/>
        <v>4.6905831995393268E-3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 x14ac:dyDescent="0.15">
      <c r="A368" s="19" t="s">
        <v>1067</v>
      </c>
    </row>
    <row r="369" spans="1:309" s="517" customFormat="1" x14ac:dyDescent="0.15">
      <c r="A369" s="517" t="s">
        <v>1068</v>
      </c>
      <c r="B369" s="517">
        <f>+(Parameters!$B11+2*Parameters!$B12*Global!B70)*B48</f>
        <v>0.19838950737400013</v>
      </c>
      <c r="C369" s="517">
        <f>+(Parameters!$B11+2*Parameters!$B12*Global!C70)*C48</f>
        <v>0.18908442606744524</v>
      </c>
      <c r="D369" s="517">
        <f>+(Parameters!$B11+2*Parameters!$B12*Global!D70)*D48</f>
        <v>0.16097987677539929</v>
      </c>
      <c r="E369" s="517">
        <f>+(Parameters!$B11+2*Parameters!$B12*Global!E70)*E39</f>
        <v>0.2100108966910772</v>
      </c>
      <c r="F369" s="517">
        <f>+(Parameters!$B11+2*Parameters!$B12*Global!F70)*F39</f>
        <v>0.23536418453087693</v>
      </c>
      <c r="G369" s="517">
        <f>+(Parameters!$B11+2*Parameters!$B12*Global!G70)*G39</f>
        <v>0.27736463783700177</v>
      </c>
      <c r="H369" s="517">
        <f>+(Parameters!$B11+2*Parameters!$B12*Global!H70)*H39</f>
        <v>0.25894689085520051</v>
      </c>
      <c r="I369" s="517">
        <f>+(Parameters!$B11+2*Parameters!$B12*Global!I70)*I39</f>
        <v>0.30448539966363469</v>
      </c>
      <c r="J369" s="517">
        <f>+(Parameters!$B11+2*Parameters!$B12*Global!J70)*J39</f>
        <v>0.35115839826273293</v>
      </c>
      <c r="K369" s="517">
        <f>+(Parameters!$B11+2*Parameters!$B12*Global!K70)*K39</f>
        <v>0.30052215433204749</v>
      </c>
      <c r="L369" s="517">
        <f>+(Parameters!$B11+2*Parameters!$B12*Global!L70)*L39</f>
        <v>0.31811827336797854</v>
      </c>
      <c r="M369" s="517">
        <f>+(Parameters!$B11+2*Parameters!$B12*Global!M70)*M39</f>
        <v>0.36908779255574548</v>
      </c>
      <c r="N369" s="517">
        <f>+(Parameters!$B11+2*Parameters!$B12*Global!N70)*N39</f>
        <v>0.41096640187347561</v>
      </c>
      <c r="O369" s="517">
        <f>+(Parameters!$B11+2*Parameters!$B12*Global!O70)*O39</f>
        <v>0.42280790552261743</v>
      </c>
      <c r="P369" s="517">
        <f>+(Parameters!$B11+2*Parameters!$B12*Global!P70)*P39</f>
        <v>0.41285130567564282</v>
      </c>
      <c r="Q369" s="517">
        <f>+(Parameters!$B11+2*Parameters!$B12*Global!Q70)*Q39</f>
        <v>0.48238683997482379</v>
      </c>
      <c r="R369" s="517">
        <f>+(Parameters!$B11+2*Parameters!$B12*Global!R70)*R39</f>
        <v>0.4955648283523193</v>
      </c>
      <c r="S369" s="517">
        <f>+(Parameters!$B11+2*Parameters!$B12*Global!S70)*S39</f>
        <v>0.52887108492795343</v>
      </c>
      <c r="T369" s="517">
        <f>+(Parameters!$B11+2*Parameters!$B12*Global!T70)*T39</f>
        <v>0.49385073571963112</v>
      </c>
      <c r="U369" s="517">
        <f>+(Parameters!$B11+2*Parameters!$B12*Global!U70)*U39</f>
        <v>0.535205247058953</v>
      </c>
      <c r="V369" s="517">
        <f>+(Parameters!$B11+2*Parameters!$B12*Global!V70)*V39</f>
        <v>0.59217161819126074</v>
      </c>
      <c r="W369" s="517">
        <f>+(Parameters!$B11+2*Parameters!$B12*Global!W70)*W39</f>
        <v>0.56593351790380453</v>
      </c>
      <c r="X369" s="517">
        <f>+(Parameters!$B11+2*Parameters!$B12*Global!X70)*X39</f>
        <v>0.60237585029218266</v>
      </c>
      <c r="Y369" s="517">
        <f>+(Parameters!$B11+2*Parameters!$B12*Global!Y70)*Y39</f>
        <v>0.63615010219061496</v>
      </c>
      <c r="Z369" s="517">
        <f>+(Parameters!$B11+2*Parameters!$B12*Global!Z70)*Z39</f>
        <v>0.68715827542249863</v>
      </c>
      <c r="AA369" s="517">
        <f>+(Parameters!$B11+2*Parameters!$B12*Global!AA70)*AA39</f>
        <v>0.79149345151252448</v>
      </c>
      <c r="AB369" s="517">
        <f>+(Parameters!$B11+2*Parameters!$B12*Global!AB70)*AB39</f>
        <v>0.87494329858658371</v>
      </c>
      <c r="AC369" s="517">
        <f>+(Parameters!$B11+2*Parameters!$B12*Global!AC70)*AC39</f>
        <v>0.85904701357765356</v>
      </c>
      <c r="AD369" s="517">
        <f>+(Parameters!$B11+2*Parameters!$B12*Global!AD70)*AD48</f>
        <v>0.65404265764379743</v>
      </c>
      <c r="AE369" s="517">
        <f>+(Parameters!$B11+2*Parameters!$B12*Global!AE70)*AE48</f>
        <v>0.72976262364969624</v>
      </c>
      <c r="AF369" s="517">
        <f>+(Parameters!$B11+2*Parameters!$B12*Global!AF70)*AF48</f>
        <v>0.72025768797242173</v>
      </c>
      <c r="AG369" s="517">
        <f>+(Parameters!$B11+2*Parameters!$B12*Global!AG70)*AG48</f>
        <v>0.69274134707051671</v>
      </c>
      <c r="AH369" s="517">
        <f>+(Parameters!$B11+2*Parameters!$B12*Global!AH70)*AH48</f>
        <v>0.7338600302301882</v>
      </c>
      <c r="AI369" s="517">
        <f>+(Parameters!$B11+2*Parameters!$B12*Global!AI70)*AI48</f>
        <v>5.9124530030175748</v>
      </c>
      <c r="AJ369" s="517">
        <f>+(Parameters!$B11+2*Parameters!$B12*Global!AJ70)*AJ48</f>
        <v>2.2600740798967691</v>
      </c>
      <c r="AK369" s="517">
        <f>+(Parameters!$B11+2*Parameters!$B12*Global!AK70)*AK48</f>
        <v>2.8855032994859617</v>
      </c>
      <c r="AL369" s="517">
        <f>+(Parameters!$B11+2*Parameters!$B12*Global!AL70)*AL48</f>
        <v>3.2875506007002455</v>
      </c>
      <c r="AM369" s="517">
        <f>+(Parameters!$B11+2*Parameters!$B12*Global!AM70)*AM48</f>
        <v>3.5739883291041648</v>
      </c>
      <c r="AN369" s="517">
        <f>+(Parameters!$B11+2*Parameters!$B12*Global!AN70)*AN48</f>
        <v>3.8004126567277869</v>
      </c>
      <c r="AO369" s="517">
        <f>+(Parameters!$B11+2*Parameters!$B12*Global!AO70)*AO48</f>
        <v>3.9959626781651396</v>
      </c>
      <c r="AP369" s="517">
        <f>+(Parameters!$B11+2*Parameters!$B12*Global!AP70)*AP48</f>
        <v>4.1763344935518321</v>
      </c>
      <c r="AQ369" s="517">
        <f>+(Parameters!$B11+2*Parameters!$B12*Global!AQ70)*AQ48</f>
        <v>4.350157262480546</v>
      </c>
      <c r="AR369" s="517">
        <f>+(Parameters!$B11+2*Parameters!$B12*Global!AR70)*AR48</f>
        <v>4.5222577201218011</v>
      </c>
      <c r="AS369" s="517">
        <f>+(Parameters!$B11+2*Parameters!$B12*Global!AS70)*AS48</f>
        <v>4.6953897421579196</v>
      </c>
      <c r="AT369" s="517">
        <f>+(Parameters!$B11+2*Parameters!$B12*Global!AT70)*AT48</f>
        <v>4.8711697360169905</v>
      </c>
      <c r="AU369" s="517">
        <f>+(Parameters!$B11+2*Parameters!$B12*Global!AU70)*AU48</f>
        <v>5.0505883517435191</v>
      </c>
      <c r="AV369" s="517">
        <f>+(Parameters!$B11+2*Parameters!$B12*Global!AV70)*AV48</f>
        <v>5.2342921489058325</v>
      </c>
      <c r="AW369" s="517">
        <f>+(Parameters!$B11+2*Parameters!$B12*Global!AW70)*AW48</f>
        <v>5.422739155768423</v>
      </c>
      <c r="AX369" s="517">
        <f>+(Parameters!$B11+2*Parameters!$B12*Global!AX70)*AX48</f>
        <v>5.616284952385894</v>
      </c>
      <c r="AY369" s="517">
        <f>+(Parameters!$B11+2*Parameters!$B12*Global!AY70)*AY48</f>
        <v>5.815230384100345</v>
      </c>
      <c r="AZ369" s="517">
        <f>+(Parameters!$B11+2*Parameters!$B12*Global!AZ70)*AZ48</f>
        <v>6.0198480626541864</v>
      </c>
      <c r="BA369" s="517">
        <f>+(Parameters!$B11+2*Parameters!$B12*Global!BA70)*BA48</f>
        <v>6.2303971373485112</v>
      </c>
      <c r="BB369" s="517">
        <f>+(Parameters!$B11+2*Parameters!$B12*Global!BB70)*BB48</f>
        <v>6.447131581522819</v>
      </c>
      <c r="BC369" s="517">
        <f>+(Parameters!$B11+2*Parameters!$B12*Global!BC70)*BC48</f>
        <v>6.670304896506372</v>
      </c>
      <c r="BD369" s="517">
        <f>+(Parameters!$B11+2*Parameters!$B12*Global!BD70)*BD48</f>
        <v>6.9001728385771157</v>
      </c>
      <c r="BE369" s="517">
        <f>+(Parameters!$B11+2*Parameters!$B12*Global!BE70)*BE48</f>
        <v>7.1389120549377489</v>
      </c>
      <c r="BF369" s="517">
        <f>+(Parameters!$B11+2*Parameters!$B12*Global!BF70)*BF48</f>
        <v>7.3842978623702233</v>
      </c>
      <c r="BG369" s="517">
        <f>+(Parameters!$B11+2*Parameters!$B12*Global!BG70)*BG48</f>
        <v>7.6367036127038084</v>
      </c>
      <c r="BH369" s="517">
        <f>+(Parameters!$B11+2*Parameters!$B12*Global!BH70)*BH48</f>
        <v>7.8965407308285815</v>
      </c>
      <c r="BI369" s="517">
        <f>+(Parameters!$B11+2*Parameters!$B12*Global!BI70)*BI48</f>
        <v>7.8965407308285815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17" customFormat="1" x14ac:dyDescent="0.15">
      <c r="A370" s="517" t="s">
        <v>1069</v>
      </c>
      <c r="B370" s="517">
        <f t="shared" ref="B370:AG370" si="182">+B372-B371</f>
        <v>0</v>
      </c>
      <c r="C370" s="517">
        <f t="shared" si="182"/>
        <v>5.6969682605823024E-6</v>
      </c>
      <c r="D370" s="517">
        <f t="shared" si="182"/>
        <v>1.3786876342347654E-5</v>
      </c>
      <c r="E370" s="517">
        <f t="shared" si="182"/>
        <v>1.7625092457729252E-5</v>
      </c>
      <c r="F370" s="517">
        <f t="shared" si="182"/>
        <v>1.8935800213837339E-5</v>
      </c>
      <c r="G370" s="517">
        <f t="shared" si="182"/>
        <v>1.8807465134607071E-5</v>
      </c>
      <c r="H370" s="517">
        <f t="shared" si="182"/>
        <v>1.7916240656390414E-5</v>
      </c>
      <c r="I370" s="517">
        <f t="shared" si="182"/>
        <v>1.6670340841073994E-5</v>
      </c>
      <c r="J370" s="517">
        <f t="shared" si="182"/>
        <v>1.5308596854612944E-5</v>
      </c>
      <c r="K370" s="517">
        <f t="shared" si="182"/>
        <v>1.3965261886461633E-5</v>
      </c>
      <c r="L370" s="517">
        <f t="shared" si="182"/>
        <v>1.2710661266623902E-5</v>
      </c>
      <c r="M370" s="517">
        <f t="shared" si="182"/>
        <v>1.1576854752615162E-5</v>
      </c>
      <c r="N370" s="517">
        <f t="shared" si="182"/>
        <v>1.0572947579667868E-5</v>
      </c>
      <c r="O370" s="517">
        <f t="shared" si="182"/>
        <v>9.6958153736892427E-6</v>
      </c>
      <c r="P370" s="517">
        <f t="shared" si="182"/>
        <v>8.9365940771912733E-6</v>
      </c>
      <c r="Q370" s="517">
        <f t="shared" si="182"/>
        <v>8.2833343837407369E-6</v>
      </c>
      <c r="R370" s="517">
        <f t="shared" si="182"/>
        <v>7.7229729615879705E-6</v>
      </c>
      <c r="S370" s="517">
        <f t="shared" si="182"/>
        <v>7.242603889956456E-6</v>
      </c>
      <c r="T370" s="517">
        <f t="shared" si="182"/>
        <v>6.8302085844962335E-6</v>
      </c>
      <c r="U370" s="517">
        <f t="shared" si="182"/>
        <v>6.4750133983437763E-6</v>
      </c>
      <c r="V370" s="517">
        <f t="shared" si="182"/>
        <v>6.1674578120118895E-6</v>
      </c>
      <c r="W370" s="517">
        <f t="shared" si="182"/>
        <v>5.8991002127584125E-6</v>
      </c>
      <c r="X370" s="517">
        <f t="shared" si="182"/>
        <v>5.6627749396298555E-6</v>
      </c>
      <c r="Y370" s="517">
        <f t="shared" si="182"/>
        <v>5.4526174855240583E-6</v>
      </c>
      <c r="Z370" s="517">
        <f t="shared" si="182"/>
        <v>5.2638727376930206E-6</v>
      </c>
      <c r="AA370" s="517">
        <f t="shared" si="182"/>
        <v>5.0927036037151652E-6</v>
      </c>
      <c r="AB370" s="517">
        <f t="shared" si="182"/>
        <v>4.9360209688487089E-6</v>
      </c>
      <c r="AC370" s="517">
        <f t="shared" si="182"/>
        <v>4.7913402774213409E-6</v>
      </c>
      <c r="AD370" s="517">
        <f t="shared" si="182"/>
        <v>4.6566637319500614E-6</v>
      </c>
      <c r="AE370" s="517">
        <f t="shared" si="182"/>
        <v>4.5303848237310262E-6</v>
      </c>
      <c r="AF370" s="517">
        <f t="shared" si="182"/>
        <v>4.411277011229231E-6</v>
      </c>
      <c r="AG370" s="517">
        <f t="shared" si="182"/>
        <v>4.2984707322446525E-6</v>
      </c>
      <c r="AH370" s="517">
        <f t="shared" ref="AH370:BI370" si="183">+AH372-AH371</f>
        <v>4.1912972870150611E-6</v>
      </c>
      <c r="AI370" s="517">
        <f t="shared" si="183"/>
        <v>4.0891738688486612E-6</v>
      </c>
      <c r="AJ370" s="517">
        <f t="shared" si="183"/>
        <v>3.9915865723827437E-6</v>
      </c>
      <c r="AK370" s="517">
        <f t="shared" si="183"/>
        <v>3.8980845129543695E-6</v>
      </c>
      <c r="AL370" s="517">
        <f t="shared" si="183"/>
        <v>3.8082768609726259E-6</v>
      </c>
      <c r="AM370" s="517">
        <f t="shared" si="183"/>
        <v>3.7218299624441897E-6</v>
      </c>
      <c r="AN370" s="517">
        <f t="shared" si="183"/>
        <v>3.6384638280040349E-6</v>
      </c>
      <c r="AO370" s="517">
        <f t="shared" si="183"/>
        <v>3.5579481130199042E-6</v>
      </c>
      <c r="AP370" s="517">
        <f t="shared" si="183"/>
        <v>3.4803627428914297E-6</v>
      </c>
      <c r="AQ370" s="517">
        <f t="shared" si="183"/>
        <v>3.4062210012564265E-6</v>
      </c>
      <c r="AR370" s="517">
        <f t="shared" si="183"/>
        <v>3.3364574756333809E-6</v>
      </c>
      <c r="AS370" s="517">
        <f t="shared" si="183"/>
        <v>3.2727324486003795E-6</v>
      </c>
      <c r="AT370" s="517">
        <f t="shared" si="183"/>
        <v>3.2179150935007783E-6</v>
      </c>
      <c r="AU370" s="517">
        <f t="shared" si="183"/>
        <v>3.1768234425300079E-6</v>
      </c>
      <c r="AV370" s="517">
        <f t="shared" si="183"/>
        <v>3.1572648087063726E-6</v>
      </c>
      <c r="AW370" s="517">
        <f t="shared" si="183"/>
        <v>3.1712481813883642E-6</v>
      </c>
      <c r="AX370" s="517">
        <f t="shared" si="183"/>
        <v>3.2258302855581178E-6</v>
      </c>
      <c r="AY370" s="517">
        <f t="shared" si="183"/>
        <v>3.292919829256391E-6</v>
      </c>
      <c r="AZ370" s="517">
        <f t="shared" si="183"/>
        <v>3.345515830588397E-6</v>
      </c>
      <c r="BA370" s="517">
        <f t="shared" si="183"/>
        <v>3.3870376734412844E-6</v>
      </c>
      <c r="BB370" s="517">
        <f t="shared" si="183"/>
        <v>3.4199288965197638E-6</v>
      </c>
      <c r="BC370" s="517">
        <f t="shared" si="183"/>
        <v>3.4459703028844046E-6</v>
      </c>
      <c r="BD370" s="517">
        <f t="shared" si="183"/>
        <v>3.4664891908064988E-6</v>
      </c>
      <c r="BE370" s="517">
        <f t="shared" si="183"/>
        <v>3.4824987089621118E-6</v>
      </c>
      <c r="BF370" s="517">
        <f t="shared" si="183"/>
        <v>3.4947905698246018E-6</v>
      </c>
      <c r="BG370" s="517">
        <f t="shared" si="183"/>
        <v>3.5039968535599542E-6</v>
      </c>
      <c r="BH370" s="517">
        <f t="shared" si="183"/>
        <v>3.5106314992816579E-6</v>
      </c>
      <c r="BI370" s="517">
        <f t="shared" si="183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17" customFormat="1" x14ac:dyDescent="0.15">
      <c r="A371" s="517" t="s">
        <v>1074</v>
      </c>
      <c r="B371" s="517">
        <v>0.73070000000000002</v>
      </c>
      <c r="C371" s="517">
        <v>0.95255419418261711</v>
      </c>
      <c r="D371" s="517">
        <v>1.2095720938082573</v>
      </c>
      <c r="E371" s="517">
        <v>1.4856381694489929</v>
      </c>
      <c r="F371" s="517">
        <v>1.7687817422639867</v>
      </c>
      <c r="G371" s="517">
        <v>2.0500827406765603</v>
      </c>
      <c r="H371" s="517">
        <v>2.3231594371388344</v>
      </c>
      <c r="I371" s="517">
        <v>2.5844215781825826</v>
      </c>
      <c r="J371" s="517">
        <v>2.83247035731568</v>
      </c>
      <c r="K371" s="517">
        <v>3.0672058805253242</v>
      </c>
      <c r="L371" s="517">
        <v>3.28925140038502</v>
      </c>
      <c r="M371" s="517">
        <v>3.4926831558444666</v>
      </c>
      <c r="N371" s="517">
        <v>3.6807767721401201</v>
      </c>
      <c r="O371" s="517">
        <v>3.8560413988816866</v>
      </c>
      <c r="P371" s="517">
        <v>4.0200776107022929</v>
      </c>
      <c r="Q371" s="517">
        <v>4.1740903821622348</v>
      </c>
      <c r="R371" s="517">
        <v>4.3190999542706114</v>
      </c>
      <c r="S371" s="517">
        <v>4.4560228948220804</v>
      </c>
      <c r="T371" s="517">
        <v>4.5857000535791741</v>
      </c>
      <c r="U371" s="517">
        <v>4.7089046748708689</v>
      </c>
      <c r="V371" s="517">
        <v>4.8264521869028378</v>
      </c>
      <c r="W371" s="517">
        <v>4.939274527495586</v>
      </c>
      <c r="X371" s="517">
        <v>5.0482545388538052</v>
      </c>
      <c r="Y371" s="517">
        <v>5.1540993753908113</v>
      </c>
      <c r="Z371" s="517">
        <v>5.2573609820445846</v>
      </c>
      <c r="AA371" s="517">
        <v>5.3584669829561218</v>
      </c>
      <c r="AB371" s="517">
        <v>5.4577501295350714</v>
      </c>
      <c r="AC371" s="517">
        <v>5.5554724950870913</v>
      </c>
      <c r="AD371" s="517">
        <v>5.6518439541708458</v>
      </c>
      <c r="AE371" s="517">
        <v>5.7470357084528043</v>
      </c>
      <c r="AF371" s="517">
        <v>5.8411249603434046</v>
      </c>
      <c r="AG371" s="517">
        <v>5.9340547831389685</v>
      </c>
      <c r="AH371" s="517">
        <v>6.025737531514566</v>
      </c>
      <c r="AI371" s="517">
        <v>6.1161376809333596</v>
      </c>
      <c r="AJ371" s="517">
        <v>6.2052660007028697</v>
      </c>
      <c r="AK371" s="517">
        <v>6.2931664890900212</v>
      </c>
      <c r="AL371" s="517">
        <v>6.3799032971258827</v>
      </c>
      <c r="AM371" s="517">
        <v>6.4655500406351694</v>
      </c>
      <c r="AN371" s="517">
        <v>6.5501818807781786</v>
      </c>
      <c r="AO371" s="517">
        <v>6.6338700073095973</v>
      </c>
      <c r="AP371" s="517">
        <v>6.7165611783526709</v>
      </c>
      <c r="AQ371" s="517">
        <v>6.7980138616364991</v>
      </c>
      <c r="AR371" s="517">
        <v>6.8777905192995705</v>
      </c>
      <c r="AS371" s="517">
        <v>6.9551026910973741</v>
      </c>
      <c r="AT371" s="517">
        <v>7.028557358404294</v>
      </c>
      <c r="AU371" s="517">
        <v>7.0957477252336565</v>
      </c>
      <c r="AV371" s="517">
        <v>7.1526229369234029</v>
      </c>
      <c r="AW371" s="517">
        <v>7.1926053253840418</v>
      </c>
      <c r="AX371" s="517">
        <v>7.2062070826101694</v>
      </c>
      <c r="AY371" s="517">
        <v>7.1910008620740404</v>
      </c>
      <c r="AZ371" s="517">
        <v>7.1558927341549072</v>
      </c>
      <c r="BA371" s="517">
        <v>7.1105033106165472</v>
      </c>
      <c r="BB371" s="517">
        <v>7.0610202608689008</v>
      </c>
      <c r="BC371" s="517">
        <v>7.0113022120773962</v>
      </c>
      <c r="BD371" s="517">
        <v>6.9636423256272009</v>
      </c>
      <c r="BE371" s="517">
        <v>6.9192950248696903</v>
      </c>
      <c r="BF371" s="517">
        <v>6.8788378260651486</v>
      </c>
      <c r="BG371" s="517">
        <v>6.8424184130562482</v>
      </c>
      <c r="BH371" s="517">
        <v>6.8099219584519615</v>
      </c>
      <c r="BI371" s="517">
        <v>6.7810831557253062</v>
      </c>
      <c r="BJ371" s="622"/>
      <c r="BK371" s="622"/>
      <c r="BL371" s="622"/>
      <c r="BM371" s="622"/>
      <c r="BN371" s="622"/>
      <c r="BO371" s="622"/>
      <c r="BP371" s="622"/>
      <c r="BQ371" s="622"/>
      <c r="BR371" s="622"/>
      <c r="BS371" s="622"/>
      <c r="BT371" s="622"/>
      <c r="BU371" s="622"/>
      <c r="BV371" s="622"/>
      <c r="BW371" s="622"/>
      <c r="BX371" s="622"/>
      <c r="BY371" s="622"/>
      <c r="BZ371" s="622"/>
      <c r="CA371" s="622"/>
      <c r="CB371" s="622"/>
      <c r="CC371" s="622"/>
      <c r="CD371" s="622"/>
      <c r="CE371" s="622"/>
      <c r="CF371" s="622"/>
      <c r="CG371" s="622"/>
      <c r="CH371" s="622"/>
      <c r="CI371" s="622"/>
      <c r="CJ371" s="622"/>
      <c r="CK371" s="622"/>
      <c r="CL371" s="622"/>
      <c r="CM371" s="622"/>
      <c r="CN371" s="622"/>
      <c r="CO371" s="622"/>
      <c r="CP371" s="622"/>
      <c r="CQ371" s="622"/>
      <c r="CR371" s="622"/>
      <c r="CS371" s="622"/>
      <c r="CT371" s="622"/>
      <c r="CU371" s="622"/>
      <c r="CV371" s="622"/>
      <c r="CW371" s="622"/>
      <c r="CX371" s="622"/>
      <c r="CY371" s="622"/>
      <c r="CZ371" s="622"/>
      <c r="DA371" s="622"/>
      <c r="DB371" s="622"/>
      <c r="DC371" s="622"/>
      <c r="DD371" s="622"/>
      <c r="DE371" s="622"/>
      <c r="DF371" s="622"/>
      <c r="DG371" s="622"/>
      <c r="DH371" s="622"/>
      <c r="DI371" s="622"/>
      <c r="DJ371" s="622"/>
      <c r="DK371" s="622"/>
      <c r="DL371" s="622"/>
      <c r="DM371" s="622"/>
      <c r="DN371" s="622"/>
      <c r="DO371" s="622"/>
      <c r="DP371" s="622"/>
      <c r="DQ371" s="622"/>
      <c r="DR371" s="622"/>
      <c r="DS371" s="622"/>
      <c r="DT371" s="622"/>
      <c r="DU371" s="622"/>
      <c r="DV371" s="622"/>
      <c r="DW371" s="622"/>
      <c r="DX371" s="622"/>
      <c r="DY371" s="622"/>
      <c r="DZ371" s="622"/>
      <c r="EA371" s="622"/>
      <c r="EB371" s="622"/>
      <c r="EC371" s="622"/>
      <c r="ED371" s="622"/>
      <c r="EE371" s="622"/>
      <c r="EF371" s="622"/>
      <c r="EG371" s="622"/>
      <c r="EH371" s="622"/>
      <c r="EI371" s="622"/>
      <c r="EJ371" s="622"/>
      <c r="EK371" s="622"/>
      <c r="EL371" s="622"/>
      <c r="EM371" s="622"/>
      <c r="EN371" s="622"/>
      <c r="EO371" s="622"/>
      <c r="EP371" s="622"/>
      <c r="EQ371" s="622"/>
      <c r="ER371" s="622"/>
      <c r="ES371" s="622"/>
      <c r="ET371" s="622"/>
      <c r="EU371" s="622"/>
      <c r="EV371" s="622"/>
      <c r="EW371" s="622"/>
      <c r="EX371" s="622"/>
      <c r="EY371" s="622"/>
      <c r="EZ371" s="622"/>
      <c r="FA371" s="622"/>
      <c r="FB371" s="622"/>
      <c r="FC371" s="622"/>
      <c r="FD371" s="622"/>
      <c r="FE371" s="622"/>
      <c r="FF371" s="622"/>
      <c r="FG371" s="622"/>
      <c r="FH371" s="622"/>
      <c r="FI371" s="622"/>
      <c r="FJ371" s="622"/>
      <c r="FK371" s="622"/>
      <c r="FL371" s="622"/>
      <c r="FM371" s="622"/>
      <c r="FN371" s="622"/>
      <c r="FO371" s="622"/>
      <c r="FP371" s="622"/>
      <c r="FQ371" s="622"/>
      <c r="FR371" s="622"/>
      <c r="FS371" s="622"/>
      <c r="FT371" s="622"/>
      <c r="FU371" s="622"/>
      <c r="FV371" s="622"/>
      <c r="FW371" s="622"/>
      <c r="FX371" s="622"/>
      <c r="FY371" s="622"/>
      <c r="FZ371" s="622"/>
      <c r="GA371" s="622"/>
      <c r="GB371" s="622"/>
      <c r="GC371" s="622"/>
      <c r="GD371" s="622"/>
      <c r="GE371" s="622"/>
      <c r="GF371" s="622"/>
      <c r="GG371" s="622"/>
      <c r="GH371" s="622"/>
      <c r="GI371" s="622"/>
      <c r="GJ371" s="622"/>
      <c r="GK371" s="622"/>
      <c r="GL371" s="622"/>
      <c r="GM371" s="622"/>
      <c r="GN371" s="622"/>
      <c r="GO371" s="622"/>
      <c r="GP371" s="622"/>
      <c r="GQ371" s="622"/>
      <c r="GR371" s="622"/>
      <c r="GS371" s="622"/>
      <c r="GT371" s="622"/>
      <c r="GU371" s="622"/>
      <c r="GV371" s="622"/>
      <c r="GW371" s="622"/>
      <c r="GX371" s="622"/>
      <c r="GY371" s="622"/>
      <c r="GZ371" s="622"/>
      <c r="HA371" s="622"/>
      <c r="HB371" s="622"/>
      <c r="HC371" s="622"/>
      <c r="HD371" s="622"/>
      <c r="HE371" s="622"/>
      <c r="HF371" s="622"/>
      <c r="HG371" s="622"/>
      <c r="HH371" s="622"/>
      <c r="HI371" s="622"/>
      <c r="HJ371" s="622"/>
      <c r="HK371" s="622"/>
      <c r="HL371" s="622"/>
      <c r="HM371" s="622"/>
      <c r="HN371" s="622"/>
      <c r="HO371" s="622"/>
      <c r="HP371" s="622"/>
      <c r="HQ371" s="622"/>
      <c r="HR371" s="622"/>
      <c r="HS371" s="622"/>
      <c r="HT371" s="622"/>
      <c r="HU371" s="622"/>
      <c r="HV371" s="622"/>
      <c r="HW371" s="622"/>
      <c r="HX371" s="622"/>
      <c r="HY371" s="622"/>
      <c r="HZ371" s="622"/>
      <c r="IA371" s="622"/>
      <c r="IB371" s="622"/>
      <c r="IC371" s="622"/>
      <c r="ID371" s="622"/>
      <c r="IE371" s="622"/>
      <c r="IF371" s="622"/>
      <c r="IG371" s="622"/>
      <c r="IH371" s="622"/>
      <c r="II371" s="622"/>
      <c r="IJ371" s="622"/>
      <c r="IK371" s="622"/>
      <c r="IL371" s="622"/>
      <c r="IM371" s="622"/>
      <c r="IN371" s="622"/>
      <c r="IO371" s="622"/>
      <c r="IP371" s="622"/>
      <c r="IQ371" s="622"/>
      <c r="IR371" s="622"/>
      <c r="IS371" s="622"/>
      <c r="IT371" s="622"/>
      <c r="IU371" s="622"/>
      <c r="IV371" s="622"/>
      <c r="IW371" s="622"/>
      <c r="IX371" s="622"/>
      <c r="IY371" s="622"/>
      <c r="IZ371" s="622"/>
      <c r="JA371" s="622"/>
      <c r="JB371" s="622"/>
      <c r="JC371" s="622"/>
      <c r="JD371" s="622"/>
      <c r="JE371" s="622"/>
      <c r="JF371" s="622"/>
      <c r="JG371" s="622"/>
      <c r="JH371" s="622"/>
      <c r="JI371" s="622"/>
      <c r="JJ371" s="622"/>
      <c r="JK371" s="622"/>
      <c r="JL371" s="622"/>
      <c r="JM371" s="622"/>
      <c r="JN371" s="622"/>
      <c r="JO371" s="622"/>
      <c r="JP371" s="622"/>
      <c r="JQ371" s="622"/>
      <c r="JR371" s="622"/>
      <c r="JS371" s="622"/>
      <c r="JT371" s="622"/>
      <c r="JU371" s="622"/>
      <c r="JV371" s="622"/>
      <c r="JW371" s="622"/>
      <c r="JX371" s="622"/>
      <c r="JY371" s="622"/>
      <c r="JZ371" s="622"/>
      <c r="KA371" s="622"/>
      <c r="KB371" s="622"/>
      <c r="KC371" s="622"/>
      <c r="KD371" s="622"/>
      <c r="KE371" s="622"/>
      <c r="KF371" s="622"/>
      <c r="KG371" s="622"/>
      <c r="KH371" s="622"/>
      <c r="KI371" s="622"/>
      <c r="KJ371" s="622"/>
      <c r="KK371" s="622"/>
      <c r="KL371" s="622"/>
      <c r="KM371" s="622"/>
      <c r="KN371" s="622"/>
      <c r="KO371" s="622"/>
      <c r="KP371" s="622"/>
      <c r="KQ371" s="622"/>
      <c r="KR371" s="622"/>
      <c r="KS371" s="622"/>
      <c r="KT371" s="622"/>
      <c r="KU371" s="622"/>
      <c r="KV371" s="622"/>
      <c r="KW371" s="622"/>
    </row>
    <row r="372" spans="1:309" s="517" customFormat="1" x14ac:dyDescent="0.15">
      <c r="A372" s="517" t="s">
        <v>1075</v>
      </c>
      <c r="B372" s="517">
        <v>0.73070000000000002</v>
      </c>
      <c r="C372" s="517">
        <v>0.95255989115087769</v>
      </c>
      <c r="D372" s="517">
        <v>1.2095858806845996</v>
      </c>
      <c r="E372" s="517">
        <v>1.4856557945414506</v>
      </c>
      <c r="F372" s="517">
        <v>1.7688006780642005</v>
      </c>
      <c r="G372" s="517">
        <v>2.0501015481416949</v>
      </c>
      <c r="H372" s="517">
        <v>2.3231773533794908</v>
      </c>
      <c r="I372" s="517">
        <v>2.5844382485234236</v>
      </c>
      <c r="J372" s="517">
        <v>2.8324856659125346</v>
      </c>
      <c r="K372" s="517">
        <v>3.0672198457872106</v>
      </c>
      <c r="L372" s="517">
        <v>3.2892641110462866</v>
      </c>
      <c r="M372" s="517">
        <v>3.4926947326992193</v>
      </c>
      <c r="N372" s="517">
        <v>3.6807873450876998</v>
      </c>
      <c r="O372" s="517">
        <v>3.8560510946970603</v>
      </c>
      <c r="P372" s="517">
        <v>4.02008654729637</v>
      </c>
      <c r="Q372" s="517">
        <v>4.1740986654966186</v>
      </c>
      <c r="R372" s="517">
        <v>4.319107677243573</v>
      </c>
      <c r="S372" s="517">
        <v>4.4560301374259703</v>
      </c>
      <c r="T372" s="517">
        <v>4.5857068837877586</v>
      </c>
      <c r="U372" s="517">
        <v>4.7089111498842673</v>
      </c>
      <c r="V372" s="517">
        <v>4.8264583543606498</v>
      </c>
      <c r="W372" s="517">
        <v>4.9392804265957988</v>
      </c>
      <c r="X372" s="517">
        <v>5.0482602016287448</v>
      </c>
      <c r="Y372" s="517">
        <v>5.1541048280082968</v>
      </c>
      <c r="Z372" s="517">
        <v>5.2573662459173223</v>
      </c>
      <c r="AA372" s="517">
        <v>5.3584720756597255</v>
      </c>
      <c r="AB372" s="517">
        <v>5.4577550655560403</v>
      </c>
      <c r="AC372" s="517">
        <v>5.5554772864273687</v>
      </c>
      <c r="AD372" s="517">
        <v>5.6518486108345778</v>
      </c>
      <c r="AE372" s="517">
        <v>5.747040238837628</v>
      </c>
      <c r="AF372" s="517">
        <v>5.8411293716204158</v>
      </c>
      <c r="AG372" s="517">
        <v>5.9340590816097007</v>
      </c>
      <c r="AH372" s="517">
        <v>6.0257417228118531</v>
      </c>
      <c r="AI372" s="517">
        <v>6.1161417701072285</v>
      </c>
      <c r="AJ372" s="517">
        <v>6.2052699922894421</v>
      </c>
      <c r="AK372" s="517">
        <v>6.2931703871745341</v>
      </c>
      <c r="AL372" s="517">
        <v>6.3799071054027436</v>
      </c>
      <c r="AM372" s="517">
        <v>6.4655537624651318</v>
      </c>
      <c r="AN372" s="517">
        <v>6.5501855192420066</v>
      </c>
      <c r="AO372" s="517">
        <v>6.6338735652577103</v>
      </c>
      <c r="AP372" s="517">
        <v>6.7165646587154137</v>
      </c>
      <c r="AQ372" s="517">
        <v>6.7980172678575004</v>
      </c>
      <c r="AR372" s="517">
        <v>6.8777938557570462</v>
      </c>
      <c r="AS372" s="517">
        <v>6.9551059638298227</v>
      </c>
      <c r="AT372" s="517">
        <v>7.0285605763193875</v>
      </c>
      <c r="AU372" s="517">
        <v>7.095750902057099</v>
      </c>
      <c r="AV372" s="517">
        <v>7.1526260941882116</v>
      </c>
      <c r="AW372" s="517">
        <v>7.1926084966322232</v>
      </c>
      <c r="AX372" s="517">
        <v>7.206210308440455</v>
      </c>
      <c r="AY372" s="517">
        <v>7.1910041549938697</v>
      </c>
      <c r="AZ372" s="517">
        <v>7.1558960796707378</v>
      </c>
      <c r="BA372" s="517">
        <v>7.1105066976542206</v>
      </c>
      <c r="BB372" s="517">
        <v>7.0610236807977973</v>
      </c>
      <c r="BC372" s="517">
        <v>7.0113056580476991</v>
      </c>
      <c r="BD372" s="517">
        <v>6.9636457921163917</v>
      </c>
      <c r="BE372" s="517">
        <v>6.9192985073683992</v>
      </c>
      <c r="BF372" s="517">
        <v>6.8788413208557184</v>
      </c>
      <c r="BG372" s="517">
        <v>6.8424219170531018</v>
      </c>
      <c r="BH372" s="517">
        <v>6.8099254690834607</v>
      </c>
      <c r="BI372" s="517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17" customFormat="1" x14ac:dyDescent="0.15">
      <c r="A373" s="517" t="s">
        <v>1070</v>
      </c>
      <c r="B373" s="517">
        <f>+B370*(Parameters!$B$18/3)</f>
        <v>0</v>
      </c>
      <c r="C373" s="517">
        <f>+C370*(Parameters!$B$18/3)</f>
        <v>6.0767661446211225E-6</v>
      </c>
      <c r="D373" s="517">
        <f>+D370*(Parameters!$B$18/3)</f>
        <v>1.4706001431837497E-5</v>
      </c>
      <c r="E373" s="517">
        <f>+E370*(Parameters!$B$18/3)</f>
        <v>1.880009862157787E-5</v>
      </c>
      <c r="F373" s="517">
        <f>+F370*(Parameters!$B$18/3)</f>
        <v>2.0198186894759829E-5</v>
      </c>
      <c r="G373" s="517">
        <f>+G370*(Parameters!$B$18/3)</f>
        <v>2.0061296143580876E-5</v>
      </c>
      <c r="H373" s="517">
        <f>+H370*(Parameters!$B$18/3)</f>
        <v>1.9110656700149776E-5</v>
      </c>
      <c r="I373" s="517">
        <f>+I370*(Parameters!$B$18/3)</f>
        <v>1.7781696897145594E-5</v>
      </c>
      <c r="J373" s="517">
        <f>+J370*(Parameters!$B$18/3)</f>
        <v>1.6329169978253805E-5</v>
      </c>
      <c r="K373" s="517">
        <f>+K370*(Parameters!$B$18/3)</f>
        <v>1.4896279345559076E-5</v>
      </c>
      <c r="L373" s="517">
        <f>+L370*(Parameters!$B$18/3)</f>
        <v>1.3558038684398829E-5</v>
      </c>
      <c r="M373" s="517">
        <f>+M370*(Parameters!$B$18/3)</f>
        <v>1.2348645069456174E-5</v>
      </c>
      <c r="N373" s="517">
        <f>+N370*(Parameters!$B$18/3)</f>
        <v>1.1277810751645726E-5</v>
      </c>
      <c r="O373" s="517">
        <f>+O370*(Parameters!$B$18/3)</f>
        <v>1.0342203065268526E-5</v>
      </c>
      <c r="P373" s="517">
        <f>+P370*(Parameters!$B$18/3)</f>
        <v>9.5323670156706907E-6</v>
      </c>
      <c r="Q373" s="517">
        <f>+Q370*(Parameters!$B$18/3)</f>
        <v>8.8355566759901191E-6</v>
      </c>
      <c r="R373" s="517">
        <f>+R370*(Parameters!$B$18/3)</f>
        <v>8.2378378256938348E-6</v>
      </c>
      <c r="S373" s="517">
        <f>+S370*(Parameters!$B$18/3)</f>
        <v>7.7254441492868864E-6</v>
      </c>
      <c r="T373" s="517">
        <f>+T370*(Parameters!$B$18/3)</f>
        <v>7.2855558234626491E-6</v>
      </c>
      <c r="U373" s="517">
        <f>+U370*(Parameters!$B$18/3)</f>
        <v>6.906680958233361E-6</v>
      </c>
      <c r="V373" s="517">
        <f>+V370*(Parameters!$B$18/3)</f>
        <v>6.5786216661460154E-6</v>
      </c>
      <c r="W373" s="517">
        <f>+W370*(Parameters!$B$18/3)</f>
        <v>6.2923735602756397E-6</v>
      </c>
      <c r="X373" s="517">
        <f>+X370*(Parameters!$B$18/3)</f>
        <v>6.0402932689385127E-6</v>
      </c>
      <c r="Y373" s="517">
        <f>+Y370*(Parameters!$B$18/3)</f>
        <v>5.8161253178923292E-6</v>
      </c>
      <c r="Z373" s="517">
        <f>+Z370*(Parameters!$B$18/3)</f>
        <v>5.6147975868725553E-6</v>
      </c>
      <c r="AA373" s="517">
        <f>+AA370*(Parameters!$B$18/3)</f>
        <v>5.4322171772961763E-6</v>
      </c>
      <c r="AB373" s="517">
        <f>+AB370*(Parameters!$B$18/3)</f>
        <v>5.2650890334386226E-6</v>
      </c>
      <c r="AC373" s="517">
        <f>+AC370*(Parameters!$B$18/3)</f>
        <v>5.1107629625827633E-6</v>
      </c>
      <c r="AD373" s="517">
        <f>+AD370*(Parameters!$B$18/3)</f>
        <v>4.9671079807467324E-6</v>
      </c>
      <c r="AE373" s="517">
        <f>+AE370*(Parameters!$B$18/3)</f>
        <v>4.8324104786464282E-6</v>
      </c>
      <c r="AF373" s="517">
        <f>+AF370*(Parameters!$B$18/3)</f>
        <v>4.7053621453111797E-6</v>
      </c>
      <c r="AG373" s="517">
        <f>+AG370*(Parameters!$B$18/3)</f>
        <v>4.5850354477276289E-6</v>
      </c>
      <c r="AH373" s="517">
        <f>+AH370*(Parameters!$B$18/3)</f>
        <v>4.4707171061493982E-6</v>
      </c>
      <c r="AI373" s="517">
        <f>+AI370*(Parameters!$B$18/3)</f>
        <v>4.3617854601052384E-6</v>
      </c>
      <c r="AJ373" s="517">
        <f>+AJ370*(Parameters!$B$18/3)</f>
        <v>4.2576923438749264E-6</v>
      </c>
      <c r="AK373" s="517">
        <f>+AK370*(Parameters!$B$18/3)</f>
        <v>4.1579568138179939E-6</v>
      </c>
      <c r="AL373" s="517">
        <f>+AL370*(Parameters!$B$18/3)</f>
        <v>4.0621619850374671E-6</v>
      </c>
      <c r="AM373" s="517">
        <f>+AM370*(Parameters!$B$18/3)</f>
        <v>3.9699519599404692E-6</v>
      </c>
      <c r="AN373" s="517">
        <f>+AN370*(Parameters!$B$18/3)</f>
        <v>3.8810280832043036E-6</v>
      </c>
      <c r="AO373" s="517">
        <f>+AO370*(Parameters!$B$18/3)</f>
        <v>3.7951446538878976E-6</v>
      </c>
      <c r="AP373" s="517">
        <f>+AP370*(Parameters!$B$18/3)</f>
        <v>3.7123869257508584E-6</v>
      </c>
      <c r="AQ373" s="517">
        <f>+AQ370*(Parameters!$B$18/3)</f>
        <v>3.6333024013401881E-6</v>
      </c>
      <c r="AR373" s="517">
        <f>+AR370*(Parameters!$B$18/3)</f>
        <v>3.5588879740089397E-6</v>
      </c>
      <c r="AS373" s="517">
        <f>+AS370*(Parameters!$B$18/3)</f>
        <v>3.4909146118404046E-6</v>
      </c>
      <c r="AT373" s="517">
        <f>+AT370*(Parameters!$B$18/3)</f>
        <v>3.4324427664008303E-6</v>
      </c>
      <c r="AU373" s="517">
        <f>+AU370*(Parameters!$B$18/3)</f>
        <v>3.3886116720320086E-6</v>
      </c>
      <c r="AV373" s="517">
        <f>+AV370*(Parameters!$B$18/3)</f>
        <v>3.3677491292867975E-6</v>
      </c>
      <c r="AW373" s="517">
        <f>+AW370*(Parameters!$B$18/3)</f>
        <v>3.3826647268142549E-6</v>
      </c>
      <c r="AX373" s="517">
        <f>+AX370*(Parameters!$B$18/3)</f>
        <v>3.4408856379286588E-6</v>
      </c>
      <c r="AY373" s="517">
        <f>+AY370*(Parameters!$B$18/3)</f>
        <v>3.5124478178734838E-6</v>
      </c>
      <c r="AZ373" s="517">
        <f>+AZ370*(Parameters!$B$18/3)</f>
        <v>3.5685502192942901E-6</v>
      </c>
      <c r="BA373" s="517">
        <f>+BA370*(Parameters!$B$18/3)</f>
        <v>3.6128401850040365E-6</v>
      </c>
      <c r="BB373" s="517">
        <f>+BB370*(Parameters!$B$18/3)</f>
        <v>3.6479241562877479E-6</v>
      </c>
      <c r="BC373" s="517">
        <f>+BC370*(Parameters!$B$18/3)</f>
        <v>3.6757016564100316E-6</v>
      </c>
      <c r="BD373" s="517">
        <f>+BD370*(Parameters!$B$18/3)</f>
        <v>3.6975884701935986E-6</v>
      </c>
      <c r="BE373" s="517">
        <f>+BE370*(Parameters!$B$18/3)</f>
        <v>3.7146652895595859E-6</v>
      </c>
      <c r="BF373" s="517">
        <f>+BF370*(Parameters!$B$18/3)</f>
        <v>3.7277766078129086E-6</v>
      </c>
      <c r="BG373" s="517">
        <f>+BG370*(Parameters!$B$18/3)</f>
        <v>3.7375966437972844E-6</v>
      </c>
      <c r="BH373" s="517">
        <f>+BH370*(Parameters!$B$18/3)</f>
        <v>3.7446735992337683E-6</v>
      </c>
      <c r="BI373" s="517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 x14ac:dyDescent="0.15">
      <c r="M374" s="19"/>
    </row>
    <row r="375" spans="1:309" s="517" customFormat="1" x14ac:dyDescent="0.15">
      <c r="A375" s="517" t="s">
        <v>1071</v>
      </c>
      <c r="B375" s="517">
        <f t="shared" ref="B375:AG375" si="184">+B373*B369</f>
        <v>0</v>
      </c>
      <c r="C375" s="517">
        <f t="shared" si="184"/>
        <v>1.1490218388017668E-6</v>
      </c>
      <c r="D375" s="517">
        <f t="shared" si="184"/>
        <v>2.3673702983560457E-6</v>
      </c>
      <c r="E375" s="517">
        <f t="shared" si="184"/>
        <v>3.9482255693982534E-6</v>
      </c>
      <c r="F375" s="517">
        <f t="shared" si="184"/>
        <v>4.7539297874873922E-6</v>
      </c>
      <c r="G375" s="517">
        <f t="shared" si="184"/>
        <v>5.5642941394051497E-6</v>
      </c>
      <c r="H375" s="517">
        <f t="shared" si="184"/>
        <v>4.9486451347048906E-6</v>
      </c>
      <c r="I375" s="517">
        <f t="shared" si="184"/>
        <v>5.4142670864249888E-6</v>
      </c>
      <c r="J375" s="517">
        <f t="shared" si="184"/>
        <v>5.734125174523512E-6</v>
      </c>
      <c r="K375" s="517">
        <f t="shared" si="184"/>
        <v>4.4766619604593959E-6</v>
      </c>
      <c r="L375" s="517">
        <f t="shared" si="184"/>
        <v>4.3130598565372149E-6</v>
      </c>
      <c r="M375" s="517">
        <f t="shared" si="184"/>
        <v>4.5577341497399694E-6</v>
      </c>
      <c r="N375" s="517">
        <f t="shared" si="184"/>
        <v>4.6348013056138414E-6</v>
      </c>
      <c r="O375" s="517">
        <f t="shared" si="184"/>
        <v>4.3727652165157794E-6</v>
      </c>
      <c r="P375" s="517">
        <f t="shared" si="184"/>
        <v>3.9354501685990754E-6</v>
      </c>
      <c r="Q375" s="517">
        <f t="shared" si="184"/>
        <v>4.2621562643493318E-6</v>
      </c>
      <c r="R375" s="517">
        <f t="shared" si="184"/>
        <v>4.0823826880842086E-6</v>
      </c>
      <c r="S375" s="517">
        <f t="shared" si="184"/>
        <v>4.0857640287836659E-6</v>
      </c>
      <c r="T375" s="517">
        <f t="shared" si="184"/>
        <v>3.5979771035434722E-6</v>
      </c>
      <c r="U375" s="517">
        <f t="shared" si="184"/>
        <v>3.6964918886086524E-6</v>
      </c>
      <c r="V375" s="517">
        <f t="shared" si="184"/>
        <v>3.8956730375097734E-6</v>
      </c>
      <c r="W375" s="517">
        <f t="shared" si="184"/>
        <v>3.5610651049316801E-6</v>
      </c>
      <c r="X375" s="517">
        <f t="shared" si="184"/>
        <v>3.6385267938909843E-6</v>
      </c>
      <c r="Y375" s="517">
        <f t="shared" si="184"/>
        <v>3.6999287153306283E-6</v>
      </c>
      <c r="Z375" s="517">
        <f t="shared" si="184"/>
        <v>3.8582546266417523E-6</v>
      </c>
      <c r="AA375" s="517">
        <f t="shared" si="184"/>
        <v>4.2995643230237734E-6</v>
      </c>
      <c r="AB375" s="517">
        <f t="shared" si="184"/>
        <v>4.6066543662688365E-6</v>
      </c>
      <c r="AC375" s="517">
        <f t="shared" si="184"/>
        <v>4.3903856601100037E-6</v>
      </c>
      <c r="AD375" s="517">
        <f t="shared" si="184"/>
        <v>3.2487005045313091E-6</v>
      </c>
      <c r="AE375" s="517">
        <f t="shared" si="184"/>
        <v>3.526512549449302E-6</v>
      </c>
      <c r="AF375" s="517">
        <f t="shared" si="184"/>
        <v>3.3890732598547845E-6</v>
      </c>
      <c r="AG375" s="517">
        <f t="shared" si="184"/>
        <v>3.1762436324249074E-6</v>
      </c>
      <c r="AH375" s="517">
        <f t="shared" ref="AH375:BI375" si="185">+AH373*AH369</f>
        <v>3.2808805906694168E-6</v>
      </c>
      <c r="AI375" s="517">
        <f t="shared" si="185"/>
        <v>2.5788851542117613E-5</v>
      </c>
      <c r="AJ375" s="517">
        <f t="shared" si="185"/>
        <v>9.6227001065666417E-6</v>
      </c>
      <c r="AK375" s="517">
        <f t="shared" si="185"/>
        <v>1.1997798105391958E-5</v>
      </c>
      <c r="AL375" s="517">
        <f t="shared" si="185"/>
        <v>1.3354563074051626E-5</v>
      </c>
      <c r="AM375" s="517">
        <f t="shared" si="185"/>
        <v>1.4188561971931442E-5</v>
      </c>
      <c r="AN375" s="517">
        <f t="shared" si="185"/>
        <v>1.4749508248525618E-5</v>
      </c>
      <c r="AO375" s="517">
        <f t="shared" si="185"/>
        <v>1.5165256395173996E-5</v>
      </c>
      <c r="AP375" s="517">
        <f t="shared" si="185"/>
        <v>1.5504169571424156E-5</v>
      </c>
      <c r="AQ375" s="517">
        <f t="shared" si="185"/>
        <v>1.5805436827978028E-5</v>
      </c>
      <c r="AR375" s="517">
        <f t="shared" si="185"/>
        <v>1.6094208615510563E-5</v>
      </c>
      <c r="AS375" s="517">
        <f t="shared" si="185"/>
        <v>1.6391204659184632E-5</v>
      </c>
      <c r="AT375" s="517">
        <f t="shared" si="185"/>
        <v>1.6720011324302162E-5</v>
      </c>
      <c r="AU375" s="517">
        <f t="shared" si="185"/>
        <v>1.7114482639346992E-5</v>
      </c>
      <c r="AV375" s="517">
        <f t="shared" si="185"/>
        <v>1.7627782826910336E-5</v>
      </c>
      <c r="AW375" s="517">
        <f t="shared" si="185"/>
        <v>1.8343308464932356E-5</v>
      </c>
      <c r="AX375" s="517">
        <f t="shared" si="185"/>
        <v>1.9324994231179465E-5</v>
      </c>
      <c r="AY375" s="517">
        <f t="shared" si="185"/>
        <v>2.0425693273064839E-5</v>
      </c>
      <c r="AZ375" s="517">
        <f t="shared" si="185"/>
        <v>2.1482130124102904E-5</v>
      </c>
      <c r="BA375" s="517">
        <f t="shared" si="185"/>
        <v>2.2509429146346813E-5</v>
      </c>
      <c r="BB375" s="517">
        <f t="shared" si="185"/>
        <v>2.3518647035002722E-5</v>
      </c>
      <c r="BC375" s="517">
        <f t="shared" si="185"/>
        <v>2.4518050756848416E-5</v>
      </c>
      <c r="BD375" s="517">
        <f t="shared" si="185"/>
        <v>2.5513999530265777E-5</v>
      </c>
      <c r="BE375" s="517">
        <f t="shared" si="185"/>
        <v>2.651866881569575E-5</v>
      </c>
      <c r="BF375" s="517">
        <f t="shared" si="185"/>
        <v>2.7527012836466583E-5</v>
      </c>
      <c r="BG375" s="517">
        <f t="shared" si="185"/>
        <v>2.8542917792516352E-5</v>
      </c>
      <c r="BH375" s="517">
        <f t="shared" si="185"/>
        <v>2.9569967600007917E-5</v>
      </c>
      <c r="BI375" s="517">
        <f t="shared" si="185"/>
        <v>2.9607761565030466E-5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 x14ac:dyDescent="0.15">
      <c r="A376" s="19" t="s">
        <v>1072</v>
      </c>
      <c r="B376" s="515">
        <f t="shared" ref="B376:AG376" si="186">+B375*B366</f>
        <v>0</v>
      </c>
      <c r="C376" s="515">
        <f t="shared" si="186"/>
        <v>1.1049167716244216E-6</v>
      </c>
      <c r="D376" s="515">
        <f t="shared" si="186"/>
        <v>2.0494174113416672E-6</v>
      </c>
      <c r="E376" s="515">
        <f t="shared" si="186"/>
        <v>3.0167841041288286E-6</v>
      </c>
      <c r="F376" s="515">
        <f t="shared" si="186"/>
        <v>3.1056060845104737E-6</v>
      </c>
      <c r="G376" s="515">
        <f t="shared" si="186"/>
        <v>2.9792060869831508E-6</v>
      </c>
      <c r="H376" s="515">
        <f t="shared" si="186"/>
        <v>2.150568262084794E-6</v>
      </c>
      <c r="I376" s="515">
        <f t="shared" si="186"/>
        <v>1.9092801908716575E-6</v>
      </c>
      <c r="J376" s="515">
        <f t="shared" si="186"/>
        <v>1.6776498976496691E-6</v>
      </c>
      <c r="K376" s="515">
        <f t="shared" si="186"/>
        <v>1.0688815708110087E-6</v>
      </c>
      <c r="L376" s="515">
        <f t="shared" si="186"/>
        <v>8.2877052156680471E-7</v>
      </c>
      <c r="M376" s="515">
        <f t="shared" si="186"/>
        <v>7.4055191864059981E-7</v>
      </c>
      <c r="N376" s="515">
        <f t="shared" si="186"/>
        <v>6.2410025908833725E-7</v>
      </c>
      <c r="O376" s="515">
        <f t="shared" si="186"/>
        <v>4.8097805418685096E-7</v>
      </c>
      <c r="P376" s="515">
        <f t="shared" si="186"/>
        <v>3.4669236302746937E-7</v>
      </c>
      <c r="Q376" s="515">
        <f t="shared" si="186"/>
        <v>3.0373125106232126E-7</v>
      </c>
      <c r="R376" s="515">
        <f t="shared" si="186"/>
        <v>2.3355029438070667E-7</v>
      </c>
      <c r="S376" s="515">
        <f t="shared" si="186"/>
        <v>1.8806613159376582E-7</v>
      </c>
      <c r="T376" s="515">
        <f t="shared" si="186"/>
        <v>1.3770205225080471E-7</v>
      </c>
      <c r="U376" s="515">
        <f t="shared" si="186"/>
        <v>1.2440543365250025E-7</v>
      </c>
      <c r="V376" s="515">
        <f t="shared" si="186"/>
        <v>1.0605125785235852E-7</v>
      </c>
      <c r="W376" s="515">
        <f t="shared" si="186"/>
        <v>7.9907836768727839E-8</v>
      </c>
      <c r="X376" s="515">
        <f t="shared" si="186"/>
        <v>6.8019531169298277E-8</v>
      </c>
      <c r="Y376" s="515">
        <f t="shared" si="186"/>
        <v>5.7612206315517807E-8</v>
      </c>
      <c r="Z376" s="515">
        <f t="shared" si="186"/>
        <v>4.9922273891039286E-8</v>
      </c>
      <c r="AA376" s="515">
        <f t="shared" si="186"/>
        <v>4.6262887064162914E-8</v>
      </c>
      <c r="AB376" s="515">
        <f t="shared" si="186"/>
        <v>4.1479996093937321E-8</v>
      </c>
      <c r="AC376" s="515">
        <f t="shared" si="186"/>
        <v>3.2632573120334475E-8</v>
      </c>
      <c r="AD376" s="515">
        <f t="shared" si="186"/>
        <v>1.9972894472077139E-8</v>
      </c>
      <c r="AE376" s="515">
        <f t="shared" si="186"/>
        <v>1.8162324243191356E-8</v>
      </c>
      <c r="AF376" s="515">
        <f t="shared" si="186"/>
        <v>1.5896730094682832E-8</v>
      </c>
      <c r="AG376" s="515">
        <f t="shared" si="186"/>
        <v>0</v>
      </c>
      <c r="AH376" s="515">
        <f t="shared" ref="AH376:BI376" si="187">+AH375*AH366</f>
        <v>0</v>
      </c>
      <c r="AI376" s="515">
        <f t="shared" si="187"/>
        <v>0</v>
      </c>
      <c r="AJ376" s="515">
        <f t="shared" si="187"/>
        <v>0</v>
      </c>
      <c r="AK376" s="515">
        <f t="shared" si="187"/>
        <v>0</v>
      </c>
      <c r="AL376" s="515">
        <f t="shared" si="187"/>
        <v>0</v>
      </c>
      <c r="AM376" s="515">
        <f t="shared" si="187"/>
        <v>0</v>
      </c>
      <c r="AN376" s="515">
        <f t="shared" si="187"/>
        <v>0</v>
      </c>
      <c r="AO376" s="515">
        <f t="shared" si="187"/>
        <v>0</v>
      </c>
      <c r="AP376" s="515">
        <f t="shared" si="187"/>
        <v>0</v>
      </c>
      <c r="AQ376" s="515">
        <f t="shared" si="187"/>
        <v>0</v>
      </c>
      <c r="AR376" s="515">
        <f t="shared" si="187"/>
        <v>0</v>
      </c>
      <c r="AS376" s="515">
        <f t="shared" si="187"/>
        <v>0</v>
      </c>
      <c r="AT376" s="515">
        <f t="shared" si="187"/>
        <v>0</v>
      </c>
      <c r="AU376" s="515">
        <f t="shared" si="187"/>
        <v>0</v>
      </c>
      <c r="AV376" s="515">
        <f t="shared" si="187"/>
        <v>0</v>
      </c>
      <c r="AW376" s="515">
        <f t="shared" si="187"/>
        <v>0</v>
      </c>
      <c r="AX376" s="515">
        <f t="shared" si="187"/>
        <v>0</v>
      </c>
      <c r="AY376" s="515">
        <f t="shared" si="187"/>
        <v>0</v>
      </c>
      <c r="AZ376" s="515">
        <f t="shared" si="187"/>
        <v>0</v>
      </c>
      <c r="BA376" s="515">
        <f t="shared" si="187"/>
        <v>0</v>
      </c>
      <c r="BB376" s="515">
        <f t="shared" si="187"/>
        <v>0</v>
      </c>
      <c r="BC376" s="515">
        <f t="shared" si="187"/>
        <v>0</v>
      </c>
      <c r="BD376" s="515">
        <f t="shared" si="187"/>
        <v>0</v>
      </c>
      <c r="BE376" s="515">
        <f t="shared" si="187"/>
        <v>0</v>
      </c>
      <c r="BF376" s="515">
        <f t="shared" si="187"/>
        <v>0</v>
      </c>
      <c r="BG376" s="515">
        <f t="shared" si="187"/>
        <v>0</v>
      </c>
      <c r="BH376" s="515">
        <f t="shared" si="187"/>
        <v>0</v>
      </c>
      <c r="BI376" s="515">
        <f t="shared" si="187"/>
        <v>0</v>
      </c>
    </row>
    <row r="378" spans="1:309" x14ac:dyDescent="0.15">
      <c r="A378" s="19" t="s">
        <v>1073</v>
      </c>
      <c r="B378" s="515">
        <f>+SUM(B376:BI376)*1000000</f>
        <v>23.606779170541159</v>
      </c>
      <c r="C378" s="515">
        <f>+SUM(C376:BI376)*1000000/C366</f>
        <v>24.549093205313891</v>
      </c>
      <c r="D378" s="515">
        <f>+SUM(D376:BI376)*1000000/D366</f>
        <v>25.992870171829182</v>
      </c>
      <c r="E378" s="515">
        <f>+SUM(E376:BI376)*1000000/E366</f>
        <v>26.767200923041809</v>
      </c>
      <c r="F378" s="515">
        <f>+SUM(F376:BI376)*1000000/F366</f>
        <v>26.689768561362527</v>
      </c>
      <c r="G378" s="515">
        <f>+SUM(G376:BI376)*1000000/G366</f>
        <v>26.76439212562736</v>
      </c>
      <c r="H378" s="515">
        <f>+SUM(H376:BI376)*1000000/H366</f>
        <v>26.119292860168159</v>
      </c>
      <c r="I378" s="515">
        <f>+SUM(I376:BI376)*1000000/I366</f>
        <v>26.08981953709856</v>
      </c>
      <c r="J378" s="515">
        <f>+SUM(J376:BI376)*1000000/J366</f>
        <v>24.920281753146629</v>
      </c>
      <c r="K378" s="515">
        <f>+SUM(K376:BI376)*1000000/K366</f>
        <v>23.509687807887179</v>
      </c>
      <c r="L378" s="515">
        <f>+SUM(L376:BI376)*1000000/L366</f>
        <v>23.650172634868383</v>
      </c>
    </row>
    <row r="379" spans="1:309" x14ac:dyDescent="0.15">
      <c r="B379" s="515"/>
      <c r="C379" s="515"/>
      <c r="D379" s="515"/>
      <c r="E379" s="515"/>
      <c r="F379" s="515"/>
      <c r="G379" s="515"/>
      <c r="H379" s="515"/>
      <c r="I379" s="515"/>
      <c r="J379" s="515"/>
      <c r="K379" s="515"/>
      <c r="L379" s="515"/>
    </row>
    <row r="380" spans="1:309" x14ac:dyDescent="0.15">
      <c r="A380" s="19" t="s">
        <v>1109</v>
      </c>
      <c r="B380" s="515"/>
      <c r="C380" s="515"/>
      <c r="D380" s="515"/>
      <c r="E380" s="515"/>
      <c r="F380" s="515"/>
      <c r="G380" s="515"/>
      <c r="H380" s="515"/>
      <c r="I380" s="515"/>
      <c r="J380" s="515"/>
      <c r="K380" s="515"/>
      <c r="L380" s="515"/>
    </row>
    <row r="381" spans="1:309" ht="15" x14ac:dyDescent="0.2">
      <c r="A381" s="278" t="s">
        <v>104</v>
      </c>
      <c r="B381" s="279">
        <f>+US!B56</f>
        <v>296.842578</v>
      </c>
      <c r="C381" s="279">
        <f>+US!C56</f>
        <v>325.86437638060806</v>
      </c>
      <c r="D381" s="279">
        <f>+US!D56</f>
        <v>351.75615200154499</v>
      </c>
      <c r="E381" s="279">
        <f>+US!E56</f>
        <v>372.61088410817069</v>
      </c>
      <c r="F381" s="279">
        <f>+US!F56</f>
        <v>389.05183333766468</v>
      </c>
      <c r="G381" s="279">
        <f>+US!G56</f>
        <v>398.75208457544323</v>
      </c>
      <c r="H381" s="279">
        <f>+US!H56</f>
        <v>404.15409826279222</v>
      </c>
      <c r="I381" s="279">
        <f>+US!I56</f>
        <v>409.62929464436934</v>
      </c>
      <c r="J381" s="279">
        <f>+US!J56</f>
        <v>415.17866514800949</v>
      </c>
      <c r="K381" s="279">
        <f>+US!K56</f>
        <v>420.80321463271696</v>
      </c>
      <c r="L381" s="279">
        <f>+US!L56</f>
        <v>425.18113453181383</v>
      </c>
      <c r="M381" s="279">
        <f>+US!M56</f>
        <v>428.2721572408945</v>
      </c>
      <c r="N381" s="279">
        <f>+US!N56</f>
        <v>431.38565136418453</v>
      </c>
      <c r="O381" s="279">
        <f>+US!O56</f>
        <v>434.52178026653235</v>
      </c>
      <c r="P381" s="279">
        <f>+US!P56</f>
        <v>437.68070850043199</v>
      </c>
      <c r="Q381" s="279">
        <f>+US!Q56</f>
        <v>440.86260181465695</v>
      </c>
      <c r="R381" s="279">
        <f>+US!R56</f>
        <v>444.06762716295719</v>
      </c>
      <c r="S381" s="279">
        <f>+US!S56</f>
        <v>447.29595271281897</v>
      </c>
      <c r="T381" s="279">
        <f>+US!T56</f>
        <v>450.54774785428884</v>
      </c>
      <c r="U381" s="279">
        <f>+US!U56</f>
        <v>453.82318320886139</v>
      </c>
      <c r="V381" s="279">
        <f>+US!V56</f>
        <v>456.55901188204848</v>
      </c>
      <c r="W381" s="279">
        <f>+US!W56</f>
        <v>458.74521657842882</v>
      </c>
      <c r="X381" s="279">
        <f>+US!X56</f>
        <v>460.94188978128932</v>
      </c>
      <c r="Y381" s="279">
        <f>+US!Y56</f>
        <v>463.14908161842828</v>
      </c>
      <c r="Z381" s="279">
        <f>+US!Z56</f>
        <v>465.36684245767776</v>
      </c>
      <c r="AA381" s="279">
        <f>+US!AA56</f>
        <v>467.59522290805313</v>
      </c>
      <c r="AB381" s="279">
        <f>+US!AB56</f>
        <v>469.83427382090792</v>
      </c>
      <c r="AC381" s="279">
        <f>+US!AC56</f>
        <v>472.08404629109424</v>
      </c>
      <c r="AD381" s="279">
        <f>+US!AD56</f>
        <v>474.34459165812876</v>
      </c>
      <c r="AE381" s="279">
        <f>+US!AE56</f>
        <v>476.6159615073642</v>
      </c>
      <c r="AF381" s="279">
        <f>+US!AF56</f>
        <v>477.75572180074039</v>
      </c>
    </row>
    <row r="382" spans="1:309" ht="15" x14ac:dyDescent="0.2">
      <c r="A382" s="278" t="s">
        <v>105</v>
      </c>
      <c r="B382" s="279">
        <f>+EU!B56</f>
        <v>490.08019258719162</v>
      </c>
      <c r="C382" s="279">
        <f>+EU!C56</f>
        <v>511.84722130982959</v>
      </c>
      <c r="D382" s="279">
        <f>+EU!D56</f>
        <v>524.06020897325209</v>
      </c>
      <c r="E382" s="279">
        <f>+EU!E56</f>
        <v>529.14964196619053</v>
      </c>
      <c r="F382" s="279">
        <f>+EU!F56</f>
        <v>529.14413690075742</v>
      </c>
      <c r="G382" s="279">
        <f>+EU!G56</f>
        <v>521.00265388596563</v>
      </c>
      <c r="H382" s="279">
        <f>+EU!H56</f>
        <v>508.73902001306698</v>
      </c>
      <c r="I382" s="279">
        <f>+EU!I56</f>
        <v>496.76405398983616</v>
      </c>
      <c r="J382" s="279">
        <f>+EU!J56</f>
        <v>485.07096100094395</v>
      </c>
      <c r="K382" s="279">
        <f>+EU!K56</f>
        <v>473.65310617099004</v>
      </c>
      <c r="L382" s="279">
        <f>+EU!L56</f>
        <v>469.07601347157805</v>
      </c>
      <c r="M382" s="279">
        <f>+EU!M56</f>
        <v>471.14412904799462</v>
      </c>
      <c r="N382" s="279">
        <f>+EU!N56</f>
        <v>473.22136276713132</v>
      </c>
      <c r="O382" s="279">
        <f>+EU!O56</f>
        <v>475.3077548300908</v>
      </c>
      <c r="P382" s="279">
        <f>+EU!P56</f>
        <v>477.40334561521894</v>
      </c>
      <c r="Q382" s="279">
        <f>+EU!Q56</f>
        <v>479.50817567888629</v>
      </c>
      <c r="R382" s="279">
        <f>+EU!R56</f>
        <v>481.6222857562729</v>
      </c>
      <c r="S382" s="279">
        <f>+EU!S56</f>
        <v>483.74571676215663</v>
      </c>
      <c r="T382" s="279">
        <f>+EU!T56</f>
        <v>485.8785097917052</v>
      </c>
      <c r="U382" s="279">
        <f>+EU!U56</f>
        <v>488.02070612127125</v>
      </c>
      <c r="V382" s="279">
        <f>+EU!V56</f>
        <v>490.63335574728148</v>
      </c>
      <c r="W382" s="279">
        <f>+EU!W56</f>
        <v>493.72390483528261</v>
      </c>
      <c r="X382" s="279">
        <f>+EU!X56</f>
        <v>496.83392160429941</v>
      </c>
      <c r="Y382" s="279">
        <f>+EU!Y56</f>
        <v>499.96352868322191</v>
      </c>
      <c r="Z382" s="279">
        <f>+EU!Z56</f>
        <v>503.11284947339186</v>
      </c>
      <c r="AA382" s="279">
        <f>+EU!AA56</f>
        <v>506.2820081534685</v>
      </c>
      <c r="AB382" s="279">
        <f>+EU!AB56</f>
        <v>509.47112968432509</v>
      </c>
      <c r="AC382" s="279">
        <f>+EU!AC56</f>
        <v>512.68033981397605</v>
      </c>
      <c r="AD382" s="279">
        <f>+EU!AD56</f>
        <v>515.90976508253505</v>
      </c>
      <c r="AE382" s="279">
        <f>+EU!AE56</f>
        <v>519.159532827205</v>
      </c>
      <c r="AF382" s="279">
        <f>+EU!AF56</f>
        <v>520.79208514014647</v>
      </c>
    </row>
    <row r="383" spans="1:309" ht="15" x14ac:dyDescent="0.2">
      <c r="A383" s="278" t="s">
        <v>51</v>
      </c>
      <c r="B383" s="279">
        <f>+Japan!B56</f>
        <v>127.773</v>
      </c>
      <c r="C383" s="279">
        <f>+Japan!C56</f>
        <v>126.11078504342912</v>
      </c>
      <c r="D383" s="279">
        <f>+Japan!D56</f>
        <v>121.1000791610762</v>
      </c>
      <c r="E383" s="279">
        <f>+Japan!E56</f>
        <v>114.02213127603983</v>
      </c>
      <c r="F383" s="279">
        <f>+Japan!F56</f>
        <v>106.00881152460984</v>
      </c>
      <c r="G383" s="279">
        <f>+Japan!G56</f>
        <v>99.905242120466625</v>
      </c>
      <c r="H383" s="279">
        <f>+Japan!H56</f>
        <v>95.999250914928439</v>
      </c>
      <c r="I383" s="279">
        <f>+Japan!I56</f>
        <v>92.245972089380729</v>
      </c>
      <c r="J383" s="279">
        <f>+Japan!J56</f>
        <v>88.639435054087073</v>
      </c>
      <c r="K383" s="279">
        <f>+Japan!K56</f>
        <v>85.173902651216196</v>
      </c>
      <c r="L383" s="279">
        <f>+Japan!L56</f>
        <v>83.70357831228803</v>
      </c>
      <c r="M383" s="279">
        <f>+Japan!M56</f>
        <v>84.127776690940138</v>
      </c>
      <c r="N383" s="279">
        <f>+Japan!N56</f>
        <v>84.554124849423388</v>
      </c>
      <c r="O383" s="279">
        <f>+Japan!O56</f>
        <v>84.98263368253032</v>
      </c>
      <c r="P383" s="279">
        <f>+Japan!P56</f>
        <v>85.413314140266763</v>
      </c>
      <c r="Q383" s="279">
        <f>+Japan!Q56</f>
        <v>85.846177228131722</v>
      </c>
      <c r="R383" s="279">
        <f>+Japan!R56</f>
        <v>86.281234007398567</v>
      </c>
      <c r="S383" s="279">
        <f>+Japan!S56</f>
        <v>86.718495595397698</v>
      </c>
      <c r="T383" s="279">
        <f>+Japan!T56</f>
        <v>87.157973165800641</v>
      </c>
      <c r="U383" s="279">
        <f>+Japan!U56</f>
        <v>87.59967794890558</v>
      </c>
      <c r="V383" s="279">
        <f>+Japan!V56</f>
        <v>88.092631169487674</v>
      </c>
      <c r="W383" s="279">
        <f>+Japan!W56</f>
        <v>88.637671574052376</v>
      </c>
      <c r="X383" s="279">
        <f>+Japan!X56</f>
        <v>89.18608421348695</v>
      </c>
      <c r="Y383" s="279">
        <f>+Japan!Y56</f>
        <v>89.73788995224092</v>
      </c>
      <c r="Z383" s="279">
        <f>+Japan!Z56</f>
        <v>90.29310978385486</v>
      </c>
      <c r="AA383" s="279">
        <f>+Japan!AA56</f>
        <v>90.85176483175907</v>
      </c>
      <c r="AB383" s="279">
        <f>+Japan!AB56</f>
        <v>91.413876350077189</v>
      </c>
      <c r="AC383" s="279">
        <f>+Japan!AC56</f>
        <v>91.979465724434888</v>
      </c>
      <c r="AD383" s="279">
        <f>+Japan!AD56</f>
        <v>92.548554472773418</v>
      </c>
      <c r="AE383" s="279">
        <f>+Japan!AE56</f>
        <v>93.121164246168291</v>
      </c>
      <c r="AF383" s="279">
        <f>+Japan!AF56</f>
        <v>93.408796319829463</v>
      </c>
    </row>
    <row r="384" spans="1:309" ht="15" x14ac:dyDescent="0.2">
      <c r="A384" s="278" t="s">
        <v>52</v>
      </c>
      <c r="B384" s="279">
        <f>+Russia!B56</f>
        <v>143.15</v>
      </c>
      <c r="C384" s="279">
        <f>+Russia!C56</f>
        <v>137.96372459314105</v>
      </c>
      <c r="D384" s="279">
        <f>+Russia!D56</f>
        <v>132.32651218830762</v>
      </c>
      <c r="E384" s="279">
        <f>+Russia!E56</f>
        <v>125.36948417964659</v>
      </c>
      <c r="F384" s="279">
        <f>+Russia!F56</f>
        <v>119.08136271565274</v>
      </c>
      <c r="G384" s="279">
        <f>+Russia!G56</f>
        <v>113.28947562516088</v>
      </c>
      <c r="H384" s="279">
        <f>+Russia!H56</f>
        <v>107.90661026901763</v>
      </c>
      <c r="I384" s="279">
        <f>+Russia!I56</f>
        <v>102.77950776535891</v>
      </c>
      <c r="J384" s="279">
        <f>+Russia!J56</f>
        <v>97.896015732064228</v>
      </c>
      <c r="K384" s="279">
        <f>+Russia!K56</f>
        <v>93.244559198430593</v>
      </c>
      <c r="L384" s="279">
        <f>+Russia!L56</f>
        <v>91.397876887626765</v>
      </c>
      <c r="M384" s="279">
        <f>+Russia!M56</f>
        <v>92.194038330465446</v>
      </c>
      <c r="N384" s="279">
        <f>+Russia!N56</f>
        <v>92.997135088047187</v>
      </c>
      <c r="O384" s="279">
        <f>+Russia!O56</f>
        <v>93.807227573484198</v>
      </c>
      <c r="P384" s="279">
        <f>+Russia!P56</f>
        <v>94.624376726143709</v>
      </c>
      <c r="Q384" s="279">
        <f>+Russia!Q56</f>
        <v>95.448644016232123</v>
      </c>
      <c r="R384" s="279">
        <f>+Russia!R56</f>
        <v>96.280091449419132</v>
      </c>
      <c r="S384" s="279">
        <f>+Russia!S56</f>
        <v>97.118781571502126</v>
      </c>
      <c r="T384" s="279">
        <f>+Russia!T56</f>
        <v>97.964777473111198</v>
      </c>
      <c r="U384" s="279">
        <f>+Russia!U56</f>
        <v>98.818142794455127</v>
      </c>
      <c r="V384" s="279">
        <f>+Russia!V56</f>
        <v>99.520861263790053</v>
      </c>
      <c r="W384" s="279">
        <f>+Russia!W56</f>
        <v>100.06962479452285</v>
      </c>
      <c r="X384" s="279">
        <f>+Russia!X56</f>
        <v>100.62141423770092</v>
      </c>
      <c r="Y384" s="279">
        <f>+Russia!Y56</f>
        <v>101.17624627837277</v>
      </c>
      <c r="Z384" s="279">
        <f>+Russia!Z56</f>
        <v>101.73413769358918</v>
      </c>
      <c r="AA384" s="279">
        <f>+Russia!AA56</f>
        <v>102.2951053529105</v>
      </c>
      <c r="AB384" s="279">
        <f>+Russia!AB56</f>
        <v>102.8591662189168</v>
      </c>
      <c r="AC384" s="279">
        <f>+Russia!AC56</f>
        <v>103.42633734772075</v>
      </c>
      <c r="AD384" s="279">
        <f>+Russia!AD56</f>
        <v>103.99663588948334</v>
      </c>
      <c r="AE384" s="279">
        <f>+Russia!AE56</f>
        <v>104.57007908893253</v>
      </c>
      <c r="AF384" s="279">
        <f>+Russia!AF56</f>
        <v>104.85798535025349</v>
      </c>
    </row>
    <row r="385" spans="1:61" ht="15" x14ac:dyDescent="0.2">
      <c r="A385" s="278" t="s">
        <v>53</v>
      </c>
      <c r="B385" s="279">
        <f>+Eurasia!B56</f>
        <v>155.94246849385479</v>
      </c>
      <c r="C385" s="279">
        <f>+Eurasia!C56</f>
        <v>157.7308776678519</v>
      </c>
      <c r="D385" s="279">
        <f>+Eurasia!D56</f>
        <v>159.22861094864402</v>
      </c>
      <c r="E385" s="279">
        <f>+Eurasia!E56</f>
        <v>157.78711196871717</v>
      </c>
      <c r="F385" s="279">
        <f>+Eurasia!F56</f>
        <v>154.93737936993875</v>
      </c>
      <c r="G385" s="279">
        <f>+Eurasia!G56</f>
        <v>150.41724029517886</v>
      </c>
      <c r="H385" s="279">
        <f>+Eurasia!H56</f>
        <v>145.53831861087627</v>
      </c>
      <c r="I385" s="279">
        <f>+Eurasia!I56</f>
        <v>140.81764924362753</v>
      </c>
      <c r="J385" s="279">
        <f>+Eurasia!J56</f>
        <v>136.25009913381959</v>
      </c>
      <c r="K385" s="279">
        <f>+Eurasia!K56</f>
        <v>131.83070171735417</v>
      </c>
      <c r="L385" s="279">
        <f>+Eurasia!L56</f>
        <v>129.67510617919314</v>
      </c>
      <c r="M385" s="279">
        <f>+Eurasia!M56</f>
        <v>129.67521371498509</v>
      </c>
      <c r="N385" s="279">
        <f>+Eurasia!N56</f>
        <v>129.6753212508662</v>
      </c>
      <c r="O385" s="279">
        <f>+Eurasia!O56</f>
        <v>129.67542878683651</v>
      </c>
      <c r="P385" s="279">
        <f>+Eurasia!P56</f>
        <v>129.67553632289597</v>
      </c>
      <c r="Q385" s="279">
        <f>+Eurasia!Q56</f>
        <v>129.67564385904461</v>
      </c>
      <c r="R385" s="279">
        <f>+Eurasia!R56</f>
        <v>129.67575139528245</v>
      </c>
      <c r="S385" s="279">
        <f>+Eurasia!S56</f>
        <v>129.67585893160944</v>
      </c>
      <c r="T385" s="279">
        <f>+Eurasia!T56</f>
        <v>129.67596646802562</v>
      </c>
      <c r="U385" s="279">
        <f>+Eurasia!U56</f>
        <v>129.67607400453099</v>
      </c>
      <c r="V385" s="279">
        <f>+Eurasia!V56</f>
        <v>130.02299251384741</v>
      </c>
      <c r="W385" s="279">
        <f>+Eurasia!W56</f>
        <v>130.71950791554798</v>
      </c>
      <c r="X385" s="279">
        <f>+Eurasia!X56</f>
        <v>131.4197544550683</v>
      </c>
      <c r="Y385" s="279">
        <f>+Eurasia!Y56</f>
        <v>132.12375211960375</v>
      </c>
      <c r="Z385" s="279">
        <f>+Eurasia!Z56</f>
        <v>132.83152100341843</v>
      </c>
      <c r="AA385" s="279">
        <f>+Eurasia!AA56</f>
        <v>133.54308130841864</v>
      </c>
      <c r="AB385" s="279">
        <f>+Eurasia!AB56</f>
        <v>134.2584533447295</v>
      </c>
      <c r="AC385" s="279">
        <f>+Eurasia!AC56</f>
        <v>134.97765753127476</v>
      </c>
      <c r="AD385" s="279">
        <f>+Eurasia!AD56</f>
        <v>135.70071439635947</v>
      </c>
      <c r="AE385" s="279">
        <f>+Eurasia!AE56</f>
        <v>136.42764457825609</v>
      </c>
      <c r="AF385" s="279">
        <f>+Eurasia!AF56</f>
        <v>136.79256864268308</v>
      </c>
    </row>
    <row r="386" spans="1:61" ht="15" x14ac:dyDescent="0.2">
      <c r="A386" s="278" t="s">
        <v>54</v>
      </c>
      <c r="B386" s="279">
        <f>+China!B56</f>
        <v>1304.5</v>
      </c>
      <c r="C386" s="279">
        <f>+China!C56</f>
        <v>1387.7502211844821</v>
      </c>
      <c r="D386" s="279">
        <f>+China!D56</f>
        <v>1444.5546171355679</v>
      </c>
      <c r="E386" s="279">
        <f>+China!E56</f>
        <v>1453.7111970786125</v>
      </c>
      <c r="F386" s="279">
        <f>+China!F56</f>
        <v>1431.7795428930247</v>
      </c>
      <c r="G386" s="279">
        <f>+China!G56</f>
        <v>1385.4481804592529</v>
      </c>
      <c r="H386" s="279">
        <f>+China!H56</f>
        <v>1340.1411957953853</v>
      </c>
      <c r="I386" s="279">
        <f>+China!I56</f>
        <v>1296.3158420494287</v>
      </c>
      <c r="J386" s="279">
        <f>+China!J56</f>
        <v>1253.9236668647941</v>
      </c>
      <c r="K386" s="279">
        <f>+China!K56</f>
        <v>1212.9178023758952</v>
      </c>
      <c r="L386" s="279">
        <f>+China!L56</f>
        <v>1193.8838632508532</v>
      </c>
      <c r="M386" s="279">
        <f>+China!M56</f>
        <v>1195.812902455109</v>
      </c>
      <c r="N386" s="279">
        <f>+China!N56</f>
        <v>1197.7450585389593</v>
      </c>
      <c r="O386" s="279">
        <f>+China!O56</f>
        <v>1199.6803365385581</v>
      </c>
      <c r="P386" s="279">
        <f>+China!P56</f>
        <v>1201.6187414981966</v>
      </c>
      <c r="Q386" s="279">
        <f>+China!Q56</f>
        <v>1203.5602784703162</v>
      </c>
      <c r="R386" s="279">
        <f>+China!R56</f>
        <v>1205.5049525155223</v>
      </c>
      <c r="S386" s="279">
        <f>+China!S56</f>
        <v>1207.4527687025968</v>
      </c>
      <c r="T386" s="279">
        <f>+China!T56</f>
        <v>1209.4037321085116</v>
      </c>
      <c r="U386" s="279">
        <f>+China!U56</f>
        <v>1211.3578478184418</v>
      </c>
      <c r="V386" s="279">
        <f>+China!V56</f>
        <v>1216.4661289242617</v>
      </c>
      <c r="W386" s="279">
        <f>+China!W56</f>
        <v>1224.7684650996184</v>
      </c>
      <c r="X386" s="279">
        <f>+China!X56</f>
        <v>1233.1274644111938</v>
      </c>
      <c r="Y386" s="279">
        <f>+China!Y56</f>
        <v>1241.5435135827893</v>
      </c>
      <c r="Z386" s="279">
        <f>+China!Z56</f>
        <v>1250.0170019775817</v>
      </c>
      <c r="AA386" s="279">
        <f>+China!AA56</f>
        <v>1258.5483216161374</v>
      </c>
      <c r="AB386" s="279">
        <f>+China!AB56</f>
        <v>1267.1378671945483</v>
      </c>
      <c r="AC386" s="279">
        <f>+China!AC56</f>
        <v>1275.7860361026928</v>
      </c>
      <c r="AD386" s="279">
        <f>+China!AD56</f>
        <v>1284.4932284426202</v>
      </c>
      <c r="AE386" s="279">
        <f>+China!AE56</f>
        <v>1293.2598470470614</v>
      </c>
      <c r="AF386" s="279">
        <f>+China!AF56</f>
        <v>1297.6655678349578</v>
      </c>
    </row>
    <row r="387" spans="1:61" ht="15" x14ac:dyDescent="0.2">
      <c r="A387" s="278" t="s">
        <v>55</v>
      </c>
      <c r="B387" s="279">
        <f>+India!B56</f>
        <v>1094.5830000000001</v>
      </c>
      <c r="C387" s="279">
        <f>+India!C56</f>
        <v>1252.9435777035217</v>
      </c>
      <c r="D387" s="279">
        <f>+India!D56</f>
        <v>1385.6545708417875</v>
      </c>
      <c r="E387" s="279">
        <f>+India!E56</f>
        <v>1479.1825173993338</v>
      </c>
      <c r="F387" s="279">
        <f>+India!F56</f>
        <v>1543.0528292632882</v>
      </c>
      <c r="G387" s="279">
        <f>+India!G56</f>
        <v>1554.7444927218087</v>
      </c>
      <c r="H387" s="279">
        <f>+India!H56</f>
        <v>1539.6147111605594</v>
      </c>
      <c r="I387" s="279">
        <f>+India!I56</f>
        <v>1524.6321629814913</v>
      </c>
      <c r="J387" s="279">
        <f>+India!J56</f>
        <v>1509.7954154032559</v>
      </c>
      <c r="K387" s="279">
        <f>+India!K56</f>
        <v>1495.1030495874188</v>
      </c>
      <c r="L387" s="279">
        <f>+India!L56</f>
        <v>1479.5416228087806</v>
      </c>
      <c r="M387" s="279">
        <f>+India!M56</f>
        <v>1463.1413439062758</v>
      </c>
      <c r="N387" s="279">
        <f>+India!N56</f>
        <v>1446.9228572182876</v>
      </c>
      <c r="O387" s="279">
        <f>+India!O56</f>
        <v>1430.8841476321795</v>
      </c>
      <c r="P387" s="279">
        <f>+India!P56</f>
        <v>1415.0232223722394</v>
      </c>
      <c r="Q387" s="279">
        <f>+India!Q56</f>
        <v>1399.3381107520811</v>
      </c>
      <c r="R387" s="279">
        <f>+India!R56</f>
        <v>1383.8268639297912</v>
      </c>
      <c r="S387" s="279">
        <f>+India!S56</f>
        <v>1368.4875546657893</v>
      </c>
      <c r="T387" s="279">
        <f>+India!T56</f>
        <v>1353.3182770833725</v>
      </c>
      <c r="U387" s="279">
        <f>+India!U56</f>
        <v>1338.3171464319146</v>
      </c>
      <c r="V387" s="279">
        <f>+India!V56</f>
        <v>1334.2245054294342</v>
      </c>
      <c r="W387" s="279">
        <f>+India!W56</f>
        <v>1340.9406601043167</v>
      </c>
      <c r="X387" s="279">
        <f>+India!X56</f>
        <v>1347.6906222332173</v>
      </c>
      <c r="Y387" s="279">
        <f>+India!Y56</f>
        <v>1354.4745619944597</v>
      </c>
      <c r="Z387" s="279">
        <f>+India!Z56</f>
        <v>1361.2926504230038</v>
      </c>
      <c r="AA387" s="279">
        <f>+India!AA56</f>
        <v>1368.1450594147566</v>
      </c>
      <c r="AB387" s="279">
        <f>+India!AB56</f>
        <v>1375.0319617309065</v>
      </c>
      <c r="AC387" s="279">
        <f>+India!AC56</f>
        <v>1381.9535310022784</v>
      </c>
      <c r="AD387" s="279">
        <f>+India!AD56</f>
        <v>1388.9099417337122</v>
      </c>
      <c r="AE387" s="279">
        <f>+India!AE56</f>
        <v>1395.9013693084617</v>
      </c>
      <c r="AF387" s="279">
        <f>+India!AF56</f>
        <v>1399.4102694606254</v>
      </c>
    </row>
    <row r="388" spans="1:61" ht="15" x14ac:dyDescent="0.2">
      <c r="A388" s="278" t="s">
        <v>56</v>
      </c>
      <c r="B388" s="279">
        <f>+MidEast!B56</f>
        <v>412.76900131562951</v>
      </c>
      <c r="C388" s="279">
        <f>+MidEast!C56</f>
        <v>499.31653842438431</v>
      </c>
      <c r="D388" s="279">
        <f>+MidEast!D56</f>
        <v>582.45526247535781</v>
      </c>
      <c r="E388" s="279">
        <f>+MidEast!E56</f>
        <v>655.97279000116657</v>
      </c>
      <c r="F388" s="279">
        <f>+MidEast!F56</f>
        <v>718.79049213951976</v>
      </c>
      <c r="G388" s="279">
        <f>+MidEast!G56</f>
        <v>757.22635740042631</v>
      </c>
      <c r="H388" s="279">
        <f>+MidEast!H56</f>
        <v>783.94458908937531</v>
      </c>
      <c r="I388" s="279">
        <f>+MidEast!I56</f>
        <v>811.60555592958758</v>
      </c>
      <c r="J388" s="279">
        <f>+MidEast!J56</f>
        <v>840.24252170796979</v>
      </c>
      <c r="K388" s="279">
        <f>+MidEast!K56</f>
        <v>869.88992390217095</v>
      </c>
      <c r="L388" s="279">
        <f>+MidEast!L56</f>
        <v>880.49611539260263</v>
      </c>
      <c r="M388" s="279">
        <f>+MidEast!M56</f>
        <v>871.35291338015509</v>
      </c>
      <c r="N388" s="279">
        <f>+MidEast!N56</f>
        <v>862.3046557309807</v>
      </c>
      <c r="O388" s="279">
        <f>+MidEast!O56</f>
        <v>853.35035652875547</v>
      </c>
      <c r="P388" s="279">
        <f>+MidEast!P56</f>
        <v>844.48904009505657</v>
      </c>
      <c r="Q388" s="279">
        <f>+MidEast!Q56</f>
        <v>835.71974088305024</v>
      </c>
      <c r="R388" s="279">
        <f>+MidEast!R56</f>
        <v>827.04150337228396</v>
      </c>
      <c r="S388" s="279">
        <f>+MidEast!S56</f>
        <v>818.45338196457124</v>
      </c>
      <c r="T388" s="279">
        <f>+MidEast!T56</f>
        <v>809.95444088095701</v>
      </c>
      <c r="U388" s="279">
        <f>+MidEast!U56</f>
        <v>801.54375405975338</v>
      </c>
      <c r="V388" s="279">
        <f>+MidEast!V56</f>
        <v>799.22205589290161</v>
      </c>
      <c r="W388" s="279">
        <f>+MidEast!W56</f>
        <v>802.93662751675856</v>
      </c>
      <c r="X388" s="279">
        <f>+MidEast!X56</f>
        <v>806.66846348191723</v>
      </c>
      <c r="Y388" s="279">
        <f>+MidEast!Y56</f>
        <v>810.41764402844581</v>
      </c>
      <c r="Z388" s="279">
        <f>+MidEast!Z56</f>
        <v>814.18424976934705</v>
      </c>
      <c r="AA388" s="279">
        <f>+MidEast!AA56</f>
        <v>817.96836169229152</v>
      </c>
      <c r="AB388" s="279">
        <f>+MidEast!AB56</f>
        <v>821.77006116135885</v>
      </c>
      <c r="AC388" s="279">
        <f>+MidEast!AC56</f>
        <v>825.58942991878746</v>
      </c>
      <c r="AD388" s="279">
        <f>+MidEast!AD56</f>
        <v>829.42655008673182</v>
      </c>
      <c r="AE388" s="279">
        <f>+MidEast!AE56</f>
        <v>833.28150416902827</v>
      </c>
      <c r="AF388" s="279">
        <f>+MidEast!AF56</f>
        <v>835.21569481531003</v>
      </c>
    </row>
    <row r="389" spans="1:61" ht="15" x14ac:dyDescent="0.2">
      <c r="A389" s="278" t="s">
        <v>57</v>
      </c>
      <c r="B389" s="279">
        <f>+Africa!B56</f>
        <v>763.50611154103387</v>
      </c>
      <c r="C389" s="279">
        <f>+Africa!C56</f>
        <v>946.29363600988199</v>
      </c>
      <c r="D389" s="279">
        <f>+Africa!D56</f>
        <v>1137.6991088911184</v>
      </c>
      <c r="E389" s="279">
        <f>+Africa!E56</f>
        <v>1325.5728111834637</v>
      </c>
      <c r="F389" s="279">
        <f>+Africa!F56</f>
        <v>1503.1748556643358</v>
      </c>
      <c r="G389" s="279">
        <f>+Africa!G56</f>
        <v>1611.4417457695624</v>
      </c>
      <c r="H389" s="279">
        <f>+Africa!H56</f>
        <v>1668.2449350273391</v>
      </c>
      <c r="I389" s="279">
        <f>+Africa!I56</f>
        <v>1727.0504320435723</v>
      </c>
      <c r="J389" s="279">
        <f>+Africa!J56</f>
        <v>1787.9288180023811</v>
      </c>
      <c r="K389" s="279">
        <f>+Africa!K56</f>
        <v>1850.9531620688315</v>
      </c>
      <c r="L389" s="279">
        <f>+Africa!L56</f>
        <v>1863.1005860693215</v>
      </c>
      <c r="M389" s="279">
        <f>+Africa!M56</f>
        <v>1823.3617677448246</v>
      </c>
      <c r="N389" s="279">
        <f>+Africa!N56</f>
        <v>1784.4705545864874</v>
      </c>
      <c r="O389" s="279">
        <f>+Africa!O56</f>
        <v>1746.4088676843676</v>
      </c>
      <c r="P389" s="279">
        <f>+Africa!P56</f>
        <v>1709.1590137408311</v>
      </c>
      <c r="Q389" s="279">
        <f>+Africa!Q56</f>
        <v>1672.7036768456733</v>
      </c>
      <c r="R389" s="279">
        <f>+Africa!R56</f>
        <v>1637.0259104266706</v>
      </c>
      <c r="S389" s="279">
        <f>+Africa!S56</f>
        <v>1602.1091293718237</v>
      </c>
      <c r="T389" s="279">
        <f>+Africa!T56</f>
        <v>1567.9371023196268</v>
      </c>
      <c r="U389" s="279">
        <f>+Africa!U56</f>
        <v>1534.4939441137824</v>
      </c>
      <c r="V389" s="279">
        <f>+Africa!V56</f>
        <v>1514.306385397211</v>
      </c>
      <c r="W389" s="279">
        <f>+Africa!W56</f>
        <v>1506.8650549886884</v>
      </c>
      <c r="X389" s="279">
        <f>+Africa!X56</f>
        <v>1514.5301178843088</v>
      </c>
      <c r="Y389" s="279">
        <f>+Africa!Y56</f>
        <v>1522.2341711254808</v>
      </c>
      <c r="Z389" s="279">
        <f>+Africa!Z56</f>
        <v>1529.9774130467868</v>
      </c>
      <c r="AA389" s="279">
        <f>+Africa!AA56</f>
        <v>1537.7600429916893</v>
      </c>
      <c r="AB389" s="279">
        <f>+Africa!AB56</f>
        <v>1545.5822613176638</v>
      </c>
      <c r="AC389" s="279">
        <f>+Africa!AC56</f>
        <v>1553.4442694013565</v>
      </c>
      <c r="AD389" s="279">
        <f>+Africa!AD56</f>
        <v>1561.3462696437682</v>
      </c>
      <c r="AE389" s="279">
        <f>+Africa!AE56</f>
        <v>1569.2884654754657</v>
      </c>
      <c r="AF389" s="279">
        <f>+Africa!AF56</f>
        <v>1573.2747005921588</v>
      </c>
    </row>
    <row r="390" spans="1:61" ht="15" x14ac:dyDescent="0.2">
      <c r="A390" s="278" t="s">
        <v>58</v>
      </c>
      <c r="B390" s="279">
        <f>+LatAm!B56</f>
        <v>555.38007856447791</v>
      </c>
      <c r="C390" s="279">
        <f>+LatAm!C56</f>
        <v>617.24666775945695</v>
      </c>
      <c r="D390" s="279">
        <f>+LatAm!D56</f>
        <v>668.20790232089644</v>
      </c>
      <c r="E390" s="279">
        <f>+LatAm!E56</f>
        <v>704.76915491453906</v>
      </c>
      <c r="F390" s="279">
        <f>+LatAm!F56</f>
        <v>724.34366223780523</v>
      </c>
      <c r="G390" s="279">
        <f>+LatAm!G56</f>
        <v>724.37497469952905</v>
      </c>
      <c r="H390" s="279">
        <f>+LatAm!H56</f>
        <v>717.60011089517116</v>
      </c>
      <c r="I390" s="279">
        <f>+LatAm!I56</f>
        <v>710.88861037802053</v>
      </c>
      <c r="J390" s="279">
        <f>+LatAm!J56</f>
        <v>704.2398805300877</v>
      </c>
      <c r="K390" s="279">
        <f>+LatAm!K56</f>
        <v>697.6533342759634</v>
      </c>
      <c r="L390" s="279">
        <f>+LatAm!L56</f>
        <v>691.83923244645564</v>
      </c>
      <c r="M390" s="279">
        <f>+LatAm!M56</f>
        <v>686.77922759032924</v>
      </c>
      <c r="N390" s="279">
        <f>+LatAm!N56</f>
        <v>681.75623082501829</v>
      </c>
      <c r="O390" s="279">
        <f>+LatAm!O56</f>
        <v>676.7699714790856</v>
      </c>
      <c r="P390" s="279">
        <f>+LatAm!P56</f>
        <v>671.82018086074322</v>
      </c>
      <c r="Q390" s="279">
        <f>+LatAm!Q56</f>
        <v>666.90659224337298</v>
      </c>
      <c r="R390" s="279">
        <f>+LatAm!R56</f>
        <v>662.02894085115395</v>
      </c>
      <c r="S390" s="279">
        <f>+LatAm!S56</f>
        <v>657.1869638447946</v>
      </c>
      <c r="T390" s="279">
        <f>+LatAm!T56</f>
        <v>652.38040030736909</v>
      </c>
      <c r="U390" s="279">
        <f>+LatAm!U56</f>
        <v>647.6089912302574</v>
      </c>
      <c r="V390" s="279">
        <f>+LatAm!V56</f>
        <v>647.16617925287812</v>
      </c>
      <c r="W390" s="279">
        <f>+LatAm!W56</f>
        <v>651.04309163718324</v>
      </c>
      <c r="X390" s="279">
        <f>+LatAm!X56</f>
        <v>654.94322904485557</v>
      </c>
      <c r="Y390" s="279">
        <f>+LatAm!Y56</f>
        <v>658.86673060767225</v>
      </c>
      <c r="Z390" s="279">
        <f>+LatAm!Z56</f>
        <v>662.81373629089319</v>
      </c>
      <c r="AA390" s="279">
        <f>+LatAm!AA56</f>
        <v>666.78438689825384</v>
      </c>
      <c r="AB390" s="279">
        <f>+LatAm!AB56</f>
        <v>670.77882407698814</v>
      </c>
      <c r="AC390" s="279">
        <f>+LatAm!AC56</f>
        <v>674.79719032288176</v>
      </c>
      <c r="AD390" s="279">
        <f>+LatAm!AD56</f>
        <v>678.83962898535526</v>
      </c>
      <c r="AE390" s="279">
        <f>+LatAm!AE56</f>
        <v>682.90628427257798</v>
      </c>
      <c r="AF390" s="279">
        <f>+LatAm!AF56</f>
        <v>684.94873845160271</v>
      </c>
    </row>
    <row r="391" spans="1:61" ht="15" x14ac:dyDescent="0.2">
      <c r="A391" s="278" t="s">
        <v>114</v>
      </c>
      <c r="B391" s="279">
        <f>+OHI!B56</f>
        <v>129.169624</v>
      </c>
      <c r="C391" s="279">
        <f>+OHI!C56</f>
        <v>138.9149347636984</v>
      </c>
      <c r="D391" s="279">
        <f>+OHI!D56</f>
        <v>146.53148576729271</v>
      </c>
      <c r="E391" s="279">
        <f>+OHI!E56</f>
        <v>151.22321883689457</v>
      </c>
      <c r="F391" s="279">
        <f>+OHI!F56</f>
        <v>152.6260626118586</v>
      </c>
      <c r="G391" s="279">
        <f>+OHI!G56</f>
        <v>150.59003919774131</v>
      </c>
      <c r="H391" s="279">
        <f>+OHI!H56</f>
        <v>146.77893634951542</v>
      </c>
      <c r="I391" s="279">
        <f>+OHI!I56</f>
        <v>143.06428413638557</v>
      </c>
      <c r="J391" s="279">
        <f>+OHI!J56</f>
        <v>139.443641604806</v>
      </c>
      <c r="K391" s="279">
        <f>+OHI!K56</f>
        <v>135.91462957639931</v>
      </c>
      <c r="L391" s="279">
        <f>+OHI!L56</f>
        <v>134.53466436875334</v>
      </c>
      <c r="M391" s="279">
        <f>+OHI!M56</f>
        <v>135.23923246311676</v>
      </c>
      <c r="N391" s="279">
        <f>+OHI!N56</f>
        <v>135.94749043325996</v>
      </c>
      <c r="O391" s="279">
        <f>+OHI!O56</f>
        <v>136.65945760333824</v>
      </c>
      <c r="P391" s="279">
        <f>+OHI!P56</f>
        <v>137.37515339870893</v>
      </c>
      <c r="Q391" s="279">
        <f>+OHI!Q56</f>
        <v>138.09459734646143</v>
      </c>
      <c r="R391" s="279">
        <f>+OHI!R56</f>
        <v>138.81780907594992</v>
      </c>
      <c r="S391" s="279">
        <f>+OHI!S56</f>
        <v>139.54480831932904</v>
      </c>
      <c r="T391" s="279">
        <f>+OHI!T56</f>
        <v>140.27561491209215</v>
      </c>
      <c r="U391" s="279">
        <f>+OHI!U56</f>
        <v>141.01024879361262</v>
      </c>
      <c r="V391" s="279">
        <f>+OHI!V56</f>
        <v>141.80615416502141</v>
      </c>
      <c r="W391" s="279">
        <f>+OHI!W56</f>
        <v>142.66432354356957</v>
      </c>
      <c r="X391" s="279">
        <f>+OHI!X56</f>
        <v>143.52768631225382</v>
      </c>
      <c r="Y391" s="279">
        <f>+OHI!Y56</f>
        <v>144.39627389995263</v>
      </c>
      <c r="Z391" s="279">
        <f>+OHI!Z56</f>
        <v>145.27011792574285</v>
      </c>
      <c r="AA391" s="279">
        <f>+OHI!AA56</f>
        <v>146.14925020005074</v>
      </c>
      <c r="AB391" s="279">
        <f>+OHI!AB56</f>
        <v>147.03370272580997</v>
      </c>
      <c r="AC391" s="279">
        <f>+OHI!AC56</f>
        <v>147.92350769962661</v>
      </c>
      <c r="AD391" s="279">
        <f>+OHI!AD56</f>
        <v>148.81869751295113</v>
      </c>
      <c r="AE391" s="279">
        <f>+OHI!AE56</f>
        <v>149.71930475325763</v>
      </c>
      <c r="AF391" s="279">
        <f>+OHI!AF56</f>
        <v>150.17165014600675</v>
      </c>
    </row>
    <row r="392" spans="1:61" ht="15" x14ac:dyDescent="0.2">
      <c r="A392" s="278" t="s">
        <v>224</v>
      </c>
      <c r="B392" s="279">
        <f>+OthAsia!B56</f>
        <v>937.19556697899202</v>
      </c>
      <c r="C392" s="279">
        <f>+OthAsia!C56</f>
        <v>1081.0130680798486</v>
      </c>
      <c r="D392" s="279">
        <f>+OthAsia!D56</f>
        <v>1214.6557543238846</v>
      </c>
      <c r="E392" s="279">
        <f>+OthAsia!E56</f>
        <v>1328.2043822189544</v>
      </c>
      <c r="F392" s="279">
        <f>+OthAsia!F56</f>
        <v>1416.5926818179369</v>
      </c>
      <c r="G392" s="279">
        <f>+OthAsia!G56</f>
        <v>1455.148901943053</v>
      </c>
      <c r="H392" s="279">
        <f>+OthAsia!H56</f>
        <v>1466.0562767158233</v>
      </c>
      <c r="I392" s="279">
        <f>+OthAsia!I56</f>
        <v>1477.0454100112265</v>
      </c>
      <c r="J392" s="279">
        <f>+OthAsia!J56</f>
        <v>1488.1169146674717</v>
      </c>
      <c r="K392" s="279">
        <f>+OthAsia!K56</f>
        <v>1499.2714081164261</v>
      </c>
      <c r="L392" s="279">
        <f>+OthAsia!L56</f>
        <v>1497.1045923920378</v>
      </c>
      <c r="M392" s="279">
        <f>+OthAsia!M56</f>
        <v>1481.6741508046164</v>
      </c>
      <c r="N392" s="279">
        <f>+OthAsia!N56</f>
        <v>1466.4027485580618</v>
      </c>
      <c r="O392" s="279">
        <f>+OthAsia!O56</f>
        <v>1451.2887464567748</v>
      </c>
      <c r="P392" s="279">
        <f>+OthAsia!P56</f>
        <v>1436.3305222001095</v>
      </c>
      <c r="Q392" s="279">
        <f>+OthAsia!Q56</f>
        <v>1421.5264702082393</v>
      </c>
      <c r="R392" s="279">
        <f>+OthAsia!R56</f>
        <v>1406.8750014498175</v>
      </c>
      <c r="S392" s="279">
        <f>+OthAsia!S56</f>
        <v>1392.3745432714152</v>
      </c>
      <c r="T392" s="279">
        <f>+OthAsia!T56</f>
        <v>1378.0235392287154</v>
      </c>
      <c r="U392" s="279">
        <f>+OthAsia!U56</f>
        <v>1363.8204489194497</v>
      </c>
      <c r="V392" s="279">
        <f>+OthAsia!V56</f>
        <v>1360.1141672812657</v>
      </c>
      <c r="W392" s="279">
        <f>+OthAsia!W56</f>
        <v>1366.8194038038771</v>
      </c>
      <c r="X392" s="279">
        <f>+OthAsia!X56</f>
        <v>1373.5576965197888</v>
      </c>
      <c r="Y392" s="279">
        <f>+OthAsia!Y56</f>
        <v>1380.3292083929637</v>
      </c>
      <c r="Z392" s="279">
        <f>+OthAsia!Z56</f>
        <v>1387.1341031907618</v>
      </c>
      <c r="AA392" s="279">
        <f>+OthAsia!AA56</f>
        <v>1393.972545487901</v>
      </c>
      <c r="AB392" s="279">
        <f>+OthAsia!AB56</f>
        <v>1400.8447006704373</v>
      </c>
      <c r="AC392" s="279">
        <f>+OthAsia!AC56</f>
        <v>1407.7507349397647</v>
      </c>
      <c r="AD392" s="279">
        <f>+OthAsia!AD56</f>
        <v>1414.6908153166344</v>
      </c>
      <c r="AE392" s="279">
        <f>+OthAsia!AE56</f>
        <v>1421.6651096451944</v>
      </c>
      <c r="AF392" s="279">
        <f>+OthAsia!AF56</f>
        <v>1425.1651397188009</v>
      </c>
    </row>
    <row r="394" spans="1:61" x14ac:dyDescent="0.15">
      <c r="A394" s="19" t="s">
        <v>1107</v>
      </c>
    </row>
    <row r="395" spans="1:61" ht="15" x14ac:dyDescent="0.2">
      <c r="A395" s="278" t="s">
        <v>104</v>
      </c>
      <c r="B395" s="279">
        <f>US!B88^-Parameters!$B$10*1000</f>
        <v>6.7770504493310133</v>
      </c>
      <c r="C395" s="279">
        <f>US!C88^-Parameters!$B$10*1000</f>
        <v>8.1906444619080094</v>
      </c>
      <c r="D395" s="279">
        <f>US!D88^-Parameters!$B$10*1000</f>
        <v>8.6584740780903751</v>
      </c>
      <c r="E395" s="279">
        <f>US!E88^-Parameters!$B$10*1000</f>
        <v>9.0262757486268939</v>
      </c>
      <c r="F395" s="279">
        <f>US!F88^-Parameters!$B$10*1000</f>
        <v>9.0545944754192256</v>
      </c>
      <c r="G395" s="279">
        <f>US!G88^-Parameters!$B$10*1000</f>
        <v>9.0369030212167551</v>
      </c>
      <c r="H395" s="279">
        <f>US!H88^-Parameters!$B$10*1000</f>
        <v>8.7577761910143934</v>
      </c>
      <c r="I395" s="279">
        <f>US!I88^-Parameters!$B$10*1000</f>
        <v>8.4136788773854558</v>
      </c>
      <c r="J395" s="279">
        <f>US!J88^-Parameters!$B$10*1000</f>
        <v>8.0845746288331259</v>
      </c>
      <c r="K395" s="279">
        <f>US!K88^-Parameters!$B$10*1000</f>
        <v>7.7137293279799506</v>
      </c>
      <c r="L395" s="279">
        <f>US!L88^-Parameters!$B$10*1000</f>
        <v>7.3769165345096175</v>
      </c>
      <c r="M395" s="279">
        <f>US!M88^-Parameters!$B$10*1000</f>
        <v>7.5462039722637382</v>
      </c>
      <c r="N395" s="279">
        <f>US!N88^-Parameters!$B$10*1000</f>
        <v>7.4414002048777244</v>
      </c>
      <c r="O395" s="279">
        <f>US!O88^-Parameters!$B$10*1000</f>
        <v>7.2176914018149372</v>
      </c>
      <c r="P395" s="279">
        <f>US!P88^-Parameters!$B$10*1000</f>
        <v>6.892210645697153</v>
      </c>
      <c r="Q395" s="279">
        <f>US!Q88^-Parameters!$B$10*1000</f>
        <v>6.6222339744237093</v>
      </c>
      <c r="R395" s="279">
        <f>US!R88^-Parameters!$B$10*1000</f>
        <v>6.4239197552440421</v>
      </c>
      <c r="S395" s="279">
        <f>US!S88^-Parameters!$B$10*1000</f>
        <v>6.3036810803780536</v>
      </c>
      <c r="T395" s="279">
        <f>US!T88^-Parameters!$B$10*1000</f>
        <v>6.3581975126853711</v>
      </c>
      <c r="U395" s="279">
        <f>US!U88^-Parameters!$B$10*1000</f>
        <v>6.6895520788160212</v>
      </c>
      <c r="V395" s="279">
        <f>US!V88^-Parameters!$B$10*1000</f>
        <v>6.4868239554575071</v>
      </c>
      <c r="W395" s="279">
        <f>US!W88^-Parameters!$B$10*1000</f>
        <v>6.3818366498841472</v>
      </c>
      <c r="X395" s="279">
        <f>US!X88^-Parameters!$B$10*1000</f>
        <v>6.2150291012324779</v>
      </c>
      <c r="Y395" s="279">
        <f>US!Y88^-Parameters!$B$10*1000</f>
        <v>6.0915491536121804</v>
      </c>
      <c r="Z395" s="279">
        <f>US!Z88^-Parameters!$B$10*1000</f>
        <v>5.9323051492110981</v>
      </c>
      <c r="AA395" s="279">
        <f>US!AA88^-Parameters!$B$10*1000</f>
        <v>5.7447779784200872</v>
      </c>
      <c r="AB395" s="279">
        <f>US!AB88^-Parameters!$B$10*1000</f>
        <v>5.6658563733742771</v>
      </c>
      <c r="AC395" s="279">
        <f>US!AC88^-Parameters!$B$10*1000</f>
        <v>5.5163113987951267</v>
      </c>
      <c r="AD395" s="279">
        <f>US!AD88^-Parameters!$B$10*1000</f>
        <v>5.3165428792755582</v>
      </c>
      <c r="AE395" s="279">
        <f>US!AE88^-Parameters!$B$10*1000</f>
        <v>5.1782628355849081</v>
      </c>
      <c r="AF395" s="279">
        <f>US!AF88^-Parameters!$B$10*1000</f>
        <v>5.4204964693770661</v>
      </c>
      <c r="AG395" s="414"/>
      <c r="AH395" s="414"/>
      <c r="AI395" s="414"/>
      <c r="AJ395" s="414"/>
      <c r="AK395" s="414"/>
      <c r="AL395" s="414"/>
      <c r="AM395" s="414"/>
      <c r="AN395" s="414"/>
      <c r="AO395" s="414"/>
      <c r="AP395" s="414"/>
      <c r="AQ395" s="414"/>
      <c r="AR395" s="414"/>
      <c r="AS395" s="414"/>
      <c r="AT395" s="414"/>
      <c r="AU395" s="414"/>
      <c r="AV395" s="414"/>
      <c r="AW395" s="414"/>
      <c r="AX395" s="414"/>
      <c r="AY395" s="414"/>
      <c r="AZ395" s="414"/>
      <c r="BA395" s="414"/>
      <c r="BB395" s="414"/>
      <c r="BC395" s="414"/>
      <c r="BD395" s="414"/>
      <c r="BE395" s="414"/>
      <c r="BF395" s="414"/>
      <c r="BG395" s="414"/>
      <c r="BH395" s="414"/>
      <c r="BI395" s="414"/>
    </row>
    <row r="396" spans="1:61" ht="15" x14ac:dyDescent="0.2">
      <c r="A396" s="278" t="s">
        <v>105</v>
      </c>
      <c r="B396" s="279">
        <f>+EU!B88^-Parameters!$B$10*1000</f>
        <v>8.6118675395869495</v>
      </c>
      <c r="C396" s="279">
        <f>+EU!C88^-Parameters!$B$10*1000</f>
        <v>9.2713715207298062</v>
      </c>
      <c r="D396" s="279">
        <f>+EU!D88^-Parameters!$B$10*1000</f>
        <v>9.2956018426592308</v>
      </c>
      <c r="E396" s="279">
        <f>+EU!E88^-Parameters!$B$10*1000</f>
        <v>9.3656100688398709</v>
      </c>
      <c r="F396" s="279">
        <f>+EU!F88^-Parameters!$B$10*1000</f>
        <v>9.0198834477791294</v>
      </c>
      <c r="G396" s="279">
        <f>+EU!G88^-Parameters!$B$10*1000</f>
        <v>8.4456439055972137</v>
      </c>
      <c r="H396" s="279">
        <f>+EU!H88^-Parameters!$B$10*1000</f>
        <v>7.901525190697293</v>
      </c>
      <c r="I396" s="279">
        <f>+EU!I88^-Parameters!$B$10*1000</f>
        <v>7.2876186087466657</v>
      </c>
      <c r="J396" s="279">
        <f>+EU!J88^-Parameters!$B$10*1000</f>
        <v>6.7524036237527358</v>
      </c>
      <c r="K396" s="279">
        <f>+EU!K88^-Parameters!$B$10*1000</f>
        <v>6.3407930143000888</v>
      </c>
      <c r="L396" s="279">
        <f>+EU!L88^-Parameters!$B$10*1000</f>
        <v>5.9467774598617904</v>
      </c>
      <c r="M396" s="279">
        <f>+EU!M88^-Parameters!$B$10*1000</f>
        <v>5.9437223723783967</v>
      </c>
      <c r="N396" s="279">
        <f>+EU!N88^-Parameters!$B$10*1000</f>
        <v>5.8638169397148321</v>
      </c>
      <c r="O396" s="279">
        <f>+EU!O88^-Parameters!$B$10*1000</f>
        <v>5.7785805814820996</v>
      </c>
      <c r="P396" s="279">
        <f>+EU!P88^-Parameters!$B$10*1000</f>
        <v>5.5694709553151389</v>
      </c>
      <c r="Q396" s="279">
        <f>+EU!Q88^-Parameters!$B$10*1000</f>
        <v>5.4113990516386634</v>
      </c>
      <c r="R396" s="279">
        <f>+EU!R88^-Parameters!$B$10*1000</f>
        <v>5.1714474058381787</v>
      </c>
      <c r="S396" s="279">
        <f>+EU!S88^-Parameters!$B$10*1000</f>
        <v>4.9681346696456163</v>
      </c>
      <c r="T396" s="279">
        <f>+EU!T88^-Parameters!$B$10*1000</f>
        <v>4.9577396021319133</v>
      </c>
      <c r="U396" s="279">
        <f>+EU!U88^-Parameters!$B$10*1000</f>
        <v>5.322053938514852</v>
      </c>
      <c r="V396" s="279">
        <f>+EU!V88^-Parameters!$B$10*1000</f>
        <v>5.1611609982819804</v>
      </c>
      <c r="W396" s="279">
        <f>+EU!W88^-Parameters!$B$10*1000</f>
        <v>5.0309337939301049</v>
      </c>
      <c r="X396" s="279">
        <f>+EU!X88^-Parameters!$B$10*1000</f>
        <v>5.0821251925934696</v>
      </c>
      <c r="Y396" s="279">
        <f>+EU!Y88^-Parameters!$B$10*1000</f>
        <v>5.0675011707732267</v>
      </c>
      <c r="Z396" s="279">
        <f>+EU!Z88^-Parameters!$B$10*1000</f>
        <v>4.9597940564190095</v>
      </c>
      <c r="AA396" s="279">
        <f>+EU!AA88^-Parameters!$B$10*1000</f>
        <v>4.8208256940753165</v>
      </c>
      <c r="AB396" s="279">
        <f>+EU!AB88^-Parameters!$B$10*1000</f>
        <v>4.7421730310824799</v>
      </c>
      <c r="AC396" s="279">
        <f>+EU!AC88^-Parameters!$B$10*1000</f>
        <v>4.5652689269658993</v>
      </c>
      <c r="AD396" s="279">
        <f>+EU!AD88^-Parameters!$B$10*1000</f>
        <v>4.4654859009498313</v>
      </c>
      <c r="AE396" s="279">
        <f>+EU!AE88^-Parameters!$B$10*1000</f>
        <v>4.3998578639413575</v>
      </c>
      <c r="AF396" s="279">
        <f>+EU!AF88^-Parameters!$B$10*1000</f>
        <v>4.8138916752639975</v>
      </c>
      <c r="AG396" s="414"/>
      <c r="AH396" s="414"/>
      <c r="AI396" s="414"/>
      <c r="AJ396" s="414"/>
      <c r="AK396" s="414"/>
      <c r="AL396" s="414"/>
      <c r="AM396" s="414"/>
      <c r="AN396" s="414"/>
      <c r="AO396" s="414"/>
      <c r="AP396" s="414"/>
      <c r="AQ396" s="414"/>
      <c r="AR396" s="414"/>
      <c r="AS396" s="414"/>
      <c r="AT396" s="414"/>
      <c r="AU396" s="414"/>
      <c r="AV396" s="414"/>
      <c r="AW396" s="414"/>
      <c r="AX396" s="414"/>
      <c r="AY396" s="414"/>
      <c r="AZ396" s="414"/>
      <c r="BA396" s="414"/>
      <c r="BB396" s="414"/>
      <c r="BC396" s="414"/>
      <c r="BD396" s="414"/>
      <c r="BE396" s="414"/>
      <c r="BF396" s="414"/>
      <c r="BG396" s="414"/>
      <c r="BH396" s="414"/>
      <c r="BI396" s="414"/>
    </row>
    <row r="397" spans="1:61" ht="15" x14ac:dyDescent="0.2">
      <c r="A397" s="278" t="s">
        <v>51</v>
      </c>
      <c r="B397" s="279">
        <f>+Japan!B88^-Parameters!$B$10*1000</f>
        <v>7.1607972764563765</v>
      </c>
      <c r="C397" s="279">
        <f>+Japan!C88^-Parameters!$B$10*1000</f>
        <v>7.0229732436101724</v>
      </c>
      <c r="D397" s="279">
        <f>+Japan!D88^-Parameters!$B$10*1000</f>
        <v>6.4618338448284209</v>
      </c>
      <c r="E397" s="279">
        <f>+Japan!E88^-Parameters!$B$10*1000</f>
        <v>5.8672608839310456</v>
      </c>
      <c r="F397" s="279">
        <f>+Japan!F88^-Parameters!$B$10*1000</f>
        <v>5.281248026957674</v>
      </c>
      <c r="G397" s="279">
        <f>+Japan!G88^-Parameters!$B$10*1000</f>
        <v>4.7162263715643293</v>
      </c>
      <c r="H397" s="279">
        <f>+Japan!H88^-Parameters!$B$10*1000</f>
        <v>4.2536158230474772</v>
      </c>
      <c r="I397" s="279">
        <f>+Japan!I88^-Parameters!$B$10*1000</f>
        <v>3.9642742315929822</v>
      </c>
      <c r="J397" s="279">
        <f>+Japan!J88^-Parameters!$B$10*1000</f>
        <v>3.8242531620512095</v>
      </c>
      <c r="K397" s="279">
        <f>+Japan!K88^-Parameters!$B$10*1000</f>
        <v>3.679048483865762</v>
      </c>
      <c r="L397" s="279">
        <f>+Japan!L88^-Parameters!$B$10*1000</f>
        <v>3.4889258710643385</v>
      </c>
      <c r="M397" s="279">
        <f>+Japan!M88^-Parameters!$B$10*1000</f>
        <v>3.5844729761911851</v>
      </c>
      <c r="N397" s="279">
        <f>+Japan!N88^-Parameters!$B$10*1000</f>
        <v>3.6111150341803819</v>
      </c>
      <c r="O397" s="279">
        <f>+Japan!O88^-Parameters!$B$10*1000</f>
        <v>3.5563881091209555</v>
      </c>
      <c r="P397" s="279">
        <f>+Japan!P88^-Parameters!$B$10*1000</f>
        <v>3.4679499857068397</v>
      </c>
      <c r="Q397" s="279">
        <f>+Japan!Q88^-Parameters!$B$10*1000</f>
        <v>3.4040373815319245</v>
      </c>
      <c r="R397" s="279">
        <f>+Japan!R88^-Parameters!$B$10*1000</f>
        <v>3.3602337881440687</v>
      </c>
      <c r="S397" s="279">
        <f>+Japan!S88^-Parameters!$B$10*1000</f>
        <v>3.3122588221629381</v>
      </c>
      <c r="T397" s="279">
        <f>+Japan!T88^-Parameters!$B$10*1000</f>
        <v>3.398138677345194</v>
      </c>
      <c r="U397" s="279">
        <f>+Japan!U88^-Parameters!$B$10*1000</f>
        <v>3.7405486788503652</v>
      </c>
      <c r="V397" s="279">
        <f>+Japan!V88^-Parameters!$B$10*1000</f>
        <v>3.552876628657172</v>
      </c>
      <c r="W397" s="279">
        <f>+Japan!W88^-Parameters!$B$10*1000</f>
        <v>3.5830145162497296</v>
      </c>
      <c r="X397" s="279">
        <f>+Japan!X88^-Parameters!$B$10*1000</f>
        <v>3.5437601746274741</v>
      </c>
      <c r="Y397" s="279">
        <f>+Japan!Y88^-Parameters!$B$10*1000</f>
        <v>3.4723801397414866</v>
      </c>
      <c r="Z397" s="279">
        <f>+Japan!Z88^-Parameters!$B$10*1000</f>
        <v>3.4902973929509882</v>
      </c>
      <c r="AA397" s="279">
        <f>+Japan!AA88^-Parameters!$B$10*1000</f>
        <v>3.4449216061095336</v>
      </c>
      <c r="AB397" s="279">
        <f>+Japan!AB88^-Parameters!$B$10*1000</f>
        <v>3.4550123603127374</v>
      </c>
      <c r="AC397" s="279">
        <f>+Japan!AC88^-Parameters!$B$10*1000</f>
        <v>3.3986508440276935</v>
      </c>
      <c r="AD397" s="279">
        <f>+Japan!AD88^-Parameters!$B$10*1000</f>
        <v>3.395345733643421</v>
      </c>
      <c r="AE397" s="279">
        <f>+Japan!AE88^-Parameters!$B$10*1000</f>
        <v>3.4496040212628003</v>
      </c>
      <c r="AF397" s="279">
        <f>+Japan!AF88^-Parameters!$B$10*1000</f>
        <v>3.692967133943089</v>
      </c>
      <c r="AG397" s="414"/>
      <c r="AH397" s="414"/>
      <c r="AI397" s="414"/>
      <c r="AJ397" s="414"/>
      <c r="AK397" s="414"/>
      <c r="AL397" s="414"/>
      <c r="AM397" s="414"/>
      <c r="AN397" s="414"/>
      <c r="AO397" s="414"/>
      <c r="AP397" s="414"/>
      <c r="AQ397" s="414"/>
      <c r="AR397" s="414"/>
      <c r="AS397" s="414"/>
      <c r="AT397" s="414"/>
      <c r="AU397" s="414"/>
      <c r="AV397" s="414"/>
      <c r="AW397" s="414"/>
      <c r="AX397" s="414"/>
      <c r="AY397" s="414"/>
      <c r="AZ397" s="414"/>
      <c r="BA397" s="414"/>
      <c r="BB397" s="414"/>
      <c r="BC397" s="414"/>
      <c r="BD397" s="414"/>
      <c r="BE397" s="414"/>
      <c r="BF397" s="414"/>
      <c r="BG397" s="414"/>
      <c r="BH397" s="414"/>
      <c r="BI397" s="414"/>
    </row>
    <row r="398" spans="1:61" ht="15" x14ac:dyDescent="0.2">
      <c r="A398" s="278" t="s">
        <v>52</v>
      </c>
      <c r="B398" s="279">
        <f>+Russia!B88^-Parameters!$B$10*1000</f>
        <v>13.149095188514885</v>
      </c>
      <c r="C398" s="279">
        <f>+Russia!C88^-Parameters!$B$10*1000</f>
        <v>13.391296934971129</v>
      </c>
      <c r="D398" s="279">
        <f>+Russia!D88^-Parameters!$B$10*1000</f>
        <v>15.799862863143826</v>
      </c>
      <c r="E398" s="279">
        <f>+Russia!E88^-Parameters!$B$10*1000</f>
        <v>16.706746941388236</v>
      </c>
      <c r="F398" s="279">
        <f>+Russia!F88^-Parameters!$B$10*1000</f>
        <v>19.001715499847709</v>
      </c>
      <c r="G398" s="279">
        <f>+Russia!G88^-Parameters!$B$10*1000</f>
        <v>18.86364550867205</v>
      </c>
      <c r="H398" s="279">
        <f>+Russia!H88^-Parameters!$B$10*1000</f>
        <v>18.592938271332233</v>
      </c>
      <c r="I398" s="279">
        <f>+Russia!I88^-Parameters!$B$10*1000</f>
        <v>16.964590864379247</v>
      </c>
      <c r="J398" s="279">
        <f>+Russia!J88^-Parameters!$B$10*1000</f>
        <v>17.16333339298447</v>
      </c>
      <c r="K398" s="279">
        <f>+Russia!K88^-Parameters!$B$10*1000</f>
        <v>14.804555432749176</v>
      </c>
      <c r="L398" s="279">
        <f>+Russia!L88^-Parameters!$B$10*1000</f>
        <v>12.67420535478335</v>
      </c>
      <c r="M398" s="279">
        <f>+Russia!M88^-Parameters!$B$10*1000</f>
        <v>12.147551782081878</v>
      </c>
      <c r="N398" s="279">
        <f>+Russia!N88^-Parameters!$B$10*1000</f>
        <v>11.490721980358176</v>
      </c>
      <c r="O398" s="279">
        <f>+Russia!O88^-Parameters!$B$10*1000</f>
        <v>10.473352786277328</v>
      </c>
      <c r="P398" s="279">
        <f>+Russia!P88^-Parameters!$B$10*1000</f>
        <v>9.5572076806101904</v>
      </c>
      <c r="Q398" s="279">
        <f>+Russia!Q88^-Parameters!$B$10*1000</f>
        <v>8.8257735551494179</v>
      </c>
      <c r="R398" s="279">
        <f>+Russia!R88^-Parameters!$B$10*1000</f>
        <v>7.9436713607379614</v>
      </c>
      <c r="S398" s="279">
        <f>+Russia!S88^-Parameters!$B$10*1000</f>
        <v>7.1212451823326468</v>
      </c>
      <c r="T398" s="279">
        <f>+Russia!T88^-Parameters!$B$10*1000</f>
        <v>6.6838628711662018</v>
      </c>
      <c r="U398" s="279">
        <f>+Russia!U88^-Parameters!$B$10*1000</f>
        <v>7.6511257978063032</v>
      </c>
      <c r="V398" s="279">
        <f>+Russia!V88^-Parameters!$B$10*1000</f>
        <v>7.2404969363573954</v>
      </c>
      <c r="W398" s="279">
        <f>+Russia!W88^-Parameters!$B$10*1000</f>
        <v>6.8512728155243705</v>
      </c>
      <c r="X398" s="279">
        <f>+Russia!X88^-Parameters!$B$10*1000</f>
        <v>6.5119071194037552</v>
      </c>
      <c r="Y398" s="279">
        <f>+Russia!Y88^-Parameters!$B$10*1000</f>
        <v>6.3973163871948797</v>
      </c>
      <c r="Z398" s="279">
        <f>+Russia!Z88^-Parameters!$B$10*1000</f>
        <v>6.3810352510313466</v>
      </c>
      <c r="AA398" s="279">
        <f>+Russia!AA88^-Parameters!$B$10*1000</f>
        <v>6.6330982966072254</v>
      </c>
      <c r="AB398" s="279">
        <f>+Russia!AB88^-Parameters!$B$10*1000</f>
        <v>6.698671541389599</v>
      </c>
      <c r="AC398" s="279">
        <f>+Russia!AC88^-Parameters!$B$10*1000</f>
        <v>6.5690146640039222</v>
      </c>
      <c r="AD398" s="279">
        <f>+Russia!AD88^-Parameters!$B$10*1000</f>
        <v>6.3506617656897824</v>
      </c>
      <c r="AE398" s="279">
        <f>+Russia!AE88^-Parameters!$B$10*1000</f>
        <v>6.1997193443083525</v>
      </c>
      <c r="AF398" s="279">
        <f>+Russia!AF88^-Parameters!$B$10*1000</f>
        <v>6.4811536616558412</v>
      </c>
      <c r="AG398" s="414"/>
      <c r="AH398" s="414"/>
      <c r="AI398" s="414"/>
      <c r="AJ398" s="414"/>
      <c r="AK398" s="414"/>
      <c r="AL398" s="414"/>
      <c r="AM398" s="414"/>
      <c r="AN398" s="414"/>
      <c r="AO398" s="414"/>
      <c r="AP398" s="414"/>
      <c r="AQ398" s="414"/>
      <c r="AR398" s="414"/>
      <c r="AS398" s="414"/>
      <c r="AT398" s="414"/>
      <c r="AU398" s="414"/>
      <c r="AV398" s="414"/>
      <c r="AW398" s="414"/>
      <c r="AX398" s="414"/>
      <c r="AY398" s="414"/>
      <c r="AZ398" s="414"/>
      <c r="BA398" s="414"/>
      <c r="BB398" s="414"/>
      <c r="BC398" s="414"/>
      <c r="BD398" s="414"/>
      <c r="BE398" s="414"/>
      <c r="BF398" s="414"/>
      <c r="BG398" s="414"/>
      <c r="BH398" s="414"/>
      <c r="BI398" s="414"/>
    </row>
    <row r="399" spans="1:61" ht="15" x14ac:dyDescent="0.2">
      <c r="A399" s="278" t="s">
        <v>53</v>
      </c>
      <c r="B399" s="279">
        <f>+Eurasia!B88^-Parameters!$B$10*1000</f>
        <v>32.761333525727927</v>
      </c>
      <c r="C399" s="279">
        <f>+Eurasia!C88^-Parameters!$B$10*1000</f>
        <v>40.805121387926171</v>
      </c>
      <c r="D399" s="279">
        <f>+Eurasia!D88^-Parameters!$B$10*1000</f>
        <v>48.49963606059913</v>
      </c>
      <c r="E399" s="279">
        <f>+Eurasia!E88^-Parameters!$B$10*1000</f>
        <v>55.044009339835576</v>
      </c>
      <c r="F399" s="279">
        <f>+Eurasia!F88^-Parameters!$B$10*1000</f>
        <v>64.792415678830722</v>
      </c>
      <c r="G399" s="279">
        <f>+Eurasia!G88^-Parameters!$B$10*1000</f>
        <v>48.825484016729192</v>
      </c>
      <c r="H399" s="279">
        <f>+Eurasia!H88^-Parameters!$B$10*1000</f>
        <v>46.33174949990623</v>
      </c>
      <c r="I399" s="279">
        <f>+Eurasia!I88^-Parameters!$B$10*1000</f>
        <v>43.788382342449637</v>
      </c>
      <c r="J399" s="279">
        <f>+Eurasia!J88^-Parameters!$B$10*1000</f>
        <v>40.95584429506988</v>
      </c>
      <c r="K399" s="279">
        <f>+Eurasia!K88^-Parameters!$B$10*1000</f>
        <v>39.188389074337323</v>
      </c>
      <c r="L399" s="279">
        <f>+Eurasia!L88^-Parameters!$B$10*1000</f>
        <v>35.769026401761906</v>
      </c>
      <c r="M399" s="279">
        <f>+Eurasia!M88^-Parameters!$B$10*1000</f>
        <v>32.849323096276507</v>
      </c>
      <c r="N399" s="279">
        <f>+Eurasia!N88^-Parameters!$B$10*1000</f>
        <v>30.132315583616197</v>
      </c>
      <c r="O399" s="279">
        <f>+Eurasia!O88^-Parameters!$B$10*1000</f>
        <v>27.348501290293402</v>
      </c>
      <c r="P399" s="279">
        <f>+Eurasia!P88^-Parameters!$B$10*1000</f>
        <v>23.973516304322242</v>
      </c>
      <c r="Q399" s="279">
        <f>+Eurasia!Q88^-Parameters!$B$10*1000</f>
        <v>21.86390460865309</v>
      </c>
      <c r="R399" s="279">
        <f>+Eurasia!R88^-Parameters!$B$10*1000</f>
        <v>19.298199453941194</v>
      </c>
      <c r="S399" s="279">
        <f>+Eurasia!S88^-Parameters!$B$10*1000</f>
        <v>17.055351568015833</v>
      </c>
      <c r="T399" s="279">
        <f>+Eurasia!T88^-Parameters!$B$10*1000</f>
        <v>15.794228834155478</v>
      </c>
      <c r="U399" s="279">
        <f>+Eurasia!U88^-Parameters!$B$10*1000</f>
        <v>17.21992262711257</v>
      </c>
      <c r="V399" s="279">
        <f>+Eurasia!V88^-Parameters!$B$10*1000</f>
        <v>16.5956620642636</v>
      </c>
      <c r="W399" s="279">
        <f>+Eurasia!W88^-Parameters!$B$10*1000</f>
        <v>15.590867866123414</v>
      </c>
      <c r="X399" s="279">
        <f>+Eurasia!X88^-Parameters!$B$10*1000</f>
        <v>15.231363726462147</v>
      </c>
      <c r="Y399" s="279">
        <f>+Eurasia!Y88^-Parameters!$B$10*1000</f>
        <v>14.805588471642725</v>
      </c>
      <c r="Z399" s="279">
        <f>+Eurasia!Z88^-Parameters!$B$10*1000</f>
        <v>14.802810616436055</v>
      </c>
      <c r="AA399" s="279">
        <f>+Eurasia!AA88^-Parameters!$B$10*1000</f>
        <v>14.899295547122083</v>
      </c>
      <c r="AB399" s="279">
        <f>+Eurasia!AB88^-Parameters!$B$10*1000</f>
        <v>14.561717225465335</v>
      </c>
      <c r="AC399" s="279">
        <f>+Eurasia!AC88^-Parameters!$B$10*1000</f>
        <v>13.792450366780352</v>
      </c>
      <c r="AD399" s="279">
        <f>+Eurasia!AD88^-Parameters!$B$10*1000</f>
        <v>13.049637753095924</v>
      </c>
      <c r="AE399" s="279">
        <f>+Eurasia!AE88^-Parameters!$B$10*1000</f>
        <v>12.426063693160534</v>
      </c>
      <c r="AF399" s="279">
        <f>+Eurasia!AF88^-Parameters!$B$10*1000</f>
        <v>13.066599144232093</v>
      </c>
      <c r="AG399" s="414"/>
      <c r="AH399" s="414"/>
      <c r="AI399" s="414"/>
      <c r="AJ399" s="414"/>
      <c r="AK399" s="414"/>
      <c r="AL399" s="414"/>
      <c r="AM399" s="414"/>
      <c r="AN399" s="414"/>
      <c r="AO399" s="414"/>
      <c r="AP399" s="414"/>
      <c r="AQ399" s="414"/>
      <c r="AR399" s="414"/>
      <c r="AS399" s="414"/>
      <c r="AT399" s="414"/>
      <c r="AU399" s="414"/>
      <c r="AV399" s="414"/>
      <c r="AW399" s="414"/>
      <c r="AX399" s="414"/>
      <c r="AY399" s="414"/>
      <c r="AZ399" s="414"/>
      <c r="BA399" s="414"/>
      <c r="BB399" s="414"/>
      <c r="BC399" s="414"/>
      <c r="BD399" s="414"/>
      <c r="BE399" s="414"/>
      <c r="BF399" s="414"/>
      <c r="BG399" s="414"/>
      <c r="BH399" s="414"/>
      <c r="BI399" s="414"/>
    </row>
    <row r="400" spans="1:61" ht="15" x14ac:dyDescent="0.2">
      <c r="A400" s="278" t="s">
        <v>54</v>
      </c>
      <c r="B400" s="279">
        <f>+China!B88^-Parameters!$B$10*1000</f>
        <v>1408.9880798305205</v>
      </c>
      <c r="C400" s="279">
        <f>+China!C88^-Parameters!$B$10*1000</f>
        <v>1030.4420842153504</v>
      </c>
      <c r="D400" s="279">
        <f>+China!D88^-Parameters!$B$10*1000</f>
        <v>876.79889955036094</v>
      </c>
      <c r="E400" s="279">
        <f>+China!E88^-Parameters!$B$10*1000</f>
        <v>718.5925856878481</v>
      </c>
      <c r="F400" s="279">
        <f>+China!F88^-Parameters!$B$10*1000</f>
        <v>580.53056320492215</v>
      </c>
      <c r="G400" s="279">
        <f>+China!G88^-Parameters!$B$10*1000</f>
        <v>474.01471188736548</v>
      </c>
      <c r="H400" s="279">
        <f>+China!H88^-Parameters!$B$10*1000</f>
        <v>391.4025789937715</v>
      </c>
      <c r="I400" s="279">
        <f>+China!I88^-Parameters!$B$10*1000</f>
        <v>326.65758792658983</v>
      </c>
      <c r="J400" s="279">
        <f>+China!J88^-Parameters!$B$10*1000</f>
        <v>277.93669878078703</v>
      </c>
      <c r="K400" s="279">
        <f>+China!K88^-Parameters!$B$10*1000</f>
        <v>239.57134262178019</v>
      </c>
      <c r="L400" s="279">
        <f>+China!L88^-Parameters!$B$10*1000</f>
        <v>211.03428464854721</v>
      </c>
      <c r="M400" s="279">
        <f>+China!M88^-Parameters!$B$10*1000</f>
        <v>186.09078099189384</v>
      </c>
      <c r="N400" s="279">
        <f>+China!N88^-Parameters!$B$10*1000</f>
        <v>163.91326988968129</v>
      </c>
      <c r="O400" s="279">
        <f>+China!O88^-Parameters!$B$10*1000</f>
        <v>142.55696633739663</v>
      </c>
      <c r="P400" s="279">
        <f>+China!P88^-Parameters!$B$10*1000</f>
        <v>123.82115914816104</v>
      </c>
      <c r="Q400" s="279">
        <f>+China!Q88^-Parameters!$B$10*1000</f>
        <v>105.80310115697051</v>
      </c>
      <c r="R400" s="279">
        <f>+China!R88^-Parameters!$B$10*1000</f>
        <v>88.77095482684588</v>
      </c>
      <c r="S400" s="279">
        <f>+China!S88^-Parameters!$B$10*1000</f>
        <v>73.034264262689646</v>
      </c>
      <c r="T400" s="279">
        <f>+China!T88^-Parameters!$B$10*1000</f>
        <v>63.862726140300737</v>
      </c>
      <c r="U400" s="279">
        <f>+China!U88^-Parameters!$B$10*1000</f>
        <v>56.074733932399063</v>
      </c>
      <c r="V400" s="279">
        <f>+China!V88^-Parameters!$B$10*1000</f>
        <v>48.601987712787576</v>
      </c>
      <c r="W400" s="279">
        <f>+China!W88^-Parameters!$B$10*1000</f>
        <v>42.891776985320142</v>
      </c>
      <c r="X400" s="279">
        <f>+China!X88^-Parameters!$B$10*1000</f>
        <v>38.765969875415358</v>
      </c>
      <c r="Y400" s="279">
        <f>+China!Y88^-Parameters!$B$10*1000</f>
        <v>35.081677509456043</v>
      </c>
      <c r="Z400" s="279">
        <f>+China!Z88^-Parameters!$B$10*1000</f>
        <v>31.905890244999437</v>
      </c>
      <c r="AA400" s="279">
        <f>+China!AA88^-Parameters!$B$10*1000</f>
        <v>29.193312005407844</v>
      </c>
      <c r="AB400" s="279">
        <f>+China!AB88^-Parameters!$B$10*1000</f>
        <v>26.870442860616258</v>
      </c>
      <c r="AC400" s="279">
        <f>+China!AC88^-Parameters!$B$10*1000</f>
        <v>24.586924412535009</v>
      </c>
      <c r="AD400" s="279">
        <f>+China!AD88^-Parameters!$B$10*1000</f>
        <v>22.562224208242764</v>
      </c>
      <c r="AE400" s="279">
        <f>+China!AE88^-Parameters!$B$10*1000</f>
        <v>20.962343993360491</v>
      </c>
      <c r="AF400" s="279">
        <f>+China!AF88^-Parameters!$B$10*1000</f>
        <v>20.432320016537972</v>
      </c>
      <c r="AG400" s="414"/>
      <c r="AH400" s="414"/>
      <c r="AI400" s="414"/>
      <c r="AJ400" s="414"/>
      <c r="AK400" s="414"/>
      <c r="AL400" s="414"/>
      <c r="AM400" s="414"/>
      <c r="AN400" s="414"/>
      <c r="AO400" s="414"/>
      <c r="AP400" s="414"/>
      <c r="AQ400" s="414"/>
      <c r="AR400" s="414"/>
      <c r="AS400" s="414"/>
      <c r="AT400" s="414"/>
      <c r="AU400" s="414"/>
      <c r="AV400" s="414"/>
      <c r="AW400" s="414"/>
      <c r="AX400" s="414"/>
      <c r="AY400" s="414"/>
      <c r="AZ400" s="414"/>
      <c r="BA400" s="414"/>
      <c r="BB400" s="414"/>
      <c r="BC400" s="414"/>
      <c r="BD400" s="414"/>
      <c r="BE400" s="414"/>
      <c r="BF400" s="414"/>
      <c r="BG400" s="414"/>
      <c r="BH400" s="414"/>
      <c r="BI400" s="414"/>
    </row>
    <row r="401" spans="1:61" ht="15" x14ac:dyDescent="0.2">
      <c r="A401" s="278" t="s">
        <v>55</v>
      </c>
      <c r="B401" s="279">
        <f>+India!B88^-Parameters!$B$10*1000</f>
        <v>976.55168516860658</v>
      </c>
      <c r="C401" s="279">
        <f>+India!C88^-Parameters!$B$10*1000</f>
        <v>1114.0622276434981</v>
      </c>
      <c r="D401" s="279">
        <f>+India!D88^-Parameters!$B$10*1000</f>
        <v>1158.3011820366842</v>
      </c>
      <c r="E401" s="279">
        <f>+India!E88^-Parameters!$B$10*1000</f>
        <v>1167.5009000219391</v>
      </c>
      <c r="F401" s="279">
        <f>+India!F88^-Parameters!$B$10*1000</f>
        <v>1105.35695822864</v>
      </c>
      <c r="G401" s="279">
        <f>+India!G88^-Parameters!$B$10*1000</f>
        <v>992.15201164384905</v>
      </c>
      <c r="H401" s="279">
        <f>+India!H88^-Parameters!$B$10*1000</f>
        <v>873.6127884486898</v>
      </c>
      <c r="I401" s="279">
        <f>+India!I88^-Parameters!$B$10*1000</f>
        <v>811.0519931171217</v>
      </c>
      <c r="J401" s="279">
        <f>+India!J88^-Parameters!$B$10*1000</f>
        <v>731.33553035578223</v>
      </c>
      <c r="K401" s="279">
        <f>+India!K88^-Parameters!$B$10*1000</f>
        <v>633.62277036688056</v>
      </c>
      <c r="L401" s="279">
        <f>+India!L88^-Parameters!$B$10*1000</f>
        <v>590.66192620669892</v>
      </c>
      <c r="M401" s="279">
        <f>+India!M88^-Parameters!$B$10*1000</f>
        <v>544.62336867622219</v>
      </c>
      <c r="N401" s="279">
        <f>+India!N88^-Parameters!$B$10*1000</f>
        <v>506.98590042332694</v>
      </c>
      <c r="O401" s="279">
        <f>+India!O88^-Parameters!$B$10*1000</f>
        <v>445.04188506404506</v>
      </c>
      <c r="P401" s="279">
        <f>+India!P88^-Parameters!$B$10*1000</f>
        <v>389.98797934406343</v>
      </c>
      <c r="Q401" s="279">
        <f>+India!Q88^-Parameters!$B$10*1000</f>
        <v>342.60722225227642</v>
      </c>
      <c r="R401" s="279">
        <f>+India!R88^-Parameters!$B$10*1000</f>
        <v>299.84460139136661</v>
      </c>
      <c r="S401" s="279">
        <f>+India!S88^-Parameters!$B$10*1000</f>
        <v>264.03258714088054</v>
      </c>
      <c r="T401" s="279">
        <f>+India!T88^-Parameters!$B$10*1000</f>
        <v>247.75841350207605</v>
      </c>
      <c r="U401" s="279">
        <f>+India!U88^-Parameters!$B$10*1000</f>
        <v>217.77160239858389</v>
      </c>
      <c r="V401" s="279">
        <f>+India!V88^-Parameters!$B$10*1000</f>
        <v>191.97202749270062</v>
      </c>
      <c r="W401" s="279">
        <f>+India!W88^-Parameters!$B$10*1000</f>
        <v>178.93708738177841</v>
      </c>
      <c r="X401" s="279">
        <f>+India!X88^-Parameters!$B$10*1000</f>
        <v>166.55949957575845</v>
      </c>
      <c r="Y401" s="279">
        <f>+India!Y88^-Parameters!$B$10*1000</f>
        <v>152.99428624218874</v>
      </c>
      <c r="Z401" s="279">
        <f>+India!Z88^-Parameters!$B$10*1000</f>
        <v>138.57843462085444</v>
      </c>
      <c r="AA401" s="279">
        <f>+India!AA88^-Parameters!$B$10*1000</f>
        <v>124.65726085187609</v>
      </c>
      <c r="AB401" s="279">
        <f>+India!AB88^-Parameters!$B$10*1000</f>
        <v>112.1359677067573</v>
      </c>
      <c r="AC401" s="279">
        <f>+India!AC88^-Parameters!$B$10*1000</f>
        <v>102.22930699467524</v>
      </c>
      <c r="AD401" s="279">
        <f>+India!AD88^-Parameters!$B$10*1000</f>
        <v>93.676128510725178</v>
      </c>
      <c r="AE401" s="279">
        <f>+India!AE88^-Parameters!$B$10*1000</f>
        <v>89.287339129692711</v>
      </c>
      <c r="AF401" s="279">
        <f>+India!AF88^-Parameters!$B$10*1000</f>
        <v>98.098275775429343</v>
      </c>
      <c r="AG401" s="414"/>
      <c r="AH401" s="414"/>
      <c r="AI401" s="414"/>
      <c r="AJ401" s="414"/>
      <c r="AK401" s="414"/>
      <c r="AL401" s="414"/>
      <c r="AM401" s="414"/>
      <c r="AN401" s="414"/>
      <c r="AO401" s="414"/>
      <c r="AP401" s="414"/>
      <c r="AQ401" s="414"/>
      <c r="AR401" s="414"/>
      <c r="AS401" s="414"/>
      <c r="AT401" s="414"/>
      <c r="AU401" s="414"/>
      <c r="AV401" s="414"/>
      <c r="AW401" s="414"/>
      <c r="AX401" s="414"/>
      <c r="AY401" s="414"/>
      <c r="AZ401" s="414"/>
      <c r="BA401" s="414"/>
      <c r="BB401" s="414"/>
      <c r="BC401" s="414"/>
      <c r="BD401" s="414"/>
      <c r="BE401" s="414"/>
      <c r="BF401" s="414"/>
      <c r="BG401" s="414"/>
      <c r="BH401" s="414"/>
      <c r="BI401" s="414"/>
    </row>
    <row r="402" spans="1:61" ht="15" x14ac:dyDescent="0.2">
      <c r="A402" s="278" t="s">
        <v>56</v>
      </c>
      <c r="B402" s="279">
        <f>+MidEast!B88^-Parameters!$B$10*1000</f>
        <v>191.01560306851741</v>
      </c>
      <c r="C402" s="279">
        <f>+MidEast!C88^-Parameters!$B$10*1000</f>
        <v>229.43094275739105</v>
      </c>
      <c r="D402" s="279">
        <f>+MidEast!D88^-Parameters!$B$10*1000</f>
        <v>248.83114698119562</v>
      </c>
      <c r="E402" s="279">
        <f>+MidEast!E88^-Parameters!$B$10*1000</f>
        <v>284.45713809539097</v>
      </c>
      <c r="F402" s="279">
        <f>+MidEast!F88^-Parameters!$B$10*1000</f>
        <v>313.55433007534282</v>
      </c>
      <c r="G402" s="279">
        <f>+MidEast!G88^-Parameters!$B$10*1000</f>
        <v>292.71498981755343</v>
      </c>
      <c r="H402" s="279">
        <f>+MidEast!H88^-Parameters!$B$10*1000</f>
        <v>288.18667024267762</v>
      </c>
      <c r="I402" s="279">
        <f>+MidEast!I88^-Parameters!$B$10*1000</f>
        <v>290.03404630850707</v>
      </c>
      <c r="J402" s="279">
        <f>+MidEast!J88^-Parameters!$B$10*1000</f>
        <v>288.82554161258327</v>
      </c>
      <c r="K402" s="279">
        <f>+MidEast!K88^-Parameters!$B$10*1000</f>
        <v>296.35451417278693</v>
      </c>
      <c r="L402" s="279">
        <f>+MidEast!L88^-Parameters!$B$10*1000</f>
        <v>261.02938976598199</v>
      </c>
      <c r="M402" s="279">
        <f>+MidEast!M88^-Parameters!$B$10*1000</f>
        <v>257.92053856011091</v>
      </c>
      <c r="N402" s="279">
        <f>+MidEast!N88^-Parameters!$B$10*1000</f>
        <v>248.96059811334001</v>
      </c>
      <c r="O402" s="279">
        <f>+MidEast!O88^-Parameters!$B$10*1000</f>
        <v>226.85422261840552</v>
      </c>
      <c r="P402" s="279">
        <f>+MidEast!P88^-Parameters!$B$10*1000</f>
        <v>196.30952200279543</v>
      </c>
      <c r="Q402" s="279">
        <f>+MidEast!Q88^-Parameters!$B$10*1000</f>
        <v>180.71286648746246</v>
      </c>
      <c r="R402" s="279">
        <f>+MidEast!R88^-Parameters!$B$10*1000</f>
        <v>163.90656241309728</v>
      </c>
      <c r="S402" s="279">
        <f>+MidEast!S88^-Parameters!$B$10*1000</f>
        <v>149.77321771577434</v>
      </c>
      <c r="T402" s="279">
        <f>+MidEast!T88^-Parameters!$B$10*1000</f>
        <v>138.24326097070846</v>
      </c>
      <c r="U402" s="279">
        <f>+MidEast!U88^-Parameters!$B$10*1000</f>
        <v>136.66199056497871</v>
      </c>
      <c r="V402" s="279">
        <f>+MidEast!V88^-Parameters!$B$10*1000</f>
        <v>126.47152331739636</v>
      </c>
      <c r="W402" s="279">
        <f>+MidEast!W88^-Parameters!$B$10*1000</f>
        <v>115.3822202056752</v>
      </c>
      <c r="X402" s="279">
        <f>+MidEast!X88^-Parameters!$B$10*1000</f>
        <v>111.50804899379857</v>
      </c>
      <c r="Y402" s="279">
        <f>+MidEast!Y88^-Parameters!$B$10*1000</f>
        <v>108.1705795646953</v>
      </c>
      <c r="Z402" s="279">
        <f>+MidEast!Z88^-Parameters!$B$10*1000</f>
        <v>103.17430063425687</v>
      </c>
      <c r="AA402" s="279">
        <f>+MidEast!AA88^-Parameters!$B$10*1000</f>
        <v>99.597819403290117</v>
      </c>
      <c r="AB402" s="279">
        <f>+MidEast!AB88^-Parameters!$B$10*1000</f>
        <v>93.280520091937049</v>
      </c>
      <c r="AC402" s="279">
        <f>+MidEast!AC88^-Parameters!$B$10*1000</f>
        <v>92.773729283048809</v>
      </c>
      <c r="AD402" s="279">
        <f>+MidEast!AD88^-Parameters!$B$10*1000</f>
        <v>91.557057901931557</v>
      </c>
      <c r="AE402" s="279">
        <f>+MidEast!AE88^-Parameters!$B$10*1000</f>
        <v>91.870045338986301</v>
      </c>
      <c r="AF402" s="279">
        <f>+MidEast!AF88^-Parameters!$B$10*1000</f>
        <v>97.221865337117663</v>
      </c>
      <c r="AG402" s="414"/>
      <c r="AH402" s="414"/>
      <c r="AI402" s="414"/>
      <c r="AJ402" s="414"/>
      <c r="AK402" s="414"/>
      <c r="AL402" s="414"/>
      <c r="AM402" s="414"/>
      <c r="AN402" s="414"/>
      <c r="AO402" s="414"/>
      <c r="AP402" s="414"/>
      <c r="AQ402" s="414"/>
      <c r="AR402" s="414"/>
      <c r="AS402" s="414"/>
      <c r="AT402" s="414"/>
      <c r="AU402" s="414"/>
      <c r="AV402" s="414"/>
      <c r="AW402" s="414"/>
      <c r="AX402" s="414"/>
      <c r="AY402" s="414"/>
      <c r="AZ402" s="414"/>
      <c r="BA402" s="414"/>
      <c r="BB402" s="414"/>
      <c r="BC402" s="414"/>
      <c r="BD402" s="414"/>
      <c r="BE402" s="414"/>
      <c r="BF402" s="414"/>
      <c r="BG402" s="414"/>
      <c r="BH402" s="414"/>
      <c r="BI402" s="414"/>
    </row>
    <row r="403" spans="1:61" ht="15" x14ac:dyDescent="0.2">
      <c r="A403" s="278" t="s">
        <v>57</v>
      </c>
      <c r="B403" s="279">
        <f>+Africa!B88^-Parameters!$B$10*1000</f>
        <v>358.50007369565515</v>
      </c>
      <c r="C403" s="279">
        <f>+Africa!C88^-Parameters!$B$10*1000</f>
        <v>493.20111251238956</v>
      </c>
      <c r="D403" s="279">
        <f>+Africa!D88^-Parameters!$B$10*1000</f>
        <v>618.79429677952692</v>
      </c>
      <c r="E403" s="279">
        <f>+Africa!E88^-Parameters!$B$10*1000</f>
        <v>756.39459548360105</v>
      </c>
      <c r="F403" s="279">
        <f>+Africa!F88^-Parameters!$B$10*1000</f>
        <v>852.57248109754289</v>
      </c>
      <c r="G403" s="279">
        <f>+Africa!G88^-Parameters!$B$10*1000</f>
        <v>880.45108606110864</v>
      </c>
      <c r="H403" s="279">
        <f>+Africa!H88^-Parameters!$B$10*1000</f>
        <v>852.31059710757268</v>
      </c>
      <c r="I403" s="279">
        <f>+Africa!I88^-Parameters!$B$10*1000</f>
        <v>844.38476448346955</v>
      </c>
      <c r="J403" s="279">
        <f>+Africa!J88^-Parameters!$B$10*1000</f>
        <v>843.0361987376981</v>
      </c>
      <c r="K403" s="279">
        <f>+Africa!K88^-Parameters!$B$10*1000</f>
        <v>772.28886873318697</v>
      </c>
      <c r="L403" s="279">
        <f>+Africa!L88^-Parameters!$B$10*1000</f>
        <v>721.8202461762146</v>
      </c>
      <c r="M403" s="279">
        <f>+Africa!M88^-Parameters!$B$10*1000</f>
        <v>658.75050550830679</v>
      </c>
      <c r="N403" s="279">
        <f>+Africa!N88^-Parameters!$B$10*1000</f>
        <v>595.00583237299895</v>
      </c>
      <c r="O403" s="279">
        <f>+Africa!O88^-Parameters!$B$10*1000</f>
        <v>537.62863822126906</v>
      </c>
      <c r="P403" s="279">
        <f>+Africa!P88^-Parameters!$B$10*1000</f>
        <v>478.45475978549803</v>
      </c>
      <c r="Q403" s="279">
        <f>+Africa!Q88^-Parameters!$B$10*1000</f>
        <v>426.11664423811266</v>
      </c>
      <c r="R403" s="279">
        <f>+Africa!R88^-Parameters!$B$10*1000</f>
        <v>378.25000129197088</v>
      </c>
      <c r="S403" s="279">
        <f>+Africa!S88^-Parameters!$B$10*1000</f>
        <v>335.69176280056723</v>
      </c>
      <c r="T403" s="279">
        <f>+Africa!T88^-Parameters!$B$10*1000</f>
        <v>301.44018482732366</v>
      </c>
      <c r="U403" s="279">
        <f>+Africa!U88^-Parameters!$B$10*1000</f>
        <v>280.38790131558034</v>
      </c>
      <c r="V403" s="279">
        <f>+Africa!V88^-Parameters!$B$10*1000</f>
        <v>254.53428084593477</v>
      </c>
      <c r="W403" s="279">
        <f>+Africa!W88^-Parameters!$B$10*1000</f>
        <v>247.24082614501822</v>
      </c>
      <c r="X403" s="279">
        <f>+Africa!X88^-Parameters!$B$10*1000</f>
        <v>231.88259092961678</v>
      </c>
      <c r="Y403" s="279">
        <f>+Africa!Y88^-Parameters!$B$10*1000</f>
        <v>221.29360249481834</v>
      </c>
      <c r="Z403" s="279">
        <f>+Africa!Z88^-Parameters!$B$10*1000</f>
        <v>212.05308224123411</v>
      </c>
      <c r="AA403" s="279">
        <f>+Africa!AA88^-Parameters!$B$10*1000</f>
        <v>204.20246982165071</v>
      </c>
      <c r="AB403" s="279">
        <f>+Africa!AB88^-Parameters!$B$10*1000</f>
        <v>200.24139645695888</v>
      </c>
      <c r="AC403" s="279">
        <f>+Africa!AC88^-Parameters!$B$10*1000</f>
        <v>191.34100471777791</v>
      </c>
      <c r="AD403" s="279">
        <f>+Africa!AD88^-Parameters!$B$10*1000</f>
        <v>183.59963533440879</v>
      </c>
      <c r="AE403" s="279">
        <f>+Africa!AE88^-Parameters!$B$10*1000</f>
        <v>178.01173815163958</v>
      </c>
      <c r="AF403" s="279">
        <f>+Africa!AF88^-Parameters!$B$10*1000</f>
        <v>184.71803279652661</v>
      </c>
      <c r="AG403" s="414"/>
      <c r="AH403" s="414"/>
      <c r="AI403" s="414"/>
      <c r="AJ403" s="414"/>
      <c r="AK403" s="414"/>
      <c r="AL403" s="414"/>
      <c r="AM403" s="414"/>
      <c r="AN403" s="414"/>
      <c r="AO403" s="414"/>
      <c r="AP403" s="414"/>
      <c r="AQ403" s="414"/>
      <c r="AR403" s="414"/>
      <c r="AS403" s="414"/>
      <c r="AT403" s="414"/>
      <c r="AU403" s="414"/>
      <c r="AV403" s="414"/>
      <c r="AW403" s="414"/>
      <c r="AX403" s="414"/>
      <c r="AY403" s="414"/>
      <c r="AZ403" s="414"/>
      <c r="BA403" s="414"/>
      <c r="BB403" s="414"/>
      <c r="BC403" s="414"/>
      <c r="BD403" s="414"/>
      <c r="BE403" s="414"/>
      <c r="BF403" s="414"/>
      <c r="BG403" s="414"/>
      <c r="BH403" s="414"/>
      <c r="BI403" s="414"/>
    </row>
    <row r="404" spans="1:61" ht="15" x14ac:dyDescent="0.2">
      <c r="A404" s="278" t="s">
        <v>58</v>
      </c>
      <c r="B404" s="279">
        <f>+LatAm!B88^-Parameters!$B$10*1000</f>
        <v>67.630545154383299</v>
      </c>
      <c r="C404" s="279">
        <f>+LatAm!C88^-Parameters!$B$10*1000</f>
        <v>75.787248419430952</v>
      </c>
      <c r="D404" s="279">
        <f>+LatAm!D88^-Parameters!$B$10*1000</f>
        <v>80.374807577125225</v>
      </c>
      <c r="E404" s="279">
        <f>+LatAm!E88^-Parameters!$B$10*1000</f>
        <v>80.024678384705695</v>
      </c>
      <c r="F404" s="279">
        <f>+LatAm!F88^-Parameters!$B$10*1000</f>
        <v>76.276211337461916</v>
      </c>
      <c r="G404" s="279">
        <f>+LatAm!G88^-Parameters!$B$10*1000</f>
        <v>75.446208925695728</v>
      </c>
      <c r="H404" s="279">
        <f>+LatAm!H88^-Parameters!$B$10*1000</f>
        <v>70.147942262893977</v>
      </c>
      <c r="I404" s="279">
        <f>+LatAm!I88^-Parameters!$B$10*1000</f>
        <v>63.959288963214348</v>
      </c>
      <c r="J404" s="279">
        <f>+LatAm!J88^-Parameters!$B$10*1000</f>
        <v>60.44762193098444</v>
      </c>
      <c r="K404" s="279">
        <f>+LatAm!K88^-Parameters!$B$10*1000</f>
        <v>59.310028208128159</v>
      </c>
      <c r="L404" s="279">
        <f>+LatAm!L88^-Parameters!$B$10*1000</f>
        <v>55.612854738211944</v>
      </c>
      <c r="M404" s="279">
        <f>+LatAm!M88^-Parameters!$B$10*1000</f>
        <v>55.724376603732203</v>
      </c>
      <c r="N404" s="279">
        <f>+LatAm!N88^-Parameters!$B$10*1000</f>
        <v>54.740365405609751</v>
      </c>
      <c r="O404" s="279">
        <f>+LatAm!O88^-Parameters!$B$10*1000</f>
        <v>52.170206040844647</v>
      </c>
      <c r="P404" s="279">
        <f>+LatAm!P88^-Parameters!$B$10*1000</f>
        <v>47.757976468520212</v>
      </c>
      <c r="Q404" s="279">
        <f>+LatAm!Q88^-Parameters!$B$10*1000</f>
        <v>44.57729337993797</v>
      </c>
      <c r="R404" s="279">
        <f>+LatAm!R88^-Parameters!$B$10*1000</f>
        <v>40.820945724200151</v>
      </c>
      <c r="S404" s="279">
        <f>+LatAm!S88^-Parameters!$B$10*1000</f>
        <v>37.399118798898002</v>
      </c>
      <c r="T404" s="279">
        <f>+LatAm!T88^-Parameters!$B$10*1000</f>
        <v>35.010446660085741</v>
      </c>
      <c r="U404" s="279">
        <f>+LatAm!U88^-Parameters!$B$10*1000</f>
        <v>35.92891387915958</v>
      </c>
      <c r="V404" s="279">
        <f>+LatAm!V88^-Parameters!$B$10*1000</f>
        <v>32.658715755091784</v>
      </c>
      <c r="W404" s="279">
        <f>+LatAm!W88^-Parameters!$B$10*1000</f>
        <v>30.796954206131808</v>
      </c>
      <c r="X404" s="279">
        <f>+LatAm!X88^-Parameters!$B$10*1000</f>
        <v>29.847238072170846</v>
      </c>
      <c r="Y404" s="279">
        <f>+LatAm!Y88^-Parameters!$B$10*1000</f>
        <v>28.887022399302353</v>
      </c>
      <c r="Z404" s="279">
        <f>+LatAm!Z88^-Parameters!$B$10*1000</f>
        <v>28.492856081887762</v>
      </c>
      <c r="AA404" s="279">
        <f>+LatAm!AA88^-Parameters!$B$10*1000</f>
        <v>28.517256258364153</v>
      </c>
      <c r="AB404" s="279">
        <f>+LatAm!AB88^-Parameters!$B$10*1000</f>
        <v>28.96434369012302</v>
      </c>
      <c r="AC404" s="279">
        <f>+LatAm!AC88^-Parameters!$B$10*1000</f>
        <v>28.361654320739767</v>
      </c>
      <c r="AD404" s="279">
        <f>+LatAm!AD88^-Parameters!$B$10*1000</f>
        <v>27.858525065700178</v>
      </c>
      <c r="AE404" s="279">
        <f>+LatAm!AE88^-Parameters!$B$10*1000</f>
        <v>27.809861093143027</v>
      </c>
      <c r="AF404" s="279">
        <f>+LatAm!AF88^-Parameters!$B$10*1000</f>
        <v>30.995672908661206</v>
      </c>
      <c r="AG404" s="414"/>
      <c r="AH404" s="414"/>
      <c r="AI404" s="414"/>
      <c r="AJ404" s="414"/>
      <c r="AK404" s="414"/>
      <c r="AL404" s="414"/>
      <c r="AM404" s="414"/>
      <c r="AN404" s="414"/>
      <c r="AO404" s="414"/>
      <c r="AP404" s="414"/>
      <c r="AQ404" s="414"/>
      <c r="AR404" s="414"/>
      <c r="AS404" s="414"/>
      <c r="AT404" s="414"/>
      <c r="AU404" s="414"/>
      <c r="AV404" s="414"/>
      <c r="AW404" s="414"/>
      <c r="AX404" s="414"/>
      <c r="AY404" s="414"/>
      <c r="AZ404" s="414"/>
      <c r="BA404" s="414"/>
      <c r="BB404" s="414"/>
      <c r="BC404" s="414"/>
      <c r="BD404" s="414"/>
      <c r="BE404" s="414"/>
      <c r="BF404" s="414"/>
      <c r="BG404" s="414"/>
      <c r="BH404" s="414"/>
      <c r="BI404" s="414"/>
    </row>
    <row r="405" spans="1:61" ht="15" x14ac:dyDescent="0.2">
      <c r="A405" s="278" t="s">
        <v>114</v>
      </c>
      <c r="B405" s="279">
        <f>+OHI!B88^-Parameters!$B$10*1000</f>
        <v>16.897970997988342</v>
      </c>
      <c r="C405" s="279">
        <f>+OHI!C88^-Parameters!$B$10*1000</f>
        <v>18.838066451791871</v>
      </c>
      <c r="D405" s="279">
        <f>+OHI!D88^-Parameters!$B$10*1000</f>
        <v>19.379931112164588</v>
      </c>
      <c r="E405" s="279">
        <f>+OHI!E88^-Parameters!$B$10*1000</f>
        <v>18.754911509017781</v>
      </c>
      <c r="F405" s="279">
        <f>+OHI!F88^-Parameters!$B$10*1000</f>
        <v>17.311655308374135</v>
      </c>
      <c r="G405" s="279">
        <f>+OHI!G88^-Parameters!$B$10*1000</f>
        <v>15.750628519154271</v>
      </c>
      <c r="H405" s="279">
        <f>+OHI!H88^-Parameters!$B$10*1000</f>
        <v>14.254883602461467</v>
      </c>
      <c r="I405" s="279">
        <f>+OHI!I88^-Parameters!$B$10*1000</f>
        <v>12.817104386146218</v>
      </c>
      <c r="J405" s="279">
        <f>+OHI!J88^-Parameters!$B$10*1000</f>
        <v>12.354103720978776</v>
      </c>
      <c r="K405" s="279">
        <f>+OHI!K88^-Parameters!$B$10*1000</f>
        <v>10.929979227820422</v>
      </c>
      <c r="L405" s="279">
        <f>+OHI!L88^-Parameters!$B$10*1000</f>
        <v>9.9358864723251088</v>
      </c>
      <c r="M405" s="279">
        <f>+OHI!M88^-Parameters!$B$10*1000</f>
        <v>9.8215802770594962</v>
      </c>
      <c r="N405" s="279">
        <f>+OHI!N88^-Parameters!$B$10*1000</f>
        <v>9.2525795659237779</v>
      </c>
      <c r="O405" s="279">
        <f>+OHI!O88^-Parameters!$B$10*1000</f>
        <v>8.942752370293487</v>
      </c>
      <c r="P405" s="279">
        <f>+OHI!P88^-Parameters!$B$10*1000</f>
        <v>8.3890012398778886</v>
      </c>
      <c r="Q405" s="279">
        <f>+OHI!Q88^-Parameters!$B$10*1000</f>
        <v>7.9679921009186048</v>
      </c>
      <c r="R405" s="279">
        <f>+OHI!R88^-Parameters!$B$10*1000</f>
        <v>7.5457676899459587</v>
      </c>
      <c r="S405" s="279">
        <f>+OHI!S88^-Parameters!$B$10*1000</f>
        <v>7.1272976858215342</v>
      </c>
      <c r="T405" s="279">
        <f>+OHI!T88^-Parameters!$B$10*1000</f>
        <v>6.952159719011882</v>
      </c>
      <c r="U405" s="279">
        <f>+OHI!U88^-Parameters!$B$10*1000</f>
        <v>7.0594197862973642</v>
      </c>
      <c r="V405" s="279">
        <f>+OHI!V88^-Parameters!$B$10*1000</f>
        <v>6.5891871429683597</v>
      </c>
      <c r="W405" s="279">
        <f>+OHI!W88^-Parameters!$B$10*1000</f>
        <v>6.2951962237777011</v>
      </c>
      <c r="X405" s="279">
        <f>+OHI!X88^-Parameters!$B$10*1000</f>
        <v>6.1079820047763285</v>
      </c>
      <c r="Y405" s="279">
        <f>+OHI!Y88^-Parameters!$B$10*1000</f>
        <v>5.8963229572224645</v>
      </c>
      <c r="Z405" s="279">
        <f>+OHI!Z88^-Parameters!$B$10*1000</f>
        <v>5.700408798232889</v>
      </c>
      <c r="AA405" s="279">
        <f>+OHI!AA88^-Parameters!$B$10*1000</f>
        <v>5.6158630171799198</v>
      </c>
      <c r="AB405" s="279">
        <f>+OHI!AB88^-Parameters!$B$10*1000</f>
        <v>5.5008787321810582</v>
      </c>
      <c r="AC405" s="279">
        <f>+OHI!AC88^-Parameters!$B$10*1000</f>
        <v>5.293140763470837</v>
      </c>
      <c r="AD405" s="279">
        <f>+OHI!AD88^-Parameters!$B$10*1000</f>
        <v>5.1117146329848442</v>
      </c>
      <c r="AE405" s="279">
        <f>+OHI!AE88^-Parameters!$B$10*1000</f>
        <v>5.0329365392411205</v>
      </c>
      <c r="AF405" s="279">
        <f>+OHI!AF88^-Parameters!$B$10*1000</f>
        <v>5.3094206543092923</v>
      </c>
      <c r="AG405" s="414"/>
      <c r="AH405" s="414"/>
      <c r="AI405" s="414"/>
      <c r="AJ405" s="414"/>
      <c r="AK405" s="414"/>
      <c r="AL405" s="414"/>
      <c r="AM405" s="414"/>
      <c r="AN405" s="414"/>
      <c r="AO405" s="414"/>
      <c r="AP405" s="414"/>
      <c r="AQ405" s="414"/>
      <c r="AR405" s="414"/>
      <c r="AS405" s="414"/>
      <c r="AT405" s="414"/>
      <c r="AU405" s="414"/>
      <c r="AV405" s="414"/>
      <c r="AW405" s="414"/>
      <c r="AX405" s="414"/>
      <c r="AY405" s="414"/>
      <c r="AZ405" s="414"/>
      <c r="BA405" s="414"/>
      <c r="BB405" s="414"/>
      <c r="BC405" s="414"/>
      <c r="BD405" s="414"/>
      <c r="BE405" s="414"/>
      <c r="BF405" s="414"/>
      <c r="BG405" s="414"/>
      <c r="BH405" s="414"/>
      <c r="BI405" s="414"/>
    </row>
    <row r="406" spans="1:61" ht="15" x14ac:dyDescent="0.2">
      <c r="A406" s="278" t="s">
        <v>224</v>
      </c>
      <c r="B406" s="279">
        <f>+OthAsia!B88^-Parameters!$B$10*1000</f>
        <v>341.78677956335412</v>
      </c>
      <c r="C406" s="279">
        <f>+OthAsia!C88^-Parameters!$B$10*1000</f>
        <v>420.38060654970633</v>
      </c>
      <c r="D406" s="279">
        <f>+OthAsia!D88^-Parameters!$B$10*1000</f>
        <v>443.47409748473888</v>
      </c>
      <c r="E406" s="279">
        <f>+OthAsia!E88^-Parameters!$B$10*1000</f>
        <v>450.5630521188034</v>
      </c>
      <c r="F406" s="279">
        <f>+OthAsia!F88^-Parameters!$B$10*1000</f>
        <v>440.66421889606977</v>
      </c>
      <c r="G406" s="279">
        <f>+OthAsia!G88^-Parameters!$B$10*1000</f>
        <v>407.46272842162841</v>
      </c>
      <c r="H406" s="279">
        <f>+OthAsia!H88^-Parameters!$B$10*1000</f>
        <v>372.22492989715721</v>
      </c>
      <c r="I406" s="279">
        <f>+OthAsia!I88^-Parameters!$B$10*1000</f>
        <v>357.49023088337242</v>
      </c>
      <c r="J406" s="279">
        <f>+OthAsia!J88^-Parameters!$B$10*1000</f>
        <v>391.32391199114625</v>
      </c>
      <c r="K406" s="279">
        <f>+OthAsia!K88^-Parameters!$B$10*1000</f>
        <v>374.04917955945552</v>
      </c>
      <c r="L406" s="279">
        <f>+OthAsia!L88^-Parameters!$B$10*1000</f>
        <v>345.50579504443454</v>
      </c>
      <c r="M406" s="279">
        <f>+OthAsia!M88^-Parameters!$B$10*1000</f>
        <v>319.69484619705759</v>
      </c>
      <c r="N406" s="279">
        <f>+OthAsia!N88^-Parameters!$B$10*1000</f>
        <v>291.59515692441494</v>
      </c>
      <c r="O406" s="279">
        <f>+OthAsia!O88^-Parameters!$B$10*1000</f>
        <v>264.1987244150385</v>
      </c>
      <c r="P406" s="279">
        <f>+OthAsia!P88^-Parameters!$B$10*1000</f>
        <v>237.50782460109264</v>
      </c>
      <c r="Q406" s="279">
        <f>+OthAsia!Q88^-Parameters!$B$10*1000</f>
        <v>214.7668361468784</v>
      </c>
      <c r="R406" s="279">
        <f>+OthAsia!R88^-Parameters!$B$10*1000</f>
        <v>194.00970280597321</v>
      </c>
      <c r="S406" s="279">
        <f>+OthAsia!S88^-Parameters!$B$10*1000</f>
        <v>174.51873061898391</v>
      </c>
      <c r="T406" s="279">
        <f>+OthAsia!T88^-Parameters!$B$10*1000</f>
        <v>160.50105906806746</v>
      </c>
      <c r="U406" s="279">
        <f>+OthAsia!U88^-Parameters!$B$10*1000</f>
        <v>151.12414359967767</v>
      </c>
      <c r="V406" s="279">
        <f>+OthAsia!V88^-Parameters!$B$10*1000</f>
        <v>137.67686466780475</v>
      </c>
      <c r="W406" s="279">
        <f>+OthAsia!W88^-Parameters!$B$10*1000</f>
        <v>129.30610633014044</v>
      </c>
      <c r="X406" s="279">
        <f>+OthAsia!X88^-Parameters!$B$10*1000</f>
        <v>119.39092017818487</v>
      </c>
      <c r="Y406" s="279">
        <f>+OthAsia!Y88^-Parameters!$B$10*1000</f>
        <v>111.70908540731109</v>
      </c>
      <c r="Z406" s="279">
        <f>+OthAsia!Z88^-Parameters!$B$10*1000</f>
        <v>104.81193406424333</v>
      </c>
      <c r="AA406" s="279">
        <f>+OthAsia!AA88^-Parameters!$B$10*1000</f>
        <v>98.247557063545287</v>
      </c>
      <c r="AB406" s="279">
        <f>+OthAsia!AB88^-Parameters!$B$10*1000</f>
        <v>92.108382394130686</v>
      </c>
      <c r="AC406" s="279">
        <f>+OthAsia!AC88^-Parameters!$B$10*1000</f>
        <v>85.545937627971384</v>
      </c>
      <c r="AD406" s="279">
        <f>+OthAsia!AD88^-Parameters!$B$10*1000</f>
        <v>79.414461715175875</v>
      </c>
      <c r="AE406" s="279">
        <f>+OthAsia!AE88^-Parameters!$B$10*1000</f>
        <v>74.669483365465425</v>
      </c>
      <c r="AF406" s="279">
        <f>+OthAsia!AF88^-Parameters!$B$10*1000</f>
        <v>78.242496964659267</v>
      </c>
      <c r="AG406" s="414"/>
      <c r="AH406" s="414"/>
      <c r="AI406" s="414"/>
      <c r="AJ406" s="414"/>
      <c r="AK406" s="414"/>
      <c r="AL406" s="414"/>
      <c r="AM406" s="414"/>
      <c r="AN406" s="414"/>
      <c r="AO406" s="414"/>
      <c r="AP406" s="414"/>
      <c r="AQ406" s="414"/>
      <c r="AR406" s="414"/>
      <c r="AS406" s="414"/>
      <c r="AT406" s="414"/>
      <c r="AU406" s="414"/>
      <c r="AV406" s="414"/>
      <c r="AW406" s="414"/>
      <c r="AX406" s="414"/>
      <c r="AY406" s="414"/>
      <c r="AZ406" s="414"/>
      <c r="BA406" s="414"/>
      <c r="BB406" s="414"/>
      <c r="BC406" s="414"/>
      <c r="BD406" s="414"/>
      <c r="BE406" s="414"/>
      <c r="BF406" s="414"/>
      <c r="BG406" s="414"/>
      <c r="BH406" s="414"/>
      <c r="BI406" s="414"/>
    </row>
    <row r="407" spans="1:61" x14ac:dyDescent="0.15">
      <c r="M407" s="19"/>
    </row>
    <row r="408" spans="1:61" x14ac:dyDescent="0.15">
      <c r="A408" s="19" t="s">
        <v>1108</v>
      </c>
      <c r="B408" s="414">
        <f t="shared" ref="B408:AF408" si="188">+SUMPRODUCT(B381:B392*B395:B406)/SUM(B381:B392)</f>
        <v>566.80211227031236</v>
      </c>
      <c r="C408" s="414">
        <f t="shared" si="188"/>
        <v>546.78333493592322</v>
      </c>
      <c r="D408" s="414">
        <f t="shared" si="188"/>
        <v>550.85476055890467</v>
      </c>
      <c r="E408" s="414">
        <f t="shared" si="188"/>
        <v>552.33419788226809</v>
      </c>
      <c r="F408" s="414">
        <f t="shared" si="188"/>
        <v>540.1384968484814</v>
      </c>
      <c r="G408" s="414">
        <f t="shared" si="188"/>
        <v>505.20495970303051</v>
      </c>
      <c r="H408" s="414">
        <f t="shared" si="188"/>
        <v>463.00591142932376</v>
      </c>
      <c r="I408" s="414">
        <f t="shared" si="188"/>
        <v>441.55826319259137</v>
      </c>
      <c r="J408" s="414">
        <f t="shared" si="188"/>
        <v>429.59961813944784</v>
      </c>
      <c r="K408" s="414">
        <f t="shared" si="188"/>
        <v>395.02459132574273</v>
      </c>
      <c r="L408" s="414">
        <f t="shared" si="188"/>
        <v>365.74649932718751</v>
      </c>
      <c r="M408" s="414">
        <f t="shared" si="188"/>
        <v>335.13957842421769</v>
      </c>
      <c r="N408" s="414">
        <f t="shared" si="188"/>
        <v>305.4135402811367</v>
      </c>
      <c r="O408" s="414">
        <f t="shared" si="188"/>
        <v>272.11202325740516</v>
      </c>
      <c r="P408" s="414">
        <f t="shared" si="188"/>
        <v>239.39575759798942</v>
      </c>
      <c r="Q408" s="414">
        <f t="shared" si="188"/>
        <v>211.94137522921437</v>
      </c>
      <c r="R408" s="414">
        <f t="shared" si="188"/>
        <v>186.68320892364352</v>
      </c>
      <c r="S408" s="414">
        <f t="shared" si="188"/>
        <v>164.51514316888046</v>
      </c>
      <c r="T408" s="414">
        <f t="shared" si="188"/>
        <v>149.52481958857311</v>
      </c>
      <c r="U408" s="414">
        <f t="shared" si="188"/>
        <v>137.23182271570437</v>
      </c>
      <c r="V408" s="414">
        <f t="shared" si="188"/>
        <v>123.19075940304926</v>
      </c>
      <c r="W408" s="414">
        <f t="shared" si="188"/>
        <v>116.01185436957132</v>
      </c>
      <c r="X408" s="414">
        <f t="shared" si="188"/>
        <v>108.48676746295043</v>
      </c>
      <c r="Y408" s="414">
        <f t="shared" si="188"/>
        <v>102.12116009552422</v>
      </c>
      <c r="Z408" s="414">
        <f t="shared" si="188"/>
        <v>95.956153724721574</v>
      </c>
      <c r="AA408" s="414">
        <f t="shared" si="188"/>
        <v>90.421708262780115</v>
      </c>
      <c r="AB408" s="414">
        <f t="shared" si="188"/>
        <v>85.717820360094294</v>
      </c>
      <c r="AC408" s="414">
        <f t="shared" si="188"/>
        <v>80.93564535545228</v>
      </c>
      <c r="AD408" s="414">
        <f t="shared" si="188"/>
        <v>76.634550011559753</v>
      </c>
      <c r="AE408" s="414">
        <f t="shared" si="188"/>
        <v>73.879064258885123</v>
      </c>
      <c r="AF408" s="414">
        <f t="shared" si="188"/>
        <v>77.826957413947468</v>
      </c>
    </row>
    <row r="409" spans="1:61" x14ac:dyDescent="0.15">
      <c r="A409" s="19" t="s">
        <v>1110</v>
      </c>
      <c r="B409" s="414">
        <f t="shared" ref="B409:AF409" si="189">+STDEV(B395:B406)/AVERAGE(B395:B406)</f>
        <v>1.5811901624068094</v>
      </c>
      <c r="C409" s="414">
        <f t="shared" si="189"/>
        <v>1.3969989667867544</v>
      </c>
      <c r="D409" s="414">
        <f t="shared" si="189"/>
        <v>1.3426181106397974</v>
      </c>
      <c r="E409" s="414">
        <f t="shared" si="189"/>
        <v>1.3136840091847513</v>
      </c>
      <c r="F409" s="414">
        <f t="shared" si="189"/>
        <v>1.2985905363688983</v>
      </c>
      <c r="G409" s="414">
        <f t="shared" si="189"/>
        <v>1.3151119736832868</v>
      </c>
      <c r="H409" s="414">
        <f t="shared" si="189"/>
        <v>1.3150123284754516</v>
      </c>
      <c r="I409" s="414">
        <f t="shared" si="189"/>
        <v>1.329620360757797</v>
      </c>
      <c r="J409" s="414">
        <f t="shared" si="189"/>
        <v>1.3257716007691693</v>
      </c>
      <c r="K409" s="414">
        <f t="shared" si="189"/>
        <v>1.3043637027271344</v>
      </c>
      <c r="L409" s="414">
        <f t="shared" si="189"/>
        <v>1.3203810834664866</v>
      </c>
      <c r="M409" s="414">
        <f t="shared" si="189"/>
        <v>1.3072826191667268</v>
      </c>
      <c r="N409" s="414">
        <f t="shared" si="189"/>
        <v>1.2982547960803401</v>
      </c>
      <c r="O409" s="414">
        <f t="shared" si="189"/>
        <v>1.2921985385558008</v>
      </c>
      <c r="P409" s="414">
        <f t="shared" si="189"/>
        <v>1.2914291743848827</v>
      </c>
      <c r="Q409" s="414">
        <f t="shared" si="189"/>
        <v>1.2829009382347729</v>
      </c>
      <c r="R409" s="414">
        <f t="shared" si="189"/>
        <v>1.2787930441117652</v>
      </c>
      <c r="S409" s="414">
        <f t="shared" si="189"/>
        <v>1.2763052575932303</v>
      </c>
      <c r="T409" s="414">
        <f t="shared" si="189"/>
        <v>1.2701135729059778</v>
      </c>
      <c r="U409" s="414">
        <f t="shared" si="189"/>
        <v>1.2427648720645343</v>
      </c>
      <c r="V409" s="414">
        <f t="shared" si="189"/>
        <v>1.2371650476883242</v>
      </c>
      <c r="W409" s="414">
        <f t="shared" si="189"/>
        <v>1.2535722364742841</v>
      </c>
      <c r="X409" s="414">
        <f t="shared" si="189"/>
        <v>1.2480381263455633</v>
      </c>
      <c r="Y409" s="414">
        <f t="shared" si="189"/>
        <v>1.2469175014130209</v>
      </c>
      <c r="Z409" s="414">
        <f t="shared" si="189"/>
        <v>1.2455137165267811</v>
      </c>
      <c r="AA409" s="414">
        <f t="shared" si="189"/>
        <v>1.2435571979821658</v>
      </c>
      <c r="AB409" s="414">
        <f t="shared" si="189"/>
        <v>1.2529625368589123</v>
      </c>
      <c r="AC409" s="414">
        <f t="shared" si="189"/>
        <v>1.2541304016449288</v>
      </c>
      <c r="AD409" s="414">
        <f t="shared" si="189"/>
        <v>1.258074588423856</v>
      </c>
      <c r="AE409" s="414">
        <f t="shared" si="189"/>
        <v>1.259777380733363</v>
      </c>
      <c r="AF409" s="414">
        <f t="shared" si="189"/>
        <v>1.2504318867084654</v>
      </c>
    </row>
    <row r="410" spans="1:61" x14ac:dyDescent="0.15">
      <c r="A410" s="19" t="s">
        <v>1111</v>
      </c>
      <c r="B410" s="414">
        <f t="shared" ref="B410:AF410" si="190">+MAX(B395:B406)/MIN(B395:B406)</f>
        <v>207.90579771611507</v>
      </c>
      <c r="C410" s="414">
        <f t="shared" si="190"/>
        <v>158.63113655703069</v>
      </c>
      <c r="D410" s="414">
        <f t="shared" si="190"/>
        <v>179.25270284745926</v>
      </c>
      <c r="E410" s="414">
        <f t="shared" si="190"/>
        <v>198.98568056167929</v>
      </c>
      <c r="F410" s="414">
        <f t="shared" si="190"/>
        <v>209.29843714713661</v>
      </c>
      <c r="G410" s="414">
        <f t="shared" si="190"/>
        <v>210.3698875918802</v>
      </c>
      <c r="H410" s="414">
        <f t="shared" si="190"/>
        <v>205.38121560371553</v>
      </c>
      <c r="I410" s="414">
        <f t="shared" si="190"/>
        <v>212.99857556629391</v>
      </c>
      <c r="J410" s="414">
        <f t="shared" si="190"/>
        <v>220.44466279149782</v>
      </c>
      <c r="K410" s="414">
        <f t="shared" si="190"/>
        <v>209.9153822299466</v>
      </c>
      <c r="L410" s="414">
        <f t="shared" si="190"/>
        <v>206.88896034240324</v>
      </c>
      <c r="M410" s="414">
        <f t="shared" si="190"/>
        <v>183.77890135700969</v>
      </c>
      <c r="N410" s="414">
        <f t="shared" si="190"/>
        <v>164.77066688296404</v>
      </c>
      <c r="O410" s="414">
        <f t="shared" si="190"/>
        <v>151.17265656198489</v>
      </c>
      <c r="P410" s="414">
        <f t="shared" si="190"/>
        <v>137.96472318154815</v>
      </c>
      <c r="Q410" s="414">
        <f t="shared" si="190"/>
        <v>125.17977815106916</v>
      </c>
      <c r="R410" s="414">
        <f t="shared" si="190"/>
        <v>112.56657278626042</v>
      </c>
      <c r="S410" s="414">
        <f t="shared" si="190"/>
        <v>101.34828853179933</v>
      </c>
      <c r="T410" s="414">
        <f t="shared" si="190"/>
        <v>88.707440587099498</v>
      </c>
      <c r="U410" s="414">
        <f t="shared" si="190"/>
        <v>74.959030182105749</v>
      </c>
      <c r="V410" s="414">
        <f t="shared" si="190"/>
        <v>71.641744830902653</v>
      </c>
      <c r="W410" s="414">
        <f t="shared" si="190"/>
        <v>69.003579255325008</v>
      </c>
      <c r="X410" s="414">
        <f t="shared" si="190"/>
        <v>65.434052955909365</v>
      </c>
      <c r="Y410" s="414">
        <f t="shared" si="190"/>
        <v>63.729659077964115</v>
      </c>
      <c r="Z410" s="414">
        <f t="shared" si="190"/>
        <v>60.755018374507841</v>
      </c>
      <c r="AA410" s="414">
        <f t="shared" si="190"/>
        <v>59.276376408537047</v>
      </c>
      <c r="AB410" s="414">
        <f t="shared" si="190"/>
        <v>57.956781503043196</v>
      </c>
      <c r="AC410" s="414">
        <f t="shared" si="190"/>
        <v>56.299106174443729</v>
      </c>
      <c r="AD410" s="414">
        <f t="shared" si="190"/>
        <v>54.073914628244573</v>
      </c>
      <c r="AE410" s="414">
        <f t="shared" si="190"/>
        <v>51.603528130882289</v>
      </c>
      <c r="AF410" s="414">
        <f t="shared" si="190"/>
        <v>50.018867240580548</v>
      </c>
    </row>
    <row r="411" spans="1:61" x14ac:dyDescent="0.15">
      <c r="A411" s="19" t="s">
        <v>1113</v>
      </c>
      <c r="B411" s="414">
        <f t="shared" ref="B411:AF411" si="191">+AVERAGE(B395:B406)</f>
        <v>285.81924012155361</v>
      </c>
      <c r="C411" s="414">
        <f t="shared" si="191"/>
        <v>288.40197467489196</v>
      </c>
      <c r="D411" s="414">
        <f t="shared" si="191"/>
        <v>294.55581418425982</v>
      </c>
      <c r="E411" s="414">
        <f t="shared" si="191"/>
        <v>297.69148035699396</v>
      </c>
      <c r="F411" s="414">
        <f t="shared" si="191"/>
        <v>291.11802293976569</v>
      </c>
      <c r="G411" s="414">
        <f t="shared" si="191"/>
        <v>268.9900223416779</v>
      </c>
      <c r="H411" s="414">
        <f t="shared" si="191"/>
        <v>245.66483296093517</v>
      </c>
      <c r="I411" s="414">
        <f t="shared" si="191"/>
        <v>232.2344634160813</v>
      </c>
      <c r="J411" s="414">
        <f t="shared" si="191"/>
        <v>223.50333468605433</v>
      </c>
      <c r="K411" s="414">
        <f t="shared" si="191"/>
        <v>204.82109985193924</v>
      </c>
      <c r="L411" s="414">
        <f t="shared" si="191"/>
        <v>188.4046862228663</v>
      </c>
      <c r="M411" s="414">
        <f t="shared" si="191"/>
        <v>174.55810591779789</v>
      </c>
      <c r="N411" s="414">
        <f t="shared" si="191"/>
        <v>160.74942270317024</v>
      </c>
      <c r="O411" s="414">
        <f t="shared" si="191"/>
        <v>144.31399243635681</v>
      </c>
      <c r="P411" s="414">
        <f t="shared" si="191"/>
        <v>127.64071484680501</v>
      </c>
      <c r="Q411" s="414">
        <f t="shared" si="191"/>
        <v>114.05660869449616</v>
      </c>
      <c r="R411" s="414">
        <f t="shared" si="191"/>
        <v>101.27883399227544</v>
      </c>
      <c r="S411" s="414">
        <f t="shared" si="191"/>
        <v>90.028137528845875</v>
      </c>
      <c r="T411" s="414">
        <f t="shared" si="191"/>
        <v>82.58003486542151</v>
      </c>
      <c r="U411" s="414">
        <f t="shared" si="191"/>
        <v>77.135992383148064</v>
      </c>
      <c r="V411" s="414">
        <f t="shared" si="191"/>
        <v>69.795133959808496</v>
      </c>
      <c r="W411" s="414">
        <f t="shared" si="191"/>
        <v>65.690674426629471</v>
      </c>
      <c r="X411" s="414">
        <f t="shared" si="191"/>
        <v>61.72053624533671</v>
      </c>
      <c r="Y411" s="414">
        <f t="shared" si="191"/>
        <v>58.32224265816324</v>
      </c>
      <c r="Z411" s="414">
        <f t="shared" si="191"/>
        <v>55.023595762646444</v>
      </c>
      <c r="AA411" s="414">
        <f t="shared" si="191"/>
        <v>52.131204795304029</v>
      </c>
      <c r="AB411" s="414">
        <f t="shared" si="191"/>
        <v>49.51878020536072</v>
      </c>
      <c r="AC411" s="414">
        <f t="shared" si="191"/>
        <v>46.997782860065996</v>
      </c>
      <c r="AD411" s="414">
        <f t="shared" si="191"/>
        <v>44.696451783485308</v>
      </c>
      <c r="AE411" s="414">
        <f t="shared" si="191"/>
        <v>43.27477128081555</v>
      </c>
      <c r="AF411" s="414">
        <f t="shared" si="191"/>
        <v>45.707766044809453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defaultGridColor="0" colorId="23" zoomScale="85" zoomScaleNormal="85" workbookViewId="0">
      <pane xSplit="1" ySplit="4" topLeftCell="O53" activePane="bottomRight" state="frozen"/>
      <selection pane="topRight" activeCell="B1" sqref="B1"/>
      <selection pane="bottomLeft" activeCell="A4" sqref="A4"/>
      <selection pane="bottomRight" activeCell="B64" sqref="B64:AH64"/>
    </sheetView>
  </sheetViews>
  <sheetFormatPr baseColWidth="10" defaultColWidth="11.6640625" defaultRowHeight="18" customHeight="1" x14ac:dyDescent="0.2"/>
  <cols>
    <col min="1" max="1" width="47.6640625" style="21" customWidth="1"/>
    <col min="2" max="2" width="13" style="29" customWidth="1"/>
    <col min="3" max="3" width="12.5" style="23" customWidth="1"/>
    <col min="4" max="4" width="13" style="23" customWidth="1"/>
    <col min="5" max="7" width="12" style="23" customWidth="1"/>
    <col min="8" max="8" width="11.1640625" style="23" customWidth="1"/>
    <col min="9" max="12" width="8.83203125" style="23" customWidth="1"/>
    <col min="13" max="13" width="13.1640625" style="37" bestFit="1" customWidth="1"/>
    <col min="14" max="61" width="11.6640625" style="23"/>
    <col min="62" max="62" width="12" style="23" bestFit="1" customWidth="1"/>
    <col min="63" max="16384" width="11.6640625" style="23"/>
  </cols>
  <sheetData>
    <row r="1" spans="1:34" ht="18" customHeight="1" x14ac:dyDescent="0.2">
      <c r="A1" s="21" t="s">
        <v>104</v>
      </c>
      <c r="B1" s="22"/>
    </row>
    <row r="2" spans="1:34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</row>
    <row r="3" spans="1:34" s="26" customFormat="1" ht="18" customHeight="1" x14ac:dyDescent="0.2">
      <c r="A3" s="27"/>
      <c r="B3" s="25"/>
      <c r="M3" s="37"/>
    </row>
    <row r="4" spans="1:34" s="26" customFormat="1" ht="18" customHeight="1" x14ac:dyDescent="0.2">
      <c r="A4" s="27"/>
      <c r="B4" s="25">
        <v>1990</v>
      </c>
      <c r="C4" s="26">
        <f>B4+1</f>
        <v>1991</v>
      </c>
      <c r="D4" s="26">
        <f t="shared" ref="D4:AU4" si="0">C4+1</f>
        <v>1992</v>
      </c>
      <c r="E4" s="26">
        <f t="shared" si="0"/>
        <v>1993</v>
      </c>
      <c r="F4" s="26">
        <f t="shared" si="0"/>
        <v>1994</v>
      </c>
      <c r="G4" s="26">
        <f t="shared" si="0"/>
        <v>1995</v>
      </c>
      <c r="H4" s="26">
        <f t="shared" si="0"/>
        <v>1996</v>
      </c>
      <c r="I4" s="26">
        <f t="shared" si="0"/>
        <v>1997</v>
      </c>
      <c r="J4" s="26">
        <f t="shared" si="0"/>
        <v>1998</v>
      </c>
      <c r="K4" s="26">
        <f t="shared" si="0"/>
        <v>1999</v>
      </c>
      <c r="L4" s="26">
        <f t="shared" si="0"/>
        <v>2000</v>
      </c>
      <c r="M4" s="26">
        <f t="shared" si="0"/>
        <v>2001</v>
      </c>
      <c r="N4" s="26">
        <f t="shared" si="0"/>
        <v>2002</v>
      </c>
      <c r="O4" s="26">
        <f t="shared" si="0"/>
        <v>2003</v>
      </c>
      <c r="P4" s="26">
        <f t="shared" si="0"/>
        <v>2004</v>
      </c>
      <c r="Q4" s="26">
        <f t="shared" si="0"/>
        <v>2005</v>
      </c>
      <c r="R4" s="26">
        <f t="shared" si="0"/>
        <v>2006</v>
      </c>
      <c r="S4" s="26">
        <f t="shared" si="0"/>
        <v>2007</v>
      </c>
      <c r="T4" s="26">
        <f t="shared" si="0"/>
        <v>2008</v>
      </c>
      <c r="U4" s="26">
        <f t="shared" si="0"/>
        <v>2009</v>
      </c>
      <c r="V4" s="26">
        <f t="shared" si="0"/>
        <v>2010</v>
      </c>
      <c r="W4" s="26">
        <f t="shared" si="0"/>
        <v>2011</v>
      </c>
      <c r="X4" s="26">
        <f t="shared" si="0"/>
        <v>2012</v>
      </c>
      <c r="Y4" s="26">
        <f t="shared" si="0"/>
        <v>2013</v>
      </c>
      <c r="Z4" s="26">
        <f t="shared" si="0"/>
        <v>2014</v>
      </c>
      <c r="AA4" s="26">
        <f t="shared" si="0"/>
        <v>2015</v>
      </c>
      <c r="AB4" s="26">
        <f t="shared" si="0"/>
        <v>2016</v>
      </c>
      <c r="AC4" s="26">
        <f t="shared" si="0"/>
        <v>2017</v>
      </c>
      <c r="AD4" s="26">
        <f t="shared" si="0"/>
        <v>2018</v>
      </c>
      <c r="AE4" s="26">
        <f t="shared" si="0"/>
        <v>2019</v>
      </c>
      <c r="AF4" s="26">
        <f t="shared" si="0"/>
        <v>2020</v>
      </c>
      <c r="AG4" s="26">
        <f t="shared" si="0"/>
        <v>2021</v>
      </c>
      <c r="AH4" s="26">
        <f t="shared" si="0"/>
        <v>2022</v>
      </c>
    </row>
    <row r="6" spans="1:34" ht="18" customHeight="1" x14ac:dyDescent="0.2">
      <c r="A6" s="597" t="s">
        <v>77</v>
      </c>
    </row>
    <row r="7" spans="1:34" ht="18" customHeight="1" x14ac:dyDescent="0.2">
      <c r="A7" s="21" t="s">
        <v>112</v>
      </c>
      <c r="B7" s="29">
        <f>+Parameters!F35</f>
        <v>0.3</v>
      </c>
    </row>
    <row r="8" spans="1:34" ht="18" customHeight="1" x14ac:dyDescent="0.2">
      <c r="A8" s="21" t="s">
        <v>108</v>
      </c>
      <c r="B8" s="31">
        <f>+Parameters!F36</f>
        <v>0.1</v>
      </c>
    </row>
    <row r="9" spans="1:34" ht="18" customHeight="1" x14ac:dyDescent="0.2">
      <c r="A9" s="23" t="s">
        <v>49</v>
      </c>
      <c r="B9" s="29">
        <f>Parameters!F37</f>
        <v>12.397900201983999</v>
      </c>
    </row>
    <row r="10" spans="1:34" ht="18" customHeight="1" x14ac:dyDescent="0.2">
      <c r="A10" s="23" t="str">
        <f>+Parameters!A38</f>
        <v>Initial real interest rate (percent per decade annualized)</v>
      </c>
      <c r="B10" s="29">
        <f>+Parameters!F38</f>
        <v>6.2765473111546274E-2</v>
      </c>
    </row>
    <row r="11" spans="1:34" ht="18" customHeight="1" x14ac:dyDescent="0.2">
      <c r="A11" s="23" t="s">
        <v>38</v>
      </c>
      <c r="B11" s="29">
        <f>+Parameters!F39</f>
        <v>22.851099741812224</v>
      </c>
    </row>
    <row r="12" spans="1:34" ht="18" customHeight="1" x14ac:dyDescent="0.2">
      <c r="A12" s="23" t="s">
        <v>162</v>
      </c>
      <c r="B12" s="29">
        <f>+Parameters!F40</f>
        <v>11.347695356481591</v>
      </c>
    </row>
    <row r="13" spans="1:34" ht="18" customHeight="1" x14ac:dyDescent="0.2">
      <c r="A13" s="597" t="s">
        <v>117</v>
      </c>
    </row>
    <row r="14" spans="1:34" ht="18" customHeight="1" x14ac:dyDescent="0.2">
      <c r="A14" s="21" t="s">
        <v>118</v>
      </c>
      <c r="B14" s="23">
        <f>+$B$15</f>
        <v>1.4999999999999999E-2</v>
      </c>
      <c r="C14" s="23">
        <f t="shared" ref="C14:AH14" si="1">+B14*(1-$B$16)</f>
        <v>1.4999999999999999E-2</v>
      </c>
      <c r="D14" s="23">
        <f t="shared" si="1"/>
        <v>1.4999999999999999E-2</v>
      </c>
      <c r="E14" s="23">
        <f t="shared" si="1"/>
        <v>1.4999999999999999E-2</v>
      </c>
      <c r="F14" s="23">
        <f t="shared" si="1"/>
        <v>1.4999999999999999E-2</v>
      </c>
      <c r="G14" s="23">
        <f t="shared" si="1"/>
        <v>1.4999999999999999E-2</v>
      </c>
      <c r="H14" s="23">
        <f t="shared" si="1"/>
        <v>1.4999999999999999E-2</v>
      </c>
      <c r="I14" s="23">
        <f t="shared" si="1"/>
        <v>1.4999999999999999E-2</v>
      </c>
      <c r="J14" s="23">
        <f t="shared" si="1"/>
        <v>1.4999999999999999E-2</v>
      </c>
      <c r="K14" s="23">
        <f t="shared" si="1"/>
        <v>1.4999999999999999E-2</v>
      </c>
      <c r="L14" s="23">
        <f t="shared" si="1"/>
        <v>1.4999999999999999E-2</v>
      </c>
      <c r="M14" s="37">
        <f t="shared" si="1"/>
        <v>1.4999999999999999E-2</v>
      </c>
      <c r="N14" s="23">
        <f t="shared" si="1"/>
        <v>1.4999999999999999E-2</v>
      </c>
      <c r="O14" s="23">
        <f t="shared" si="1"/>
        <v>1.4999999999999999E-2</v>
      </c>
      <c r="P14" s="23">
        <f t="shared" si="1"/>
        <v>1.4999999999999999E-2</v>
      </c>
      <c r="Q14" s="23">
        <f t="shared" si="1"/>
        <v>1.4999999999999999E-2</v>
      </c>
      <c r="R14" s="23">
        <f t="shared" si="1"/>
        <v>1.4999999999999999E-2</v>
      </c>
      <c r="S14" s="23">
        <f t="shared" si="1"/>
        <v>1.4999999999999999E-2</v>
      </c>
      <c r="T14" s="23">
        <f t="shared" si="1"/>
        <v>1.4999999999999999E-2</v>
      </c>
      <c r="U14" s="23">
        <f t="shared" si="1"/>
        <v>1.4999999999999999E-2</v>
      </c>
      <c r="V14" s="23">
        <f t="shared" si="1"/>
        <v>1.4999999999999999E-2</v>
      </c>
      <c r="W14" s="23">
        <f t="shared" si="1"/>
        <v>1.4999999999999999E-2</v>
      </c>
      <c r="X14" s="23">
        <f t="shared" si="1"/>
        <v>1.4999999999999999E-2</v>
      </c>
      <c r="Y14" s="23">
        <f t="shared" si="1"/>
        <v>1.4999999999999999E-2</v>
      </c>
      <c r="Z14" s="23">
        <f t="shared" si="1"/>
        <v>1.4999999999999999E-2</v>
      </c>
      <c r="AA14" s="23">
        <f t="shared" si="1"/>
        <v>1.4999999999999999E-2</v>
      </c>
      <c r="AB14" s="23">
        <f t="shared" si="1"/>
        <v>1.4999999999999999E-2</v>
      </c>
      <c r="AC14" s="23">
        <f t="shared" si="1"/>
        <v>1.4999999999999999E-2</v>
      </c>
      <c r="AD14" s="23">
        <f t="shared" si="1"/>
        <v>1.4999999999999999E-2</v>
      </c>
      <c r="AE14" s="23">
        <f t="shared" si="1"/>
        <v>1.4999999999999999E-2</v>
      </c>
      <c r="AF14" s="23">
        <f t="shared" si="1"/>
        <v>1.4999999999999999E-2</v>
      </c>
      <c r="AG14" s="23">
        <f t="shared" si="1"/>
        <v>1.4999999999999999E-2</v>
      </c>
      <c r="AH14" s="23">
        <f t="shared" si="1"/>
        <v>1.4999999999999999E-2</v>
      </c>
    </row>
    <row r="15" spans="1:34" ht="18" customHeight="1" x14ac:dyDescent="0.2">
      <c r="A15" s="21" t="s">
        <v>172</v>
      </c>
      <c r="B15" s="29">
        <f>+Parameters!F43</f>
        <v>1.4999999999999999E-2</v>
      </c>
    </row>
    <row r="16" spans="1:34" ht="18" customHeight="1" x14ac:dyDescent="0.2">
      <c r="A16" s="23" t="s">
        <v>95</v>
      </c>
      <c r="B16" s="23">
        <f>+Parameters!C44</f>
        <v>0</v>
      </c>
    </row>
    <row r="17" spans="1:62" s="552" customFormat="1" ht="18" customHeight="1" x14ac:dyDescent="0.2">
      <c r="A17" s="598" t="s">
        <v>119</v>
      </c>
      <c r="B17" s="591">
        <v>1</v>
      </c>
      <c r="C17" s="552">
        <f t="shared" ref="C17:AH17" si="2">B17/(1+B14)^10</f>
        <v>0.86166723172218462</v>
      </c>
      <c r="D17" s="552">
        <f t="shared" si="2"/>
        <v>0.74247041822377302</v>
      </c>
      <c r="E17" s="552">
        <f t="shared" si="2"/>
        <v>0.63976242990649113</v>
      </c>
      <c r="F17" s="552">
        <f t="shared" si="2"/>
        <v>0.55126232193738434</v>
      </c>
      <c r="G17" s="552">
        <f t="shared" si="2"/>
        <v>0.4750046788965297</v>
      </c>
      <c r="H17" s="552">
        <f t="shared" si="2"/>
        <v>0.40929596671985796</v>
      </c>
      <c r="I17" s="552">
        <f t="shared" si="2"/>
        <v>0.35267692259855543</v>
      </c>
      <c r="J17" s="552">
        <f t="shared" si="2"/>
        <v>0.30389014758779642</v>
      </c>
      <c r="K17" s="552">
        <f t="shared" si="2"/>
        <v>0.26185218221962264</v>
      </c>
      <c r="L17" s="552">
        <f t="shared" si="2"/>
        <v>0.2256294449735953</v>
      </c>
      <c r="M17" s="552">
        <f t="shared" si="2"/>
        <v>0.19441749924541085</v>
      </c>
      <c r="N17" s="552">
        <f t="shared" si="2"/>
        <v>0.16752318837314309</v>
      </c>
      <c r="O17" s="552">
        <f t="shared" si="2"/>
        <v>0.14434924197476026</v>
      </c>
      <c r="P17" s="552">
        <f t="shared" si="2"/>
        <v>0.12438101173358745</v>
      </c>
      <c r="Q17" s="552">
        <f t="shared" si="2"/>
        <v>0.10717504205928487</v>
      </c>
      <c r="R17" s="552">
        <f t="shared" si="2"/>
        <v>9.234922180093269E-2</v>
      </c>
      <c r="S17" s="552">
        <f t="shared" si="2"/>
        <v>7.9574298300907689E-2</v>
      </c>
      <c r="T17" s="552">
        <f t="shared" si="2"/>
        <v>6.8566565333178467E-2</v>
      </c>
      <c r="U17" s="552">
        <f t="shared" si="2"/>
        <v>5.9081562539338203E-2</v>
      </c>
      <c r="V17" s="552">
        <f t="shared" si="2"/>
        <v>5.0908646439092674E-2</v>
      </c>
      <c r="W17" s="552">
        <f t="shared" si="2"/>
        <v>4.386631244789644E-2</v>
      </c>
      <c r="X17" s="552">
        <f t="shared" si="2"/>
        <v>3.7798164012839336E-2</v>
      </c>
      <c r="Y17" s="552">
        <f t="shared" si="2"/>
        <v>3.2569439349124374E-2</v>
      </c>
      <c r="Z17" s="552">
        <f t="shared" si="2"/>
        <v>2.8064018642703591E-2</v>
      </c>
      <c r="AA17" s="552">
        <f t="shared" si="2"/>
        <v>2.4181845254858184E-2</v>
      </c>
      <c r="AB17" s="552">
        <f t="shared" si="2"/>
        <v>2.0836703658687897E-2</v>
      </c>
      <c r="AC17" s="552">
        <f t="shared" si="2"/>
        <v>1.7954304759797118E-2</v>
      </c>
      <c r="AD17" s="552">
        <f t="shared" si="2"/>
        <v>1.5470636079870826E-2</v>
      </c>
      <c r="AE17" s="552">
        <f t="shared" si="2"/>
        <v>1.3330540163923646E-2</v>
      </c>
      <c r="AF17" s="552">
        <f t="shared" si="2"/>
        <v>1.1486489640409485E-2</v>
      </c>
      <c r="AG17" s="552">
        <f t="shared" si="2"/>
        <v>9.8975317306571921E-3</v>
      </c>
      <c r="AH17" s="552">
        <f t="shared" si="2"/>
        <v>8.5283787672378666E-3</v>
      </c>
    </row>
    <row r="18" spans="1:62" ht="18" customHeight="1" x14ac:dyDescent="0.2">
      <c r="A18" s="21" t="s">
        <v>125</v>
      </c>
      <c r="B18" s="29">
        <f>+Parameters!F45</f>
        <v>1.5</v>
      </c>
    </row>
    <row r="19" spans="1:62" ht="18" customHeight="1" x14ac:dyDescent="0.2">
      <c r="A19" s="599" t="s">
        <v>42</v>
      </c>
      <c r="C19" s="23">
        <f t="shared" ref="C19:AH19" si="3">+LN(C20/B20)/10</f>
        <v>1.0565228382662587E-2</v>
      </c>
      <c r="D19" s="23">
        <f t="shared" si="3"/>
        <v>9.7796395350655645E-3</v>
      </c>
      <c r="E19" s="23">
        <f t="shared" si="3"/>
        <v>9.0688093505680717E-3</v>
      </c>
      <c r="F19" s="23">
        <f t="shared" si="3"/>
        <v>8.4256236017652992E-3</v>
      </c>
      <c r="G19" s="23">
        <f t="shared" si="3"/>
        <v>7.843645069501106E-3</v>
      </c>
      <c r="H19" s="23">
        <f t="shared" si="3"/>
        <v>7.3170491170148023E-3</v>
      </c>
      <c r="I19" s="23">
        <f t="shared" si="3"/>
        <v>6.8405653950189037E-3</v>
      </c>
      <c r="J19" s="23">
        <f t="shared" si="3"/>
        <v>6.4094250942719755E-3</v>
      </c>
      <c r="K19" s="23">
        <f t="shared" si="3"/>
        <v>6.0193132177328527E-3</v>
      </c>
      <c r="L19" s="23">
        <f t="shared" si="3"/>
        <v>5.6663253946200561E-3</v>
      </c>
      <c r="M19" s="37">
        <f t="shared" si="3"/>
        <v>5.3469288041565494E-3</v>
      </c>
      <c r="N19" s="23">
        <f t="shared" si="3"/>
        <v>5.0579268179120531E-3</v>
      </c>
      <c r="O19" s="23">
        <f t="shared" si="3"/>
        <v>4.7964270068713002E-3</v>
      </c>
      <c r="P19" s="23">
        <f t="shared" si="3"/>
        <v>4.5598121930323001E-3</v>
      </c>
      <c r="Q19" s="23">
        <f t="shared" si="3"/>
        <v>4.345714255809173E-3</v>
      </c>
      <c r="R19" s="23">
        <f t="shared" si="3"/>
        <v>4.1519904310853735E-3</v>
      </c>
      <c r="S19" s="23">
        <f t="shared" si="3"/>
        <v>3.976701865710244E-3</v>
      </c>
      <c r="T19" s="23">
        <f t="shared" si="3"/>
        <v>3.8180942128049717E-3</v>
      </c>
      <c r="U19" s="23">
        <f t="shared" si="3"/>
        <v>3.6745800736694223E-3</v>
      </c>
      <c r="V19" s="23">
        <f t="shared" si="3"/>
        <v>3.5447231105623588E-3</v>
      </c>
      <c r="W19" s="23">
        <f t="shared" si="3"/>
        <v>3.4272236713505711E-3</v>
      </c>
      <c r="X19" s="23">
        <f t="shared" si="3"/>
        <v>3.3209057821535172E-3</v>
      </c>
      <c r="Y19" s="23">
        <f t="shared" si="3"/>
        <v>3.2247053778014317E-3</v>
      </c>
      <c r="Z19" s="23">
        <f t="shared" si="3"/>
        <v>3.1376596523134104E-3</v>
      </c>
      <c r="AA19" s="23">
        <f t="shared" si="3"/>
        <v>3.058897422811826E-3</v>
      </c>
      <c r="AB19" s="23">
        <f t="shared" si="3"/>
        <v>2.9876304104308323E-3</v>
      </c>
      <c r="AC19" s="23">
        <f t="shared" si="3"/>
        <v>2.9231453509568793E-3</v>
      </c>
      <c r="AD19" s="23">
        <f t="shared" si="3"/>
        <v>2.8647968562405864E-3</v>
      </c>
      <c r="AE19" s="23">
        <f t="shared" si="3"/>
        <v>2.8120009549351976E-3</v>
      </c>
      <c r="AF19" s="23">
        <f t="shared" si="3"/>
        <v>2.7642292479151277E-3</v>
      </c>
      <c r="AG19" s="23">
        <f t="shared" si="3"/>
        <v>2.7210036198799725E-3</v>
      </c>
      <c r="AH19" s="23">
        <f t="shared" si="3"/>
        <v>2.6818914542156135E-3</v>
      </c>
    </row>
    <row r="20" spans="1:62" s="37" customFormat="1" ht="18" customHeight="1" x14ac:dyDescent="0.2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4">+F20*EXP(G22*10)</f>
        <v>17.918686921868161</v>
      </c>
      <c r="H20" s="37">
        <f t="shared" si="4"/>
        <v>19.278965316446531</v>
      </c>
      <c r="I20" s="37">
        <f t="shared" si="4"/>
        <v>20.643908242715053</v>
      </c>
      <c r="J20" s="37">
        <f t="shared" si="4"/>
        <v>22.010388060354106</v>
      </c>
      <c r="K20" s="37">
        <f t="shared" si="4"/>
        <v>23.375948658057251</v>
      </c>
      <c r="L20" s="37">
        <f t="shared" si="4"/>
        <v>24.738751790499059</v>
      </c>
      <c r="M20" s="37">
        <f t="shared" si="4"/>
        <v>26.09751765080463</v>
      </c>
      <c r="N20" s="37">
        <f t="shared" si="4"/>
        <v>27.451463147723469</v>
      </c>
      <c r="O20" s="37">
        <f t="shared" si="4"/>
        <v>28.800240531313538</v>
      </c>
      <c r="P20" s="37">
        <f t="shared" si="4"/>
        <v>30.143878291588365</v>
      </c>
      <c r="Q20" s="37">
        <f t="shared" si="4"/>
        <v>31.482725650975567</v>
      </c>
      <c r="R20" s="37">
        <f t="shared" si="4"/>
        <v>32.817401481769615</v>
      </c>
      <c r="S20" s="37">
        <f t="shared" si="4"/>
        <v>34.148748095159348</v>
      </c>
      <c r="T20" s="37">
        <f t="shared" si="4"/>
        <v>35.477790056236046</v>
      </c>
      <c r="U20" s="37">
        <f t="shared" si="4"/>
        <v>36.805697965566665</v>
      </c>
      <c r="V20" s="37">
        <f t="shared" si="4"/>
        <v>38.133756998465188</v>
      </c>
      <c r="W20" s="37">
        <f t="shared" si="4"/>
        <v>39.463339895042537</v>
      </c>
      <c r="X20" s="37">
        <f t="shared" si="4"/>
        <v>40.795884035994845</v>
      </c>
      <c r="Y20" s="37">
        <f t="shared" si="4"/>
        <v>42.132872211124621</v>
      </c>
      <c r="Z20" s="37">
        <f t="shared" si="4"/>
        <v>43.475816681690496</v>
      </c>
      <c r="AA20" s="37">
        <f t="shared" si="4"/>
        <v>44.826246147327517</v>
      </c>
      <c r="AB20" s="37">
        <f t="shared" si="4"/>
        <v>46.185695248337403</v>
      </c>
      <c r="AC20" s="37">
        <f t="shared" si="4"/>
        <v>47.555696260672882</v>
      </c>
      <c r="AD20" s="37">
        <f t="shared" si="4"/>
        <v>48.937772670969338</v>
      </c>
      <c r="AE20" s="37">
        <f t="shared" si="4"/>
        <v>50.333434350351439</v>
      </c>
      <c r="AF20" s="37">
        <f t="shared" si="4"/>
        <v>51.74417407693398</v>
      </c>
      <c r="AG20" s="37">
        <f t="shared" si="4"/>
        <v>53.171465186910709</v>
      </c>
      <c r="AH20" s="37">
        <f t="shared" si="4"/>
        <v>54.616760162222995</v>
      </c>
    </row>
    <row r="21" spans="1:62" ht="18" customHeight="1" x14ac:dyDescent="0.2">
      <c r="A21" s="21" t="s">
        <v>190</v>
      </c>
      <c r="B21" s="29">
        <f>+Parameters!F40</f>
        <v>11.347695356481591</v>
      </c>
    </row>
    <row r="22" spans="1:62" ht="18" customHeight="1" x14ac:dyDescent="0.2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</row>
    <row r="23" spans="1:62" ht="18" customHeight="1" x14ac:dyDescent="0.2">
      <c r="A23" s="597" t="s">
        <v>111</v>
      </c>
    </row>
    <row r="24" spans="1:62" ht="18" customHeight="1" x14ac:dyDescent="0.2">
      <c r="A24" s="21" t="s">
        <v>181</v>
      </c>
      <c r="B24" s="219">
        <f>+Parameters!F51</f>
        <v>0</v>
      </c>
    </row>
    <row r="25" spans="1:62" ht="18" customHeight="1" x14ac:dyDescent="0.2">
      <c r="A25" s="21" t="s">
        <v>182</v>
      </c>
      <c r="B25" s="219">
        <f>+Parameters!F52</f>
        <v>0.14141261070848823</v>
      </c>
    </row>
    <row r="26" spans="1:62" ht="18" customHeight="1" x14ac:dyDescent="0.2">
      <c r="A26" s="21" t="s">
        <v>47</v>
      </c>
      <c r="B26" s="219">
        <f>+Parameters!F53</f>
        <v>2</v>
      </c>
    </row>
    <row r="27" spans="1:62" ht="18" customHeight="1" x14ac:dyDescent="0.2">
      <c r="A27" s="21" t="str">
        <f>+Parameters!A54</f>
        <v>Threshold for catastrophic damages</v>
      </c>
      <c r="B27" s="219">
        <f>+Parameters!F54</f>
        <v>4</v>
      </c>
    </row>
    <row r="28" spans="1:62" ht="18" customHeight="1" x14ac:dyDescent="0.2">
      <c r="A28" s="21" t="str">
        <f>+Parameters!A55</f>
        <v>Exponent for catastrophic damages</v>
      </c>
      <c r="B28" s="219">
        <f>+Parameters!F55</f>
        <v>6</v>
      </c>
    </row>
    <row r="29" spans="1:62" ht="18" customHeight="1" x14ac:dyDescent="0.2">
      <c r="A29" s="21" t="str">
        <f>+Parameters!A56</f>
        <v>Damage rate at threshold for catastrophic damages</v>
      </c>
      <c r="B29" s="219">
        <f>+Parameters!F56</f>
        <v>0</v>
      </c>
    </row>
    <row r="30" spans="1:62" ht="18" customHeight="1" x14ac:dyDescent="0.2">
      <c r="A30" s="597" t="s">
        <v>110</v>
      </c>
    </row>
    <row r="31" spans="1:62" s="33" customFormat="1" ht="18" customHeight="1" x14ac:dyDescent="0.2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5">+G36*G40/$B38</f>
        <v>1.8663707499165138E-2</v>
      </c>
      <c r="H31" s="23">
        <f t="shared" si="5"/>
        <v>1.5933831515436044E-2</v>
      </c>
      <c r="I31" s="23">
        <f t="shared" si="5"/>
        <v>1.3728191372378592E-2</v>
      </c>
      <c r="J31" s="23">
        <f t="shared" si="5"/>
        <v>1.192609235079733E-2</v>
      </c>
      <c r="K31" s="23">
        <f t="shared" si="5"/>
        <v>1.0438406239983797E-2</v>
      </c>
      <c r="L31" s="23">
        <f t="shared" si="5"/>
        <v>9.1984681619856415E-3</v>
      </c>
      <c r="M31" s="37">
        <f t="shared" si="5"/>
        <v>8.1558159267703274E-3</v>
      </c>
      <c r="N31" s="23">
        <f t="shared" si="5"/>
        <v>7.2718229158853977E-3</v>
      </c>
      <c r="O31" s="23">
        <f t="shared" si="5"/>
        <v>6.5166110350828154E-3</v>
      </c>
      <c r="P31" s="23">
        <f t="shared" si="5"/>
        <v>5.8668410970316486E-3</v>
      </c>
      <c r="Q31" s="23">
        <f t="shared" si="5"/>
        <v>5.304112546143833E-3</v>
      </c>
      <c r="R31" s="23">
        <f t="shared" si="5"/>
        <v>4.8137915914113977E-3</v>
      </c>
      <c r="S31" s="23">
        <f t="shared" si="5"/>
        <v>4.384144061138049E-3</v>
      </c>
      <c r="T31" s="23">
        <f t="shared" si="5"/>
        <v>4.0056873982644422E-3</v>
      </c>
      <c r="U31" s="23">
        <f t="shared" si="5"/>
        <v>3.6707018977765733E-3</v>
      </c>
      <c r="V31" s="23">
        <f t="shared" si="5"/>
        <v>3.3728588049174385E-3</v>
      </c>
      <c r="W31" s="23">
        <f t="shared" si="5"/>
        <v>3.1069349762859401E-3</v>
      </c>
      <c r="X31" s="23">
        <f t="shared" si="5"/>
        <v>2.8685922308312826E-3</v>
      </c>
      <c r="Y31" s="23">
        <f t="shared" si="5"/>
        <v>2.6542054521038259E-3</v>
      </c>
      <c r="Z31" s="23">
        <f t="shared" si="5"/>
        <v>2.460727723962732E-3</v>
      </c>
      <c r="AA31" s="23">
        <f t="shared" si="5"/>
        <v>2.2855838119605889E-3</v>
      </c>
      <c r="AB31" s="23">
        <f t="shared" si="5"/>
        <v>2.1265854970934691E-3</v>
      </c>
      <c r="AC31" s="23">
        <f t="shared" si="5"/>
        <v>1.9818638713998329E-3</v>
      </c>
      <c r="AD31" s="23">
        <f t="shared" si="5"/>
        <v>1.8498148850215012E-3</v>
      </c>
      <c r="AE31" s="23">
        <f t="shared" si="5"/>
        <v>1.729055309993652E-3</v>
      </c>
      <c r="AF31" s="23">
        <f t="shared" si="5"/>
        <v>1.61838694057957E-3</v>
      </c>
      <c r="AG31" s="23">
        <f t="shared" si="5"/>
        <v>1.5167673427108361E-3</v>
      </c>
      <c r="AH31" s="23">
        <f t="shared" si="5"/>
        <v>1.4232858385526692E-3</v>
      </c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</row>
    <row r="32" spans="1:62" s="33" customFormat="1" ht="18" customHeight="1" x14ac:dyDescent="0.2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 x14ac:dyDescent="0.2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 x14ac:dyDescent="0.2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 x14ac:dyDescent="0.2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499" customFormat="1" ht="18" customHeight="1" x14ac:dyDescent="0.2">
      <c r="A36" s="600" t="s">
        <v>20</v>
      </c>
      <c r="B36" s="500">
        <f>+B32</f>
        <v>1.1340000000000001</v>
      </c>
      <c r="C36" s="499">
        <f>+IF(C4&gt;$B$37,0,$B$33*$B$32+(B36-$B$33*$B$32)*(1-$B$34))</f>
        <v>1.0829700000000002</v>
      </c>
      <c r="D36" s="499">
        <f t="shared" ref="D36:K36" si="6">+IF(D4&gt;$B$37,0,$B$33*$B$32+(C36-$B$33*$B$32)*(1-$B$34))</f>
        <v>1.0344915000000001</v>
      </c>
      <c r="E36" s="499">
        <f t="shared" si="6"/>
        <v>0.98843692500000002</v>
      </c>
      <c r="F36" s="499">
        <f t="shared" si="6"/>
        <v>0.94468507874999996</v>
      </c>
      <c r="G36" s="499">
        <f t="shared" si="6"/>
        <v>0.90312082481249989</v>
      </c>
      <c r="H36" s="499">
        <f t="shared" si="6"/>
        <v>0.86363478357187484</v>
      </c>
      <c r="I36" s="499">
        <f t="shared" si="6"/>
        <v>0.8261230443932811</v>
      </c>
      <c r="J36" s="499">
        <f t="shared" si="6"/>
        <v>0.79048689217361701</v>
      </c>
      <c r="K36" s="499">
        <f t="shared" si="6"/>
        <v>0.75663254756493614</v>
      </c>
      <c r="L36" s="499">
        <f>+IF(L4&gt;$B$37,J36*Parameters!$B$105,$B$33*$B$32+(K36-$B$33*$B$32)*(1-$B$34))</f>
        <v>0.72447092018668935</v>
      </c>
      <c r="M36" s="499">
        <f>+IF(M4&gt;$B$37,K36*Parameters!$B$105,$B$33*$B$32+(L36-$B$33*$B$32)*(1-$B$34))</f>
        <v>0.69391737417735488</v>
      </c>
      <c r="N36" s="499">
        <f>+IF(N4&gt;$B$37,L36*Parameters!$B$105,$B$33*$B$32+(M36-$B$33*$B$32)*(1-$B$34))</f>
        <v>0.66489150546848708</v>
      </c>
      <c r="O36" s="499">
        <f>+IF(O4&gt;$B$37,M36*Parameters!$B$105,$B$33*$B$32+(N36-$B$33*$B$32)*(1-$B$34))</f>
        <v>0.63731693019506275</v>
      </c>
      <c r="P36" s="499">
        <f>+IF(P4&gt;$B$37,N36*Parameters!$B$105,$B$33*$B$32+(O36-$B$33*$B$32)*(1-$B$34))</f>
        <v>0.6111210836853096</v>
      </c>
      <c r="Q36" s="499">
        <f>+IF(Q4&gt;$B$37,O36*Parameters!$B$105,$B$33*$B$32+(P36-$B$33*$B$32)*(1-$B$34))</f>
        <v>0.58623502950104411</v>
      </c>
      <c r="R36" s="499">
        <f>+IF(R4&gt;$B$37,P36*Parameters!$B$105,$B$33*$B$32+(Q36-$B$33*$B$32)*(1-$B$34))</f>
        <v>0.56259327802599191</v>
      </c>
      <c r="S36" s="499">
        <f>+IF(S4&gt;$B$37,Q36*Parameters!$B$105,$B$33*$B$32+(R36-$B$33*$B$32)*(1-$B$34))</f>
        <v>0.5401336141246923</v>
      </c>
      <c r="T36" s="499">
        <f>+IF(T4&gt;$B$37,R36*Parameters!$B$105,$B$33*$B$32+(S36-$B$33*$B$32)*(1-$B$34))</f>
        <v>0.51879693341845767</v>
      </c>
      <c r="U36" s="499">
        <f>+IF(U4&gt;$B$37,S36*Parameters!$B$105,$B$33*$B$32+(T36-$B$33*$B$32)*(1-$B$34))</f>
        <v>0.49852708674753476</v>
      </c>
      <c r="V36" s="499">
        <f>+IF(V4&gt;$B$37,T36*Parameters!$B$105,$B$33*$B$32+(U36-$B$33*$B$32)*(1-$B$34))</f>
        <v>0.479270732410158</v>
      </c>
      <c r="W36" s="499">
        <f>+IF(W4&gt;$B$37,U36*Parameters!$B$105,$B$33*$B$32+(V36-$B$33*$B$32)*(1-$B$34))</f>
        <v>0.46097719578965007</v>
      </c>
      <c r="X36" s="499">
        <f>+IF(X4&gt;$B$37,V36*Parameters!$B$105,$B$33*$B$32+(W36-$B$33*$B$32)*(1-$B$34))</f>
        <v>0.44359833600016757</v>
      </c>
      <c r="Y36" s="499">
        <f>+IF(Y4&gt;$B$37,W36*Parameters!$B$105,$B$33*$B$32+(X36-$B$33*$B$32)*(1-$B$34))</f>
        <v>0.42708841920015916</v>
      </c>
      <c r="Z36" s="499">
        <f>+IF(Z4&gt;$B$37,Y36*Parameters!$B$105,$B$33*$B$32+(Y36-$B$33*$B$32)*(1-$B$34))</f>
        <v>0.41140399824015117</v>
      </c>
      <c r="AA36" s="499">
        <f>+IF(AA4&gt;$B$37,Z36*Parameters!$B$105,$B$33*$B$32+(Z36-$B$33*$B$32)*(1-$B$34))</f>
        <v>0.39650379832814359</v>
      </c>
      <c r="AB36" s="499">
        <f>+IF(AB4&gt;$B$37,AA36*Parameters!$B$105,$B$33*$B$32+(AA36-$B$33*$B$32)*(1-$B$34))</f>
        <v>0.3823486084117364</v>
      </c>
      <c r="AC36" s="499">
        <f>+IF(AC4&gt;$B$37,AB36*Parameters!$B$105,$B$33*$B$32+(AB36-$B$33*$B$32)*(1-$B$34))</f>
        <v>0.36890117799114958</v>
      </c>
      <c r="AD36" s="499">
        <f>+IF(AD4&gt;$B$37,AC36*Parameters!$B$105,$B$33*$B$32+(AC36-$B$33*$B$32)*(1-$B$34))</f>
        <v>0.35612611909159209</v>
      </c>
      <c r="AE36" s="499">
        <f>+IF(AE4&gt;$B$37,AD36*Parameters!$B$105,$B$33*$B$32+(AD36-$B$33*$B$32)*(1-$B$34))</f>
        <v>0.34398981313701249</v>
      </c>
      <c r="AF36" s="499">
        <f>+IF(AF4&gt;$B$37,AE36*Parameters!$B$105,$B$33*$B$32+(AE36-$B$33*$B$32)*(1-$B$34))</f>
        <v>0.33246032248016189</v>
      </c>
      <c r="AG36" s="499">
        <f>+IF(AG4&gt;$B$37,AF36*Parameters!$B$105,$B$33*$B$32+(AF36-$B$33*$B$32)*(1-$B$34))</f>
        <v>0.32150730635615382</v>
      </c>
      <c r="AH36" s="499">
        <f>+IF(AH4&gt;$B$37,AG36*Parameters!$B$105,$B$33*$B$32+(AG36-$B$33*$B$32)*(1-$B$34))</f>
        <v>0.31110194103834615</v>
      </c>
    </row>
    <row r="37" spans="1:62 16313:16313" s="33" customFormat="1" ht="33" customHeight="1" x14ac:dyDescent="0.2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 x14ac:dyDescent="0.2">
      <c r="A38" s="38" t="s">
        <v>81</v>
      </c>
      <c r="B38" s="39">
        <f>+Parameters!C63</f>
        <v>2.8</v>
      </c>
      <c r="M38" s="443"/>
    </row>
    <row r="39" spans="1:62 16313:16313" ht="18" customHeight="1" x14ac:dyDescent="0.2">
      <c r="A39" s="597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 x14ac:dyDescent="0.2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7">+F40*EXP(G42*10)</f>
        <v>5.78642187865748E-2</v>
      </c>
      <c r="H40" s="33">
        <f t="shared" si="7"/>
        <v>5.1659253531568673E-2</v>
      </c>
      <c r="I40" s="33">
        <f t="shared" si="7"/>
        <v>4.6529310740738704E-2</v>
      </c>
      <c r="J40" s="33">
        <f t="shared" si="7"/>
        <v>4.2243658829573996E-2</v>
      </c>
      <c r="K40" s="33">
        <f t="shared" si="7"/>
        <v>3.8628443312433966E-2</v>
      </c>
      <c r="L40" s="33">
        <f t="shared" si="7"/>
        <v>3.5551062348952236E-2</v>
      </c>
      <c r="M40" s="37">
        <f t="shared" si="7"/>
        <v>3.2909227301059482E-2</v>
      </c>
      <c r="N40" s="33">
        <f t="shared" si="7"/>
        <v>3.0623197915775058E-2</v>
      </c>
      <c r="O40" s="33">
        <f t="shared" si="7"/>
        <v>2.863019956593213E-2</v>
      </c>
      <c r="P40" s="33">
        <f t="shared" si="7"/>
        <v>2.6880360554124828E-2</v>
      </c>
      <c r="Q40" s="33">
        <f t="shared" si="7"/>
        <v>2.5333721769992389E-2</v>
      </c>
      <c r="R40" s="33">
        <f t="shared" si="7"/>
        <v>2.395801191092297E-2</v>
      </c>
      <c r="S40" s="33">
        <f t="shared" si="7"/>
        <v>2.272697541899819E-2</v>
      </c>
      <c r="T40" s="33">
        <f t="shared" si="7"/>
        <v>2.161910372375651E-2</v>
      </c>
      <c r="U40" s="33">
        <f t="shared" si="7"/>
        <v>2.0616663742043358E-2</v>
      </c>
      <c r="V40" s="33">
        <f t="shared" si="7"/>
        <v>1.9704947569564264E-2</v>
      </c>
      <c r="W40" s="33">
        <f t="shared" si="7"/>
        <v>1.8871688259326152E-2</v>
      </c>
      <c r="X40" s="33">
        <f t="shared" si="7"/>
        <v>1.8106601387983014E-2</v>
      </c>
      <c r="Y40" s="33">
        <f t="shared" si="7"/>
        <v>1.740102267303047E-2</v>
      </c>
      <c r="Z40" s="33">
        <f t="shared" si="7"/>
        <v>1.674761950921461E-2</v>
      </c>
      <c r="AA40" s="33">
        <f t="shared" si="7"/>
        <v>1.6140159818074071E-2</v>
      </c>
      <c r="AB40" s="33">
        <f t="shared" si="7"/>
        <v>1.5573325653246808E-2</v>
      </c>
      <c r="AC40" s="33">
        <f t="shared" si="7"/>
        <v>1.5042561994889223E-2</v>
      </c>
      <c r="AD40" s="33">
        <f t="shared" si="7"/>
        <v>1.4543953392893634E-2</v>
      </c>
      <c r="AE40" s="33">
        <f t="shared" si="7"/>
        <v>1.4074122788205634E-2</v>
      </c>
      <c r="AF40" s="33">
        <f t="shared" si="7"/>
        <v>1.3630148102539942E-2</v>
      </c>
      <c r="AG40" s="33">
        <f t="shared" si="7"/>
        <v>1.3209493145657255E-2</v>
      </c>
      <c r="AH40" s="33">
        <f t="shared" si="7"/>
        <v>1.2809950123249991E-2</v>
      </c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</row>
    <row r="41" spans="1:62 16313:16313" ht="18" customHeight="1" x14ac:dyDescent="0.2">
      <c r="A41" s="21" t="s">
        <v>92</v>
      </c>
      <c r="B41" s="29">
        <f>+Parameters!F69</f>
        <v>0.13406572306752593</v>
      </c>
    </row>
    <row r="42" spans="1:62 16313:16313" s="45" customFormat="1" ht="18" customHeight="1" x14ac:dyDescent="0.2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</row>
    <row r="43" spans="1:62 16313:16313" ht="39.75" customHeight="1" x14ac:dyDescent="0.2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</row>
    <row r="44" spans="1:62 16313:16313" ht="18" customHeight="1" x14ac:dyDescent="0.2">
      <c r="A44" s="21" t="s">
        <v>23</v>
      </c>
      <c r="B44" s="29">
        <f>+Parameters!F70</f>
        <v>0</v>
      </c>
    </row>
    <row r="45" spans="1:62 16313:16313" ht="18" customHeight="1" x14ac:dyDescent="0.2">
      <c r="A45" s="601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44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 x14ac:dyDescent="0.2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45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  <c r="BG46" s="48"/>
      <c r="BH46" s="48"/>
      <c r="BI46" s="48"/>
      <c r="BJ46" s="48"/>
    </row>
    <row r="47" spans="1:62 16313:16313" ht="18" customHeight="1" x14ac:dyDescent="0.2">
      <c r="A47" s="602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/>
    </row>
    <row r="48" spans="1:62 16313:16313" ht="18" customHeight="1" x14ac:dyDescent="0.2">
      <c r="A48" s="170" t="s">
        <v>1130</v>
      </c>
      <c r="B48" s="219">
        <f>+Parameters!D131</f>
        <v>0</v>
      </c>
      <c r="C48" s="219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 x14ac:dyDescent="0.2">
      <c r="A49" s="170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 x14ac:dyDescent="0.2">
      <c r="A50" s="170" t="s">
        <v>1132</v>
      </c>
      <c r="B50" s="44">
        <v>0</v>
      </c>
      <c r="C50" s="44">
        <f>100*$B$49*(Global!B135*$B$48+Global!B135^2*$C$48)*(B61/$B61)^(1/$C$49)</f>
        <v>7.4023980584908501E-4</v>
      </c>
      <c r="D50" s="44">
        <f>100*$B$49*(Global!C135*$B$48+Global!C135^2*$C$48)*(C61/$B61)^(1/$C$49)</f>
        <v>9.9559640052521549E-4</v>
      </c>
      <c r="E50" s="44">
        <f>100*$B$49*(Global!D135*$B$48+Global!D135^2*$C$48)*(D61/$B61)^(1/$C$49)</f>
        <v>1.3521334057230434E-3</v>
      </c>
      <c r="F50" s="44">
        <f>100*$B$49*(Global!E135*$B$48+Global!E135^2*$C$48)*(E61/$B61)^(1/$C$49)</f>
        <v>1.7646117417311207E-3</v>
      </c>
      <c r="G50" s="44">
        <f>100*$B$49*(Global!F135*$B$48+Global!F135^2*$C$48)*(F61/$B61)^(1/$C$49)</f>
        <v>2.278018208905845E-3</v>
      </c>
      <c r="H50" s="44">
        <f>100*$B$49*(Global!G135*$B$48+Global!G135^2*$C$48)*(G61/$B61)^(1/$C$49)</f>
        <v>2.920528731788114E-3</v>
      </c>
      <c r="I50" s="44">
        <f>100*$B$49*(Global!H135*$B$48+Global!H135^2*$C$48)*(H61/$B61)^(1/$C$49)</f>
        <v>3.5818319508021542E-3</v>
      </c>
      <c r="J50" s="44">
        <f>100*$B$49*(Global!I135*$B$48+Global!I135^2*$C$48)*(I61/$B61)^(1/$C$49)</f>
        <v>4.4063253944482753E-3</v>
      </c>
      <c r="K50" s="44">
        <f>100*$B$49*(Global!J135*$B$48+Global!J135^2*$C$48)*(J61/$B61)^(1/$C$49)</f>
        <v>5.4221703650427994E-3</v>
      </c>
      <c r="L50" s="44">
        <f>100*$B$49*(Global!K135*$B$48+Global!K135^2*$C$48)*(K61/$B61)^(1/$C$49)</f>
        <v>6.366811520981985E-3</v>
      </c>
      <c r="M50" s="44">
        <f>100*$B$49*(Global!L135*$B$48+Global!L135^2*$C$48)*(L61/$B61)^(1/$C$49)</f>
        <v>7.3865628618406927E-3</v>
      </c>
      <c r="N50" s="44">
        <f>100*$B$49*(Global!M135*$B$48+Global!M135^2*$C$48)*(M61/$B61)^(1/$C$49)</f>
        <v>8.3066880357784718E-3</v>
      </c>
      <c r="O50" s="44">
        <f>100*$B$49*(Global!N135*$B$48+Global!N135^2*$C$48)*(N61/$B61)^(1/$C$49)</f>
        <v>9.3836624010845276E-3</v>
      </c>
      <c r="P50" s="44">
        <f>100*$B$49*(Global!O135*$B$48+Global!O135^2*$C$48)*(O61/$B61)^(1/$C$49)</f>
        <v>1.0531819228844042E-2</v>
      </c>
      <c r="Q50" s="44">
        <f>100*$B$49*(Global!P135*$B$48+Global!P135^2*$C$48)*(P61/$B61)^(1/$C$49)</f>
        <v>1.1669982113486759E-2</v>
      </c>
      <c r="R50" s="44">
        <f>100*$B$49*(Global!Q135*$B$48+Global!Q135^2*$C$48)*(Q61/$B61)^(1/$C$49)</f>
        <v>1.3008996542720027E-2</v>
      </c>
      <c r="S50" s="44">
        <f>100*$B$49*(Global!R135*$B$48+Global!R135^2*$C$48)*(R61/$B61)^(1/$C$49)</f>
        <v>1.4351938959168338E-2</v>
      </c>
      <c r="T50" s="44">
        <f>100*$B$49*(Global!S135*$B$48+Global!S135^2*$C$48)*(S61/$B61)^(1/$C$49)</f>
        <v>1.5745223793220131E-2</v>
      </c>
      <c r="U50" s="44">
        <f>100*$B$49*(Global!T135*$B$48+Global!T135^2*$C$48)*(T61/$B61)^(1/$C$49)</f>
        <v>1.6956583984516323E-2</v>
      </c>
      <c r="V50" s="44">
        <f>100*$B$49*(Global!U135*$B$48+Global!U135^2*$C$48)*(U61/$B61)^(1/$C$49)</f>
        <v>1.8214102664559948E-2</v>
      </c>
      <c r="W50" s="44">
        <f>100*$B$49*(Global!V135*$B$48+Global!V135^2*$C$48)*(V61/$B61)^(1/$C$49)</f>
        <v>1.9840840512752384E-2</v>
      </c>
      <c r="X50" s="44">
        <f>100*$B$49*(Global!W135*$B$48+Global!W135^2*$C$48)*(W61/$B61)^(1/$C$49)</f>
        <v>2.1309403846062912E-2</v>
      </c>
      <c r="Y50" s="44">
        <f>100*$B$49*(Global!X135*$B$48+Global!X135^2*$C$48)*(X61/$B61)^(1/$C$49)</f>
        <v>2.291410011327448E-2</v>
      </c>
      <c r="Z50" s="44">
        <f>100*$B$49*(Global!Y135*$B$48+Global!Y135^2*$C$48)*(Y61/$B61)^(1/$C$49)</f>
        <v>2.4581642015899394E-2</v>
      </c>
      <c r="AA50" s="44">
        <f>100*$B$49*(Global!Z135*$B$48+Global!Z135^2*$C$48)*(Z61/$B61)^(1/$C$49)</f>
        <v>2.6411299240200525E-2</v>
      </c>
      <c r="AB50" s="44">
        <f>100*$B$49*(Global!AA135*$B$48+Global!AA135^2*$C$48)*(AA61/$B61)^(1/$C$49)</f>
        <v>2.8569806686705855E-2</v>
      </c>
      <c r="AC50" s="44">
        <f>100*$B$49*(Global!AB135*$B$48+Global!AB135^2*$C$48)*(AB61/$B61)^(1/$C$49)</f>
        <v>3.0891379662397498E-2</v>
      </c>
      <c r="AD50" s="44">
        <f>100*$B$49*(Global!AC135*$B$48+Global!AC135^2*$C$48)*(AC61/$B61)^(1/$C$49)</f>
        <v>3.3166381927898052E-2</v>
      </c>
      <c r="AE50" s="44">
        <f>100*$B$49*(Global!AD135*$B$48+Global!AD135^2*$C$48)*(AD61/$B61)^(1/$C$49)</f>
        <v>3.5437093258278769E-2</v>
      </c>
      <c r="AF50" s="44">
        <f>100*$B$49*(Global!AE135*$B$48+Global!AE135^2*$C$48)*(AE61/$B61)^(1/$C$49)</f>
        <v>3.7934276440687725E-2</v>
      </c>
      <c r="AG50" s="44">
        <f>100*$B$49*(Global!AF135*$B$48+Global!AF135^2*$C$48)*(AF61/$B61)^(1/$C$49)</f>
        <v>4.0031118981373182E-2</v>
      </c>
      <c r="AH50" s="44">
        <f>100*$B$49*(Global!AG135*$B$48+Global!AG135^2*$C$48)*(AG61/$B61)^(1/$C$49)</f>
        <v>4.2741277380109986E-2</v>
      </c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</row>
    <row r="51" spans="1:62" s="84" customFormat="1" ht="18" customHeight="1" x14ac:dyDescent="0.2">
      <c r="A51" s="603" t="s">
        <v>216</v>
      </c>
      <c r="B51" s="191"/>
      <c r="F51" s="44"/>
    </row>
    <row r="52" spans="1:62" ht="18" customHeight="1" x14ac:dyDescent="0.2">
      <c r="A52" s="23" t="s">
        <v>120</v>
      </c>
      <c r="B52" s="135">
        <f>+Data!B234/1000</f>
        <v>0.20067613774564377</v>
      </c>
      <c r="C52" s="114">
        <f>+B95-B92</f>
        <v>561.30449855124084</v>
      </c>
    </row>
    <row r="53" spans="1:62" ht="18" customHeight="1" x14ac:dyDescent="0.2">
      <c r="A53" s="21" t="s">
        <v>121</v>
      </c>
      <c r="B53" s="135">
        <f>+Data!O169</f>
        <v>-3520.1323263817621</v>
      </c>
      <c r="C53" s="114">
        <f>+Data!Q169</f>
        <v>-2298.0293914363397</v>
      </c>
      <c r="D53" s="114">
        <f>+Data!O169</f>
        <v>-3520.1323263817621</v>
      </c>
    </row>
    <row r="54" spans="1:62" ht="18" customHeight="1" x14ac:dyDescent="0.2">
      <c r="A54" s="21" t="s">
        <v>122</v>
      </c>
      <c r="B54" s="553">
        <f>+B95</f>
        <v>329.37400045444906</v>
      </c>
    </row>
    <row r="55" spans="1:62" ht="18" customHeight="1" x14ac:dyDescent="0.2">
      <c r="A55" s="597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 x14ac:dyDescent="0.2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8">D56*EXP(D58)</f>
        <v>372.61088410817069</v>
      </c>
      <c r="F56" s="46">
        <f t="shared" si="8"/>
        <v>389.05183333766468</v>
      </c>
      <c r="G56" s="46">
        <f t="shared" si="8"/>
        <v>398.75208457544323</v>
      </c>
      <c r="H56" s="46">
        <f t="shared" si="8"/>
        <v>404.15409826279222</v>
      </c>
      <c r="I56" s="46">
        <f t="shared" si="8"/>
        <v>409.62929464436934</v>
      </c>
      <c r="J56" s="46">
        <f t="shared" si="8"/>
        <v>415.17866514800949</v>
      </c>
      <c r="K56" s="46">
        <f t="shared" si="8"/>
        <v>420.80321463271696</v>
      </c>
      <c r="L56" s="29">
        <f t="shared" si="8"/>
        <v>425.18113453181383</v>
      </c>
      <c r="M56" s="36">
        <f t="shared" si="8"/>
        <v>428.2721572408945</v>
      </c>
      <c r="N56" s="29">
        <f t="shared" si="8"/>
        <v>431.38565136418453</v>
      </c>
      <c r="O56" s="29">
        <f t="shared" si="8"/>
        <v>434.52178026653235</v>
      </c>
      <c r="P56" s="29">
        <f t="shared" si="8"/>
        <v>437.68070850043199</v>
      </c>
      <c r="Q56" s="29">
        <f t="shared" si="8"/>
        <v>440.86260181465695</v>
      </c>
      <c r="R56" s="29">
        <f t="shared" si="8"/>
        <v>444.06762716295719</v>
      </c>
      <c r="S56" s="29">
        <f t="shared" si="8"/>
        <v>447.29595271281897</v>
      </c>
      <c r="T56" s="29">
        <f t="shared" si="8"/>
        <v>450.54774785428884</v>
      </c>
      <c r="U56" s="29">
        <f t="shared" si="8"/>
        <v>453.82318320886139</v>
      </c>
      <c r="V56" s="29">
        <f t="shared" si="8"/>
        <v>456.55901188204848</v>
      </c>
      <c r="W56" s="29">
        <f t="shared" si="8"/>
        <v>458.74521657842882</v>
      </c>
      <c r="X56" s="29">
        <f t="shared" si="8"/>
        <v>460.94188978128932</v>
      </c>
      <c r="Y56" s="29">
        <f t="shared" si="8"/>
        <v>463.14908161842828</v>
      </c>
      <c r="Z56" s="29">
        <f t="shared" si="8"/>
        <v>465.36684245767776</v>
      </c>
      <c r="AA56" s="29">
        <f t="shared" si="8"/>
        <v>467.59522290805313</v>
      </c>
      <c r="AB56" s="44">
        <f t="shared" si="8"/>
        <v>469.83427382090792</v>
      </c>
      <c r="AC56" s="44">
        <f t="shared" si="8"/>
        <v>472.08404629109424</v>
      </c>
      <c r="AD56" s="44">
        <f t="shared" si="8"/>
        <v>474.34459165812876</v>
      </c>
      <c r="AE56" s="44">
        <f t="shared" si="8"/>
        <v>476.6159615073642</v>
      </c>
      <c r="AF56" s="44">
        <f t="shared" si="8"/>
        <v>477.75572180074039</v>
      </c>
      <c r="AG56" s="44">
        <f t="shared" si="8"/>
        <v>477.75572180074039</v>
      </c>
      <c r="AH56" s="44">
        <f t="shared" si="8"/>
        <v>477.75572180074039</v>
      </c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</row>
    <row r="57" spans="1:62" ht="18" customHeight="1" x14ac:dyDescent="0.2">
      <c r="A57" s="21" t="s">
        <v>113</v>
      </c>
      <c r="B57" s="29">
        <f>+Parameters!F48</f>
        <v>296.842578</v>
      </c>
    </row>
    <row r="58" spans="1:62" ht="18" customHeight="1" x14ac:dyDescent="0.2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</row>
    <row r="59" spans="1:62" ht="18" customHeight="1" x14ac:dyDescent="0.2">
      <c r="A59" s="21" t="s">
        <v>129</v>
      </c>
      <c r="B59" s="29">
        <f>+BI56</f>
        <v>0</v>
      </c>
      <c r="C59" s="23">
        <f t="shared" ref="C59:G59" si="9">+C64/C61</f>
        <v>6.4220360752889464E-4</v>
      </c>
      <c r="D59" s="23">
        <f t="shared" si="9"/>
        <v>3.4948764231633239E-4</v>
      </c>
      <c r="E59" s="23">
        <f t="shared" si="9"/>
        <v>3.6705286082845098E-4</v>
      </c>
      <c r="F59" s="23">
        <f t="shared" si="9"/>
        <v>4.9335813984066558E-4</v>
      </c>
      <c r="G59" s="23">
        <f t="shared" si="9"/>
        <v>7.3564115267054785E-4</v>
      </c>
      <c r="H59" s="23">
        <f>+H64/H61</f>
        <v>5.3829068586843873E-4</v>
      </c>
      <c r="I59" s="23">
        <f t="shared" ref="I59:L59" si="10">+I64/I61</f>
        <v>7.8940612197355537E-4</v>
      </c>
      <c r="J59" s="23">
        <f t="shared" si="10"/>
        <v>1.1144153043970305E-3</v>
      </c>
      <c r="K59" s="23">
        <f t="shared" si="10"/>
        <v>6.5168998389379088E-4</v>
      </c>
      <c r="L59" s="23">
        <f t="shared" si="10"/>
        <v>6.796614474559947E-4</v>
      </c>
    </row>
    <row r="60" spans="1:62" ht="18" customHeight="1" x14ac:dyDescent="0.2">
      <c r="A60" s="604" t="s">
        <v>123</v>
      </c>
      <c r="B60" s="23"/>
      <c r="D60" s="45"/>
      <c r="H60" s="33"/>
    </row>
    <row r="61" spans="1:62" s="45" customFormat="1" ht="18" customHeight="1" x14ac:dyDescent="0.2">
      <c r="A61" s="45" t="s">
        <v>124</v>
      </c>
      <c r="B61" s="682">
        <v>10.097624386310635</v>
      </c>
      <c r="C61" s="682">
        <v>10.086692214387417</v>
      </c>
      <c r="D61" s="682">
        <v>10.441989948821607</v>
      </c>
      <c r="E61" s="682">
        <v>10.729330649577102</v>
      </c>
      <c r="F61" s="682">
        <v>11.16159319962169</v>
      </c>
      <c r="G61" s="682">
        <v>11.461194612125004</v>
      </c>
      <c r="H61" s="682">
        <v>11.893575685859824</v>
      </c>
      <c r="I61" s="682">
        <v>12.422503803855163</v>
      </c>
      <c r="J61" s="682">
        <v>12.979205197580605</v>
      </c>
      <c r="K61" s="682">
        <v>13.601493066785027</v>
      </c>
      <c r="L61" s="682">
        <v>14.156047630699589</v>
      </c>
      <c r="M61" s="682">
        <v>14.29114427569376</v>
      </c>
      <c r="N61" s="682">
        <v>14.533513925617321</v>
      </c>
      <c r="O61" s="682">
        <v>14.939901364652821</v>
      </c>
      <c r="P61" s="682">
        <v>15.515468923210326</v>
      </c>
      <c r="Q61" s="682">
        <v>16.055906889526064</v>
      </c>
      <c r="R61" s="682">
        <v>16.502712372523298</v>
      </c>
      <c r="S61" s="682">
        <v>16.834500650997196</v>
      </c>
      <c r="T61" s="682">
        <v>16.855070465225207</v>
      </c>
      <c r="U61" s="682">
        <v>16.416857451632552</v>
      </c>
      <c r="V61" s="682">
        <v>16.861566593687847</v>
      </c>
      <c r="W61" s="682">
        <v>17.122903162843045</v>
      </c>
      <c r="X61" s="682">
        <v>17.513423092584549</v>
      </c>
      <c r="Y61" s="682">
        <v>17.835998523381839</v>
      </c>
      <c r="Z61" s="682">
        <v>18.244046204930381</v>
      </c>
      <c r="AA61" s="682">
        <v>18.737797521903591</v>
      </c>
      <c r="AB61" s="682">
        <v>19.050245063231607</v>
      </c>
      <c r="AC61" s="682">
        <v>19.477336548999897</v>
      </c>
      <c r="AD61" s="682">
        <v>20.051019065249122</v>
      </c>
      <c r="AE61" s="682">
        <v>20.511077482157891</v>
      </c>
      <c r="AF61" s="682">
        <v>19.943371364490343</v>
      </c>
      <c r="AG61" s="682">
        <v>21.129101469839974</v>
      </c>
      <c r="AH61" s="682">
        <v>21.538083666841679</v>
      </c>
    </row>
    <row r="62" spans="1:62" s="63" customFormat="1" ht="18" customHeight="1" x14ac:dyDescent="0.2">
      <c r="A62" s="605" t="s">
        <v>1128</v>
      </c>
      <c r="B62" s="63">
        <f>($B24*B81+$B25*B81^$B$26+$B$29*(B81/$B$27)^$B$28)*Parameters!$B$116*0.01</f>
        <v>7.3308297391280297E-4</v>
      </c>
      <c r="C62" s="63">
        <f>($B24*C81+$B25*C81^$B$26+$B$29*(C81/$B$27)^$B$28)*Parameters!$B$116*0.01</f>
        <v>6.3480120947040375E-4</v>
      </c>
      <c r="D62" s="63">
        <f>($B24*D81+$B25*D81^$B$26+$B$29*(D81/$B$27)^$B$28)*Parameters!$B$116*0.01</f>
        <v>3.3953167831108022E-4</v>
      </c>
      <c r="E62" s="63">
        <f>($B24*E81+$B25*E81^$B$26+$B$29*(E81/$B$27)^$B$28)*Parameters!$B$116*0.01</f>
        <v>3.5353152677122058E-4</v>
      </c>
      <c r="F62" s="63">
        <f>($B24*F81+$B25*F81^$B$26+$B$29*(F81/$B$27)^$B$28)*Parameters!$B$116*0.01</f>
        <v>4.7571202242335439E-4</v>
      </c>
      <c r="G62" s="63">
        <f>($B24*G81+$B25*G81^$B$26+$B$29*(G81/$B$27)^$B$28)*Parameters!$B$116*0.01</f>
        <v>7.1286097058148926E-4</v>
      </c>
      <c r="H62" s="63">
        <f>($B24*H81+$B25*H81^$B$26+$B$29*(H81/$B$27)^$B$28)*Parameters!$B$116*0.01</f>
        <v>5.0908539855055762E-4</v>
      </c>
      <c r="I62" s="63">
        <f>($B24*I81+$B25*I81^$B$26+$B$29*(I81/$B$27)^$B$28)*Parameters!$B$116*0.01</f>
        <v>7.5358780246553381E-4</v>
      </c>
      <c r="J62" s="63">
        <f>($B24*J81+$B25*J81^$B$26+$B$29*(J81/$B$27)^$B$28)*Parameters!$B$116*0.01</f>
        <v>1.0703520504525476E-3</v>
      </c>
      <c r="K62" s="63">
        <f>($B24*K81+$B25*K81^$B$26+$B$29*(K81/$B$27)^$B$28)*Parameters!$B$116*0.01</f>
        <v>5.9746828024336289E-4</v>
      </c>
      <c r="L62" s="63">
        <f>($B24*L81+$B25*L81^$B$26+$B$29*(L81/$B$27)^$B$28)*Parameters!$B$116*0.01</f>
        <v>6.1599333224617481E-4</v>
      </c>
      <c r="M62" s="63">
        <f>($B24*M81+$B25*M81^$B$26+$B$29*(M81/$B$27)^$B$28)*Parameters!$B$116*0.01</f>
        <v>9.0504070853432482E-4</v>
      </c>
      <c r="N62" s="63">
        <f>($B24*N81+$B25*N81^$B$26+$B$29*(N81/$B$27)^$B$28)*Parameters!$B$116*0.01</f>
        <v>1.1454421467387548E-3</v>
      </c>
      <c r="O62" s="63">
        <f>($B24*O81+$B25*O81^$B$26+$B$29*(O81/$B$27)^$B$28)*Parameters!$B$116*0.01</f>
        <v>1.1201292894219353E-3</v>
      </c>
      <c r="P62" s="63">
        <f>($B24*P81+$B25*P81^$B$26+$B$29*(P81/$B$27)^$B$28)*Parameters!$B$116*0.01</f>
        <v>9.0504070853432482E-4</v>
      </c>
      <c r="Q62" s="63">
        <f>($B24*Q81+$B25*Q81^$B$26+$B$29*(Q81/$B$27)^$B$28)*Parameters!$B$116*0.01</f>
        <v>1.249521828220202E-3</v>
      </c>
      <c r="R62" s="63">
        <f>($B24*R81+$B25*R81^$B$26+$B$29*(R81/$B$27)^$B$28)*Parameters!$B$116*0.01</f>
        <v>1.1710378292769912E-3</v>
      </c>
      <c r="S62" s="63">
        <f>($B24*S81+$B25*S81^$B$26+$B$29*(S81/$B$27)^$B$28)*Parameters!$B$116*0.01</f>
        <v>1.2230776700177149E-3</v>
      </c>
      <c r="T62" s="63">
        <f>($B24*T81+$B25*T81^$B$26+$B$29*(T81/$B$27)^$B$28)*Parameters!$B$116*0.01</f>
        <v>9.2780813885839138E-4</v>
      </c>
      <c r="U62" s="63">
        <f>($B24*U81+$B25*U81^$B$26+$B$29*(U81/$B$27)^$B$28)*Parameters!$B$116*0.01</f>
        <v>1.1969163370366446E-3</v>
      </c>
      <c r="V62" s="63">
        <f>($B24*V81+$B25*V81^$B$26+$B$29*(V81/$B$27)^$B$28)*Parameters!$B$116*0.01</f>
        <v>1.3859849975538933E-3</v>
      </c>
      <c r="W62" s="63">
        <f>($B24*W81+$B25*W81^$B$26+$B$29*(W81/$B$27)^$B$28)*Parameters!$B$116*0.01</f>
        <v>1.0950992573265329E-3</v>
      </c>
      <c r="X62" s="63">
        <f>($B24*X81+$B25*X81^$B$26+$B$29*(X81/$B$27)^$B$28)*Parameters!$B$116*0.01</f>
        <v>1.1969163370366446E-3</v>
      </c>
      <c r="Y62" s="63">
        <f>($B24*Y81+$B25*Y81^$B$26+$B$29*(Y81/$B$27)^$B$28)*Parameters!$B$116*0.01</f>
        <v>1.2762488116441063E-3</v>
      </c>
      <c r="Z62" s="63">
        <f>($B24*Z81+$B25*Z81^$B$26+$B$29*(Z81/$B$27)^$B$28)*Parameters!$B$116*0.01</f>
        <v>1.4425500418372885E-3</v>
      </c>
      <c r="AA62" s="63">
        <f>($B24*AA81+$B25*AA81^$B$26+$B$29*(AA81/$B$27)^$B$28)*Parameters!$B$116*0.01</f>
        <v>1.9357972279884952E-3</v>
      </c>
      <c r="AB62" s="63">
        <f>($B24*AB81+$B25*AB81^$B$26+$B$29*(AB81/$B$27)^$B$28)*Parameters!$B$116*0.01</f>
        <v>2.3169042138478711E-3</v>
      </c>
      <c r="AC62" s="63">
        <f>($B24*AC81+$B25*AC81^$B$26+$B$29*(AC81/$B$27)^$B$28)*Parameters!$B$116*0.01</f>
        <v>2.0025439802429019E-3</v>
      </c>
      <c r="AD62" s="63">
        <f>($B24*AD81+$B25*AD81^$B$26+$B$29*(AD81/$B$27)^$B$28)*Parameters!$B$116*0.01</f>
        <v>1.7738797887272768E-3</v>
      </c>
      <c r="AE62" s="63">
        <f>($B24*AE81+$B25*AE81^$B$26+$B$29*(AE81/$B$27)^$B$28)*Parameters!$B$116*0.01</f>
        <v>2.2095720423201287E-3</v>
      </c>
      <c r="AF62" s="63">
        <f>($B24*AF81+$B25*AF81^$B$26+$B$29*(AF81/$B$27)^$B$28)*Parameters!$B$116*0.01</f>
        <v>2.3169042138478711E-3</v>
      </c>
      <c r="AG62" s="63">
        <f>($B24*AG81+$B25*AG81^$B$26+$B$29*(AG81/$B$27)^$B$28)*Parameters!$B$116*0.01</f>
        <v>1.7738797887272768E-3</v>
      </c>
      <c r="AH62" s="63">
        <f>($B24*AH81+$B25*AH81^$B$26+$B$29*(AH81/$B$27)^$B$28)*Parameters!$B$116*0.01</f>
        <v>1.9028480896934176E-3</v>
      </c>
    </row>
    <row r="63" spans="1:62" s="63" customFormat="1" ht="18" customHeight="1" x14ac:dyDescent="0.2">
      <c r="A63" s="605" t="s">
        <v>1129</v>
      </c>
      <c r="B63" s="63">
        <f>+B62+B50/100</f>
        <v>7.3308297391280297E-4</v>
      </c>
      <c r="C63" s="63">
        <f t="shared" ref="B63:H63" si="11">+C62+C50/100</f>
        <v>6.4220360752889464E-4</v>
      </c>
      <c r="D63" s="63">
        <f t="shared" si="11"/>
        <v>3.4948764231633239E-4</v>
      </c>
      <c r="E63" s="63">
        <f>+E62+E50/100</f>
        <v>3.6705286082845104E-4</v>
      </c>
      <c r="F63" s="63">
        <f t="shared" si="11"/>
        <v>4.9335813984066558E-4</v>
      </c>
      <c r="G63" s="63">
        <f t="shared" si="11"/>
        <v>7.3564115267054774E-4</v>
      </c>
      <c r="H63" s="63">
        <f t="shared" si="11"/>
        <v>5.3829068586843873E-4</v>
      </c>
      <c r="I63" s="63">
        <f t="shared" ref="I63:BJ63" si="12">+I62+I50/100</f>
        <v>7.8940612197355537E-4</v>
      </c>
      <c r="J63" s="63">
        <f t="shared" si="12"/>
        <v>1.1144153043970305E-3</v>
      </c>
      <c r="K63" s="63">
        <f t="shared" si="12"/>
        <v>6.5168998389379088E-4</v>
      </c>
      <c r="L63" s="63">
        <f t="shared" si="12"/>
        <v>6.796614474559947E-4</v>
      </c>
      <c r="M63" s="63">
        <f t="shared" si="12"/>
        <v>9.7890633715273182E-4</v>
      </c>
      <c r="N63" s="63">
        <f t="shared" si="12"/>
        <v>1.2285090270965394E-3</v>
      </c>
      <c r="O63" s="63">
        <f t="shared" si="12"/>
        <v>1.2139659134327806E-3</v>
      </c>
      <c r="P63" s="63">
        <f t="shared" si="12"/>
        <v>1.0103589008227652E-3</v>
      </c>
      <c r="Q63" s="63">
        <f t="shared" si="12"/>
        <v>1.3662216493550696E-3</v>
      </c>
      <c r="R63" s="63">
        <f t="shared" si="12"/>
        <v>1.3011277947041916E-3</v>
      </c>
      <c r="S63" s="63">
        <f t="shared" si="12"/>
        <v>1.3665970596093984E-3</v>
      </c>
      <c r="T63" s="63">
        <f t="shared" si="12"/>
        <v>1.0852603767905927E-3</v>
      </c>
      <c r="U63" s="63">
        <f t="shared" si="12"/>
        <v>1.3664821768818078E-3</v>
      </c>
      <c r="V63" s="63">
        <f t="shared" si="12"/>
        <v>1.5681260241994927E-3</v>
      </c>
      <c r="W63" s="63">
        <f t="shared" si="12"/>
        <v>1.2935076624540566E-3</v>
      </c>
      <c r="X63" s="63">
        <f t="shared" si="12"/>
        <v>1.4100103754972736E-3</v>
      </c>
      <c r="Y63" s="63">
        <f t="shared" si="12"/>
        <v>1.5053898127768512E-3</v>
      </c>
      <c r="Z63" s="63">
        <f t="shared" si="12"/>
        <v>1.6883664619962825E-3</v>
      </c>
      <c r="AA63" s="63">
        <f t="shared" si="12"/>
        <v>2.1999102203905004E-3</v>
      </c>
      <c r="AB63" s="63">
        <f t="shared" si="12"/>
        <v>2.6026022807149295E-3</v>
      </c>
      <c r="AC63" s="63">
        <f t="shared" si="12"/>
        <v>2.3114577768668767E-3</v>
      </c>
      <c r="AD63" s="63">
        <f t="shared" si="12"/>
        <v>2.1055436080062574E-3</v>
      </c>
      <c r="AE63" s="63">
        <f t="shared" si="12"/>
        <v>2.5639429749029163E-3</v>
      </c>
      <c r="AF63" s="63">
        <f t="shared" si="12"/>
        <v>2.6962469782547483E-3</v>
      </c>
      <c r="AG63" s="63">
        <f t="shared" si="12"/>
        <v>2.1741909785410085E-3</v>
      </c>
      <c r="AH63" s="63">
        <f t="shared" si="12"/>
        <v>2.3302608634945174E-3</v>
      </c>
    </row>
    <row r="64" spans="1:62" s="143" customFormat="1" ht="18" customHeight="1" x14ac:dyDescent="0.2">
      <c r="A64" s="200" t="s">
        <v>1133</v>
      </c>
      <c r="B64" s="143">
        <f>+B63*B61/(1+B63^Parameters!$B$125)</f>
        <v>7.4023965145710423E-3</v>
      </c>
      <c r="C64" s="143">
        <f>+C63*C61/(1+C63^Parameters!$B$125)</f>
        <v>6.4777101281132139E-3</v>
      </c>
      <c r="D64" s="143">
        <f>+D63*D61/(1+D63^Parameters!$B$125)</f>
        <v>3.6493464483045037E-3</v>
      </c>
      <c r="E64" s="143">
        <f>+E63*E61/(1+E63^Parameters!$B$125)</f>
        <v>3.938231509701658E-3</v>
      </c>
      <c r="F64" s="143">
        <f>+F63*F61/(1+F63^Parameters!$B$125)</f>
        <v>5.5066628586235792E-3</v>
      </c>
      <c r="G64" s="143">
        <f>+G63*G61/(1+G63^Parameters!$B$125)</f>
        <v>8.43132641544511E-3</v>
      </c>
      <c r="H64" s="143">
        <f>+H63*H61/(1+H63^Parameters!$B$125)</f>
        <v>6.4022010133696714E-3</v>
      </c>
      <c r="I64" s="143">
        <f>+I63*I61/(1+I63^Parameters!$B$125)</f>
        <v>9.8064005530030442E-3</v>
      </c>
      <c r="J64" s="143">
        <f>+J63*J61/(1+J63^Parameters!$B$125)</f>
        <v>1.446422491109331E-2</v>
      </c>
      <c r="K64" s="143">
        <f>+K63*K61/(1+K63^Parameters!$B$125)</f>
        <v>8.8639567976246426E-3</v>
      </c>
      <c r="L64" s="143">
        <f>+L63*L61/(1+L63^Parameters!$B$125)</f>
        <v>9.6213198229372875E-3</v>
      </c>
      <c r="M64" s="143">
        <f>+M63*M61/(1+M63^Parameters!$B$125)</f>
        <v>1.398969169664061E-2</v>
      </c>
      <c r="N64" s="143">
        <f>+N63*N61/(1+N63^Parameters!$B$125)</f>
        <v>1.7854553053054143E-2</v>
      </c>
      <c r="O64" s="143">
        <f>+O63*O61/(1+O63^Parameters!$B$125)</f>
        <v>1.8136531006736407E-2</v>
      </c>
      <c r="P64" s="143">
        <f>+P63*P61/(1+P63^Parameters!$B$125)</f>
        <v>1.5676192127004558E-2</v>
      </c>
      <c r="Q64" s="143">
        <f>+Q63*Q61/(1+Q63^Parameters!$B$125)</f>
        <v>2.1935927592499724E-2</v>
      </c>
      <c r="R64" s="143">
        <f>+R63*R61/(1+R63^Parameters!$B$125)</f>
        <v>2.1472137755898815E-2</v>
      </c>
      <c r="S64" s="143">
        <f>+S63*S61/(1+S63^Parameters!$B$125)</f>
        <v>2.300597908964527E-2</v>
      </c>
      <c r="T64" s="143">
        <f>+T63*T61/(1+T63^Parameters!$B$125)</f>
        <v>1.8292140123922298E-2</v>
      </c>
      <c r="U64" s="143">
        <f>+U63*U61/(1+U63^Parameters!$B$125)</f>
        <v>2.243334310806518E-2</v>
      </c>
      <c r="V64" s="143">
        <f>+V63*V61/(1+V63^Parameters!$B$125)</f>
        <v>2.6441061384334705E-2</v>
      </c>
      <c r="W64" s="143">
        <f>+W63*W61/(1+W63^Parameters!$B$125)</f>
        <v>2.2148606444596281E-2</v>
      </c>
      <c r="X64" s="143">
        <f>+X63*X61/(1+X63^Parameters!$B$125)</f>
        <v>2.4694108271017763E-2</v>
      </c>
      <c r="Y64" s="143">
        <f>+Y63*Y61/(1+Y63^Parameters!$B$125)</f>
        <v>2.6850130477801982E-2</v>
      </c>
      <c r="Z64" s="143">
        <f>+Z63*Z61/(1+Z63^Parameters!$B$125)</f>
        <v>3.0802635743515012E-2</v>
      </c>
      <c r="AA64" s="143">
        <f>+AA63*AA61/(1+AA63^Parameters!$B$125)</f>
        <v>4.1221472276043503E-2</v>
      </c>
      <c r="AB64" s="143">
        <f>+AB63*AB61/(1+AB63^Parameters!$B$125)</f>
        <v>4.9580211249744904E-2</v>
      </c>
      <c r="AC64" s="143">
        <f>+AC63*AC61/(1+AC63^Parameters!$B$125)</f>
        <v>4.5021041038839263E-2</v>
      </c>
      <c r="AD64" s="143">
        <f>+AD63*AD61/(1+AD63^Parameters!$B$125)</f>
        <v>4.2218295026846889E-2</v>
      </c>
      <c r="AE64" s="143">
        <f>+AE63*AE61/(1+AE63^Parameters!$B$125)</f>
        <v>5.2589233018068123E-2</v>
      </c>
      <c r="AF64" s="143">
        <f>+AF63*AF61/(1+AF63^Parameters!$B$125)</f>
        <v>5.377225477771936E-2</v>
      </c>
      <c r="AG64" s="143">
        <f>+AG63*AG61/(1+AG63^Parameters!$B$125)</f>
        <v>4.5938701800403631E-2</v>
      </c>
      <c r="AH64" s="143">
        <f>+AH63*AH61/(1+AH63^Parameters!$B$125)</f>
        <v>5.0189353443511657E-2</v>
      </c>
    </row>
    <row r="65" spans="1:166" s="45" customFormat="1" ht="18" customHeight="1" x14ac:dyDescent="0.2">
      <c r="A65" s="45" t="s">
        <v>21</v>
      </c>
      <c r="B65" s="45">
        <f>+B61/(1+B63)</f>
        <v>10.090227412391704</v>
      </c>
      <c r="C65" s="45">
        <f t="shared" ref="C65" si="13">+C61-C64</f>
        <v>10.080214504259304</v>
      </c>
      <c r="D65" s="45">
        <f t="shared" ref="D65" si="14">+D61-D64</f>
        <v>10.438340602373303</v>
      </c>
      <c r="E65" s="45">
        <f t="shared" ref="E65" si="15">+E61-E64</f>
        <v>10.725392418067401</v>
      </c>
      <c r="F65" s="45">
        <f t="shared" ref="F65" si="16">+F61-F64</f>
        <v>11.156086536763066</v>
      </c>
      <c r="G65" s="45">
        <f t="shared" ref="G65" si="17">+G61-G64</f>
        <v>11.452763285709558</v>
      </c>
      <c r="H65" s="45">
        <f t="shared" ref="H65" si="18">+H61-H64</f>
        <v>11.887173484846455</v>
      </c>
      <c r="I65" s="45">
        <f t="shared" ref="I65" si="19">+I61-I64</f>
        <v>12.412697403302159</v>
      </c>
      <c r="J65" s="45">
        <f t="shared" ref="J65" si="20">+J61-J64</f>
        <v>12.964740972669512</v>
      </c>
      <c r="K65" s="45">
        <f t="shared" ref="K65" si="21">+K61-K64</f>
        <v>13.592629109987403</v>
      </c>
      <c r="L65" s="45">
        <f t="shared" ref="L65" si="22">+L61-L64</f>
        <v>14.146426310876652</v>
      </c>
      <c r="M65" s="45">
        <f t="shared" ref="M65" si="23">+M61-M64</f>
        <v>14.27715458399712</v>
      </c>
      <c r="N65" s="45">
        <f t="shared" ref="N65" si="24">+N61-N64</f>
        <v>14.515659372564267</v>
      </c>
      <c r="O65" s="45">
        <f t="shared" ref="O65" si="25">+O61-O64</f>
        <v>14.921764833646085</v>
      </c>
      <c r="P65" s="45">
        <f t="shared" ref="P65" si="26">+P61-P64</f>
        <v>15.499792731083321</v>
      </c>
      <c r="Q65" s="45">
        <f t="shared" ref="Q65" si="27">+Q61-Q64</f>
        <v>16.033970961933566</v>
      </c>
      <c r="R65" s="45">
        <f t="shared" ref="R65" si="28">+R61-R64</f>
        <v>16.481240234767398</v>
      </c>
      <c r="S65" s="45">
        <f t="shared" ref="S65" si="29">+S61-S64</f>
        <v>16.81149467190755</v>
      </c>
      <c r="T65" s="45">
        <f t="shared" ref="T65" si="30">+T61-T64</f>
        <v>16.836778325101285</v>
      </c>
      <c r="U65" s="45">
        <f t="shared" ref="U65" si="31">+U61-U64</f>
        <v>16.394424108524486</v>
      </c>
      <c r="V65" s="45">
        <f t="shared" ref="V65" si="32">+V61-V64</f>
        <v>16.835125532303511</v>
      </c>
      <c r="W65" s="45">
        <f t="shared" ref="W65" si="33">+W61-W64</f>
        <v>17.100754556398449</v>
      </c>
      <c r="X65" s="45">
        <f t="shared" ref="X65" si="34">+X61-X64</f>
        <v>17.488728984313532</v>
      </c>
      <c r="Y65" s="45">
        <f t="shared" ref="Y65" si="35">+Y61-Y64</f>
        <v>17.809148392904039</v>
      </c>
      <c r="Z65" s="45">
        <f t="shared" ref="Z65" si="36">+Z61-Z64</f>
        <v>18.213243569186865</v>
      </c>
      <c r="AA65" s="45">
        <f t="shared" ref="AA65" si="37">+AA61-AA64</f>
        <v>18.696576049627549</v>
      </c>
      <c r="AB65" s="45">
        <f t="shared" ref="AB65" si="38">+AB61-AB64</f>
        <v>19.000664851981863</v>
      </c>
      <c r="AC65" s="45">
        <f t="shared" ref="AC65" si="39">+AC61-AC64</f>
        <v>19.432315507961057</v>
      </c>
      <c r="AD65" s="45">
        <f t="shared" ref="AD65" si="40">+AD61-AD64</f>
        <v>20.008800770222276</v>
      </c>
      <c r="AE65" s="45">
        <f t="shared" ref="AE65" si="41">+AE61-AE64</f>
        <v>20.458488249139823</v>
      </c>
      <c r="AF65" s="45">
        <f t="shared" ref="AF65" si="42">+AF61-AF64</f>
        <v>19.889599109712623</v>
      </c>
      <c r="AG65" s="45">
        <f t="shared" ref="AG65" si="43">+AG61-AG64</f>
        <v>21.083162768039571</v>
      </c>
      <c r="AH65" s="45">
        <f t="shared" ref="AH65" si="44">+AH61-AH64</f>
        <v>21.487894313398169</v>
      </c>
    </row>
    <row r="66" spans="1:166" s="33" customFormat="1" ht="18" customHeight="1" x14ac:dyDescent="0.2">
      <c r="A66" s="23" t="s">
        <v>159</v>
      </c>
      <c r="B66" s="33">
        <f t="shared" ref="B66:AG66" si="45">(B31*(B103)^$B38)</f>
        <v>2.0724583164411879E-11</v>
      </c>
      <c r="C66" s="33">
        <f t="shared" si="45"/>
        <v>1.6121951332555377E-11</v>
      </c>
      <c r="D66" s="33">
        <f t="shared" si="45"/>
        <v>1.4095331115474699E-11</v>
      </c>
      <c r="E66" s="33">
        <f t="shared" si="45"/>
        <v>1.2488907933059957E-11</v>
      </c>
      <c r="F66" s="33">
        <f t="shared" si="45"/>
        <v>1.1198949574842854E-11</v>
      </c>
      <c r="G66" s="33">
        <f t="shared" si="45"/>
        <v>1.0150895682287318E-11</v>
      </c>
      <c r="H66" s="33">
        <f t="shared" si="45"/>
        <v>9.2902823698137682E-12</v>
      </c>
      <c r="I66" s="33">
        <f t="shared" si="45"/>
        <v>8.5767255246384754E-12</v>
      </c>
      <c r="J66" s="33">
        <f t="shared" si="45"/>
        <v>7.9798613144014554E-12</v>
      </c>
      <c r="K66" s="33">
        <f t="shared" si="45"/>
        <v>7.4765620645134046E-12</v>
      </c>
      <c r="L66" s="33">
        <f t="shared" si="45"/>
        <v>7.0489974456310983E-12</v>
      </c>
      <c r="M66" s="37">
        <f t="shared" si="45"/>
        <v>6.6832649124419071E-12</v>
      </c>
      <c r="N66" s="33">
        <f t="shared" si="45"/>
        <v>6.3684092463317148E-12</v>
      </c>
      <c r="O66" s="33">
        <f t="shared" si="45"/>
        <v>6.095711811788104E-12</v>
      </c>
      <c r="P66" s="33">
        <f t="shared" si="45"/>
        <v>5.8581692409570994E-12</v>
      </c>
      <c r="Q66" s="33">
        <f t="shared" si="45"/>
        <v>5.6501068139389423E-12</v>
      </c>
      <c r="R66" s="33">
        <f t="shared" si="45"/>
        <v>5.4668887360374995E-12</v>
      </c>
      <c r="S66" s="33">
        <f t="shared" si="45"/>
        <v>5.3046988919429195E-12</v>
      </c>
      <c r="T66" s="33">
        <f t="shared" si="45"/>
        <v>5.160373389068509E-12</v>
      </c>
      <c r="U66" s="33">
        <f t="shared" si="45"/>
        <v>5.0312715297503633E-12</v>
      </c>
      <c r="V66" s="33">
        <f t="shared" si="45"/>
        <v>4.9151755677541518E-12</v>
      </c>
      <c r="W66" s="33">
        <f t="shared" si="45"/>
        <v>4.810212248450318E-12</v>
      </c>
      <c r="X66" s="33">
        <f t="shared" si="45"/>
        <v>4.7147908563045635E-12</v>
      </c>
      <c r="Y66" s="33">
        <f t="shared" si="45"/>
        <v>4.6275540259969961E-12</v>
      </c>
      <c r="Z66" s="33">
        <f t="shared" si="45"/>
        <v>4.5473383882179881E-12</v>
      </c>
      <c r="AA66" s="33">
        <f t="shared" si="45"/>
        <v>4.4731428794648028E-12</v>
      </c>
      <c r="AB66" s="33">
        <f t="shared" si="45"/>
        <v>2.1265854970934691E-3</v>
      </c>
      <c r="AC66" s="33">
        <f t="shared" si="45"/>
        <v>1.9818638713998329E-3</v>
      </c>
      <c r="AD66" s="33">
        <f t="shared" si="45"/>
        <v>1.8498148850215012E-3</v>
      </c>
      <c r="AE66" s="33">
        <f t="shared" si="45"/>
        <v>1.729055309993652E-3</v>
      </c>
      <c r="AF66" s="33">
        <f t="shared" si="45"/>
        <v>1.61838694057957E-3</v>
      </c>
      <c r="AG66" s="33">
        <f t="shared" si="45"/>
        <v>1.5167673427108361E-3</v>
      </c>
      <c r="AH66" s="33">
        <f t="shared" ref="AH66:BI66" si="46">(AH31*(AH103)^$B38)</f>
        <v>1.4232858385526692E-3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 x14ac:dyDescent="0.2">
      <c r="A67" s="23" t="s">
        <v>160</v>
      </c>
      <c r="B67" s="23">
        <f>+B61*B66</f>
        <v>2.092690563570882E-10</v>
      </c>
      <c r="C67" s="33">
        <f>+C61*C66</f>
        <v>1.6261716098681917E-10</v>
      </c>
      <c r="D67" s="23">
        <f t="shared" ref="D67:BI67" si="47">+D61*D66</f>
        <v>1.4718330583309926E-10</v>
      </c>
      <c r="E67" s="23">
        <f t="shared" si="47"/>
        <v>1.3399762266592681E-10</v>
      </c>
      <c r="F67" s="23">
        <f t="shared" si="47"/>
        <v>1.2499811941747223E-10</v>
      </c>
      <c r="G67" s="23">
        <f t="shared" si="47"/>
        <v>1.1634139090207438E-10</v>
      </c>
      <c r="H67" s="23">
        <f t="shared" si="47"/>
        <v>1.1049467650838922E-10</v>
      </c>
      <c r="I67" s="23">
        <f t="shared" si="47"/>
        <v>1.0654440545444313E-10</v>
      </c>
      <c r="J67" s="23">
        <f t="shared" si="47"/>
        <v>1.0357225744785177E-10</v>
      </c>
      <c r="K67" s="23">
        <f t="shared" si="47"/>
        <v>1.0169240708386702E-10</v>
      </c>
      <c r="L67" s="23">
        <f t="shared" si="47"/>
        <v>9.9785943589033572E-11</v>
      </c>
      <c r="M67" s="37">
        <f t="shared" si="47"/>
        <v>9.5511503096389118E-11</v>
      </c>
      <c r="N67" s="23">
        <f t="shared" si="47"/>
        <v>9.2555364465592089E-11</v>
      </c>
      <c r="O67" s="23">
        <f t="shared" si="47"/>
        <v>9.106933321546341E-11</v>
      </c>
      <c r="P67" s="23">
        <f t="shared" si="47"/>
        <v>9.0892242804976498E-11</v>
      </c>
      <c r="Q67" s="23">
        <f t="shared" si="47"/>
        <v>9.0717588920480422E-11</v>
      </c>
      <c r="R67" s="23">
        <f t="shared" si="47"/>
        <v>9.02184923834143E-11</v>
      </c>
      <c r="S67" s="23">
        <f t="shared" si="47"/>
        <v>8.9301956949757182E-11</v>
      </c>
      <c r="T67" s="23">
        <f t="shared" si="47"/>
        <v>8.6978457099622739E-11</v>
      </c>
      <c r="U67" s="23">
        <f t="shared" si="47"/>
        <v>8.2597667504368966E-11</v>
      </c>
      <c r="V67" s="23">
        <f t="shared" si="47"/>
        <v>8.2877560155354099E-11</v>
      </c>
      <c r="W67" s="23">
        <f t="shared" si="47"/>
        <v>8.2364798522936298E-11</v>
      </c>
      <c r="X67" s="23">
        <f t="shared" si="47"/>
        <v>8.2572127059510823E-11</v>
      </c>
      <c r="Y67" s="23">
        <f t="shared" si="47"/>
        <v>8.2537046774552106E-11</v>
      </c>
      <c r="Z67" s="23">
        <f t="shared" si="47"/>
        <v>8.296185166410262E-11</v>
      </c>
      <c r="AA67" s="23">
        <f t="shared" si="47"/>
        <v>8.3816845561956273E-11</v>
      </c>
      <c r="AB67" s="23">
        <f t="shared" si="47"/>
        <v>4.0511974867544792E-2</v>
      </c>
      <c r="AC67" s="23">
        <f t="shared" si="47"/>
        <v>3.86014296175584E-2</v>
      </c>
      <c r="AD67" s="23">
        <f t="shared" si="47"/>
        <v>3.7090673526747733E-2</v>
      </c>
      <c r="AE67" s="23">
        <f t="shared" si="47"/>
        <v>3.5464787434216327E-2</v>
      </c>
      <c r="AF67" s="23">
        <f t="shared" si="47"/>
        <v>3.2276091767419732E-2</v>
      </c>
      <c r="AG67" s="23">
        <f t="shared" si="47"/>
        <v>3.2047931090276795E-2</v>
      </c>
      <c r="AH67" s="23">
        <f t="shared" si="47"/>
        <v>3.0654849472578308E-2</v>
      </c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 x14ac:dyDescent="0.2">
      <c r="A68" s="23" t="s">
        <v>27</v>
      </c>
      <c r="B68" s="23">
        <f>+B65-B67</f>
        <v>10.090227412182434</v>
      </c>
      <c r="C68" s="23">
        <f>+C65-C67</f>
        <v>10.080214504096688</v>
      </c>
      <c r="D68" s="23">
        <f>+D65-D67</f>
        <v>10.43834060222612</v>
      </c>
      <c r="E68" s="23">
        <f>+E65-E67</f>
        <v>10.725392417933403</v>
      </c>
      <c r="F68" s="23">
        <f>+F65-F67</f>
        <v>11.156086536638067</v>
      </c>
      <c r="G68" s="23">
        <f t="shared" ref="G68:BI68" si="48">+G65-G67</f>
        <v>11.452763285593218</v>
      </c>
      <c r="H68" s="23">
        <f t="shared" si="48"/>
        <v>11.88717348473596</v>
      </c>
      <c r="I68" s="23">
        <f t="shared" si="48"/>
        <v>12.412697403195615</v>
      </c>
      <c r="J68" s="23">
        <f t="shared" si="48"/>
        <v>12.96474097256594</v>
      </c>
      <c r="K68" s="23">
        <f t="shared" si="48"/>
        <v>13.59262910988571</v>
      </c>
      <c r="L68" s="23">
        <f t="shared" si="48"/>
        <v>14.146426310776867</v>
      </c>
      <c r="M68" s="37">
        <f t="shared" si="48"/>
        <v>14.277154583901609</v>
      </c>
      <c r="N68" s="23">
        <f t="shared" si="48"/>
        <v>14.515659372471712</v>
      </c>
      <c r="O68" s="23">
        <f t="shared" si="48"/>
        <v>14.921764833555017</v>
      </c>
      <c r="P68" s="23">
        <f t="shared" si="48"/>
        <v>15.499792730992429</v>
      </c>
      <c r="Q68" s="23">
        <f t="shared" si="48"/>
        <v>16.033970961842847</v>
      </c>
      <c r="R68" s="23">
        <f t="shared" si="48"/>
        <v>16.48124023467718</v>
      </c>
      <c r="S68" s="23">
        <f t="shared" si="48"/>
        <v>16.811494671818249</v>
      </c>
      <c r="T68" s="23">
        <f t="shared" si="48"/>
        <v>16.836778325014308</v>
      </c>
      <c r="U68" s="23">
        <f t="shared" si="48"/>
        <v>16.394424108441889</v>
      </c>
      <c r="V68" s="23">
        <f t="shared" si="48"/>
        <v>16.835125532220633</v>
      </c>
      <c r="W68" s="23">
        <f t="shared" si="48"/>
        <v>17.100754556316083</v>
      </c>
      <c r="X68" s="23">
        <f t="shared" si="48"/>
        <v>17.48872898423096</v>
      </c>
      <c r="Y68" s="23">
        <f t="shared" si="48"/>
        <v>17.809148392821502</v>
      </c>
      <c r="Z68" s="23">
        <f t="shared" si="48"/>
        <v>18.213243569103902</v>
      </c>
      <c r="AA68" s="23">
        <f t="shared" si="48"/>
        <v>18.696576049543733</v>
      </c>
      <c r="AB68" s="23">
        <f t="shared" si="48"/>
        <v>18.960152877114318</v>
      </c>
      <c r="AC68" s="23">
        <f t="shared" si="48"/>
        <v>19.3937140783435</v>
      </c>
      <c r="AD68" s="23">
        <f t="shared" si="48"/>
        <v>19.971710096695528</v>
      </c>
      <c r="AE68" s="23">
        <f t="shared" si="48"/>
        <v>20.423023461705608</v>
      </c>
      <c r="AF68" s="23">
        <f t="shared" si="48"/>
        <v>19.857323017945205</v>
      </c>
      <c r="AG68" s="23">
        <f t="shared" si="48"/>
        <v>21.051114836949296</v>
      </c>
      <c r="AH68" s="23">
        <f t="shared" si="48"/>
        <v>21.457239463925589</v>
      </c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 x14ac:dyDescent="0.2">
      <c r="A69" s="604" t="s">
        <v>82</v>
      </c>
      <c r="B69" s="142">
        <f>+B67/B65</f>
        <v>2.0739776003471145E-11</v>
      </c>
      <c r="C69" s="142"/>
    </row>
    <row r="70" spans="1:166" s="45" customFormat="1" ht="18" customHeight="1" x14ac:dyDescent="0.2">
      <c r="A70" s="43" t="s">
        <v>36</v>
      </c>
      <c r="B70" s="45">
        <f t="shared" ref="B70:AG70" si="49">+B71+B43</f>
        <v>1.3531593612572181</v>
      </c>
      <c r="C70" s="45">
        <f t="shared" si="49"/>
        <v>1.0249346945718352</v>
      </c>
      <c r="D70" s="45">
        <f t="shared" si="49"/>
        <v>0.90434403659634821</v>
      </c>
      <c r="E70" s="45">
        <f t="shared" si="49"/>
        <v>0.80274829064954667</v>
      </c>
      <c r="F70" s="45">
        <f t="shared" si="49"/>
        <v>0.73022605431524468</v>
      </c>
      <c r="G70" s="45">
        <f t="shared" si="49"/>
        <v>0.6628673166969884</v>
      </c>
      <c r="H70" s="45">
        <f t="shared" si="49"/>
        <v>0.61410385665851286</v>
      </c>
      <c r="I70" s="45">
        <f t="shared" si="49"/>
        <v>0.57771221533232253</v>
      </c>
      <c r="J70" s="45">
        <f t="shared" si="49"/>
        <v>0.54799911392480138</v>
      </c>
      <c r="K70" s="45">
        <f t="shared" si="49"/>
        <v>0.52511976515499892</v>
      </c>
      <c r="L70" s="45">
        <f t="shared" si="49"/>
        <v>0.50298313129183059</v>
      </c>
      <c r="M70" s="37">
        <f t="shared" si="49"/>
        <v>0.4700430831526497</v>
      </c>
      <c r="N70" s="45">
        <f t="shared" si="49"/>
        <v>0.44480351833586473</v>
      </c>
      <c r="O70" s="45">
        <f t="shared" si="49"/>
        <v>0.42747736343326487</v>
      </c>
      <c r="P70" s="45">
        <f t="shared" si="49"/>
        <v>0.41680690054393893</v>
      </c>
      <c r="Q70" s="45">
        <f t="shared" si="49"/>
        <v>0.40650186865782678</v>
      </c>
      <c r="R70" s="45">
        <f t="shared" si="49"/>
        <v>0.39511956780907359</v>
      </c>
      <c r="S70" s="45">
        <f t="shared" si="49"/>
        <v>0.3823472370136678</v>
      </c>
      <c r="T70" s="45">
        <f t="shared" si="49"/>
        <v>0.36414797698946882</v>
      </c>
      <c r="U70" s="45">
        <f t="shared" si="49"/>
        <v>0.33822955632752744</v>
      </c>
      <c r="V70" s="45">
        <f t="shared" si="49"/>
        <v>0.33202422852343044</v>
      </c>
      <c r="W70" s="45">
        <f t="shared" si="49"/>
        <v>0.32290746918073121</v>
      </c>
      <c r="X70" s="45">
        <f t="shared" si="49"/>
        <v>0.31687736896829316</v>
      </c>
      <c r="Y70" s="45">
        <f t="shared" si="49"/>
        <v>0.31013351103830777</v>
      </c>
      <c r="Z70" s="45">
        <f t="shared" si="49"/>
        <v>0.30531205106000564</v>
      </c>
      <c r="AA70" s="45">
        <f t="shared" si="49"/>
        <v>0.30219635960974756</v>
      </c>
      <c r="AB70" s="45">
        <f t="shared" si="49"/>
        <v>0</v>
      </c>
      <c r="AC70" s="45">
        <f t="shared" si="49"/>
        <v>0</v>
      </c>
      <c r="AD70" s="45">
        <f t="shared" si="49"/>
        <v>0</v>
      </c>
      <c r="AE70" s="45">
        <f t="shared" si="49"/>
        <v>0</v>
      </c>
      <c r="AF70" s="45">
        <f t="shared" si="49"/>
        <v>0</v>
      </c>
      <c r="AG70" s="45">
        <f t="shared" si="49"/>
        <v>0</v>
      </c>
      <c r="AH70" s="45">
        <f t="shared" ref="AH70:BI70" si="50">+AH71+AH43</f>
        <v>0</v>
      </c>
    </row>
    <row r="71" spans="1:166" s="45" customFormat="1" ht="18" customHeight="1" x14ac:dyDescent="0.2">
      <c r="A71" s="43" t="s">
        <v>1</v>
      </c>
      <c r="B71" s="46">
        <f t="shared" ref="B71:AG71" si="51">+B102</f>
        <v>1.3531593612572181</v>
      </c>
      <c r="C71" s="46">
        <f t="shared" si="51"/>
        <v>1.0249346945718352</v>
      </c>
      <c r="D71" s="46">
        <f t="shared" si="51"/>
        <v>0.90434403659634821</v>
      </c>
      <c r="E71" s="46">
        <f t="shared" si="51"/>
        <v>0.80274829064954667</v>
      </c>
      <c r="F71" s="46">
        <f t="shared" si="51"/>
        <v>0.73022605431524468</v>
      </c>
      <c r="G71" s="46">
        <f t="shared" si="51"/>
        <v>0.6628673166969884</v>
      </c>
      <c r="H71" s="46">
        <f t="shared" si="51"/>
        <v>0.61410385665851286</v>
      </c>
      <c r="I71" s="46">
        <f t="shared" si="51"/>
        <v>0.57771221533232253</v>
      </c>
      <c r="J71" s="46">
        <f t="shared" si="51"/>
        <v>0.54799911392480138</v>
      </c>
      <c r="K71" s="46">
        <f t="shared" si="51"/>
        <v>0.52511976515499892</v>
      </c>
      <c r="L71" s="46">
        <f t="shared" si="51"/>
        <v>0.50298313129183059</v>
      </c>
      <c r="M71" s="36">
        <f t="shared" si="51"/>
        <v>0.4700430831526497</v>
      </c>
      <c r="N71" s="46">
        <f t="shared" si="51"/>
        <v>0.44480351833586473</v>
      </c>
      <c r="O71" s="46">
        <f t="shared" si="51"/>
        <v>0.42747736343326487</v>
      </c>
      <c r="P71" s="46">
        <f t="shared" si="51"/>
        <v>0.41680690054393893</v>
      </c>
      <c r="Q71" s="46">
        <f t="shared" si="51"/>
        <v>0.40650186865782678</v>
      </c>
      <c r="R71" s="46">
        <f t="shared" si="51"/>
        <v>0.39511956780907359</v>
      </c>
      <c r="S71" s="46">
        <f t="shared" si="51"/>
        <v>0.3823472370136678</v>
      </c>
      <c r="T71" s="46">
        <f t="shared" si="51"/>
        <v>0.36414797698946882</v>
      </c>
      <c r="U71" s="46">
        <f t="shared" si="51"/>
        <v>0.33822955632752744</v>
      </c>
      <c r="V71" s="46">
        <f t="shared" si="51"/>
        <v>0.33202422852343044</v>
      </c>
      <c r="W71" s="46">
        <f t="shared" si="51"/>
        <v>0.32290746918073121</v>
      </c>
      <c r="X71" s="46">
        <f t="shared" si="51"/>
        <v>0.31687736896829316</v>
      </c>
      <c r="Y71" s="46">
        <f t="shared" si="51"/>
        <v>0.31013351103830777</v>
      </c>
      <c r="Z71" s="46">
        <f t="shared" si="51"/>
        <v>0.30531205106000564</v>
      </c>
      <c r="AA71" s="46">
        <f t="shared" si="51"/>
        <v>0.30219635960974756</v>
      </c>
      <c r="AB71" s="46">
        <f t="shared" si="51"/>
        <v>0</v>
      </c>
      <c r="AC71" s="46">
        <f t="shared" si="51"/>
        <v>0</v>
      </c>
      <c r="AD71" s="46">
        <f t="shared" si="51"/>
        <v>0</v>
      </c>
      <c r="AE71" s="46">
        <f t="shared" si="51"/>
        <v>0</v>
      </c>
      <c r="AF71" s="46">
        <f t="shared" si="51"/>
        <v>0</v>
      </c>
      <c r="AG71" s="46">
        <f t="shared" si="51"/>
        <v>0</v>
      </c>
      <c r="AH71" s="46">
        <f t="shared" ref="AH71:BI71" si="52">+AH102</f>
        <v>0</v>
      </c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</row>
    <row r="72" spans="1:166" ht="18" customHeight="1" x14ac:dyDescent="0.2">
      <c r="A72" s="597" t="s">
        <v>33</v>
      </c>
    </row>
    <row r="73" spans="1:166" s="45" customFormat="1" ht="18" customHeight="1" x14ac:dyDescent="0.2">
      <c r="A73" s="43" t="s">
        <v>34</v>
      </c>
      <c r="B73" s="46">
        <f t="shared" ref="B73:AG73" si="53">(B97)*B68</f>
        <v>1.8012864015429391</v>
      </c>
      <c r="C73" s="45">
        <f t="shared" si="53"/>
        <v>2.060513638137309</v>
      </c>
      <c r="D73" s="45">
        <f t="shared" si="53"/>
        <v>2.0961368237949833</v>
      </c>
      <c r="E73" s="45">
        <f t="shared" si="53"/>
        <v>2.130314751380233</v>
      </c>
      <c r="F73" s="45">
        <f t="shared" si="53"/>
        <v>2.200484292010259</v>
      </c>
      <c r="G73" s="45">
        <f t="shared" si="53"/>
        <v>2.2618947945249284</v>
      </c>
      <c r="H73" s="45">
        <f t="shared" si="53"/>
        <v>2.3748978670786274</v>
      </c>
      <c r="I73" s="45">
        <f t="shared" si="53"/>
        <v>2.5104512174197806</v>
      </c>
      <c r="J73" s="45">
        <f t="shared" si="53"/>
        <v>2.6577891666733016</v>
      </c>
      <c r="K73" s="45">
        <f t="shared" si="53"/>
        <v>2.8138529827307854</v>
      </c>
      <c r="L73" s="45">
        <f t="shared" si="53"/>
        <v>2.9264810017551377</v>
      </c>
      <c r="M73" s="37">
        <f t="shared" si="53"/>
        <v>3.1453011121897618</v>
      </c>
      <c r="N73" s="45">
        <f t="shared" si="53"/>
        <v>3.1978444514345434</v>
      </c>
      <c r="O73" s="45">
        <f t="shared" si="53"/>
        <v>3.2873107348529436</v>
      </c>
      <c r="P73" s="45">
        <f t="shared" si="53"/>
        <v>3.4146520603252188</v>
      </c>
      <c r="Q73" s="45">
        <f t="shared" si="53"/>
        <v>3.5323331692414071</v>
      </c>
      <c r="R73" s="45">
        <f t="shared" si="53"/>
        <v>3.6308679671261612</v>
      </c>
      <c r="S73" s="45">
        <f t="shared" si="53"/>
        <v>3.703624036435424</v>
      </c>
      <c r="T73" s="45">
        <f t="shared" si="53"/>
        <v>3.7091941030793376</v>
      </c>
      <c r="U73" s="45">
        <f t="shared" si="53"/>
        <v>3.6117421072218518</v>
      </c>
      <c r="V73" s="45">
        <f t="shared" si="53"/>
        <v>3.7088299877381741</v>
      </c>
      <c r="W73" s="45">
        <f t="shared" si="53"/>
        <v>3.7673488795809056</v>
      </c>
      <c r="X73" s="45">
        <f t="shared" si="53"/>
        <v>3.8528208405693936</v>
      </c>
      <c r="Y73" s="45">
        <f t="shared" si="53"/>
        <v>3.9234102228083021</v>
      </c>
      <c r="Z73" s="45">
        <f t="shared" si="53"/>
        <v>4.0124336342956779</v>
      </c>
      <c r="AA73" s="45">
        <f t="shared" si="53"/>
        <v>4.1189132678494804</v>
      </c>
      <c r="AB73" s="45">
        <f t="shared" si="53"/>
        <v>4.1769800544793592</v>
      </c>
      <c r="AC73" s="45">
        <f t="shared" si="53"/>
        <v>4.2724949219842694</v>
      </c>
      <c r="AD73" s="45">
        <f t="shared" si="53"/>
        <v>4.3998292243958828</v>
      </c>
      <c r="AE73" s="45">
        <f t="shared" si="53"/>
        <v>4.4992549482381463</v>
      </c>
      <c r="AF73" s="45">
        <f t="shared" si="53"/>
        <v>4.3746293987654168</v>
      </c>
      <c r="AG73" s="45">
        <f t="shared" si="53"/>
        <v>4.6376254120095703</v>
      </c>
      <c r="AH73" s="45">
        <f t="shared" ref="AH73:BI73" si="54">(AH97)*AH68</f>
        <v>4.7270959177332044</v>
      </c>
    </row>
    <row r="74" spans="1:166" s="45" customFormat="1" ht="18" customHeight="1" x14ac:dyDescent="0.2">
      <c r="A74" s="43" t="s">
        <v>35</v>
      </c>
      <c r="B74" s="44">
        <f>+B11</f>
        <v>22.851099741812224</v>
      </c>
      <c r="C74" s="45">
        <f t="shared" ref="C74:AH74" si="55">+B74*(1-$B$8)^10+10*B73</f>
        <v>25.980549827973991</v>
      </c>
      <c r="D74" s="45">
        <f t="shared" si="55"/>
        <v>29.66399396833139</v>
      </c>
      <c r="E74" s="45">
        <f t="shared" si="55"/>
        <v>31.304563381963437</v>
      </c>
      <c r="F74" s="45">
        <f t="shared" si="55"/>
        <v>32.218373841836922</v>
      </c>
      <c r="G74" s="45">
        <f t="shared" si="55"/>
        <v>33.238695253832937</v>
      </c>
      <c r="H74" s="45">
        <f t="shared" si="55"/>
        <v>34.208564357315026</v>
      </c>
      <c r="I74" s="45">
        <f t="shared" si="55"/>
        <v>35.676767528955338</v>
      </c>
      <c r="J74" s="45">
        <f t="shared" si="55"/>
        <v>37.544231824004292</v>
      </c>
      <c r="K74" s="45">
        <f t="shared" si="55"/>
        <v>39.668755853879617</v>
      </c>
      <c r="L74" s="45">
        <f t="shared" si="55"/>
        <v>41.97016973914635</v>
      </c>
      <c r="M74" s="37">
        <f t="shared" si="55"/>
        <v>43.898903332929152</v>
      </c>
      <c r="N74" s="45">
        <f t="shared" si="55"/>
        <v>46.759612258124051</v>
      </c>
      <c r="O74" s="45">
        <f t="shared" si="55"/>
        <v>48.282513176188971</v>
      </c>
      <c r="P74" s="45">
        <f t="shared" si="55"/>
        <v>49.708178726910717</v>
      </c>
      <c r="Q74" s="45">
        <f t="shared" si="55"/>
        <v>51.478690821963426</v>
      </c>
      <c r="R74" s="45">
        <f t="shared" si="55"/>
        <v>53.272841306606473</v>
      </c>
      <c r="S74" s="45">
        <f t="shared" si="55"/>
        <v>54.883770877744013</v>
      </c>
      <c r="T74" s="45">
        <f t="shared" si="55"/>
        <v>56.173027980811838</v>
      </c>
      <c r="U74" s="45">
        <f t="shared" si="55"/>
        <v>56.678264802836509</v>
      </c>
      <c r="V74" s="45">
        <f t="shared" si="55"/>
        <v>55.879910031246297</v>
      </c>
      <c r="W74" s="45">
        <f t="shared" si="55"/>
        <v>56.572419740005053</v>
      </c>
      <c r="X74" s="45">
        <f t="shared" si="55"/>
        <v>57.399071863436475</v>
      </c>
      <c r="Y74" s="45">
        <f t="shared" si="55"/>
        <v>58.542027246224777</v>
      </c>
      <c r="Z74" s="45">
        <f t="shared" si="55"/>
        <v>59.646444968588384</v>
      </c>
      <c r="AA74" s="45">
        <f t="shared" si="55"/>
        <v>60.921765732114679</v>
      </c>
      <c r="AB74" s="45">
        <f t="shared" si="55"/>
        <v>62.431238922106189</v>
      </c>
      <c r="AC74" s="45">
        <f t="shared" si="55"/>
        <v>63.538227545663986</v>
      </c>
      <c r="AD74" s="45">
        <f t="shared" si="55"/>
        <v>64.879359287183675</v>
      </c>
      <c r="AE74" s="45">
        <f t="shared" si="55"/>
        <v>66.620326034901495</v>
      </c>
      <c r="AF74" s="45">
        <f t="shared" si="55"/>
        <v>68.22162084318434</v>
      </c>
      <c r="AG74" s="45">
        <f t="shared" si="55"/>
        <v>67.533702324349349</v>
      </c>
      <c r="AH74" s="45">
        <f t="shared" si="55"/>
        <v>69.92380010072759</v>
      </c>
    </row>
    <row r="75" spans="1:166" s="45" customFormat="1" ht="18" customHeight="1" x14ac:dyDescent="0.2">
      <c r="A75" s="597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AG76" si="56">+C14</f>
        <v>1.4999999999999999E-2</v>
      </c>
      <c r="D76" s="23">
        <f t="shared" si="56"/>
        <v>1.4999999999999999E-2</v>
      </c>
      <c r="E76" s="23">
        <f t="shared" si="56"/>
        <v>1.4999999999999999E-2</v>
      </c>
      <c r="F76" s="23">
        <f t="shared" si="56"/>
        <v>1.4999999999999999E-2</v>
      </c>
      <c r="G76" s="23">
        <f t="shared" si="56"/>
        <v>1.4999999999999999E-2</v>
      </c>
      <c r="H76" s="23">
        <f t="shared" si="56"/>
        <v>1.4999999999999999E-2</v>
      </c>
      <c r="I76" s="23">
        <f t="shared" si="56"/>
        <v>1.4999999999999999E-2</v>
      </c>
      <c r="J76" s="23">
        <f t="shared" si="56"/>
        <v>1.4999999999999999E-2</v>
      </c>
      <c r="K76" s="23">
        <f t="shared" si="56"/>
        <v>1.4999999999999999E-2</v>
      </c>
      <c r="L76" s="23">
        <f t="shared" si="56"/>
        <v>1.4999999999999999E-2</v>
      </c>
      <c r="M76" s="37">
        <f t="shared" si="56"/>
        <v>1.4999999999999999E-2</v>
      </c>
      <c r="N76" s="23">
        <f t="shared" si="56"/>
        <v>1.4999999999999999E-2</v>
      </c>
      <c r="O76" s="23">
        <f t="shared" si="56"/>
        <v>1.4999999999999999E-2</v>
      </c>
      <c r="P76" s="23">
        <f t="shared" si="56"/>
        <v>1.4999999999999999E-2</v>
      </c>
      <c r="Q76" s="23">
        <f t="shared" si="56"/>
        <v>1.4999999999999999E-2</v>
      </c>
      <c r="R76" s="23">
        <f t="shared" si="56"/>
        <v>1.4999999999999999E-2</v>
      </c>
      <c r="S76" s="23">
        <f t="shared" si="56"/>
        <v>1.4999999999999999E-2</v>
      </c>
      <c r="T76" s="23">
        <f t="shared" si="56"/>
        <v>1.4999999999999999E-2</v>
      </c>
      <c r="U76" s="23">
        <f t="shared" si="56"/>
        <v>1.4999999999999999E-2</v>
      </c>
      <c r="V76" s="23">
        <f t="shared" si="56"/>
        <v>1.4999999999999999E-2</v>
      </c>
      <c r="W76" s="23">
        <f t="shared" si="56"/>
        <v>1.4999999999999999E-2</v>
      </c>
      <c r="X76" s="23">
        <f t="shared" si="56"/>
        <v>1.4999999999999999E-2</v>
      </c>
      <c r="Y76" s="23">
        <f t="shared" si="56"/>
        <v>1.4999999999999999E-2</v>
      </c>
      <c r="Z76" s="23">
        <f t="shared" si="56"/>
        <v>1.4999999999999999E-2</v>
      </c>
      <c r="AA76" s="23">
        <f t="shared" si="56"/>
        <v>1.4999999999999999E-2</v>
      </c>
      <c r="AB76" s="23">
        <f t="shared" si="56"/>
        <v>1.4999999999999999E-2</v>
      </c>
      <c r="AC76" s="23">
        <f t="shared" si="56"/>
        <v>1.4999999999999999E-2</v>
      </c>
      <c r="AD76" s="23">
        <f t="shared" si="56"/>
        <v>1.4999999999999999E-2</v>
      </c>
      <c r="AE76" s="23">
        <f t="shared" si="56"/>
        <v>1.4999999999999999E-2</v>
      </c>
      <c r="AF76" s="23">
        <f t="shared" si="56"/>
        <v>1.4999999999999999E-2</v>
      </c>
      <c r="AG76" s="23">
        <f t="shared" si="56"/>
        <v>1.4999999999999999E-2</v>
      </c>
      <c r="AH76" s="23">
        <f t="shared" ref="AH76:BI76" si="57">+AH14</f>
        <v>1.4999999999999999E-2</v>
      </c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</row>
    <row r="77" spans="1:166" s="37" customFormat="1" ht="18" customHeight="1" x14ac:dyDescent="0.2">
      <c r="A77" s="35" t="s">
        <v>71</v>
      </c>
      <c r="B77" s="29">
        <f t="shared" ref="B77:AG77" si="58">+$B$7*B61/B74</f>
        <v>0.13256636880151093</v>
      </c>
      <c r="C77" s="23">
        <f t="shared" si="58"/>
        <v>0.11647204098267533</v>
      </c>
      <c r="D77" s="23">
        <f t="shared" si="58"/>
        <v>0.10560267063129705</v>
      </c>
      <c r="E77" s="23">
        <f t="shared" si="58"/>
        <v>0.10282204404510836</v>
      </c>
      <c r="F77" s="23">
        <f t="shared" si="58"/>
        <v>0.10393069421580696</v>
      </c>
      <c r="G77" s="23">
        <f t="shared" si="58"/>
        <v>0.10344444501746815</v>
      </c>
      <c r="H77" s="23">
        <f t="shared" si="58"/>
        <v>0.10430349161948868</v>
      </c>
      <c r="I77" s="23">
        <f t="shared" si="58"/>
        <v>0.10445876684685376</v>
      </c>
      <c r="J77" s="23">
        <f t="shared" si="58"/>
        <v>0.10371131250006464</v>
      </c>
      <c r="K77" s="23">
        <f t="shared" si="58"/>
        <v>0.10286301730928722</v>
      </c>
      <c r="L77" s="23">
        <f t="shared" si="58"/>
        <v>0.10118649306411537</v>
      </c>
      <c r="M77" s="37">
        <f t="shared" si="58"/>
        <v>9.7664017941243977E-2</v>
      </c>
      <c r="N77" s="23">
        <f t="shared" si="58"/>
        <v>9.3244019082465282E-2</v>
      </c>
      <c r="O77" s="23">
        <f t="shared" si="58"/>
        <v>9.2828026433515815E-2</v>
      </c>
      <c r="P77" s="23">
        <f t="shared" si="58"/>
        <v>9.3639332523828639E-2</v>
      </c>
      <c r="Q77" s="23">
        <f t="shared" si="58"/>
        <v>9.3568270481399637E-2</v>
      </c>
      <c r="R77" s="23">
        <f t="shared" si="58"/>
        <v>9.29331642602481E-2</v>
      </c>
      <c r="S77" s="23">
        <f t="shared" si="58"/>
        <v>9.2019008798594287E-2</v>
      </c>
      <c r="T77" s="23">
        <f t="shared" si="58"/>
        <v>9.001688748726204E-2</v>
      </c>
      <c r="U77" s="23">
        <f t="shared" si="58"/>
        <v>8.6894989686474786E-2</v>
      </c>
      <c r="V77" s="23">
        <f t="shared" si="58"/>
        <v>9.0523946357068508E-2</v>
      </c>
      <c r="W77" s="23">
        <f t="shared" si="58"/>
        <v>9.0801683443290787E-2</v>
      </c>
      <c r="X77" s="23">
        <f t="shared" si="58"/>
        <v>9.153505025788071E-2</v>
      </c>
      <c r="Y77" s="23">
        <f t="shared" si="58"/>
        <v>9.1400995297094195E-2</v>
      </c>
      <c r="Z77" s="23">
        <f t="shared" si="58"/>
        <v>9.176094005873231E-2</v>
      </c>
      <c r="AA77" s="23">
        <f t="shared" si="58"/>
        <v>9.2271443367042946E-2</v>
      </c>
      <c r="AB77" s="23">
        <f t="shared" si="58"/>
        <v>9.1541888606439928E-2</v>
      </c>
      <c r="AC77" s="23">
        <f t="shared" si="58"/>
        <v>9.1963549982576193E-2</v>
      </c>
      <c r="AD77" s="23">
        <f t="shared" si="58"/>
        <v>9.2715245428803189E-2</v>
      </c>
      <c r="AE77" s="23">
        <f t="shared" si="58"/>
        <v>9.2364051797400745E-2</v>
      </c>
      <c r="AF77" s="23">
        <f t="shared" si="58"/>
        <v>8.7699637378885781E-2</v>
      </c>
      <c r="AG77" s="23">
        <f t="shared" si="58"/>
        <v>9.3860253810882158E-2</v>
      </c>
      <c r="AH77" s="23">
        <f t="shared" ref="AH77:BI77" si="59">+$B$7*AH61/AH74</f>
        <v>9.2406663979140186E-2</v>
      </c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</row>
    <row r="78" spans="1:166" s="37" customFormat="1" ht="18" customHeight="1" x14ac:dyDescent="0.2">
      <c r="A78" s="35" t="s">
        <v>72</v>
      </c>
      <c r="B78" s="29">
        <f t="shared" ref="B78:AG78" si="60">+$B$7*B61/B74*(1-(1-$B$8)^10)/$B$8/10</f>
        <v>8.6343334118078777E-2</v>
      </c>
      <c r="C78" s="23">
        <f t="shared" si="60"/>
        <v>7.5860751417572786E-2</v>
      </c>
      <c r="D78" s="23">
        <f t="shared" si="60"/>
        <v>6.8781296165182304E-2</v>
      </c>
      <c r="E78" s="23">
        <f t="shared" si="60"/>
        <v>6.6970214119566468E-2</v>
      </c>
      <c r="F78" s="23">
        <f t="shared" si="60"/>
        <v>6.7692301878129274E-2</v>
      </c>
      <c r="G78" s="23">
        <f t="shared" si="60"/>
        <v>6.737559729176712E-2</v>
      </c>
      <c r="H78" s="23">
        <f t="shared" si="60"/>
        <v>6.7935112864621922E-2</v>
      </c>
      <c r="I78" s="23">
        <f t="shared" si="60"/>
        <v>6.8036246967923181E-2</v>
      </c>
      <c r="J78" s="23">
        <f t="shared" si="60"/>
        <v>6.754941383681845E-2</v>
      </c>
      <c r="K78" s="23">
        <f t="shared" si="60"/>
        <v>6.6996900889905633E-2</v>
      </c>
      <c r="L78" s="23">
        <f t="shared" si="60"/>
        <v>6.5904944503330135E-2</v>
      </c>
      <c r="M78" s="37">
        <f t="shared" si="60"/>
        <v>6.3610680511592604E-2</v>
      </c>
      <c r="N78" s="23">
        <f t="shared" si="60"/>
        <v>6.0731839960136633E-2</v>
      </c>
      <c r="O78" s="23">
        <f t="shared" si="60"/>
        <v>6.0460894979115942E-2</v>
      </c>
      <c r="P78" s="23">
        <f t="shared" si="60"/>
        <v>6.0989316127414851E-2</v>
      </c>
      <c r="Q78" s="23">
        <f t="shared" si="60"/>
        <v>6.0943031887090313E-2</v>
      </c>
      <c r="R78" s="23">
        <f t="shared" si="60"/>
        <v>6.0529373512427709E-2</v>
      </c>
      <c r="S78" s="23">
        <f t="shared" si="60"/>
        <v>5.9933964351152245E-2</v>
      </c>
      <c r="T78" s="23">
        <f t="shared" si="60"/>
        <v>5.8629939575546283E-2</v>
      </c>
      <c r="U78" s="23">
        <f t="shared" si="60"/>
        <v>5.6596580230089157E-2</v>
      </c>
      <c r="V78" s="23">
        <f t="shared" si="60"/>
        <v>5.8960197949589767E-2</v>
      </c>
      <c r="W78" s="23">
        <f t="shared" si="60"/>
        <v>5.914109410183014E-2</v>
      </c>
      <c r="X78" s="23">
        <f t="shared" si="60"/>
        <v>5.9618751719487738E-2</v>
      </c>
      <c r="Y78" s="23">
        <f t="shared" si="60"/>
        <v>5.9531438833315943E-2</v>
      </c>
      <c r="Z78" s="23">
        <f t="shared" si="60"/>
        <v>5.9765878616943914E-2</v>
      </c>
      <c r="AA78" s="23">
        <f t="shared" si="60"/>
        <v>6.0098380428046903E-2</v>
      </c>
      <c r="AB78" s="23">
        <f t="shared" si="60"/>
        <v>5.9623205683338475E-2</v>
      </c>
      <c r="AC78" s="23">
        <f t="shared" si="60"/>
        <v>5.9897842828593131E-2</v>
      </c>
      <c r="AD78" s="23">
        <f t="shared" si="60"/>
        <v>6.0387438279199422E-2</v>
      </c>
      <c r="AE78" s="23">
        <f t="shared" si="60"/>
        <v>6.0158698295367428E-2</v>
      </c>
      <c r="AF78" s="23">
        <f t="shared" si="60"/>
        <v>5.7120664620280218E-2</v>
      </c>
      <c r="AG78" s="23">
        <f t="shared" si="60"/>
        <v>6.1133206924713669E-2</v>
      </c>
      <c r="AH78" s="23">
        <f t="shared" ref="AH78:BI78" si="61">+$B$7*AH61/AH74*(1-(1-$B$8)^10)/$B$8/10</f>
        <v>6.0186452528048703E-2</v>
      </c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</row>
    <row r="79" spans="1:166" s="37" customFormat="1" ht="18" customHeight="1" x14ac:dyDescent="0.2">
      <c r="A79" s="35" t="s">
        <v>70</v>
      </c>
      <c r="B79" s="29">
        <f>+C134</f>
        <v>-4.048232563286458E-3</v>
      </c>
      <c r="C79" s="23">
        <f t="shared" ref="C79:BH79" si="62">+D134</f>
        <v>9.3777183212486737E-3</v>
      </c>
      <c r="D79" s="23">
        <f t="shared" si="62"/>
        <v>1.0786234190064192E-2</v>
      </c>
      <c r="E79" s="23">
        <f t="shared" si="62"/>
        <v>1.468210567941175E-2</v>
      </c>
      <c r="F79" s="23">
        <f t="shared" si="62"/>
        <v>1.5198530694701562E-2</v>
      </c>
      <c r="G79" s="23">
        <f t="shared" si="62"/>
        <v>1.8189514262689332E-2</v>
      </c>
      <c r="H79" s="23">
        <f t="shared" si="62"/>
        <v>1.9076608916446913E-2</v>
      </c>
      <c r="I79" s="23">
        <f t="shared" si="62"/>
        <v>1.9058035989462319E-2</v>
      </c>
      <c r="J79" s="23">
        <f t="shared" si="62"/>
        <v>1.9777252293756931E-2</v>
      </c>
      <c r="K79" s="23">
        <f t="shared" si="62"/>
        <v>1.9541703278084022E-2</v>
      </c>
      <c r="L79" s="23">
        <f t="shared" si="62"/>
        <v>1.2699685783221337E-2</v>
      </c>
      <c r="M79" s="37">
        <f t="shared" si="62"/>
        <v>1.6420533649521563E-2</v>
      </c>
      <c r="N79" s="23">
        <f t="shared" si="62"/>
        <v>1.8102906986391165E-2</v>
      </c>
      <c r="O79" s="23">
        <f t="shared" si="62"/>
        <v>1.9694364173726386E-2</v>
      </c>
      <c r="P79" s="23">
        <f t="shared" si="62"/>
        <v>1.9063963937782535E-2</v>
      </c>
      <c r="Q79" s="23">
        <f t="shared" si="62"/>
        <v>1.8090731245141933E-2</v>
      </c>
      <c r="R79" s="23">
        <f t="shared" si="62"/>
        <v>1.6919627449503816E-2</v>
      </c>
      <c r="S79" s="23">
        <f t="shared" si="62"/>
        <v>1.4126342865884434E-2</v>
      </c>
      <c r="T79" s="23">
        <f t="shared" si="62"/>
        <v>9.8566735535834393E-3</v>
      </c>
      <c r="U79" s="23">
        <f t="shared" si="62"/>
        <v>1.8128360168732538E-2</v>
      </c>
      <c r="V79" s="23">
        <f t="shared" si="62"/>
        <v>1.6657537971284997E-2</v>
      </c>
      <c r="W79" s="23">
        <f t="shared" si="62"/>
        <v>1.7691843929975137E-2</v>
      </c>
      <c r="X79" s="23">
        <f t="shared" si="62"/>
        <v>1.7038945301355302E-2</v>
      </c>
      <c r="Y79" s="23">
        <f t="shared" si="62"/>
        <v>1.7692254784767769E-2</v>
      </c>
      <c r="Z79" s="23">
        <f t="shared" si="62"/>
        <v>1.8265584346760955E-2</v>
      </c>
      <c r="AA79" s="23">
        <f t="shared" si="62"/>
        <v>1.6405042634031419E-2</v>
      </c>
      <c r="AB79" s="23">
        <f t="shared" si="62"/>
        <v>1.7718621326300088E-2</v>
      </c>
      <c r="AC79" s="23">
        <f t="shared" si="62"/>
        <v>1.8750858183406161E-2</v>
      </c>
      <c r="AD79" s="23">
        <f t="shared" si="62"/>
        <v>1.7678419908124354E-2</v>
      </c>
      <c r="AE79" s="23">
        <f t="shared" si="62"/>
        <v>1.0370237461767129E-2</v>
      </c>
      <c r="AF79" s="23">
        <f t="shared" si="62"/>
        <v>2.3927488375666828E-2</v>
      </c>
      <c r="AG79" s="23">
        <f t="shared" si="62"/>
        <v>1.7913453560332249E-2</v>
      </c>
      <c r="AH79" s="23">
        <f t="shared" si="62"/>
        <v>0</v>
      </c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</row>
    <row r="80" spans="1:166" ht="18" customHeight="1" x14ac:dyDescent="0.2">
      <c r="A80" s="606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46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 x14ac:dyDescent="0.2">
      <c r="A81" s="607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/>
      <c r="AJ81" s="55"/>
      <c r="AK81" s="55"/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55"/>
      <c r="BA81" s="55"/>
      <c r="BB81" s="55"/>
      <c r="BC81" s="55"/>
      <c r="BD81" s="55"/>
      <c r="BE81" s="55"/>
      <c r="BF81" s="55"/>
      <c r="BG81" s="55"/>
      <c r="BH81" s="55"/>
      <c r="BI81" s="55"/>
      <c r="BJ81" s="55"/>
    </row>
    <row r="82" spans="1:62" ht="18" customHeight="1" x14ac:dyDescent="0.2">
      <c r="D82" s="29"/>
    </row>
    <row r="83" spans="1:62" ht="18" customHeight="1" x14ac:dyDescent="0.2">
      <c r="A83" s="597" t="s">
        <v>117</v>
      </c>
    </row>
    <row r="84" spans="1:62" s="381" customFormat="1" ht="18" customHeight="1" x14ac:dyDescent="0.2">
      <c r="A84" s="410" t="s">
        <v>98</v>
      </c>
      <c r="B84" s="383">
        <f>B68-B73</f>
        <v>8.2889410106394958</v>
      </c>
      <c r="C84" s="381">
        <f t="shared" ref="C84:BH84" si="63">C68-C73</f>
        <v>8.0197008659593791</v>
      </c>
      <c r="D84" s="381">
        <f>D68-D73</f>
        <v>8.342203778431136</v>
      </c>
      <c r="E84" s="381">
        <f>E68-E73</f>
        <v>8.5950776665531698</v>
      </c>
      <c r="F84" s="381">
        <f t="shared" si="63"/>
        <v>8.9556022446278085</v>
      </c>
      <c r="G84" s="381">
        <f t="shared" si="63"/>
        <v>9.1908684910682901</v>
      </c>
      <c r="H84" s="381">
        <f t="shared" si="63"/>
        <v>9.512275617657334</v>
      </c>
      <c r="I84" s="381">
        <f t="shared" si="63"/>
        <v>9.9022461857758337</v>
      </c>
      <c r="J84" s="381">
        <f>J68-J73</f>
        <v>10.306951805892638</v>
      </c>
      <c r="K84" s="381">
        <f t="shared" si="63"/>
        <v>10.778776127154924</v>
      </c>
      <c r="L84" s="381">
        <f>L68-L73</f>
        <v>11.21994530902173</v>
      </c>
      <c r="M84" s="447">
        <f t="shared" si="63"/>
        <v>11.131853471711848</v>
      </c>
      <c r="N84" s="381">
        <f t="shared" si="63"/>
        <v>11.317814921037169</v>
      </c>
      <c r="O84" s="381">
        <f t="shared" si="63"/>
        <v>11.634454098702072</v>
      </c>
      <c r="P84" s="381">
        <f t="shared" si="63"/>
        <v>12.08514067066721</v>
      </c>
      <c r="Q84" s="381">
        <f t="shared" si="63"/>
        <v>12.501637792601439</v>
      </c>
      <c r="R84" s="381">
        <f t="shared" si="63"/>
        <v>12.85037226755102</v>
      </c>
      <c r="S84" s="381">
        <f t="shared" si="63"/>
        <v>13.107870635382824</v>
      </c>
      <c r="T84" s="381">
        <f t="shared" si="63"/>
        <v>13.127584221934971</v>
      </c>
      <c r="U84" s="381">
        <f t="shared" si="63"/>
        <v>12.782682001220037</v>
      </c>
      <c r="V84" s="381">
        <f t="shared" si="63"/>
        <v>13.12629554448246</v>
      </c>
      <c r="W84" s="381">
        <f t="shared" si="63"/>
        <v>13.333405676735177</v>
      </c>
      <c r="X84" s="381">
        <f t="shared" si="63"/>
        <v>13.635908143661567</v>
      </c>
      <c r="Y84" s="381">
        <f t="shared" si="63"/>
        <v>13.8857381700132</v>
      </c>
      <c r="Z84" s="381">
        <f t="shared" si="63"/>
        <v>14.200809934808223</v>
      </c>
      <c r="AA84" s="381">
        <f t="shared" si="63"/>
        <v>14.577662781694253</v>
      </c>
      <c r="AB84" s="381">
        <f t="shared" si="63"/>
        <v>14.78317282263496</v>
      </c>
      <c r="AC84" s="381">
        <f t="shared" si="63"/>
        <v>15.121219156359231</v>
      </c>
      <c r="AD84" s="381">
        <f t="shared" si="63"/>
        <v>15.571880872299644</v>
      </c>
      <c r="AE84" s="381">
        <f t="shared" si="63"/>
        <v>15.923768513467461</v>
      </c>
      <c r="AF84" s="381">
        <f t="shared" si="63"/>
        <v>15.482693619179788</v>
      </c>
      <c r="AG84" s="381">
        <f t="shared" si="63"/>
        <v>16.413489424939726</v>
      </c>
      <c r="AH84" s="381">
        <f t="shared" si="63"/>
        <v>16.730143546192384</v>
      </c>
    </row>
    <row r="85" spans="1:62" s="381" customFormat="1" ht="18" customHeight="1" x14ac:dyDescent="0.2">
      <c r="A85" s="410" t="s">
        <v>970</v>
      </c>
      <c r="B85" s="383">
        <f>+C85/C84*B84</f>
        <v>0.32345130564707736</v>
      </c>
      <c r="C85" s="383">
        <f>+(C74-B74)/10</f>
        <v>0.3129450086161768</v>
      </c>
      <c r="D85" s="383">
        <f t="shared" ref="D85:BI85" si="64">+(D74-C74)/10</f>
        <v>0.36834441403573981</v>
      </c>
      <c r="E85" s="383">
        <f t="shared" si="64"/>
        <v>0.1640569413632047</v>
      </c>
      <c r="F85" s="383">
        <f t="shared" si="64"/>
        <v>9.1381045987348489E-2</v>
      </c>
      <c r="G85" s="383">
        <f t="shared" si="64"/>
        <v>0.10203214119960151</v>
      </c>
      <c r="H85" s="383">
        <f t="shared" si="64"/>
        <v>9.6986910348208971E-2</v>
      </c>
      <c r="I85" s="383">
        <f t="shared" si="64"/>
        <v>0.14682031716403116</v>
      </c>
      <c r="J85" s="383">
        <f t="shared" si="64"/>
        <v>0.18674642950489542</v>
      </c>
      <c r="K85" s="383">
        <f t="shared" si="64"/>
        <v>0.21245240298753246</v>
      </c>
      <c r="L85" s="383">
        <f t="shared" si="64"/>
        <v>0.23014138852667329</v>
      </c>
      <c r="M85" s="448">
        <f t="shared" si="64"/>
        <v>0.19287335937828018</v>
      </c>
      <c r="N85" s="383">
        <f t="shared" si="64"/>
        <v>0.28607089251948992</v>
      </c>
      <c r="O85" s="383">
        <f t="shared" si="64"/>
        <v>0.152290091806492</v>
      </c>
      <c r="P85" s="383">
        <f t="shared" si="64"/>
        <v>0.14256655507217458</v>
      </c>
      <c r="Q85" s="383">
        <f t="shared" si="64"/>
        <v>0.1770512095052709</v>
      </c>
      <c r="R85" s="383">
        <f t="shared" si="64"/>
        <v>0.17941504846430475</v>
      </c>
      <c r="S85" s="383">
        <f t="shared" si="64"/>
        <v>0.16109295711375396</v>
      </c>
      <c r="T85" s="383">
        <f t="shared" si="64"/>
        <v>0.12892571030678254</v>
      </c>
      <c r="U85" s="383">
        <f t="shared" si="64"/>
        <v>5.0523682202467057E-2</v>
      </c>
      <c r="V85" s="383">
        <f t="shared" si="64"/>
        <v>-7.9835477159021201E-2</v>
      </c>
      <c r="W85" s="383">
        <f t="shared" si="64"/>
        <v>6.9250970875875589E-2</v>
      </c>
      <c r="X85" s="383">
        <f t="shared" si="64"/>
        <v>8.2665212343142253E-2</v>
      </c>
      <c r="Y85" s="383">
        <f t="shared" si="64"/>
        <v>0.11429553827883013</v>
      </c>
      <c r="Z85" s="383">
        <f t="shared" si="64"/>
        <v>0.11044177223636069</v>
      </c>
      <c r="AA85" s="383">
        <f t="shared" si="64"/>
        <v>0.12753207635262953</v>
      </c>
      <c r="AB85" s="383">
        <f t="shared" si="64"/>
        <v>0.15094731899915104</v>
      </c>
      <c r="AC85" s="383">
        <f t="shared" si="64"/>
        <v>0.11069886235577968</v>
      </c>
      <c r="AD85" s="383">
        <f t="shared" si="64"/>
        <v>0.13411317415196891</v>
      </c>
      <c r="AE85" s="383">
        <f t="shared" si="64"/>
        <v>0.17409667477178203</v>
      </c>
      <c r="AF85" s="383">
        <f t="shared" si="64"/>
        <v>0.16012948082828443</v>
      </c>
      <c r="AG85" s="383">
        <f t="shared" si="64"/>
        <v>-6.8791851883499081E-2</v>
      </c>
      <c r="AH85" s="383">
        <f t="shared" si="64"/>
        <v>0.23900977763782408</v>
      </c>
      <c r="AI85" s="383"/>
      <c r="AJ85" s="383"/>
      <c r="AK85" s="383"/>
      <c r="AL85" s="383"/>
      <c r="AM85" s="383"/>
      <c r="AN85" s="383"/>
      <c r="AO85" s="383"/>
      <c r="AP85" s="383"/>
      <c r="AQ85" s="383"/>
      <c r="AR85" s="383"/>
      <c r="AS85" s="383"/>
      <c r="AT85" s="383"/>
      <c r="AU85" s="383"/>
      <c r="AV85" s="383"/>
      <c r="AW85" s="383"/>
      <c r="AX85" s="383"/>
      <c r="AY85" s="383"/>
      <c r="AZ85" s="383"/>
      <c r="BA85" s="383"/>
      <c r="BB85" s="383"/>
      <c r="BC85" s="383"/>
      <c r="BD85" s="383"/>
      <c r="BE85" s="383"/>
      <c r="BF85" s="383"/>
      <c r="BG85" s="383"/>
      <c r="BH85" s="383"/>
      <c r="BI85" s="383"/>
    </row>
    <row r="86" spans="1:62" s="381" customFormat="1" ht="19.5" customHeight="1" x14ac:dyDescent="0.2">
      <c r="A86" s="410" t="s">
        <v>973</v>
      </c>
      <c r="B86" s="383">
        <f t="shared" ref="B86:AG86" si="65">+(1-$B$98)*(1-$B$99)*B46*B123*(B120-B124)/1000</f>
        <v>0</v>
      </c>
      <c r="C86" s="383">
        <f t="shared" si="65"/>
        <v>0</v>
      </c>
      <c r="D86" s="383">
        <f t="shared" si="65"/>
        <v>0</v>
      </c>
      <c r="E86" s="383">
        <f t="shared" si="65"/>
        <v>0</v>
      </c>
      <c r="F86" s="383">
        <f t="shared" si="65"/>
        <v>0</v>
      </c>
      <c r="G86" s="383">
        <f t="shared" si="65"/>
        <v>0</v>
      </c>
      <c r="H86" s="383">
        <f t="shared" si="65"/>
        <v>0</v>
      </c>
      <c r="I86" s="383">
        <f t="shared" si="65"/>
        <v>0</v>
      </c>
      <c r="J86" s="383">
        <f t="shared" si="65"/>
        <v>0</v>
      </c>
      <c r="K86" s="383">
        <f t="shared" si="65"/>
        <v>0</v>
      </c>
      <c r="L86" s="383">
        <f t="shared" si="65"/>
        <v>0</v>
      </c>
      <c r="M86" s="448">
        <f t="shared" si="65"/>
        <v>0</v>
      </c>
      <c r="N86" s="383">
        <f t="shared" si="65"/>
        <v>0</v>
      </c>
      <c r="O86" s="383">
        <f t="shared" si="65"/>
        <v>0</v>
      </c>
      <c r="P86" s="383">
        <f t="shared" si="65"/>
        <v>0</v>
      </c>
      <c r="Q86" s="383">
        <f t="shared" si="65"/>
        <v>0</v>
      </c>
      <c r="R86" s="383">
        <f t="shared" si="65"/>
        <v>0</v>
      </c>
      <c r="S86" s="383">
        <f t="shared" si="65"/>
        <v>0</v>
      </c>
      <c r="T86" s="383">
        <f t="shared" si="65"/>
        <v>0</v>
      </c>
      <c r="U86" s="383">
        <f t="shared" si="65"/>
        <v>0</v>
      </c>
      <c r="V86" s="383">
        <f t="shared" si="65"/>
        <v>0</v>
      </c>
      <c r="W86" s="383">
        <f t="shared" si="65"/>
        <v>0</v>
      </c>
      <c r="X86" s="383">
        <f t="shared" si="65"/>
        <v>0</v>
      </c>
      <c r="Y86" s="383">
        <f t="shared" si="65"/>
        <v>0</v>
      </c>
      <c r="Z86" s="383">
        <f t="shared" si="65"/>
        <v>0</v>
      </c>
      <c r="AA86" s="383">
        <f t="shared" si="65"/>
        <v>0</v>
      </c>
      <c r="AB86" s="383">
        <f t="shared" si="65"/>
        <v>0</v>
      </c>
      <c r="AC86" s="383">
        <f t="shared" si="65"/>
        <v>0</v>
      </c>
      <c r="AD86" s="383">
        <f t="shared" si="65"/>
        <v>0</v>
      </c>
      <c r="AE86" s="383">
        <f t="shared" si="65"/>
        <v>0</v>
      </c>
      <c r="AF86" s="383">
        <f t="shared" si="65"/>
        <v>0</v>
      </c>
      <c r="AG86" s="383">
        <f t="shared" si="65"/>
        <v>0</v>
      </c>
      <c r="AH86" s="383">
        <f t="shared" ref="AH86:BI86" si="66">+(1-$B$98)*(1-$B$99)*AH46*AH123*(AH120-AH124)/1000</f>
        <v>0</v>
      </c>
      <c r="AI86" s="383"/>
      <c r="AJ86" s="383"/>
      <c r="AK86" s="383"/>
      <c r="AL86" s="383"/>
      <c r="AM86" s="383"/>
      <c r="AN86" s="383"/>
      <c r="AO86" s="383"/>
      <c r="AP86" s="383"/>
      <c r="AQ86" s="383"/>
      <c r="AR86" s="383"/>
      <c r="AS86" s="383"/>
      <c r="AT86" s="383"/>
      <c r="AU86" s="383"/>
      <c r="AV86" s="383"/>
      <c r="AW86" s="383"/>
      <c r="AX86" s="383"/>
      <c r="AY86" s="383"/>
      <c r="AZ86" s="383"/>
      <c r="BA86" s="383"/>
      <c r="BB86" s="383"/>
      <c r="BC86" s="383"/>
      <c r="BD86" s="383"/>
      <c r="BE86" s="383"/>
      <c r="BF86" s="383"/>
      <c r="BG86" s="383"/>
      <c r="BH86" s="383"/>
      <c r="BI86" s="383"/>
    </row>
    <row r="87" spans="1:62" s="381" customFormat="1" ht="18" customHeight="1" x14ac:dyDescent="0.2">
      <c r="A87" s="410" t="s">
        <v>972</v>
      </c>
      <c r="B87" s="383">
        <f>+SUM(B84:B86)</f>
        <v>8.6123923162865736</v>
      </c>
      <c r="C87" s="383">
        <f>+SUM(C84:C86)</f>
        <v>8.3326458745755563</v>
      </c>
      <c r="D87" s="383">
        <f t="shared" ref="D87:BI87" si="67">+SUM(D84:D86)</f>
        <v>8.7105481924668755</v>
      </c>
      <c r="E87" s="383">
        <f t="shared" si="67"/>
        <v>8.7591346079163745</v>
      </c>
      <c r="F87" s="383">
        <f t="shared" si="67"/>
        <v>9.0469832906151577</v>
      </c>
      <c r="G87" s="383">
        <f t="shared" si="67"/>
        <v>9.2929006322678909</v>
      </c>
      <c r="H87" s="383">
        <f t="shared" si="67"/>
        <v>9.6092625280055426</v>
      </c>
      <c r="I87" s="383">
        <f t="shared" si="67"/>
        <v>10.049066502939866</v>
      </c>
      <c r="J87" s="383">
        <f t="shared" si="67"/>
        <v>10.493698235397533</v>
      </c>
      <c r="K87" s="383">
        <f t="shared" si="67"/>
        <v>10.991228530142456</v>
      </c>
      <c r="L87" s="383">
        <f t="shared" si="67"/>
        <v>11.450086697548404</v>
      </c>
      <c r="M87" s="448">
        <f t="shared" si="67"/>
        <v>11.324726831090128</v>
      </c>
      <c r="N87" s="383">
        <f t="shared" si="67"/>
        <v>11.603885813556658</v>
      </c>
      <c r="O87" s="383">
        <f t="shared" si="67"/>
        <v>11.786744190508564</v>
      </c>
      <c r="P87" s="383">
        <f t="shared" si="67"/>
        <v>12.227707225739385</v>
      </c>
      <c r="Q87" s="383">
        <f t="shared" si="67"/>
        <v>12.67868900210671</v>
      </c>
      <c r="R87" s="383">
        <f t="shared" si="67"/>
        <v>13.029787316015325</v>
      </c>
      <c r="S87" s="383">
        <f t="shared" si="67"/>
        <v>13.268963592496577</v>
      </c>
      <c r="T87" s="383">
        <f t="shared" si="67"/>
        <v>13.256509932241753</v>
      </c>
      <c r="U87" s="383">
        <f t="shared" si="67"/>
        <v>12.833205683422504</v>
      </c>
      <c r="V87" s="383">
        <f t="shared" si="67"/>
        <v>13.046460067323439</v>
      </c>
      <c r="W87" s="383">
        <f t="shared" si="67"/>
        <v>13.402656647611053</v>
      </c>
      <c r="X87" s="383">
        <f t="shared" si="67"/>
        <v>13.718573356004709</v>
      </c>
      <c r="Y87" s="383">
        <f t="shared" si="67"/>
        <v>14.00003370829203</v>
      </c>
      <c r="Z87" s="383">
        <f t="shared" si="67"/>
        <v>14.311251707044583</v>
      </c>
      <c r="AA87" s="383">
        <f t="shared" si="67"/>
        <v>14.705194858046882</v>
      </c>
      <c r="AB87" s="383">
        <f t="shared" si="67"/>
        <v>14.934120141634111</v>
      </c>
      <c r="AC87" s="383">
        <f t="shared" si="67"/>
        <v>15.23191801871501</v>
      </c>
      <c r="AD87" s="383">
        <f t="shared" si="67"/>
        <v>15.705994046451613</v>
      </c>
      <c r="AE87" s="383">
        <f t="shared" si="67"/>
        <v>16.097865188239243</v>
      </c>
      <c r="AF87" s="383">
        <f t="shared" si="67"/>
        <v>15.642823100008073</v>
      </c>
      <c r="AG87" s="383">
        <f t="shared" si="67"/>
        <v>16.344697573056227</v>
      </c>
      <c r="AH87" s="383">
        <f t="shared" si="67"/>
        <v>16.969153323830209</v>
      </c>
      <c r="AI87" s="383"/>
      <c r="AJ87" s="383"/>
      <c r="AK87" s="383"/>
      <c r="AL87" s="383"/>
      <c r="AM87" s="383"/>
      <c r="AN87" s="383"/>
      <c r="AO87" s="383"/>
      <c r="AP87" s="383"/>
      <c r="AQ87" s="383"/>
      <c r="AR87" s="383"/>
      <c r="AS87" s="383"/>
      <c r="AT87" s="383"/>
      <c r="AU87" s="383"/>
      <c r="AV87" s="383"/>
      <c r="AW87" s="383"/>
      <c r="AX87" s="383"/>
      <c r="AY87" s="383"/>
      <c r="AZ87" s="383"/>
      <c r="BA87" s="383"/>
      <c r="BB87" s="383"/>
      <c r="BC87" s="383"/>
      <c r="BD87" s="383"/>
      <c r="BE87" s="383"/>
      <c r="BF87" s="383"/>
      <c r="BG87" s="383"/>
      <c r="BH87" s="383"/>
      <c r="BI87" s="383"/>
    </row>
    <row r="88" spans="1:62" ht="18" customHeight="1" x14ac:dyDescent="0.2">
      <c r="A88" s="21" t="s">
        <v>153</v>
      </c>
      <c r="B88" s="23">
        <f t="shared" ref="B88:AG88" si="68">(B84/B56)*1000</f>
        <v>27.923692977223421</v>
      </c>
      <c r="C88" s="23">
        <f t="shared" si="68"/>
        <v>24.610547967944818</v>
      </c>
      <c r="D88" s="23">
        <f t="shared" si="68"/>
        <v>23.715871722392777</v>
      </c>
      <c r="E88" s="23">
        <f t="shared" si="68"/>
        <v>23.067167474522776</v>
      </c>
      <c r="F88" s="23">
        <f t="shared" si="68"/>
        <v>23.019046505443633</v>
      </c>
      <c r="G88" s="23">
        <f t="shared" si="68"/>
        <v>23.049079482189875</v>
      </c>
      <c r="H88" s="23">
        <f t="shared" si="68"/>
        <v>23.536259210396992</v>
      </c>
      <c r="I88" s="23">
        <f t="shared" si="68"/>
        <v>24.173676822534713</v>
      </c>
      <c r="J88" s="23">
        <f t="shared" si="68"/>
        <v>24.825340681266105</v>
      </c>
      <c r="K88" s="23">
        <f t="shared" si="68"/>
        <v>25.614766599544144</v>
      </c>
      <c r="L88" s="23">
        <f t="shared" si="68"/>
        <v>26.388624512648047</v>
      </c>
      <c r="M88" s="37">
        <f t="shared" si="68"/>
        <v>25.992475306888569</v>
      </c>
      <c r="N88" s="23">
        <f t="shared" si="68"/>
        <v>26.235955890620108</v>
      </c>
      <c r="O88" s="23">
        <f t="shared" si="68"/>
        <v>26.775307077968765</v>
      </c>
      <c r="P88" s="23">
        <f t="shared" si="68"/>
        <v>27.611773687885268</v>
      </c>
      <c r="Q88" s="23">
        <f t="shared" si="68"/>
        <v>28.357220007192289</v>
      </c>
      <c r="R88" s="23">
        <f t="shared" si="68"/>
        <v>28.937872255289136</v>
      </c>
      <c r="S88" s="23">
        <f t="shared" si="68"/>
        <v>29.30469313635524</v>
      </c>
      <c r="T88" s="23">
        <f t="shared" si="68"/>
        <v>29.136943386032748</v>
      </c>
      <c r="U88" s="23">
        <f t="shared" si="68"/>
        <v>28.166657134695363</v>
      </c>
      <c r="V88" s="23">
        <f t="shared" si="68"/>
        <v>28.750490523388518</v>
      </c>
      <c r="W88" s="23">
        <f t="shared" si="68"/>
        <v>29.064947589389519</v>
      </c>
      <c r="X88" s="23">
        <f t="shared" si="68"/>
        <v>29.582705425474828</v>
      </c>
      <c r="Y88" s="23">
        <f t="shared" si="68"/>
        <v>29.981141539762689</v>
      </c>
      <c r="Z88" s="23">
        <f t="shared" si="68"/>
        <v>30.515302422088009</v>
      </c>
      <c r="AA88" s="23">
        <f t="shared" si="68"/>
        <v>31.175816320434848</v>
      </c>
      <c r="AB88" s="23">
        <f t="shared" si="68"/>
        <v>31.464653913839477</v>
      </c>
      <c r="AC88" s="23">
        <f t="shared" si="68"/>
        <v>32.030777729428408</v>
      </c>
      <c r="AD88" s="23">
        <f t="shared" si="68"/>
        <v>32.828203685987553</v>
      </c>
      <c r="AE88" s="23">
        <f t="shared" si="68"/>
        <v>33.410061348147742</v>
      </c>
      <c r="AF88" s="23">
        <f t="shared" si="68"/>
        <v>32.407133839910806</v>
      </c>
      <c r="AG88" s="23">
        <f t="shared" si="68"/>
        <v>34.355401046950448</v>
      </c>
      <c r="AH88" s="23">
        <f t="shared" ref="AH88:BI88" si="69">(AH84/AH56)*1000</f>
        <v>35.018196083834859</v>
      </c>
    </row>
    <row r="89" spans="1:62" ht="18" customHeight="1" x14ac:dyDescent="0.2">
      <c r="A89" s="21" t="s">
        <v>166</v>
      </c>
      <c r="D89" s="23">
        <f>+LN(D88/C88)/10</f>
        <v>-3.7030613298731805E-3</v>
      </c>
      <c r="E89" s="23">
        <f>+LN(E88/D88)/10</f>
        <v>-2.7734231881739557E-3</v>
      </c>
      <c r="F89" s="23">
        <f>+LN(F88/E88)/10</f>
        <v>-2.0883028746105449E-4</v>
      </c>
    </row>
    <row r="90" spans="1:62" s="33" customFormat="1" ht="18" customHeight="1" x14ac:dyDescent="0.2">
      <c r="A90" s="32" t="s">
        <v>5</v>
      </c>
      <c r="B90" s="33">
        <f t="shared" ref="B90:AG90" si="70">+(1/(1-$B$18))*(B88)^(1-$B$18)+1</f>
        <v>0.62151944792345337</v>
      </c>
      <c r="C90" s="33">
        <f t="shared" si="70"/>
        <v>0.59684750316366286</v>
      </c>
      <c r="D90" s="33">
        <f t="shared" si="70"/>
        <v>0.58931347890469099</v>
      </c>
      <c r="E90" s="33">
        <f t="shared" si="70"/>
        <v>0.58357877127039992</v>
      </c>
      <c r="F90" s="33">
        <f t="shared" si="70"/>
        <v>0.58314373736478331</v>
      </c>
      <c r="G90" s="33">
        <f t="shared" si="70"/>
        <v>0.58341540798226665</v>
      </c>
      <c r="H90" s="33">
        <f t="shared" si="70"/>
        <v>0.58774941892328414</v>
      </c>
      <c r="I90" s="33">
        <f t="shared" si="70"/>
        <v>0.59322089185899474</v>
      </c>
      <c r="J90" s="33">
        <f t="shared" si="70"/>
        <v>0.59859536115219414</v>
      </c>
      <c r="K90" s="33">
        <f t="shared" si="70"/>
        <v>0.60482924730346999</v>
      </c>
      <c r="L90" s="33">
        <f t="shared" si="70"/>
        <v>0.61066663901936158</v>
      </c>
      <c r="M90" s="37">
        <f t="shared" si="70"/>
        <v>0.60771095918038076</v>
      </c>
      <c r="N90" s="33">
        <f t="shared" si="70"/>
        <v>0.60953550492075315</v>
      </c>
      <c r="O90" s="33">
        <f t="shared" si="70"/>
        <v>0.61348819264478038</v>
      </c>
      <c r="P90" s="33">
        <f t="shared" si="70"/>
        <v>0.61938767888355339</v>
      </c>
      <c r="Q90" s="33">
        <f t="shared" si="70"/>
        <v>0.624423708496327</v>
      </c>
      <c r="R90" s="33">
        <f t="shared" si="70"/>
        <v>0.62821086148903915</v>
      </c>
      <c r="S90" s="33">
        <f t="shared" si="70"/>
        <v>0.630545120620146</v>
      </c>
      <c r="T90" s="33">
        <f t="shared" si="70"/>
        <v>0.62948311807134427</v>
      </c>
      <c r="U90" s="33">
        <f t="shared" si="70"/>
        <v>0.62315536042260111</v>
      </c>
      <c r="V90" s="33">
        <f t="shared" si="70"/>
        <v>0.62700125868345868</v>
      </c>
      <c r="W90" s="33">
        <f t="shared" si="70"/>
        <v>0.62902450449414404</v>
      </c>
      <c r="X90" s="33">
        <f t="shared" si="70"/>
        <v>0.63228524977497191</v>
      </c>
      <c r="Y90" s="33">
        <f t="shared" si="70"/>
        <v>0.63473680525826337</v>
      </c>
      <c r="Z90" s="33">
        <f t="shared" si="70"/>
        <v>0.63794782862342692</v>
      </c>
      <c r="AA90" s="33">
        <f t="shared" si="70"/>
        <v>0.64180371388619273</v>
      </c>
      <c r="AB90" s="33">
        <f t="shared" si="70"/>
        <v>0.64345158017251336</v>
      </c>
      <c r="AC90" s="33">
        <f t="shared" si="70"/>
        <v>0.64661651139776211</v>
      </c>
      <c r="AD90" s="33">
        <f t="shared" si="70"/>
        <v>0.65093489490771073</v>
      </c>
      <c r="AE90" s="33">
        <f t="shared" si="70"/>
        <v>0.65398784197254967</v>
      </c>
      <c r="AF90" s="33">
        <f t="shared" si="70"/>
        <v>0.64867449087626694</v>
      </c>
      <c r="AG90" s="33">
        <f t="shared" si="70"/>
        <v>0.65878156688488021</v>
      </c>
      <c r="AH90" s="33">
        <f t="shared" ref="AH90:BI90" si="71">+(1/(1-$B$18))*(AH88)^(1-$B$18)+1</f>
        <v>0.66202614098828216</v>
      </c>
    </row>
    <row r="91" spans="1:62" ht="18" customHeight="1" x14ac:dyDescent="0.2">
      <c r="A91" s="21" t="s">
        <v>115</v>
      </c>
      <c r="B91" s="29">
        <f t="shared" ref="B91:AG91" si="72">B$17*B$56*B90</f>
        <v>184.49343519873466</v>
      </c>
      <c r="C91" s="29">
        <f t="shared" si="72"/>
        <v>167.58681402572412</v>
      </c>
      <c r="D91" s="29">
        <f t="shared" si="72"/>
        <v>153.91013929044942</v>
      </c>
      <c r="E91" s="29">
        <f t="shared" si="72"/>
        <v>139.1149341276541</v>
      </c>
      <c r="F91" s="29">
        <f t="shared" si="72"/>
        <v>125.06661400840881</v>
      </c>
      <c r="G91" s="29">
        <f t="shared" si="72"/>
        <v>110.50419079016777</v>
      </c>
      <c r="H91" s="29">
        <f t="shared" si="72"/>
        <v>97.224710921620556</v>
      </c>
      <c r="I91" s="29">
        <f t="shared" si="72"/>
        <v>85.700723371349383</v>
      </c>
      <c r="J91" s="29">
        <f t="shared" si="72"/>
        <v>75.524002030697559</v>
      </c>
      <c r="K91" s="29">
        <f t="shared" si="72"/>
        <v>66.645070283036404</v>
      </c>
      <c r="L91" s="29">
        <f t="shared" si="72"/>
        <v>58.583316809202849</v>
      </c>
      <c r="M91" s="36">
        <f t="shared" si="72"/>
        <v>50.60020331907414</v>
      </c>
      <c r="N91" s="29">
        <f t="shared" si="72"/>
        <v>44.049363126103195</v>
      </c>
      <c r="O91" s="29">
        <f t="shared" si="72"/>
        <v>38.479752180000894</v>
      </c>
      <c r="P91" s="29">
        <f t="shared" si="72"/>
        <v>33.718950737576982</v>
      </c>
      <c r="Q91" s="29">
        <f t="shared" si="72"/>
        <v>29.503687965508117</v>
      </c>
      <c r="R91" s="29">
        <f t="shared" si="72"/>
        <v>25.762487553584421</v>
      </c>
      <c r="S91" s="29">
        <f t="shared" si="72"/>
        <v>22.443157409893924</v>
      </c>
      <c r="T91" s="29">
        <f t="shared" si="72"/>
        <v>19.44631452007841</v>
      </c>
      <c r="U91" s="29">
        <f t="shared" si="72"/>
        <v>16.708404686478129</v>
      </c>
      <c r="V91" s="29">
        <f t="shared" si="72"/>
        <v>14.573265679511465</v>
      </c>
      <c r="W91" s="29">
        <f t="shared" si="72"/>
        <v>12.658150087004518</v>
      </c>
      <c r="X91" s="29">
        <f t="shared" si="72"/>
        <v>11.016152356572219</v>
      </c>
      <c r="Y91" s="29">
        <f t="shared" si="72"/>
        <v>9.5746910987017984</v>
      </c>
      <c r="Z91" s="29">
        <f t="shared" si="72"/>
        <v>8.3316393061657283</v>
      </c>
      <c r="AA91" s="29">
        <f t="shared" si="72"/>
        <v>7.2570769679173583</v>
      </c>
      <c r="AB91" s="29">
        <f t="shared" si="72"/>
        <v>6.2992606917281035</v>
      </c>
      <c r="AC91" s="29">
        <f t="shared" si="72"/>
        <v>5.4806832963533312</v>
      </c>
      <c r="AD91" s="29">
        <f t="shared" si="72"/>
        <v>4.7768288046260103</v>
      </c>
      <c r="AE91" s="29">
        <f t="shared" si="72"/>
        <v>4.1551432877235799</v>
      </c>
      <c r="AF91" s="29">
        <f t="shared" si="72"/>
        <v>3.5597544525875784</v>
      </c>
      <c r="AG91" s="29">
        <f t="shared" si="72"/>
        <v>3.1151161088051449</v>
      </c>
      <c r="AH91" s="29">
        <f t="shared" ref="AH91:BH91" si="73">AH$17*AH$56*AH90</f>
        <v>2.6974134319502552</v>
      </c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</row>
    <row r="92" spans="1:62" ht="39" customHeight="1" x14ac:dyDescent="0.2">
      <c r="A92" s="57" t="s">
        <v>62</v>
      </c>
      <c r="B92" s="128">
        <f>SUM(B91:AO91)*10*B52+B53</f>
        <v>-231.93049809679178</v>
      </c>
      <c r="C92" s="84">
        <v>445.2911433164918</v>
      </c>
      <c r="D92" s="84">
        <f>+B92-C92</f>
        <v>-677.22164141328358</v>
      </c>
      <c r="I92" s="33"/>
      <c r="BJ92" s="592"/>
    </row>
    <row r="93" spans="1:62" s="33" customFormat="1" ht="18" customHeight="1" x14ac:dyDescent="0.2">
      <c r="A93" s="32" t="s">
        <v>270</v>
      </c>
      <c r="B93" s="33">
        <f>+B90*Data!B359</f>
        <v>0.62151944792345337</v>
      </c>
      <c r="C93" s="33">
        <f>+C90*Data!C359</f>
        <v>0.43405188084711566</v>
      </c>
      <c r="D93" s="33">
        <f>+D90*Data!D359</f>
        <v>0.37002433638126198</v>
      </c>
      <c r="E93" s="33">
        <f>+E90*Data!E359</f>
        <v>0.31745651638621447</v>
      </c>
      <c r="F93" s="33">
        <f>+F90*Data!F359</f>
        <v>0.27615794921424525</v>
      </c>
      <c r="G93" s="33">
        <f>+G90*Data!G359</f>
        <v>0.24294751221604396</v>
      </c>
      <c r="H93" s="33">
        <f>+H90*Data!H359</f>
        <v>0.21695471311155684</v>
      </c>
      <c r="I93" s="33">
        <f>+I90*Data!I359</f>
        <v>0.19560789158850958</v>
      </c>
      <c r="J93" s="33">
        <f>+J90*Data!J359</f>
        <v>0.17770156123563571</v>
      </c>
      <c r="K93" s="33">
        <f>+K90*Data!K359</f>
        <v>0.16336704165340843</v>
      </c>
      <c r="L93" s="33">
        <f>+L90*Data!L359</f>
        <v>0.152234816085876</v>
      </c>
      <c r="M93" s="37">
        <f>+M90*Data!M359</f>
        <v>0.13759723713473035</v>
      </c>
      <c r="N93" s="33">
        <f>+N90*Data!N359</f>
        <v>0.1321806767761694</v>
      </c>
      <c r="O93" s="33">
        <f>+O90*Data!O359</f>
        <v>0.12662730561257032</v>
      </c>
      <c r="P93" s="33">
        <f>+P90*Data!P359</f>
        <v>0.12170873699285961</v>
      </c>
      <c r="Q93" s="33">
        <f>+Q90*Data!Q359</f>
        <v>0.11718306921221752</v>
      </c>
      <c r="R93" s="33">
        <f>+R90*Data!R359</f>
        <v>0.11310344216557962</v>
      </c>
      <c r="S93" s="33">
        <f>+S90*Data!S359</f>
        <v>0.10945437827094044</v>
      </c>
      <c r="T93" s="33">
        <f>+T90*Data!T359</f>
        <v>0.10588350196346855</v>
      </c>
      <c r="U93" s="33">
        <f>+U90*Data!U359</f>
        <v>0.10206514739704919</v>
      </c>
      <c r="V93" s="33">
        <f>+V90*Data!V359</f>
        <v>0.10069726673064301</v>
      </c>
      <c r="W93" s="33">
        <f>+W90*Data!W359</f>
        <v>9.948579786213968E-2</v>
      </c>
      <c r="X93" s="33">
        <f>+X90*Data!X359</f>
        <v>9.8568967542751365E-2</v>
      </c>
      <c r="Y93" s="33">
        <f>+Y90*Data!Y359</f>
        <v>9.7643078012871434E-2</v>
      </c>
      <c r="Z93" s="33">
        <f>+Z90*Data!Z359</f>
        <v>9.7042241913882069E-2</v>
      </c>
      <c r="AA93" s="33">
        <f>+AA90*Data!AA359</f>
        <v>9.6777042325375956E-2</v>
      </c>
      <c r="AB93" s="33">
        <f>+AB90*Data!AB359</f>
        <v>9.641152661613038E-2</v>
      </c>
      <c r="AC93" s="33">
        <f>+AC90*Data!AC359</f>
        <v>9.6394335899142383E-2</v>
      </c>
      <c r="AD93" s="33">
        <f>+AD90*Data!AD359</f>
        <v>9.6677525364498543E-2</v>
      </c>
      <c r="AE93" s="33">
        <f>+AE90*Data!AE359</f>
        <v>9.6898453773597529E-2</v>
      </c>
      <c r="AF93" s="33">
        <f>+AF90*Data!AF359</f>
        <v>9.5992757886135649E-2</v>
      </c>
      <c r="AG93" s="33">
        <f>+AG90*Data!AG359</f>
        <v>9.7475305898672246E-2</v>
      </c>
      <c r="AH93" s="33">
        <f>+AH90*Data!AH359</f>
        <v>9.8054153506607844E-2</v>
      </c>
    </row>
    <row r="94" spans="1:62" ht="18" customHeight="1" x14ac:dyDescent="0.2">
      <c r="A94" s="21" t="s">
        <v>271</v>
      </c>
      <c r="B94" s="29">
        <f>B$17*B$56*B93</f>
        <v>184.49343519873466</v>
      </c>
      <c r="C94" s="29">
        <f t="shared" ref="C94:BH94" si="74">C$17*C$56*C93</f>
        <v>121.87597576846152</v>
      </c>
      <c r="D94" s="29">
        <f t="shared" si="74"/>
        <v>96.638714694164818</v>
      </c>
      <c r="E94" s="29">
        <f t="shared" si="74"/>
        <v>75.676060438805735</v>
      </c>
      <c r="F94" s="29">
        <f t="shared" si="74"/>
        <v>59.227489599406553</v>
      </c>
      <c r="G94" s="29">
        <f t="shared" si="74"/>
        <v>46.016471067789084</v>
      </c>
      <c r="H94" s="29">
        <f t="shared" si="74"/>
        <v>35.888354094838228</v>
      </c>
      <c r="I94" s="29">
        <f t="shared" si="74"/>
        <v>28.25884596502782</v>
      </c>
      <c r="J94" s="29">
        <f t="shared" si="74"/>
        <v>22.420376004561167</v>
      </c>
      <c r="K94" s="29">
        <f t="shared" si="74"/>
        <v>18.001126799776497</v>
      </c>
      <c r="L94" s="29">
        <f t="shared" si="74"/>
        <v>14.604400978038099</v>
      </c>
      <c r="M94" s="29">
        <f t="shared" si="74"/>
        <v>11.456841562558724</v>
      </c>
      <c r="N94" s="29">
        <f t="shared" si="74"/>
        <v>9.5523141516170629</v>
      </c>
      <c r="O94" s="29">
        <f t="shared" si="74"/>
        <v>7.9424305106622466</v>
      </c>
      <c r="P94" s="29">
        <f t="shared" si="74"/>
        <v>6.6257225432579023</v>
      </c>
      <c r="Q94" s="29">
        <f t="shared" si="74"/>
        <v>5.536837666211297</v>
      </c>
      <c r="R94" s="29">
        <f t="shared" si="74"/>
        <v>4.6382929676696465</v>
      </c>
      <c r="S94" s="29">
        <f t="shared" si="74"/>
        <v>3.8958383157747711</v>
      </c>
      <c r="T94" s="29">
        <f t="shared" si="74"/>
        <v>3.2710073114869167</v>
      </c>
      <c r="U94" s="29">
        <f t="shared" si="74"/>
        <v>2.7366302135930192</v>
      </c>
      <c r="V94" s="29">
        <f t="shared" si="74"/>
        <v>2.3404865635320076</v>
      </c>
      <c r="W94" s="29">
        <f t="shared" si="74"/>
        <v>2.0019985737711128</v>
      </c>
      <c r="X94" s="29">
        <f t="shared" si="74"/>
        <v>1.7173431840572295</v>
      </c>
      <c r="Y94" s="29">
        <f t="shared" si="74"/>
        <v>1.472897588661634</v>
      </c>
      <c r="Z94" s="29">
        <f t="shared" si="74"/>
        <v>1.2673778651034544</v>
      </c>
      <c r="AA94" s="29">
        <f t="shared" si="74"/>
        <v>1.0942885335300305</v>
      </c>
      <c r="AB94" s="29">
        <f t="shared" si="74"/>
        <v>0.94384932535197341</v>
      </c>
      <c r="AC94" s="29">
        <f t="shared" si="74"/>
        <v>0.81703268832941589</v>
      </c>
      <c r="AD94" s="29">
        <f t="shared" si="74"/>
        <v>0.70945956582428082</v>
      </c>
      <c r="AE94" s="29">
        <f t="shared" si="74"/>
        <v>0.61564899826540986</v>
      </c>
      <c r="AF94" s="29">
        <f t="shared" si="74"/>
        <v>0.52678292750456446</v>
      </c>
      <c r="AG94" s="29">
        <f t="shared" si="74"/>
        <v>0.46092196697532112</v>
      </c>
      <c r="AH94" s="29">
        <f t="shared" si="74"/>
        <v>0.39951985934029416</v>
      </c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</row>
    <row r="95" spans="1:62" ht="39" customHeight="1" x14ac:dyDescent="0.2">
      <c r="A95" s="57" t="s">
        <v>62</v>
      </c>
      <c r="B95" s="191">
        <f>SUM(B94:BI94)*10*B52+B53-C53</f>
        <v>329.37400045444906</v>
      </c>
      <c r="C95" s="84">
        <v>660.22619385237249</v>
      </c>
      <c r="D95" s="183">
        <f>+B95-C95</f>
        <v>-330.85219339792343</v>
      </c>
      <c r="I95" s="33"/>
    </row>
    <row r="96" spans="1:62" ht="21.75" customHeight="1" x14ac:dyDescent="0.2">
      <c r="A96" s="608" t="s">
        <v>61</v>
      </c>
    </row>
    <row r="97" spans="1:61" s="386" customFormat="1" ht="18" customHeight="1" x14ac:dyDescent="0.2">
      <c r="A97" s="386" t="s">
        <v>191</v>
      </c>
      <c r="B97" s="385">
        <f>+Controls!B28</f>
        <v>0.17851791916683227</v>
      </c>
      <c r="C97" s="385">
        <f>+Controls!C28</f>
        <v>0.20441168561441803</v>
      </c>
      <c r="D97" s="385">
        <f>+Controls!D28</f>
        <v>0.20081130743596862</v>
      </c>
      <c r="E97" s="385">
        <f>+Controls!E28</f>
        <v>0.19862347859815724</v>
      </c>
      <c r="F97" s="385">
        <f>+Controls!F28</f>
        <v>0.19724517955141138</v>
      </c>
      <c r="G97" s="385">
        <f>+Controls!G28</f>
        <v>0.19749773378886082</v>
      </c>
      <c r="H97" s="385">
        <f>+Controls!H28</f>
        <v>0.19978659099475396</v>
      </c>
      <c r="I97" s="385">
        <f>+Controls!I28</f>
        <v>0.20224864393886471</v>
      </c>
      <c r="J97" s="385">
        <f>+Controls!J28</f>
        <v>0.20500133186596789</v>
      </c>
      <c r="K97" s="385">
        <f>+Controls!K28</f>
        <v>0.20701315102347004</v>
      </c>
      <c r="L97" s="385">
        <f>+Controls!L28</f>
        <v>0.20687069210728645</v>
      </c>
      <c r="M97" s="449">
        <f>+Controls!M28</f>
        <v>0.22030307885972511</v>
      </c>
      <c r="N97" s="385">
        <f>+Controls!N28</f>
        <v>0.22030307885972511</v>
      </c>
      <c r="O97" s="385">
        <f>+Controls!O28</f>
        <v>0.22030307885972511</v>
      </c>
      <c r="P97" s="385">
        <f>+Controls!P28</f>
        <v>0.22030307885972511</v>
      </c>
      <c r="Q97" s="385">
        <f>+Controls!Q28</f>
        <v>0.22030307885972511</v>
      </c>
      <c r="R97" s="385">
        <f>+Controls!R28</f>
        <v>0.22030307885972511</v>
      </c>
      <c r="S97" s="385">
        <f>+Controls!S28</f>
        <v>0.22030307885972511</v>
      </c>
      <c r="T97" s="385">
        <f>+Controls!T28</f>
        <v>0.22030307885972511</v>
      </c>
      <c r="U97" s="385">
        <f>+Controls!U28</f>
        <v>0.22030307885972511</v>
      </c>
      <c r="V97" s="385">
        <f>+Controls!V28</f>
        <v>0.22030307885972511</v>
      </c>
      <c r="W97" s="385">
        <f>+Controls!W28</f>
        <v>0.22030307885972511</v>
      </c>
      <c r="X97" s="385">
        <f>+Controls!X28</f>
        <v>0.22030307885972511</v>
      </c>
      <c r="Y97" s="385">
        <f>+Controls!Y28</f>
        <v>0.22030307885972511</v>
      </c>
      <c r="Z97" s="385">
        <f>+Controls!Z28</f>
        <v>0.22030307885972511</v>
      </c>
      <c r="AA97" s="385">
        <f>+Controls!AA28</f>
        <v>0.22030307885972511</v>
      </c>
      <c r="AB97" s="385">
        <f>+Controls!AB28</f>
        <v>0.22030307885972511</v>
      </c>
      <c r="AC97" s="385">
        <f>+Controls!AC28</f>
        <v>0.22030307885972511</v>
      </c>
      <c r="AD97" s="385">
        <f>+Controls!AD28</f>
        <v>0.22030307885972511</v>
      </c>
      <c r="AE97" s="385">
        <f>+Controls!AE28</f>
        <v>0.22030307885972511</v>
      </c>
      <c r="AF97" s="385">
        <f>+Controls!AF28</f>
        <v>0.22030307885972511</v>
      </c>
      <c r="AG97" s="385">
        <f>+Controls!AG28</f>
        <v>0.22030307885972511</v>
      </c>
      <c r="AH97" s="385">
        <f>+Controls!AH28</f>
        <v>0.22030307885972511</v>
      </c>
      <c r="AI97" s="385"/>
      <c r="AJ97" s="385"/>
      <c r="AK97" s="385"/>
      <c r="AL97" s="385"/>
      <c r="AM97" s="385"/>
      <c r="AN97" s="385"/>
      <c r="AO97" s="385"/>
      <c r="AP97" s="385"/>
      <c r="AQ97" s="385"/>
      <c r="AR97" s="385"/>
      <c r="AS97" s="385"/>
      <c r="AT97" s="385"/>
      <c r="AU97" s="385"/>
      <c r="AV97" s="385"/>
      <c r="AW97" s="385"/>
      <c r="AX97" s="385"/>
      <c r="AY97" s="385"/>
      <c r="AZ97" s="385"/>
      <c r="BA97" s="385"/>
      <c r="BB97" s="385"/>
      <c r="BC97" s="385"/>
      <c r="BD97" s="385"/>
      <c r="BE97" s="385"/>
      <c r="BF97" s="385"/>
      <c r="BG97" s="385"/>
      <c r="BH97" s="385"/>
      <c r="BI97" s="385"/>
    </row>
    <row r="98" spans="1:61" s="40" customFormat="1" ht="18" customHeight="1" x14ac:dyDescent="0.2">
      <c r="A98" s="609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443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609" t="str">
        <f>+Controls!C2</f>
        <v>Trade (0) or no trade (1)</v>
      </c>
      <c r="B99" s="398">
        <f>+Controls!I2</f>
        <v>1</v>
      </c>
      <c r="M99" s="443"/>
    </row>
    <row r="100" spans="1:61" s="103" customFormat="1" ht="18" customHeight="1" x14ac:dyDescent="0.2">
      <c r="A100" s="610"/>
      <c r="B100" s="509"/>
      <c r="M100" s="510"/>
    </row>
    <row r="101" spans="1:61" s="504" customFormat="1" ht="18" customHeight="1" x14ac:dyDescent="0.2">
      <c r="A101" s="611" t="s">
        <v>1010</v>
      </c>
      <c r="B101" s="466">
        <f t="shared" ref="B101:AG101" si="75">+B$36*1000*B103^($B$38-1)</f>
        <v>1.0000000000000007E-3</v>
      </c>
      <c r="C101" s="466">
        <f t="shared" si="75"/>
        <v>1.0000000000000013E-3</v>
      </c>
      <c r="D101" s="466">
        <f t="shared" si="75"/>
        <v>9.999999999999998E-4</v>
      </c>
      <c r="E101" s="466">
        <f t="shared" si="75"/>
        <v>1.0000000000000254E-3</v>
      </c>
      <c r="F101" s="466">
        <f t="shared" si="75"/>
        <v>1.000000000000301E-3</v>
      </c>
      <c r="G101" s="466">
        <f t="shared" si="75"/>
        <v>1.0000000000020134E-3</v>
      </c>
      <c r="H101" s="466">
        <f t="shared" si="75"/>
        <v>1.0000000000091711E-3</v>
      </c>
      <c r="I101" s="466">
        <f t="shared" si="75"/>
        <v>1.0000000000319836E-3</v>
      </c>
      <c r="J101" s="466">
        <f t="shared" si="75"/>
        <v>1.000000000092227E-3</v>
      </c>
      <c r="K101" s="466">
        <f t="shared" si="75"/>
        <v>1.0000000002275578E-3</v>
      </c>
      <c r="L101" s="466">
        <f t="shared" si="75"/>
        <v>1.0000000005053208E-3</v>
      </c>
      <c r="M101" s="466">
        <f t="shared" si="75"/>
        <v>1.0000000010417336E-3</v>
      </c>
      <c r="N101" s="466">
        <f t="shared" si="75"/>
        <v>1.0000000019921491E-3</v>
      </c>
      <c r="O101" s="466">
        <f t="shared" si="75"/>
        <v>1.0000000035927897E-3</v>
      </c>
      <c r="P101" s="466">
        <f t="shared" si="75"/>
        <v>1.0000000062096886E-3</v>
      </c>
      <c r="Q101" s="466">
        <f t="shared" si="75"/>
        <v>1.0000000104204651E-3</v>
      </c>
      <c r="R101" s="466">
        <f t="shared" si="75"/>
        <v>1.0000000170144578E-3</v>
      </c>
      <c r="S101" s="466">
        <f t="shared" si="75"/>
        <v>1.0000000272142185E-3</v>
      </c>
      <c r="T101" s="466">
        <f t="shared" si="75"/>
        <v>1.000000042781987E-3</v>
      </c>
      <c r="U101" s="466">
        <f t="shared" si="75"/>
        <v>1.0000000656043386E-3</v>
      </c>
      <c r="V101" s="466">
        <f t="shared" si="75"/>
        <v>1.0000000970886358E-3</v>
      </c>
      <c r="W101" s="466">
        <f t="shared" si="75"/>
        <v>1.0000001421883778E-3</v>
      </c>
      <c r="X101" s="466">
        <f t="shared" si="75"/>
        <v>1.0000002055977509E-3</v>
      </c>
      <c r="Y101" s="466">
        <f t="shared" si="75"/>
        <v>1.0000002932497479E-3</v>
      </c>
      <c r="Z101" s="466">
        <f t="shared" si="75"/>
        <v>1.0000004131003608E-3</v>
      </c>
      <c r="AA101" s="466">
        <f t="shared" si="75"/>
        <v>1.0000005755955619E-3</v>
      </c>
      <c r="AB101" s="466">
        <f t="shared" si="75"/>
        <v>382.34860841173639</v>
      </c>
      <c r="AC101" s="466">
        <f t="shared" si="75"/>
        <v>368.90117799114955</v>
      </c>
      <c r="AD101" s="466">
        <f t="shared" si="75"/>
        <v>356.1261190915921</v>
      </c>
      <c r="AE101" s="466">
        <f t="shared" si="75"/>
        <v>343.9898131370125</v>
      </c>
      <c r="AF101" s="466">
        <f t="shared" si="75"/>
        <v>332.46032248016189</v>
      </c>
      <c r="AG101" s="466">
        <f t="shared" si="75"/>
        <v>321.50730635615383</v>
      </c>
      <c r="AH101" s="466">
        <f t="shared" ref="AH101:BI101" si="76">+AH$36*1000*AH103^($B$38-1)</f>
        <v>311.10194103834613</v>
      </c>
      <c r="AI101" s="466"/>
      <c r="AJ101" s="466"/>
      <c r="AK101" s="466"/>
      <c r="AL101" s="466"/>
      <c r="AM101" s="466"/>
      <c r="AN101" s="466"/>
      <c r="AO101" s="466"/>
      <c r="AP101" s="466"/>
      <c r="AQ101" s="466"/>
      <c r="AR101" s="466"/>
      <c r="AS101" s="466"/>
      <c r="AT101" s="466"/>
      <c r="AU101" s="466"/>
      <c r="AV101" s="466"/>
      <c r="AW101" s="466"/>
      <c r="AX101" s="466"/>
      <c r="AY101" s="466"/>
      <c r="AZ101" s="466"/>
      <c r="BA101" s="466"/>
      <c r="BB101" s="466"/>
      <c r="BC101" s="466"/>
      <c r="BD101" s="466"/>
      <c r="BE101" s="466"/>
      <c r="BF101" s="466"/>
      <c r="BG101" s="466"/>
      <c r="BH101" s="466"/>
      <c r="BI101" s="466"/>
    </row>
    <row r="102" spans="1:61" s="467" customFormat="1" ht="18" customHeight="1" x14ac:dyDescent="0.2">
      <c r="A102" s="612" t="s">
        <v>955</v>
      </c>
      <c r="B102" s="465">
        <f>+B119*(1-MIN(B103,1))</f>
        <v>1.3531593612572181</v>
      </c>
      <c r="C102" s="465">
        <f>+C119*(1-MIN(C103,1))</f>
        <v>1.0249346945718352</v>
      </c>
      <c r="D102" s="465">
        <f t="shared" ref="D102:BI102" si="77">+D119*(1-MIN(D103,1))</f>
        <v>0.90434403659634821</v>
      </c>
      <c r="E102" s="465">
        <f t="shared" si="77"/>
        <v>0.80274829064954667</v>
      </c>
      <c r="F102" s="465">
        <f t="shared" si="77"/>
        <v>0.73022605431524468</v>
      </c>
      <c r="G102" s="465">
        <f t="shared" si="77"/>
        <v>0.6628673166969884</v>
      </c>
      <c r="H102" s="465">
        <f t="shared" si="77"/>
        <v>0.61410385665851286</v>
      </c>
      <c r="I102" s="465">
        <f t="shared" si="77"/>
        <v>0.57771221533232253</v>
      </c>
      <c r="J102" s="465">
        <f t="shared" si="77"/>
        <v>0.54799911392480138</v>
      </c>
      <c r="K102" s="465">
        <f t="shared" si="77"/>
        <v>0.52511976515499892</v>
      </c>
      <c r="L102" s="465">
        <f t="shared" si="77"/>
        <v>0.50298313129183059</v>
      </c>
      <c r="M102" s="465">
        <f t="shared" si="77"/>
        <v>0.4700430831526497</v>
      </c>
      <c r="N102" s="465">
        <f t="shared" si="77"/>
        <v>0.44480351833586473</v>
      </c>
      <c r="O102" s="465">
        <f t="shared" si="77"/>
        <v>0.42747736343326487</v>
      </c>
      <c r="P102" s="465">
        <f t="shared" si="77"/>
        <v>0.41680690054393893</v>
      </c>
      <c r="Q102" s="465">
        <f t="shared" si="77"/>
        <v>0.40650186865782678</v>
      </c>
      <c r="R102" s="465">
        <f t="shared" si="77"/>
        <v>0.39511956780907359</v>
      </c>
      <c r="S102" s="465">
        <f t="shared" si="77"/>
        <v>0.3823472370136678</v>
      </c>
      <c r="T102" s="465">
        <f t="shared" si="77"/>
        <v>0.36414797698946882</v>
      </c>
      <c r="U102" s="465">
        <f t="shared" si="77"/>
        <v>0.33822955632752744</v>
      </c>
      <c r="V102" s="465">
        <f t="shared" si="77"/>
        <v>0.33202422852343044</v>
      </c>
      <c r="W102" s="465">
        <f t="shared" si="77"/>
        <v>0.32290746918073121</v>
      </c>
      <c r="X102" s="465">
        <f t="shared" si="77"/>
        <v>0.31687736896829316</v>
      </c>
      <c r="Y102" s="465">
        <f t="shared" si="77"/>
        <v>0.31013351103830777</v>
      </c>
      <c r="Z102" s="465">
        <f t="shared" si="77"/>
        <v>0.30531205106000564</v>
      </c>
      <c r="AA102" s="465">
        <f t="shared" si="77"/>
        <v>0.30219635960974756</v>
      </c>
      <c r="AB102" s="465">
        <f t="shared" si="77"/>
        <v>0</v>
      </c>
      <c r="AC102" s="465">
        <f t="shared" si="77"/>
        <v>0</v>
      </c>
      <c r="AD102" s="465">
        <f t="shared" si="77"/>
        <v>0</v>
      </c>
      <c r="AE102" s="465">
        <f t="shared" si="77"/>
        <v>0</v>
      </c>
      <c r="AF102" s="465">
        <f t="shared" si="77"/>
        <v>0</v>
      </c>
      <c r="AG102" s="465">
        <f t="shared" si="77"/>
        <v>0</v>
      </c>
      <c r="AH102" s="465">
        <f t="shared" si="77"/>
        <v>0</v>
      </c>
      <c r="AI102" s="465"/>
      <c r="AJ102" s="465"/>
      <c r="AK102" s="465"/>
      <c r="AL102" s="465"/>
      <c r="AM102" s="465"/>
      <c r="AN102" s="465"/>
      <c r="AO102" s="465"/>
      <c r="AP102" s="465"/>
      <c r="AQ102" s="465"/>
      <c r="AR102" s="465"/>
      <c r="AS102" s="465"/>
      <c r="AT102" s="465"/>
      <c r="AU102" s="465"/>
      <c r="AV102" s="465"/>
      <c r="AW102" s="465"/>
      <c r="AX102" s="465"/>
      <c r="AY102" s="465"/>
      <c r="AZ102" s="465"/>
      <c r="BA102" s="465"/>
      <c r="BB102" s="465"/>
      <c r="BC102" s="465"/>
      <c r="BD102" s="465"/>
      <c r="BE102" s="465"/>
      <c r="BF102" s="465"/>
      <c r="BG102" s="465"/>
      <c r="BH102" s="465"/>
      <c r="BI102" s="465"/>
    </row>
    <row r="103" spans="1:61" s="469" customFormat="1" ht="18" customHeight="1" x14ac:dyDescent="0.2">
      <c r="A103" s="613" t="s">
        <v>956</v>
      </c>
      <c r="B103" s="468">
        <f>+IF($B$98=1,B109,IF($B$99=1,B114,B122))</f>
        <v>4.3283869681682495E-4</v>
      </c>
      <c r="C103" s="468">
        <f>+IF($B$98&gt;0,C109,IF($B$99&gt;0,C114,C122))</f>
        <v>4.4405352179897341E-4</v>
      </c>
      <c r="D103" s="468">
        <f t="shared" ref="D103:BI103" si="78">+IF($B$98&gt;0,D109,IF($B$99&gt;0,D114,D122))</f>
        <v>4.5549649637615763E-4</v>
      </c>
      <c r="E103" s="468">
        <f t="shared" si="78"/>
        <v>4.6716769082530039E-4</v>
      </c>
      <c r="F103" s="468">
        <f t="shared" si="78"/>
        <v>4.7906680601439899E-4</v>
      </c>
      <c r="G103" s="468">
        <f t="shared" si="78"/>
        <v>4.9119315021222852E-4</v>
      </c>
      <c r="H103" s="468">
        <f t="shared" si="78"/>
        <v>5.0354561587584142E-4</v>
      </c>
      <c r="I103" s="468">
        <f t="shared" si="78"/>
        <v>5.161226565772761E-4</v>
      </c>
      <c r="J103" s="468">
        <f t="shared" si="78"/>
        <v>5.2892226424812146E-4</v>
      </c>
      <c r="K103" s="468">
        <f t="shared" si="78"/>
        <v>5.4194194693668336E-4</v>
      </c>
      <c r="L103" s="468">
        <f t="shared" si="78"/>
        <v>5.5517870729326186E-4</v>
      </c>
      <c r="M103" s="468">
        <f t="shared" si="78"/>
        <v>5.6862902201112336E-4</v>
      </c>
      <c r="N103" s="468">
        <f t="shared" si="78"/>
        <v>5.8228882245573853E-4</v>
      </c>
      <c r="O103" s="468">
        <f t="shared" si="78"/>
        <v>5.9615347676425718E-4</v>
      </c>
      <c r="P103" s="468">
        <f t="shared" si="78"/>
        <v>6.1021777367142166E-4</v>
      </c>
      <c r="Q103" s="468">
        <f t="shared" si="78"/>
        <v>6.2447590834889522E-4</v>
      </c>
      <c r="R103" s="468">
        <f t="shared" si="78"/>
        <v>6.389214705031876E-4</v>
      </c>
      <c r="S103" s="468">
        <f t="shared" si="78"/>
        <v>6.5354743512446986E-4</v>
      </c>
      <c r="T103" s="468">
        <f t="shared" si="78"/>
        <v>6.6834615605990068E-4</v>
      </c>
      <c r="U103" s="468">
        <f t="shared" si="78"/>
        <v>6.8330936253121273E-4</v>
      </c>
      <c r="V103" s="468">
        <f t="shared" si="78"/>
        <v>6.9842815896589336E-4</v>
      </c>
      <c r="W103" s="468">
        <f t="shared" si="78"/>
        <v>7.1369303029513408E-4</v>
      </c>
      <c r="X103" s="468">
        <f t="shared" si="78"/>
        <v>7.2909384818255977E-4</v>
      </c>
      <c r="Y103" s="468">
        <f t="shared" si="78"/>
        <v>7.4461988335854567E-4</v>
      </c>
      <c r="Z103" s="468">
        <f t="shared" si="78"/>
        <v>7.6025982201154564E-4</v>
      </c>
      <c r="AA103" s="468">
        <f t="shared" si="78"/>
        <v>7.7600178650404474E-4</v>
      </c>
      <c r="AB103" s="468">
        <f t="shared" si="78"/>
        <v>1</v>
      </c>
      <c r="AC103" s="468">
        <f t="shared" si="78"/>
        <v>1</v>
      </c>
      <c r="AD103" s="468">
        <f t="shared" si="78"/>
        <v>1</v>
      </c>
      <c r="AE103" s="468">
        <f t="shared" si="78"/>
        <v>1</v>
      </c>
      <c r="AF103" s="468">
        <f t="shared" si="78"/>
        <v>1</v>
      </c>
      <c r="AG103" s="468">
        <f t="shared" si="78"/>
        <v>1</v>
      </c>
      <c r="AH103" s="468">
        <f t="shared" si="78"/>
        <v>1</v>
      </c>
      <c r="AI103" s="468"/>
      <c r="AJ103" s="468"/>
      <c r="AK103" s="468"/>
      <c r="AL103" s="468"/>
      <c r="AM103" s="468"/>
      <c r="AN103" s="468"/>
      <c r="AO103" s="468"/>
      <c r="AP103" s="468"/>
      <c r="AQ103" s="468"/>
      <c r="AR103" s="468"/>
      <c r="AS103" s="468"/>
      <c r="AT103" s="468"/>
      <c r="AU103" s="468"/>
      <c r="AV103" s="468"/>
      <c r="AW103" s="468"/>
      <c r="AX103" s="468"/>
      <c r="AY103" s="468"/>
      <c r="AZ103" s="468"/>
      <c r="BA103" s="468"/>
      <c r="BB103" s="468"/>
      <c r="BC103" s="468"/>
      <c r="BD103" s="468"/>
      <c r="BE103" s="468"/>
      <c r="BF103" s="468"/>
      <c r="BG103" s="468"/>
      <c r="BH103" s="468"/>
      <c r="BI103" s="468"/>
    </row>
    <row r="104" spans="1:61" ht="18" customHeight="1" x14ac:dyDescent="0.2">
      <c r="A104" s="9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74" customFormat="1" ht="18" customHeight="1" x14ac:dyDescent="0.25">
      <c r="A105" s="614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450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4" t="s">
        <v>192</v>
      </c>
      <c r="B106" s="373">
        <f t="shared" ref="B106:BI106" si="79">+MIN(B107+B108,B36*1000)</f>
        <v>1E-3</v>
      </c>
      <c r="C106" s="373">
        <f t="shared" si="79"/>
        <v>1E-3</v>
      </c>
      <c r="D106" s="373">
        <f t="shared" si="79"/>
        <v>1.0000000000000005E-3</v>
      </c>
      <c r="E106" s="373">
        <f t="shared" si="79"/>
        <v>1.000000000000023E-3</v>
      </c>
      <c r="F106" s="373">
        <f t="shared" si="79"/>
        <v>1.0000000000003001E-3</v>
      </c>
      <c r="G106" s="373">
        <f t="shared" si="79"/>
        <v>1.0000000000020112E-3</v>
      </c>
      <c r="H106" s="373">
        <f t="shared" si="79"/>
        <v>1.0000000000091702E-3</v>
      </c>
      <c r="I106" s="373">
        <f t="shared" si="79"/>
        <v>1.0000000000319844E-3</v>
      </c>
      <c r="J106" s="373">
        <f t="shared" si="79"/>
        <v>1.0000000000922251E-3</v>
      </c>
      <c r="K106" s="373">
        <f t="shared" si="79"/>
        <v>1.0000000002275561E-3</v>
      </c>
      <c r="L106" s="373">
        <f t="shared" si="79"/>
        <v>1.0000000005053185E-3</v>
      </c>
      <c r="M106" s="450">
        <f t="shared" si="79"/>
        <v>1.0000000010417327E-3</v>
      </c>
      <c r="N106" s="373">
        <f t="shared" si="79"/>
        <v>1.0000000019921491E-3</v>
      </c>
      <c r="O106" s="373">
        <f t="shared" si="79"/>
        <v>1.0000000035927906E-3</v>
      </c>
      <c r="P106" s="373">
        <f t="shared" si="79"/>
        <v>1.0000000062096877E-3</v>
      </c>
      <c r="Q106" s="373">
        <f t="shared" si="79"/>
        <v>1.0000000104204644E-3</v>
      </c>
      <c r="R106" s="373">
        <f t="shared" si="79"/>
        <v>1.0000000170144582E-3</v>
      </c>
      <c r="S106" s="373">
        <f t="shared" si="79"/>
        <v>1.0000000272142174E-3</v>
      </c>
      <c r="T106" s="373">
        <f t="shared" si="79"/>
        <v>1.0000000427819878E-3</v>
      </c>
      <c r="U106" s="373">
        <f t="shared" si="79"/>
        <v>1.0000000656043364E-3</v>
      </c>
      <c r="V106" s="373">
        <f t="shared" si="79"/>
        <v>1.0000000970886349E-3</v>
      </c>
      <c r="W106" s="373">
        <f t="shared" si="79"/>
        <v>1.0000001421883765E-3</v>
      </c>
      <c r="X106" s="373">
        <f t="shared" si="79"/>
        <v>1.0000002055977509E-3</v>
      </c>
      <c r="Y106" s="373">
        <f t="shared" si="79"/>
        <v>1.0000002932497453E-3</v>
      </c>
      <c r="Z106" s="373">
        <f t="shared" si="79"/>
        <v>1.0000004131003601E-3</v>
      </c>
      <c r="AA106" s="373">
        <f t="shared" si="79"/>
        <v>1.0000005755955613E-3</v>
      </c>
      <c r="AB106" s="373">
        <f t="shared" si="79"/>
        <v>382.34860841173639</v>
      </c>
      <c r="AC106" s="373">
        <f t="shared" si="79"/>
        <v>368.90117799114955</v>
      </c>
      <c r="AD106" s="373">
        <f t="shared" si="79"/>
        <v>356.1261190915921</v>
      </c>
      <c r="AE106" s="373">
        <f t="shared" si="79"/>
        <v>343.9898131370125</v>
      </c>
      <c r="AF106" s="373">
        <f t="shared" si="79"/>
        <v>332.46032248016189</v>
      </c>
      <c r="AG106" s="373">
        <f t="shared" si="79"/>
        <v>321.50730635615383</v>
      </c>
      <c r="AH106" s="373">
        <f t="shared" si="79"/>
        <v>311.10194103834613</v>
      </c>
      <c r="AI106" s="373"/>
      <c r="AJ106" s="373"/>
      <c r="AK106" s="373"/>
      <c r="AL106" s="373"/>
      <c r="AM106" s="373"/>
      <c r="AN106" s="373"/>
      <c r="AO106" s="373"/>
      <c r="AP106" s="373"/>
      <c r="AQ106" s="373"/>
      <c r="AR106" s="373"/>
      <c r="AS106" s="373"/>
      <c r="AT106" s="373"/>
      <c r="AU106" s="373"/>
      <c r="AV106" s="373"/>
      <c r="AW106" s="373"/>
      <c r="AX106" s="373"/>
      <c r="AY106" s="373"/>
      <c r="AZ106" s="373"/>
      <c r="BA106" s="373"/>
      <c r="BB106" s="373"/>
      <c r="BC106" s="373"/>
      <c r="BD106" s="373"/>
      <c r="BE106" s="373"/>
      <c r="BF106" s="373"/>
      <c r="BG106" s="373"/>
      <c r="BH106" s="373"/>
      <c r="BI106" s="373"/>
    </row>
    <row r="107" spans="1:61" s="374" customFormat="1" ht="18" customHeight="1" x14ac:dyDescent="0.2">
      <c r="A107" s="374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450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/>
      <c r="AJ107" s="373"/>
      <c r="AK107" s="373"/>
      <c r="AL107" s="373"/>
      <c r="AM107" s="373"/>
      <c r="AN107" s="373"/>
      <c r="AO107" s="373"/>
      <c r="AP107" s="373"/>
      <c r="AQ107" s="373"/>
      <c r="AR107" s="373"/>
      <c r="AS107" s="373"/>
      <c r="AT107" s="373"/>
      <c r="AU107" s="373"/>
      <c r="AV107" s="373"/>
      <c r="AW107" s="373"/>
      <c r="AX107" s="373"/>
      <c r="AY107" s="373"/>
      <c r="AZ107" s="373"/>
      <c r="BA107" s="373"/>
      <c r="BB107" s="373"/>
      <c r="BC107" s="373"/>
      <c r="BD107" s="373"/>
      <c r="BE107" s="373"/>
      <c r="BF107" s="373"/>
      <c r="BG107" s="373"/>
      <c r="BH107" s="373"/>
      <c r="BI107" s="373"/>
    </row>
    <row r="108" spans="1:61" s="374" customFormat="1" ht="18" customHeight="1" x14ac:dyDescent="0.2">
      <c r="A108" s="374" t="s">
        <v>213</v>
      </c>
      <c r="B108" s="373">
        <f>+Controls!B11</f>
        <v>1E-3</v>
      </c>
      <c r="C108" s="373">
        <f>+Controls!C11</f>
        <v>1E-3</v>
      </c>
      <c r="D108" s="373">
        <f>+Controls!D11</f>
        <v>1E-3</v>
      </c>
      <c r="E108" s="373">
        <f>+Controls!E11</f>
        <v>1E-3</v>
      </c>
      <c r="F108" s="373">
        <f>+Controls!F11</f>
        <v>1E-3</v>
      </c>
      <c r="G108" s="373">
        <f>+Controls!G11</f>
        <v>1E-3</v>
      </c>
      <c r="H108" s="373">
        <f>+Controls!H11</f>
        <v>1E-3</v>
      </c>
      <c r="I108" s="373">
        <f>+Controls!I11</f>
        <v>1E-3</v>
      </c>
      <c r="J108" s="373">
        <f>+Controls!J11</f>
        <v>1E-3</v>
      </c>
      <c r="K108" s="373">
        <f>+Controls!K11</f>
        <v>1E-3</v>
      </c>
      <c r="L108" s="373">
        <f>+Controls!L11</f>
        <v>1E-3</v>
      </c>
      <c r="M108" s="450">
        <f>+Controls!M11</f>
        <v>1E-3</v>
      </c>
      <c r="N108" s="373">
        <f>+Controls!N11</f>
        <v>1E-3</v>
      </c>
      <c r="O108" s="373">
        <f>+Controls!O11</f>
        <v>1E-3</v>
      </c>
      <c r="P108" s="373">
        <f>+Controls!P11</f>
        <v>1E-3</v>
      </c>
      <c r="Q108" s="373">
        <f>+Controls!Q11</f>
        <v>1E-3</v>
      </c>
      <c r="R108" s="373">
        <f>+Controls!R11</f>
        <v>1E-3</v>
      </c>
      <c r="S108" s="373">
        <f>+Controls!S11</f>
        <v>1E-3</v>
      </c>
      <c r="T108" s="373">
        <f>+Controls!T11</f>
        <v>1E-3</v>
      </c>
      <c r="U108" s="373">
        <f>+Controls!U11</f>
        <v>1E-3</v>
      </c>
      <c r="V108" s="373">
        <f>+Controls!V11</f>
        <v>1E-3</v>
      </c>
      <c r="W108" s="373">
        <f>+Controls!W11</f>
        <v>1E-3</v>
      </c>
      <c r="X108" s="373">
        <f>+Controls!X11</f>
        <v>1E-3</v>
      </c>
      <c r="Y108" s="373">
        <f>+Controls!Y11</f>
        <v>1E-3</v>
      </c>
      <c r="Z108" s="373">
        <f>+Controls!Z11</f>
        <v>1E-3</v>
      </c>
      <c r="AA108" s="373">
        <f>+Controls!AA11</f>
        <v>1E-3</v>
      </c>
      <c r="AB108" s="373">
        <f>+Controls!AB11</f>
        <v>1200</v>
      </c>
      <c r="AC108" s="373">
        <f>+Controls!AC11</f>
        <v>1200</v>
      </c>
      <c r="AD108" s="373">
        <f>+Controls!AD11</f>
        <v>1200</v>
      </c>
      <c r="AE108" s="373">
        <f>+Controls!AE11</f>
        <v>1200</v>
      </c>
      <c r="AF108" s="373">
        <f>+Controls!AF11</f>
        <v>1200</v>
      </c>
      <c r="AG108" s="373">
        <f>+Controls!AG11</f>
        <v>1200</v>
      </c>
      <c r="AH108" s="373">
        <f>+Controls!AH11</f>
        <v>1200</v>
      </c>
      <c r="AI108" s="373"/>
      <c r="AJ108" s="373"/>
      <c r="AK108" s="373"/>
      <c r="AL108" s="373"/>
      <c r="AM108" s="373"/>
      <c r="AN108" s="373"/>
      <c r="AO108" s="373"/>
      <c r="AP108" s="373"/>
      <c r="AQ108" s="373"/>
      <c r="AR108" s="373"/>
      <c r="AS108" s="373"/>
      <c r="AT108" s="373"/>
      <c r="AU108" s="373"/>
      <c r="AV108" s="373"/>
      <c r="AW108" s="373"/>
      <c r="AX108" s="373"/>
      <c r="AY108" s="373"/>
      <c r="AZ108" s="373"/>
      <c r="BA108" s="373"/>
      <c r="BB108" s="373"/>
      <c r="BC108" s="373"/>
      <c r="BD108" s="373"/>
      <c r="BE108" s="373"/>
      <c r="BF108" s="373"/>
      <c r="BG108" s="373"/>
      <c r="BH108" s="373"/>
      <c r="BI108" s="373"/>
    </row>
    <row r="109" spans="1:61" s="374" customFormat="1" ht="18" customHeight="1" x14ac:dyDescent="0.2">
      <c r="A109" s="374" t="s">
        <v>193</v>
      </c>
      <c r="B109" s="375">
        <f>+(B106/(1000*B$36))^(1/($B$38-1))</f>
        <v>4.3283869681682495E-4</v>
      </c>
      <c r="C109" s="375">
        <f>+(C106/(1000*C$36))^(1/($B$38-1))</f>
        <v>4.4405352179897341E-4</v>
      </c>
      <c r="D109" s="375">
        <f t="shared" ref="D109:BI109" si="80">+(D106/(1000*D$36))^(1/($B$38-1))</f>
        <v>4.5549649637615763E-4</v>
      </c>
      <c r="E109" s="375">
        <f t="shared" si="80"/>
        <v>4.6716769082530039E-4</v>
      </c>
      <c r="F109" s="375">
        <f t="shared" si="80"/>
        <v>4.7906680601439899E-4</v>
      </c>
      <c r="G109" s="375">
        <f t="shared" si="80"/>
        <v>4.9119315021222852E-4</v>
      </c>
      <c r="H109" s="375">
        <f t="shared" si="80"/>
        <v>5.0354561587584142E-4</v>
      </c>
      <c r="I109" s="375">
        <f t="shared" si="80"/>
        <v>5.161226565772761E-4</v>
      </c>
      <c r="J109" s="375">
        <f t="shared" si="80"/>
        <v>5.2892226424812146E-4</v>
      </c>
      <c r="K109" s="375">
        <f t="shared" si="80"/>
        <v>5.4194194693668336E-4</v>
      </c>
      <c r="L109" s="375">
        <f t="shared" si="80"/>
        <v>5.5517870729326186E-4</v>
      </c>
      <c r="M109" s="451">
        <f t="shared" si="80"/>
        <v>5.6862902201112336E-4</v>
      </c>
      <c r="N109" s="375">
        <f t="shared" si="80"/>
        <v>5.8228882245573853E-4</v>
      </c>
      <c r="O109" s="375">
        <f t="shared" si="80"/>
        <v>5.9615347676425718E-4</v>
      </c>
      <c r="P109" s="375">
        <f t="shared" si="80"/>
        <v>6.1021777367142166E-4</v>
      </c>
      <c r="Q109" s="375">
        <f t="shared" si="80"/>
        <v>6.2447590834889522E-4</v>
      </c>
      <c r="R109" s="375">
        <f t="shared" si="80"/>
        <v>6.389214705031876E-4</v>
      </c>
      <c r="S109" s="375">
        <f t="shared" si="80"/>
        <v>6.5354743512446986E-4</v>
      </c>
      <c r="T109" s="375">
        <f t="shared" si="80"/>
        <v>6.6834615605990068E-4</v>
      </c>
      <c r="U109" s="375">
        <f t="shared" si="80"/>
        <v>6.8330936253121273E-4</v>
      </c>
      <c r="V109" s="375">
        <f t="shared" si="80"/>
        <v>6.9842815896589336E-4</v>
      </c>
      <c r="W109" s="375">
        <f t="shared" si="80"/>
        <v>7.1369303029513408E-4</v>
      </c>
      <c r="X109" s="375">
        <f t="shared" si="80"/>
        <v>7.2909384818255977E-4</v>
      </c>
      <c r="Y109" s="375">
        <f t="shared" si="80"/>
        <v>7.4461988335854567E-4</v>
      </c>
      <c r="Z109" s="375">
        <f t="shared" si="80"/>
        <v>7.6025982201154564E-4</v>
      </c>
      <c r="AA109" s="375">
        <f t="shared" si="80"/>
        <v>7.7600178650404474E-4</v>
      </c>
      <c r="AB109" s="375">
        <f t="shared" si="80"/>
        <v>1</v>
      </c>
      <c r="AC109" s="375">
        <f t="shared" si="80"/>
        <v>1</v>
      </c>
      <c r="AD109" s="375">
        <f t="shared" si="80"/>
        <v>1</v>
      </c>
      <c r="AE109" s="375">
        <f t="shared" si="80"/>
        <v>1</v>
      </c>
      <c r="AF109" s="375">
        <f t="shared" si="80"/>
        <v>1</v>
      </c>
      <c r="AG109" s="375">
        <f t="shared" si="80"/>
        <v>1</v>
      </c>
      <c r="AH109" s="375">
        <f t="shared" si="80"/>
        <v>1</v>
      </c>
      <c r="AI109" s="375"/>
      <c r="AJ109" s="375"/>
      <c r="AK109" s="375"/>
      <c r="AL109" s="375"/>
      <c r="AM109" s="375"/>
      <c r="AN109" s="375"/>
      <c r="AO109" s="375"/>
      <c r="AP109" s="375"/>
      <c r="AQ109" s="375"/>
      <c r="AR109" s="375"/>
      <c r="AS109" s="375"/>
      <c r="AT109" s="375"/>
      <c r="AU109" s="375"/>
      <c r="AV109" s="375"/>
      <c r="AW109" s="375"/>
      <c r="AX109" s="375"/>
      <c r="AY109" s="375"/>
      <c r="AZ109" s="375"/>
      <c r="BA109" s="375"/>
      <c r="BB109" s="375"/>
      <c r="BC109" s="375"/>
      <c r="BD109" s="375"/>
      <c r="BE109" s="375"/>
      <c r="BF109" s="375"/>
      <c r="BG109" s="375"/>
      <c r="BH109" s="375"/>
      <c r="BI109" s="375"/>
    </row>
    <row r="110" spans="1:61" ht="18" customHeight="1" x14ac:dyDescent="0.2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0"/>
      <c r="X110" s="60"/>
      <c r="Y110" s="60"/>
      <c r="Z110" s="60"/>
      <c r="AA110" s="60"/>
      <c r="AB110" s="60"/>
      <c r="AC110" s="60"/>
      <c r="AD110" s="60"/>
      <c r="AE110" s="60"/>
    </row>
    <row r="111" spans="1:61" s="379" customFormat="1" ht="18" customHeight="1" x14ac:dyDescent="0.25">
      <c r="A111" s="615" t="s">
        <v>958</v>
      </c>
      <c r="B111" s="378"/>
      <c r="M111" s="452"/>
      <c r="W111" s="380"/>
      <c r="X111" s="380"/>
      <c r="Y111" s="380"/>
      <c r="Z111" s="380"/>
      <c r="AA111" s="380"/>
      <c r="AB111" s="380"/>
      <c r="AC111" s="380"/>
      <c r="AD111" s="380"/>
      <c r="AE111" s="380"/>
    </row>
    <row r="112" spans="1:61" s="456" customFormat="1" ht="18" customHeight="1" x14ac:dyDescent="0.2">
      <c r="A112" s="616" t="s">
        <v>950</v>
      </c>
      <c r="B112" s="455">
        <f>+B40*B61</f>
        <v>1.353745314615018</v>
      </c>
      <c r="C112" s="455">
        <f>+C40*C61</f>
        <v>1.0253900226225983</v>
      </c>
      <c r="D112" s="455">
        <f t="shared" ref="D112:BI112" si="81">+D40*D61</f>
        <v>0.90475614985268082</v>
      </c>
      <c r="E112" s="455">
        <f t="shared" si="81"/>
        <v>0.80312348399301126</v>
      </c>
      <c r="F112" s="455">
        <f t="shared" si="81"/>
        <v>0.73057604904961349</v>
      </c>
      <c r="G112" s="455">
        <f t="shared" si="81"/>
        <v>0.6631930725915135</v>
      </c>
      <c r="H112" s="455">
        <f t="shared" si="81"/>
        <v>0.61441324175273349</v>
      </c>
      <c r="I112" s="455">
        <f t="shared" si="81"/>
        <v>0.57801053966758542</v>
      </c>
      <c r="J112" s="455">
        <f t="shared" si="81"/>
        <v>0.54828911624562859</v>
      </c>
      <c r="K112" s="455">
        <f t="shared" si="81"/>
        <v>0.525404503894769</v>
      </c>
      <c r="L112" s="455">
        <f t="shared" si="81"/>
        <v>0.50326253193373871</v>
      </c>
      <c r="M112" s="455">
        <f t="shared" si="81"/>
        <v>0.47031051536104101</v>
      </c>
      <c r="N112" s="455">
        <f t="shared" si="81"/>
        <v>0.44506267335585209</v>
      </c>
      <c r="O112" s="455">
        <f t="shared" si="81"/>
        <v>0.42773235756535199</v>
      </c>
      <c r="P112" s="455">
        <f t="shared" si="81"/>
        <v>0.41706139882221249</v>
      </c>
      <c r="Q112" s="455">
        <f t="shared" si="81"/>
        <v>0.40675587790415724</v>
      </c>
      <c r="R112" s="455">
        <f t="shared" si="81"/>
        <v>0.39537217958344906</v>
      </c>
      <c r="S112" s="455">
        <f t="shared" si="81"/>
        <v>0.3825972824863223</v>
      </c>
      <c r="T112" s="455">
        <f t="shared" si="81"/>
        <v>0.36439151665892866</v>
      </c>
      <c r="U112" s="455">
        <f t="shared" si="81"/>
        <v>0.33846082978136716</v>
      </c>
      <c r="V112" s="455">
        <f t="shared" si="81"/>
        <v>0.33225628566933535</v>
      </c>
      <c r="W112" s="455">
        <f t="shared" si="81"/>
        <v>0.32313809058380372</v>
      </c>
      <c r="X112" s="455">
        <f t="shared" si="81"/>
        <v>0.31710857087652516</v>
      </c>
      <c r="Y112" s="455">
        <f t="shared" si="81"/>
        <v>0.31036461470150539</v>
      </c>
      <c r="Z112" s="455">
        <f t="shared" si="81"/>
        <v>0.30554434414870479</v>
      </c>
      <c r="AA112" s="455">
        <f t="shared" si="81"/>
        <v>0.30243104664223625</v>
      </c>
      <c r="AB112" s="455">
        <f t="shared" si="81"/>
        <v>0.29667567014386315</v>
      </c>
      <c r="AC112" s="455">
        <f t="shared" si="81"/>
        <v>0.29298904253365265</v>
      </c>
      <c r="AD112" s="455">
        <f t="shared" si="81"/>
        <v>0.29162108676500492</v>
      </c>
      <c r="AE112" s="455">
        <f t="shared" si="81"/>
        <v>0.28867542300228982</v>
      </c>
      <c r="AF112" s="455">
        <f t="shared" si="81"/>
        <v>0.27183110536195748</v>
      </c>
      <c r="AG112" s="455">
        <f t="shared" si="81"/>
        <v>0.27910472103974776</v>
      </c>
      <c r="AH112" s="455">
        <f t="shared" si="81"/>
        <v>0.27590177752262718</v>
      </c>
      <c r="AI112" s="455"/>
      <c r="AJ112" s="455"/>
      <c r="AK112" s="455"/>
      <c r="AL112" s="455"/>
      <c r="AM112" s="455"/>
      <c r="AN112" s="455"/>
      <c r="AO112" s="455"/>
      <c r="AP112" s="455"/>
      <c r="AQ112" s="455"/>
      <c r="AR112" s="455"/>
      <c r="AS112" s="455"/>
      <c r="AT112" s="455"/>
      <c r="AU112" s="455"/>
      <c r="AV112" s="455"/>
      <c r="AW112" s="455"/>
      <c r="AX112" s="455"/>
      <c r="AY112" s="455"/>
      <c r="AZ112" s="455"/>
      <c r="BA112" s="455"/>
      <c r="BB112" s="455"/>
      <c r="BC112" s="455"/>
      <c r="BD112" s="455"/>
      <c r="BE112" s="455"/>
      <c r="BF112" s="455"/>
      <c r="BG112" s="455"/>
      <c r="BH112" s="455"/>
      <c r="BI112" s="455"/>
    </row>
    <row r="113" spans="1:61" s="456" customFormat="1" ht="18" customHeight="1" x14ac:dyDescent="0.2">
      <c r="A113" s="616" t="s">
        <v>949</v>
      </c>
      <c r="B113" s="457">
        <f>+Controls!B70</f>
        <v>1.6621334550980102</v>
      </c>
      <c r="C113" s="457">
        <f>+Controls!C70</f>
        <v>1.3842794390922046</v>
      </c>
      <c r="D113" s="457">
        <f>+Controls!D70</f>
        <v>1.3529484199086483</v>
      </c>
      <c r="E113" s="457">
        <f>+Controls!E70</f>
        <v>1.0650404885241216</v>
      </c>
      <c r="F113" s="457">
        <f>+Controls!F70</f>
        <v>0.7656926372213686</v>
      </c>
      <c r="G113" s="457">
        <f>+Controls!G70</f>
        <v>0.53914315712482919</v>
      </c>
      <c r="H113" s="457">
        <f>+Controls!H70</f>
        <v>0.43798529818541049</v>
      </c>
      <c r="I113" s="457">
        <f>+Controls!I70</f>
        <v>0.36306889547259652</v>
      </c>
      <c r="J113" s="457">
        <f>+Controls!J70</f>
        <v>0.30766153025849458</v>
      </c>
      <c r="K113" s="457">
        <f>+Controls!K70</f>
        <v>0.26664261383066901</v>
      </c>
      <c r="L113" s="457">
        <f>+Controls!L70</f>
        <v>0.23748629239215169</v>
      </c>
      <c r="M113" s="457">
        <f>+Controls!M70</f>
        <v>0.2143313788839169</v>
      </c>
      <c r="N113" s="457">
        <f>+Controls!N70</f>
        <v>0.193434069442735</v>
      </c>
      <c r="O113" s="457">
        <f>+Controls!O70</f>
        <v>0.17457424767206833</v>
      </c>
      <c r="P113" s="457">
        <f>+Controls!P70</f>
        <v>0.15755325852404164</v>
      </c>
      <c r="Q113" s="457">
        <f>+Controls!Q70</f>
        <v>0.14219181581794757</v>
      </c>
      <c r="R113" s="457">
        <f>+Controls!R70</f>
        <v>0.12832811377569767</v>
      </c>
      <c r="S113" s="457">
        <f>+Controls!S70</f>
        <v>0.11581612268256714</v>
      </c>
      <c r="T113" s="457">
        <f>+Controls!T70</f>
        <v>0.10452405072101684</v>
      </c>
      <c r="U113" s="457">
        <f>+Controls!U70</f>
        <v>9.4332955775717695E-2</v>
      </c>
      <c r="V113" s="457">
        <f>+Controls!V70</f>
        <v>8.513549258758521E-2</v>
      </c>
      <c r="W113" s="457">
        <f>+Controls!W70</f>
        <v>8.0878717958205948E-2</v>
      </c>
      <c r="X113" s="457">
        <f>+Controls!X70</f>
        <v>7.6834782060295648E-2</v>
      </c>
      <c r="Y113" s="457">
        <f>+Controls!Y70</f>
        <v>7.299304295728086E-2</v>
      </c>
      <c r="Z113" s="457">
        <f>+Controls!Z70</f>
        <v>6.9343390809416816E-2</v>
      </c>
      <c r="AA113" s="457">
        <f>+Controls!AA70</f>
        <v>6.5876221268945975E-2</v>
      </c>
      <c r="AB113" s="457">
        <f>+Controls!AB70</f>
        <v>6.2582410205498679E-2</v>
      </c>
      <c r="AC113" s="457">
        <f>+Controls!AC70</f>
        <v>5.9453289695223739E-2</v>
      </c>
      <c r="AD113" s="457">
        <f>+Controls!AD70</f>
        <v>5.648062521046255E-2</v>
      </c>
      <c r="AE113" s="457">
        <f>+Controls!AE70</f>
        <v>5.3656593949939421E-2</v>
      </c>
      <c r="AF113" s="457">
        <f>+Controls!AF70</f>
        <v>5.0973764252442447E-2</v>
      </c>
      <c r="AG113" s="457">
        <f>+Controls!AG70</f>
        <v>4.8425076039820325E-2</v>
      </c>
      <c r="AH113" s="457">
        <f>+Controls!AH70</f>
        <v>4.6003822237829305E-2</v>
      </c>
      <c r="AI113" s="457"/>
      <c r="AJ113" s="457"/>
      <c r="AK113" s="457"/>
      <c r="AL113" s="457"/>
      <c r="AM113" s="457"/>
      <c r="AN113" s="457"/>
      <c r="AO113" s="457"/>
      <c r="AP113" s="457"/>
      <c r="AQ113" s="457"/>
      <c r="AR113" s="457"/>
      <c r="AS113" s="457"/>
      <c r="AT113" s="457"/>
      <c r="AU113" s="457"/>
      <c r="AV113" s="457"/>
      <c r="AW113" s="457"/>
      <c r="AX113" s="457"/>
      <c r="AY113" s="457"/>
      <c r="AZ113" s="457"/>
      <c r="BA113" s="457"/>
      <c r="BB113" s="457"/>
      <c r="BC113" s="457"/>
      <c r="BD113" s="457"/>
      <c r="BE113" s="457"/>
      <c r="BF113" s="457"/>
      <c r="BG113" s="457"/>
      <c r="BH113" s="457"/>
      <c r="BI113" s="457"/>
    </row>
    <row r="114" spans="1:61" s="84" customFormat="1" ht="18" customHeight="1" x14ac:dyDescent="0.2">
      <c r="A114" s="616" t="s">
        <v>951</v>
      </c>
      <c r="B114" s="457">
        <f>IF(1-(B113/B112)&lt;0,0,1-(B113/B112))</f>
        <v>0</v>
      </c>
      <c r="C114" s="457">
        <f>IF(1-(C113/C112)&lt;0,0,1-(C113/C112))</f>
        <v>0</v>
      </c>
      <c r="D114" s="457">
        <f>IF(1-(D113/D112)&lt;0,0,1-(D113/D112))</f>
        <v>0</v>
      </c>
      <c r="E114" s="457">
        <f>IF(1-(E113/E112)&lt;0,0,1-(E113/E112))</f>
        <v>0</v>
      </c>
      <c r="F114" s="457">
        <f t="shared" ref="F114:BI114" si="82">IF(1-(F113/F112)&lt;0,0,1-(F113/F112))</f>
        <v>0</v>
      </c>
      <c r="G114" s="457">
        <f t="shared" si="82"/>
        <v>0.18704947411760964</v>
      </c>
      <c r="H114" s="457">
        <f t="shared" si="82"/>
        <v>0.28714866734321665</v>
      </c>
      <c r="I114" s="457">
        <f t="shared" si="82"/>
        <v>0.37186457589268551</v>
      </c>
      <c r="J114" s="457">
        <f t="shared" si="82"/>
        <v>0.43886989337817717</v>
      </c>
      <c r="K114" s="457">
        <f t="shared" si="82"/>
        <v>0.49250032716873382</v>
      </c>
      <c r="L114" s="457">
        <f t="shared" si="82"/>
        <v>0.52810655011484153</v>
      </c>
      <c r="M114" s="457">
        <f t="shared" si="82"/>
        <v>0.54427687265426727</v>
      </c>
      <c r="N114" s="457">
        <f t="shared" si="82"/>
        <v>0.56537790962291323</v>
      </c>
      <c r="O114" s="457">
        <f t="shared" si="82"/>
        <v>0.59186102106994409</v>
      </c>
      <c r="P114" s="457">
        <f t="shared" si="82"/>
        <v>0.62223006260235458</v>
      </c>
      <c r="Q114" s="457">
        <f t="shared" si="82"/>
        <v>0.65042468089065486</v>
      </c>
      <c r="R114" s="457">
        <f t="shared" si="82"/>
        <v>0.67542452301297506</v>
      </c>
      <c r="S114" s="457">
        <f t="shared" si="82"/>
        <v>0.69728974045520697</v>
      </c>
      <c r="T114" s="457">
        <f t="shared" si="82"/>
        <v>0.71315454410303514</v>
      </c>
      <c r="U114" s="457">
        <f t="shared" si="82"/>
        <v>0.72128841072494798</v>
      </c>
      <c r="V114" s="457">
        <f t="shared" si="82"/>
        <v>0.74376559222625849</v>
      </c>
      <c r="W114" s="457">
        <f t="shared" si="82"/>
        <v>0.74970849827055419</v>
      </c>
      <c r="X114" s="457">
        <f t="shared" si="82"/>
        <v>0.75770196987134297</v>
      </c>
      <c r="Y114" s="457">
        <f t="shared" si="82"/>
        <v>0.76481518994205488</v>
      </c>
      <c r="Z114" s="457">
        <f t="shared" si="82"/>
        <v>0.77304966648092099</v>
      </c>
      <c r="AA114" s="457">
        <f t="shared" si="82"/>
        <v>0.78217771620889542</v>
      </c>
      <c r="AB114" s="457">
        <f t="shared" si="82"/>
        <v>0.78905445743106806</v>
      </c>
      <c r="AC114" s="457">
        <f t="shared" si="82"/>
        <v>0.7970801597865389</v>
      </c>
      <c r="AD114" s="457">
        <f t="shared" si="82"/>
        <v>0.80632187529025989</v>
      </c>
      <c r="AE114" s="457">
        <f t="shared" si="82"/>
        <v>0.81412829193459324</v>
      </c>
      <c r="AF114" s="457">
        <f t="shared" si="82"/>
        <v>0.81248001701435824</v>
      </c>
      <c r="AG114" s="457">
        <f t="shared" si="82"/>
        <v>0.8264985419830142</v>
      </c>
      <c r="AH114" s="457">
        <f t="shared" si="82"/>
        <v>0.833260145509369</v>
      </c>
      <c r="AI114" s="457"/>
      <c r="AJ114" s="457"/>
      <c r="AK114" s="457"/>
      <c r="AL114" s="457"/>
      <c r="AM114" s="457"/>
      <c r="AN114" s="457"/>
      <c r="AO114" s="457"/>
      <c r="AP114" s="457"/>
      <c r="AQ114" s="457"/>
      <c r="AR114" s="457"/>
      <c r="AS114" s="457"/>
      <c r="AT114" s="457"/>
      <c r="AU114" s="457"/>
      <c r="AV114" s="457"/>
      <c r="AW114" s="457"/>
      <c r="AX114" s="457"/>
      <c r="AY114" s="457"/>
      <c r="AZ114" s="457"/>
      <c r="BA114" s="457"/>
      <c r="BB114" s="457"/>
      <c r="BC114" s="457"/>
      <c r="BD114" s="457"/>
      <c r="BE114" s="457"/>
      <c r="BF114" s="457"/>
      <c r="BG114" s="457"/>
      <c r="BH114" s="457"/>
      <c r="BI114" s="457"/>
    </row>
    <row r="115" spans="1:61" s="459" customFormat="1" ht="18" customHeight="1" x14ac:dyDescent="0.2">
      <c r="A115" s="617" t="s">
        <v>952</v>
      </c>
      <c r="B115" s="458">
        <f t="shared" ref="B115:D115" si="83">+B$36*1000*B114^($B$38-1)</f>
        <v>0</v>
      </c>
      <c r="C115" s="458">
        <f t="shared" si="83"/>
        <v>0</v>
      </c>
      <c r="D115" s="458">
        <f t="shared" si="83"/>
        <v>0</v>
      </c>
      <c r="E115" s="458">
        <f t="shared" ref="E115:Z115" si="84">+E$36*1000*E114^($B$38-1)</f>
        <v>0</v>
      </c>
      <c r="F115" s="458">
        <f t="shared" si="84"/>
        <v>0</v>
      </c>
      <c r="G115" s="458">
        <f t="shared" si="84"/>
        <v>44.184255485189638</v>
      </c>
      <c r="H115" s="458">
        <f t="shared" si="84"/>
        <v>91.394986846696938</v>
      </c>
      <c r="I115" s="458">
        <f t="shared" si="84"/>
        <v>139.23146511716175</v>
      </c>
      <c r="J115" s="458">
        <f t="shared" si="84"/>
        <v>179.51431792299149</v>
      </c>
      <c r="K115" s="458">
        <f t="shared" si="84"/>
        <v>211.45441686141928</v>
      </c>
      <c r="L115" s="458">
        <f t="shared" si="84"/>
        <v>229.57244268019079</v>
      </c>
      <c r="M115" s="458">
        <f t="shared" si="84"/>
        <v>232.157942786685</v>
      </c>
      <c r="N115" s="458">
        <f t="shared" si="84"/>
        <v>238.21038385130043</v>
      </c>
      <c r="O115" s="458">
        <f t="shared" si="84"/>
        <v>247.94250569507551</v>
      </c>
      <c r="P115" s="458">
        <f t="shared" si="84"/>
        <v>260.15911645523749</v>
      </c>
      <c r="Q115" s="458">
        <f t="shared" si="84"/>
        <v>270.28776555941084</v>
      </c>
      <c r="R115" s="458">
        <f t="shared" si="84"/>
        <v>277.60854083681448</v>
      </c>
      <c r="S115" s="458">
        <f t="shared" si="84"/>
        <v>282.25724683170819</v>
      </c>
      <c r="T115" s="458">
        <f t="shared" si="84"/>
        <v>282.31111492569971</v>
      </c>
      <c r="U115" s="458">
        <f t="shared" si="84"/>
        <v>276.87572302645714</v>
      </c>
      <c r="V115" s="458">
        <f t="shared" si="84"/>
        <v>281.29749115323966</v>
      </c>
      <c r="W115" s="458">
        <f t="shared" si="84"/>
        <v>274.46427434750507</v>
      </c>
      <c r="X115" s="458">
        <f t="shared" si="84"/>
        <v>269.20743974952313</v>
      </c>
      <c r="Y115" s="458">
        <f t="shared" si="84"/>
        <v>263.584279069888</v>
      </c>
      <c r="Z115" s="458">
        <f t="shared" si="84"/>
        <v>258.84621742255558</v>
      </c>
      <c r="AA115" s="458">
        <f t="shared" ref="AA115:BI115" si="85">+AA$36*1000*AA114^($B$38-1)</f>
        <v>254.79866147659996</v>
      </c>
      <c r="AB115" s="458">
        <f t="shared" si="85"/>
        <v>249.60430612999713</v>
      </c>
      <c r="AC115" s="458">
        <f t="shared" si="85"/>
        <v>245.25261152668415</v>
      </c>
      <c r="AD115" s="458">
        <f t="shared" si="85"/>
        <v>241.72358298757925</v>
      </c>
      <c r="AE115" s="458">
        <f t="shared" si="85"/>
        <v>237.5706066577481</v>
      </c>
      <c r="AF115" s="458">
        <f t="shared" si="85"/>
        <v>228.77189031528192</v>
      </c>
      <c r="AG115" s="458">
        <f t="shared" si="85"/>
        <v>228.15322502031711</v>
      </c>
      <c r="AH115" s="458">
        <f t="shared" si="85"/>
        <v>224.03084612452935</v>
      </c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8"/>
      <c r="BC115" s="458"/>
      <c r="BD115" s="458"/>
      <c r="BE115" s="458"/>
      <c r="BF115" s="458"/>
      <c r="BG115" s="458"/>
      <c r="BH115" s="458"/>
      <c r="BI115" s="458"/>
    </row>
    <row r="116" spans="1:61" s="379" customFormat="1" ht="18" customHeight="1" x14ac:dyDescent="0.2">
      <c r="A116" s="381" t="s">
        <v>969</v>
      </c>
      <c r="B116" s="383">
        <f t="shared" ref="B116:AG116" si="86">+B112*(1-B103)</f>
        <v>1.3531593612572181</v>
      </c>
      <c r="C116" s="383">
        <f t="shared" si="86"/>
        <v>1.0249346945718352</v>
      </c>
      <c r="D116" s="383">
        <f t="shared" si="86"/>
        <v>0.90434403659634821</v>
      </c>
      <c r="E116" s="383">
        <f t="shared" si="86"/>
        <v>0.80274829064954667</v>
      </c>
      <c r="F116" s="383">
        <f t="shared" si="86"/>
        <v>0.73022605431524468</v>
      </c>
      <c r="G116" s="383">
        <f t="shared" si="86"/>
        <v>0.6628673166969884</v>
      </c>
      <c r="H116" s="383">
        <f t="shared" si="86"/>
        <v>0.61410385665851286</v>
      </c>
      <c r="I116" s="383">
        <f t="shared" si="86"/>
        <v>0.57771221533232253</v>
      </c>
      <c r="J116" s="383">
        <f t="shared" si="86"/>
        <v>0.54799911392480138</v>
      </c>
      <c r="K116" s="383">
        <f t="shared" si="86"/>
        <v>0.52511976515499892</v>
      </c>
      <c r="L116" s="383">
        <f t="shared" si="86"/>
        <v>0.50298313129183059</v>
      </c>
      <c r="M116" s="383">
        <f t="shared" si="86"/>
        <v>0.4700430831526497</v>
      </c>
      <c r="N116" s="383">
        <f t="shared" si="86"/>
        <v>0.44480351833586473</v>
      </c>
      <c r="O116" s="383">
        <f t="shared" si="86"/>
        <v>0.42747736343326487</v>
      </c>
      <c r="P116" s="383">
        <f t="shared" si="86"/>
        <v>0.41680690054393893</v>
      </c>
      <c r="Q116" s="383">
        <f t="shared" si="86"/>
        <v>0.40650186865782678</v>
      </c>
      <c r="R116" s="383">
        <f t="shared" si="86"/>
        <v>0.39511956780907359</v>
      </c>
      <c r="S116" s="383">
        <f t="shared" si="86"/>
        <v>0.3823472370136678</v>
      </c>
      <c r="T116" s="383">
        <f t="shared" si="86"/>
        <v>0.36414797698946882</v>
      </c>
      <c r="U116" s="383">
        <f t="shared" si="86"/>
        <v>0.33822955632752744</v>
      </c>
      <c r="V116" s="383">
        <f t="shared" si="86"/>
        <v>0.33202422852343044</v>
      </c>
      <c r="W116" s="383">
        <f t="shared" si="86"/>
        <v>0.32290746918073121</v>
      </c>
      <c r="X116" s="383">
        <f t="shared" si="86"/>
        <v>0.31687736896829316</v>
      </c>
      <c r="Y116" s="383">
        <f t="shared" si="86"/>
        <v>0.31013351103830777</v>
      </c>
      <c r="Z116" s="383">
        <f t="shared" si="86"/>
        <v>0.30531205106000564</v>
      </c>
      <c r="AA116" s="383">
        <f t="shared" si="86"/>
        <v>0.30219635960974756</v>
      </c>
      <c r="AB116" s="383">
        <f t="shared" si="86"/>
        <v>0</v>
      </c>
      <c r="AC116" s="383">
        <f t="shared" si="86"/>
        <v>0</v>
      </c>
      <c r="AD116" s="383">
        <f t="shared" si="86"/>
        <v>0</v>
      </c>
      <c r="AE116" s="383">
        <f t="shared" si="86"/>
        <v>0</v>
      </c>
      <c r="AF116" s="383">
        <f t="shared" si="86"/>
        <v>0</v>
      </c>
      <c r="AG116" s="383">
        <f t="shared" si="86"/>
        <v>0</v>
      </c>
      <c r="AH116" s="383">
        <f t="shared" ref="AH116:BI116" si="87">+AH112*(1-AH103)</f>
        <v>0</v>
      </c>
      <c r="AI116" s="383"/>
      <c r="AJ116" s="383"/>
      <c r="AK116" s="383"/>
      <c r="AL116" s="383"/>
      <c r="AM116" s="383"/>
      <c r="AN116" s="383"/>
      <c r="AO116" s="383"/>
      <c r="AP116" s="383"/>
      <c r="AQ116" s="383"/>
      <c r="AR116" s="383"/>
      <c r="AS116" s="383"/>
      <c r="AT116" s="383"/>
      <c r="AU116" s="383"/>
      <c r="AV116" s="383"/>
      <c r="AW116" s="383"/>
      <c r="AX116" s="383"/>
      <c r="AY116" s="383"/>
      <c r="AZ116" s="383"/>
      <c r="BA116" s="383"/>
      <c r="BB116" s="383"/>
      <c r="BC116" s="383"/>
      <c r="BD116" s="383"/>
      <c r="BE116" s="383"/>
      <c r="BF116" s="383"/>
      <c r="BG116" s="383"/>
      <c r="BH116" s="383"/>
      <c r="BI116" s="383"/>
    </row>
    <row r="117" spans="1:61" s="103" customFormat="1" ht="18" customHeight="1" x14ac:dyDescent="0.2">
      <c r="A117" s="94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618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53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1.353745314615018</v>
      </c>
      <c r="C119" s="405">
        <f t="shared" ref="C119:BI119" si="88">+C112</f>
        <v>1.0253900226225983</v>
      </c>
      <c r="D119" s="405">
        <f t="shared" si="88"/>
        <v>0.90475614985268082</v>
      </c>
      <c r="E119" s="405">
        <f t="shared" si="88"/>
        <v>0.80312348399301126</v>
      </c>
      <c r="F119" s="405">
        <f t="shared" si="88"/>
        <v>0.73057604904961349</v>
      </c>
      <c r="G119" s="405">
        <f t="shared" si="88"/>
        <v>0.6631930725915135</v>
      </c>
      <c r="H119" s="405">
        <f t="shared" si="88"/>
        <v>0.61441324175273349</v>
      </c>
      <c r="I119" s="405">
        <f t="shared" si="88"/>
        <v>0.57801053966758542</v>
      </c>
      <c r="J119" s="405">
        <f t="shared" si="88"/>
        <v>0.54828911624562859</v>
      </c>
      <c r="K119" s="405">
        <f t="shared" si="88"/>
        <v>0.525404503894769</v>
      </c>
      <c r="L119" s="405">
        <f t="shared" si="88"/>
        <v>0.50326253193373871</v>
      </c>
      <c r="M119" s="453">
        <f t="shared" si="88"/>
        <v>0.47031051536104101</v>
      </c>
      <c r="N119" s="405">
        <f t="shared" si="88"/>
        <v>0.44506267335585209</v>
      </c>
      <c r="O119" s="405">
        <f t="shared" si="88"/>
        <v>0.42773235756535199</v>
      </c>
      <c r="P119" s="405">
        <f t="shared" si="88"/>
        <v>0.41706139882221249</v>
      </c>
      <c r="Q119" s="405">
        <f t="shared" si="88"/>
        <v>0.40675587790415724</v>
      </c>
      <c r="R119" s="405">
        <f t="shared" si="88"/>
        <v>0.39537217958344906</v>
      </c>
      <c r="S119" s="405">
        <f t="shared" si="88"/>
        <v>0.3825972824863223</v>
      </c>
      <c r="T119" s="405">
        <f t="shared" si="88"/>
        <v>0.36439151665892866</v>
      </c>
      <c r="U119" s="405">
        <f t="shared" si="88"/>
        <v>0.33846082978136716</v>
      </c>
      <c r="V119" s="405">
        <f t="shared" si="88"/>
        <v>0.33225628566933535</v>
      </c>
      <c r="W119" s="405">
        <f t="shared" si="88"/>
        <v>0.32313809058380372</v>
      </c>
      <c r="X119" s="405">
        <f t="shared" si="88"/>
        <v>0.31710857087652516</v>
      </c>
      <c r="Y119" s="405">
        <f t="shared" si="88"/>
        <v>0.31036461470150539</v>
      </c>
      <c r="Z119" s="405">
        <f t="shared" si="88"/>
        <v>0.30554434414870479</v>
      </c>
      <c r="AA119" s="405">
        <f t="shared" si="88"/>
        <v>0.30243104664223625</v>
      </c>
      <c r="AB119" s="405">
        <f t="shared" si="88"/>
        <v>0.29667567014386315</v>
      </c>
      <c r="AC119" s="405">
        <f t="shared" si="88"/>
        <v>0.29298904253365265</v>
      </c>
      <c r="AD119" s="405">
        <f t="shared" si="88"/>
        <v>0.29162108676500492</v>
      </c>
      <c r="AE119" s="405">
        <f t="shared" si="88"/>
        <v>0.28867542300228982</v>
      </c>
      <c r="AF119" s="405">
        <f t="shared" si="88"/>
        <v>0.27183110536195748</v>
      </c>
      <c r="AG119" s="405">
        <f t="shared" si="88"/>
        <v>0.27910472103974776</v>
      </c>
      <c r="AH119" s="405">
        <f t="shared" si="88"/>
        <v>0.27590177752262718</v>
      </c>
      <c r="AI119" s="405"/>
      <c r="AJ119" s="405"/>
      <c r="AK119" s="405"/>
      <c r="AL119" s="405"/>
      <c r="AM119" s="405"/>
      <c r="AN119" s="405"/>
      <c r="AO119" s="405"/>
      <c r="AP119" s="405"/>
      <c r="AQ119" s="405"/>
      <c r="AR119" s="405"/>
      <c r="AS119" s="405"/>
      <c r="AT119" s="405"/>
      <c r="AU119" s="405"/>
      <c r="AV119" s="405"/>
      <c r="AW119" s="405"/>
      <c r="AX119" s="405"/>
      <c r="AY119" s="405"/>
      <c r="AZ119" s="405"/>
      <c r="BA119" s="405"/>
      <c r="BB119" s="405"/>
      <c r="BC119" s="405"/>
      <c r="BD119" s="405"/>
      <c r="BE119" s="405"/>
      <c r="BF119" s="405"/>
      <c r="BG119" s="405"/>
      <c r="BH119" s="405"/>
      <c r="BI119" s="405"/>
    </row>
    <row r="120" spans="1:61" s="401" customFormat="1" ht="18" customHeight="1" x14ac:dyDescent="0.2">
      <c r="A120" s="402" t="s">
        <v>949</v>
      </c>
      <c r="B120" s="405">
        <f>+B113</f>
        <v>1.6621334550980102</v>
      </c>
      <c r="C120" s="405">
        <f t="shared" ref="C120:BI120" si="89">+C113</f>
        <v>1.3842794390922046</v>
      </c>
      <c r="D120" s="405">
        <f t="shared" si="89"/>
        <v>1.3529484199086483</v>
      </c>
      <c r="E120" s="405">
        <f t="shared" si="89"/>
        <v>1.0650404885241216</v>
      </c>
      <c r="F120" s="405">
        <f t="shared" si="89"/>
        <v>0.7656926372213686</v>
      </c>
      <c r="G120" s="405">
        <f t="shared" si="89"/>
        <v>0.53914315712482919</v>
      </c>
      <c r="H120" s="405">
        <f t="shared" si="89"/>
        <v>0.43798529818541049</v>
      </c>
      <c r="I120" s="405">
        <f t="shared" si="89"/>
        <v>0.36306889547259652</v>
      </c>
      <c r="J120" s="405">
        <f t="shared" si="89"/>
        <v>0.30766153025849458</v>
      </c>
      <c r="K120" s="405">
        <f t="shared" si="89"/>
        <v>0.26664261383066901</v>
      </c>
      <c r="L120" s="405">
        <f t="shared" si="89"/>
        <v>0.23748629239215169</v>
      </c>
      <c r="M120" s="453">
        <f t="shared" si="89"/>
        <v>0.2143313788839169</v>
      </c>
      <c r="N120" s="405">
        <f t="shared" si="89"/>
        <v>0.193434069442735</v>
      </c>
      <c r="O120" s="405">
        <f t="shared" si="89"/>
        <v>0.17457424767206833</v>
      </c>
      <c r="P120" s="405">
        <f t="shared" si="89"/>
        <v>0.15755325852404164</v>
      </c>
      <c r="Q120" s="405">
        <f t="shared" si="89"/>
        <v>0.14219181581794757</v>
      </c>
      <c r="R120" s="405">
        <f t="shared" si="89"/>
        <v>0.12832811377569767</v>
      </c>
      <c r="S120" s="405">
        <f t="shared" si="89"/>
        <v>0.11581612268256714</v>
      </c>
      <c r="T120" s="405">
        <f t="shared" si="89"/>
        <v>0.10452405072101684</v>
      </c>
      <c r="U120" s="405">
        <f t="shared" si="89"/>
        <v>9.4332955775717695E-2</v>
      </c>
      <c r="V120" s="405">
        <f t="shared" si="89"/>
        <v>8.513549258758521E-2</v>
      </c>
      <c r="W120" s="405">
        <f t="shared" si="89"/>
        <v>8.0878717958205948E-2</v>
      </c>
      <c r="X120" s="405">
        <f t="shared" si="89"/>
        <v>7.6834782060295648E-2</v>
      </c>
      <c r="Y120" s="405">
        <f t="shared" si="89"/>
        <v>7.299304295728086E-2</v>
      </c>
      <c r="Z120" s="405">
        <f t="shared" si="89"/>
        <v>6.9343390809416816E-2</v>
      </c>
      <c r="AA120" s="405">
        <f t="shared" si="89"/>
        <v>6.5876221268945975E-2</v>
      </c>
      <c r="AB120" s="405">
        <f t="shared" si="89"/>
        <v>6.2582410205498679E-2</v>
      </c>
      <c r="AC120" s="405">
        <f t="shared" si="89"/>
        <v>5.9453289695223739E-2</v>
      </c>
      <c r="AD120" s="405">
        <f t="shared" si="89"/>
        <v>5.648062521046255E-2</v>
      </c>
      <c r="AE120" s="405">
        <f t="shared" si="89"/>
        <v>5.3656593949939421E-2</v>
      </c>
      <c r="AF120" s="405">
        <f t="shared" si="89"/>
        <v>5.0973764252442447E-2</v>
      </c>
      <c r="AG120" s="405">
        <f t="shared" si="89"/>
        <v>4.8425076039820325E-2</v>
      </c>
      <c r="AH120" s="405">
        <f t="shared" si="89"/>
        <v>4.6003822237829305E-2</v>
      </c>
      <c r="AI120" s="405"/>
      <c r="AJ120" s="405"/>
      <c r="AK120" s="405"/>
      <c r="AL120" s="405"/>
      <c r="AM120" s="405"/>
      <c r="AN120" s="405"/>
      <c r="AO120" s="405"/>
      <c r="AP120" s="405"/>
      <c r="AQ120" s="405"/>
      <c r="AR120" s="405"/>
      <c r="AS120" s="405"/>
      <c r="AT120" s="405"/>
      <c r="AU120" s="405"/>
      <c r="AV120" s="405"/>
      <c r="AW120" s="405"/>
      <c r="AX120" s="405"/>
      <c r="AY120" s="405"/>
      <c r="AZ120" s="405"/>
      <c r="BA120" s="405"/>
      <c r="BB120" s="405"/>
      <c r="BC120" s="405"/>
      <c r="BD120" s="405"/>
      <c r="BE120" s="405"/>
      <c r="BF120" s="405"/>
      <c r="BG120" s="405"/>
      <c r="BH120" s="405"/>
      <c r="BI120" s="405"/>
    </row>
    <row r="121" spans="1:61" s="402" customFormat="1" ht="18" customHeight="1" x14ac:dyDescent="0.2">
      <c r="A121" s="404" t="s">
        <v>965</v>
      </c>
      <c r="B121" s="405">
        <f>+B119*(1-B122)</f>
        <v>1.353745314615018</v>
      </c>
      <c r="C121" s="405">
        <f t="shared" ref="C121:BI121" si="90">+C119*(1-C122)</f>
        <v>0.94946114093826617</v>
      </c>
      <c r="D121" s="405">
        <f t="shared" si="90"/>
        <v>0.74024761331230982</v>
      </c>
      <c r="E121" s="405">
        <f t="shared" si="90"/>
        <v>0.56525977359247404</v>
      </c>
      <c r="F121" s="405">
        <f t="shared" si="90"/>
        <v>0.39413654435154583</v>
      </c>
      <c r="G121" s="405">
        <f t="shared" si="90"/>
        <v>0.27791750154697276</v>
      </c>
      <c r="H121" s="405">
        <f t="shared" si="90"/>
        <v>0.21611983130261223</v>
      </c>
      <c r="I121" s="405">
        <f t="shared" si="90"/>
        <v>0.20545828851677922</v>
      </c>
      <c r="J121" s="405">
        <f t="shared" si="90"/>
        <v>0.17089394424713186</v>
      </c>
      <c r="K121" s="405">
        <f t="shared" si="90"/>
        <v>0.14662132216249976</v>
      </c>
      <c r="L121" s="405">
        <f t="shared" si="90"/>
        <v>0.12866371060127685</v>
      </c>
      <c r="M121" s="453">
        <f t="shared" si="90"/>
        <v>0.11175674419249916</v>
      </c>
      <c r="N121" s="405">
        <f t="shared" si="90"/>
        <v>9.889019240695486E-2</v>
      </c>
      <c r="O121" s="405">
        <f t="shared" si="90"/>
        <v>8.9156981337399341E-2</v>
      </c>
      <c r="P121" s="405">
        <f t="shared" si="90"/>
        <v>8.2099141857673558E-2</v>
      </c>
      <c r="Q121" s="405">
        <f t="shared" si="90"/>
        <v>7.6001320214741902E-2</v>
      </c>
      <c r="R121" s="405">
        <f t="shared" si="90"/>
        <v>7.0528669963745433E-2</v>
      </c>
      <c r="S121" s="405">
        <f t="shared" si="90"/>
        <v>6.5602052173110603E-2</v>
      </c>
      <c r="T121" s="405">
        <f t="shared" si="90"/>
        <v>6.0125296360822693E-2</v>
      </c>
      <c r="U121" s="405">
        <f t="shared" si="90"/>
        <v>5.3825717702820242E-2</v>
      </c>
      <c r="V121" s="405">
        <f t="shared" si="90"/>
        <v>5.1030512646089023E-2</v>
      </c>
      <c r="W121" s="405">
        <f t="shared" si="90"/>
        <v>5.9542012842958167E-2</v>
      </c>
      <c r="X121" s="405">
        <f t="shared" si="90"/>
        <v>6.7873069034604841E-2</v>
      </c>
      <c r="Y121" s="405">
        <f t="shared" si="90"/>
        <v>7.5398913903845496E-2</v>
      </c>
      <c r="Z121" s="405">
        <f t="shared" si="90"/>
        <v>8.2796723970411365E-2</v>
      </c>
      <c r="AA121" s="405">
        <f t="shared" si="90"/>
        <v>9.0182360598198119E-2</v>
      </c>
      <c r="AB121" s="405">
        <f t="shared" si="90"/>
        <v>9.6297335402709683E-2</v>
      </c>
      <c r="AC121" s="405">
        <f t="shared" si="90"/>
        <v>0.10260174165730515</v>
      </c>
      <c r="AD121" s="405">
        <f t="shared" si="90"/>
        <v>0.10936243756814232</v>
      </c>
      <c r="AE121" s="405">
        <f t="shared" si="90"/>
        <v>0.11520561502473421</v>
      </c>
      <c r="AF121" s="405">
        <f t="shared" si="90"/>
        <v>0.11482453318169362</v>
      </c>
      <c r="AG121" s="405">
        <f t="shared" si="90"/>
        <v>0.12420601163108064</v>
      </c>
      <c r="AH121" s="405">
        <f t="shared" si="90"/>
        <v>0.12882228088278078</v>
      </c>
      <c r="AI121" s="405"/>
      <c r="AJ121" s="405"/>
      <c r="AK121" s="405"/>
      <c r="AL121" s="405"/>
      <c r="AM121" s="405"/>
      <c r="AN121" s="405"/>
      <c r="AO121" s="405"/>
      <c r="AP121" s="405"/>
      <c r="AQ121" s="405"/>
      <c r="AR121" s="405"/>
      <c r="AS121" s="405"/>
      <c r="AT121" s="405"/>
      <c r="AU121" s="405"/>
      <c r="AV121" s="405"/>
      <c r="AW121" s="405"/>
      <c r="AX121" s="405"/>
      <c r="AY121" s="405"/>
      <c r="AZ121" s="405"/>
      <c r="BA121" s="405"/>
      <c r="BB121" s="405"/>
      <c r="BC121" s="405"/>
      <c r="BD121" s="405"/>
      <c r="BE121" s="405"/>
      <c r="BF121" s="405"/>
      <c r="BG121" s="405"/>
      <c r="BH121" s="405"/>
      <c r="BI121" s="405"/>
    </row>
    <row r="122" spans="1:61" s="401" customFormat="1" ht="18" customHeight="1" x14ac:dyDescent="0.2">
      <c r="A122" s="402" t="s">
        <v>951</v>
      </c>
      <c r="B122" s="406">
        <f t="shared" ref="B122:L122" si="91">+(B123/(1000*B$36))^(1/($B$38-1))</f>
        <v>0</v>
      </c>
      <c r="C122" s="406">
        <f t="shared" si="91"/>
        <v>7.4048781448186857E-2</v>
      </c>
      <c r="D122" s="406">
        <f t="shared" si="91"/>
        <v>0.18182638113834054</v>
      </c>
      <c r="E122" s="406">
        <f t="shared" si="91"/>
        <v>0.29617327240627306</v>
      </c>
      <c r="F122" s="406">
        <f t="shared" si="91"/>
        <v>0.46051263949281201</v>
      </c>
      <c r="G122" s="406">
        <f t="shared" si="91"/>
        <v>0.58094028265257081</v>
      </c>
      <c r="H122" s="406">
        <f t="shared" si="91"/>
        <v>0.64825004310439616</v>
      </c>
      <c r="I122" s="406">
        <f t="shared" si="91"/>
        <v>0.6445423146869631</v>
      </c>
      <c r="J122" s="406">
        <f t="shared" si="91"/>
        <v>0.68831417734986933</v>
      </c>
      <c r="K122" s="406">
        <f t="shared" si="91"/>
        <v>0.72093630512184204</v>
      </c>
      <c r="L122" s="406">
        <f t="shared" si="91"/>
        <v>0.74434077159112422</v>
      </c>
      <c r="M122" s="454">
        <f t="shared" ref="M122:BI122" si="92">+(M123/(1000*M$36))^(1/($B$38-1))</f>
        <v>0.76237668403669989</v>
      </c>
      <c r="N122" s="406">
        <f t="shared" si="92"/>
        <v>0.77780614208487731</v>
      </c>
      <c r="O122" s="406">
        <f t="shared" si="92"/>
        <v>0.7915589509176254</v>
      </c>
      <c r="P122" s="406">
        <f t="shared" si="92"/>
        <v>0.80314854817654491</v>
      </c>
      <c r="Q122" s="406">
        <f t="shared" si="92"/>
        <v>0.81315249675961687</v>
      </c>
      <c r="R122" s="406">
        <f t="shared" si="92"/>
        <v>0.82161448476710708</v>
      </c>
      <c r="S122" s="406">
        <f t="shared" si="92"/>
        <v>0.82853497613262361</v>
      </c>
      <c r="T122" s="406">
        <f t="shared" si="92"/>
        <v>0.83499808965887612</v>
      </c>
      <c r="U122" s="406">
        <f t="shared" si="92"/>
        <v>0.84096913744024793</v>
      </c>
      <c r="V122" s="406">
        <f t="shared" si="92"/>
        <v>0.84641219791135847</v>
      </c>
      <c r="W122" s="406">
        <f t="shared" si="92"/>
        <v>0.81573817950280814</v>
      </c>
      <c r="X122" s="406">
        <f t="shared" si="92"/>
        <v>0.78596267881692461</v>
      </c>
      <c r="Y122" s="406">
        <f t="shared" si="92"/>
        <v>0.75706343335447324</v>
      </c>
      <c r="Z122" s="406">
        <f t="shared" si="92"/>
        <v>0.72901896056660376</v>
      </c>
      <c r="AA122" s="406">
        <f t="shared" si="92"/>
        <v>0.70180852263861582</v>
      </c>
      <c r="AB122" s="406">
        <f t="shared" si="92"/>
        <v>0.67541209106896616</v>
      </c>
      <c r="AC122" s="406">
        <f t="shared" si="92"/>
        <v>0.64981031109543852</v>
      </c>
      <c r="AD122" s="406">
        <f t="shared" si="92"/>
        <v>0.6249844660366789</v>
      </c>
      <c r="AE122" s="406">
        <f t="shared" si="92"/>
        <v>0.60091644163341063</v>
      </c>
      <c r="AF122" s="406">
        <f t="shared" si="92"/>
        <v>0.5775886904892702</v>
      </c>
      <c r="AG122" s="406">
        <f t="shared" si="92"/>
        <v>0.55498419672595845</v>
      </c>
      <c r="AH122" s="406">
        <f t="shared" si="92"/>
        <v>0.53308644098091817</v>
      </c>
      <c r="AI122" s="406"/>
      <c r="AJ122" s="406"/>
      <c r="AK122" s="406"/>
      <c r="AL122" s="406"/>
      <c r="AM122" s="406"/>
      <c r="AN122" s="406"/>
      <c r="AO122" s="406"/>
      <c r="AP122" s="406"/>
      <c r="AQ122" s="406"/>
      <c r="AR122" s="406"/>
      <c r="AS122" s="406"/>
      <c r="AT122" s="406"/>
      <c r="AU122" s="406"/>
      <c r="AV122" s="406"/>
      <c r="AW122" s="406"/>
      <c r="AX122" s="406"/>
      <c r="AY122" s="406"/>
      <c r="AZ122" s="406"/>
      <c r="BA122" s="406"/>
      <c r="BB122" s="406"/>
      <c r="BC122" s="406"/>
      <c r="BD122" s="406"/>
      <c r="BE122" s="406"/>
      <c r="BF122" s="406"/>
      <c r="BG122" s="406"/>
      <c r="BH122" s="406"/>
      <c r="BI122" s="406"/>
    </row>
    <row r="123" spans="1:61" s="401" customFormat="1" ht="18" customHeight="1" x14ac:dyDescent="0.2">
      <c r="A123" s="402" t="s">
        <v>964</v>
      </c>
      <c r="B123" s="400">
        <f>+Global!B118*B46</f>
        <v>0</v>
      </c>
      <c r="C123" s="400">
        <f>+Global!C118*C46</f>
        <v>9.9942147064251596</v>
      </c>
      <c r="D123" s="400">
        <f>+Global!D118*D46</f>
        <v>48.096041961936649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/>
      <c r="AJ123" s="400"/>
      <c r="AK123" s="400"/>
      <c r="AL123" s="400"/>
      <c r="AM123" s="400"/>
      <c r="AN123" s="400"/>
      <c r="AO123" s="400"/>
      <c r="AP123" s="400"/>
      <c r="AQ123" s="400"/>
      <c r="AR123" s="400"/>
      <c r="AS123" s="400"/>
      <c r="AT123" s="400"/>
      <c r="AU123" s="400"/>
      <c r="AV123" s="400"/>
      <c r="AW123" s="400"/>
      <c r="AX123" s="400"/>
      <c r="AY123" s="400"/>
      <c r="AZ123" s="400"/>
      <c r="BA123" s="400"/>
      <c r="BB123" s="400"/>
      <c r="BC123" s="400"/>
      <c r="BD123" s="400"/>
      <c r="BE123" s="400"/>
      <c r="BF123" s="400"/>
      <c r="BG123" s="400"/>
      <c r="BH123" s="400"/>
      <c r="BI123" s="400"/>
    </row>
    <row r="124" spans="1:61" s="401" customFormat="1" ht="18" customHeight="1" x14ac:dyDescent="0.2">
      <c r="A124" s="402" t="s">
        <v>969</v>
      </c>
      <c r="B124" s="405">
        <f>+B119*(1-B122)</f>
        <v>1.353745314615018</v>
      </c>
      <c r="C124" s="405">
        <f t="shared" ref="C124:BI124" si="93">+C119*(1-C122)</f>
        <v>0.94946114093826617</v>
      </c>
      <c r="D124" s="405">
        <f t="shared" si="93"/>
        <v>0.74024761331230982</v>
      </c>
      <c r="E124" s="405">
        <f t="shared" si="93"/>
        <v>0.56525977359247404</v>
      </c>
      <c r="F124" s="405">
        <f t="shared" si="93"/>
        <v>0.39413654435154583</v>
      </c>
      <c r="G124" s="405">
        <f t="shared" si="93"/>
        <v>0.27791750154697276</v>
      </c>
      <c r="H124" s="405">
        <f t="shared" si="93"/>
        <v>0.21611983130261223</v>
      </c>
      <c r="I124" s="405">
        <f t="shared" si="93"/>
        <v>0.20545828851677922</v>
      </c>
      <c r="J124" s="405">
        <f t="shared" si="93"/>
        <v>0.17089394424713186</v>
      </c>
      <c r="K124" s="405">
        <f t="shared" si="93"/>
        <v>0.14662132216249976</v>
      </c>
      <c r="L124" s="405">
        <f t="shared" si="93"/>
        <v>0.12866371060127685</v>
      </c>
      <c r="M124" s="453">
        <f t="shared" si="93"/>
        <v>0.11175674419249916</v>
      </c>
      <c r="N124" s="405">
        <f t="shared" si="93"/>
        <v>9.889019240695486E-2</v>
      </c>
      <c r="O124" s="405">
        <f t="shared" si="93"/>
        <v>8.9156981337399341E-2</v>
      </c>
      <c r="P124" s="405">
        <f t="shared" si="93"/>
        <v>8.2099141857673558E-2</v>
      </c>
      <c r="Q124" s="405">
        <f t="shared" si="93"/>
        <v>7.6001320214741902E-2</v>
      </c>
      <c r="R124" s="405">
        <f t="shared" si="93"/>
        <v>7.0528669963745433E-2</v>
      </c>
      <c r="S124" s="405">
        <f t="shared" si="93"/>
        <v>6.5602052173110603E-2</v>
      </c>
      <c r="T124" s="405">
        <f t="shared" si="93"/>
        <v>6.0125296360822693E-2</v>
      </c>
      <c r="U124" s="405">
        <f t="shared" si="93"/>
        <v>5.3825717702820242E-2</v>
      </c>
      <c r="V124" s="405">
        <f t="shared" si="93"/>
        <v>5.1030512646089023E-2</v>
      </c>
      <c r="W124" s="405">
        <f t="shared" si="93"/>
        <v>5.9542012842958167E-2</v>
      </c>
      <c r="X124" s="405">
        <f t="shared" si="93"/>
        <v>6.7873069034604841E-2</v>
      </c>
      <c r="Y124" s="405">
        <f t="shared" si="93"/>
        <v>7.5398913903845496E-2</v>
      </c>
      <c r="Z124" s="405">
        <f t="shared" si="93"/>
        <v>8.2796723970411365E-2</v>
      </c>
      <c r="AA124" s="405">
        <f t="shared" si="93"/>
        <v>9.0182360598198119E-2</v>
      </c>
      <c r="AB124" s="405">
        <f t="shared" si="93"/>
        <v>9.6297335402709683E-2</v>
      </c>
      <c r="AC124" s="405">
        <f t="shared" si="93"/>
        <v>0.10260174165730515</v>
      </c>
      <c r="AD124" s="405">
        <f t="shared" si="93"/>
        <v>0.10936243756814232</v>
      </c>
      <c r="AE124" s="405">
        <f t="shared" si="93"/>
        <v>0.11520561502473421</v>
      </c>
      <c r="AF124" s="405">
        <f t="shared" si="93"/>
        <v>0.11482453318169362</v>
      </c>
      <c r="AG124" s="405">
        <f t="shared" si="93"/>
        <v>0.12420601163108064</v>
      </c>
      <c r="AH124" s="405">
        <f t="shared" si="93"/>
        <v>0.12882228088278078</v>
      </c>
      <c r="AI124" s="405"/>
      <c r="AJ124" s="405"/>
      <c r="AK124" s="405"/>
      <c r="AL124" s="405"/>
      <c r="AM124" s="405"/>
      <c r="AN124" s="405"/>
      <c r="AO124" s="405"/>
      <c r="AP124" s="405"/>
      <c r="AQ124" s="405"/>
      <c r="AR124" s="405"/>
      <c r="AS124" s="405"/>
      <c r="AT124" s="405"/>
      <c r="AU124" s="405"/>
      <c r="AV124" s="405"/>
      <c r="AW124" s="405"/>
      <c r="AX124" s="405"/>
      <c r="AY124" s="405"/>
      <c r="AZ124" s="405"/>
      <c r="BA124" s="405"/>
      <c r="BB124" s="405"/>
      <c r="BC124" s="405"/>
      <c r="BD124" s="405"/>
      <c r="BE124" s="405"/>
      <c r="BF124" s="405"/>
      <c r="BG124" s="405"/>
      <c r="BH124" s="405"/>
      <c r="BI124" s="405"/>
    </row>
    <row r="126" spans="1:61" ht="26.25" customHeight="1" x14ac:dyDescent="0.2">
      <c r="A126" s="604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AH128" si="94">+$B$7*C61/C74</f>
        <v>0.11647204098267533</v>
      </c>
      <c r="D128" s="23">
        <f t="shared" si="94"/>
        <v>0.10560267063129705</v>
      </c>
      <c r="E128" s="23">
        <f t="shared" si="94"/>
        <v>0.10282204404510836</v>
      </c>
      <c r="F128" s="23">
        <f t="shared" si="94"/>
        <v>0.10393069421580696</v>
      </c>
      <c r="G128" s="23">
        <f t="shared" si="94"/>
        <v>0.10344444501746815</v>
      </c>
      <c r="H128" s="23">
        <f t="shared" si="94"/>
        <v>0.10430349161948868</v>
      </c>
      <c r="I128" s="23">
        <f t="shared" si="94"/>
        <v>0.10445876684685376</v>
      </c>
      <c r="J128" s="23">
        <f t="shared" si="94"/>
        <v>0.10371131250006464</v>
      </c>
      <c r="K128" s="23">
        <f t="shared" si="94"/>
        <v>0.10286301730928722</v>
      </c>
      <c r="L128" s="23">
        <f t="shared" si="94"/>
        <v>0.10118649306411537</v>
      </c>
      <c r="M128" s="37">
        <f t="shared" si="94"/>
        <v>9.7664017941243977E-2</v>
      </c>
      <c r="N128" s="23">
        <f t="shared" si="94"/>
        <v>9.3244019082465282E-2</v>
      </c>
      <c r="O128" s="23">
        <f t="shared" si="94"/>
        <v>9.2828026433515815E-2</v>
      </c>
      <c r="P128" s="23">
        <f t="shared" si="94"/>
        <v>9.3639332523828639E-2</v>
      </c>
      <c r="Q128" s="23">
        <f t="shared" si="94"/>
        <v>9.3568270481399637E-2</v>
      </c>
      <c r="R128" s="23">
        <f t="shared" si="94"/>
        <v>9.29331642602481E-2</v>
      </c>
      <c r="S128" s="23">
        <f t="shared" si="94"/>
        <v>9.2019008798594287E-2</v>
      </c>
      <c r="T128" s="23">
        <f t="shared" si="94"/>
        <v>9.001688748726204E-2</v>
      </c>
      <c r="U128" s="23">
        <f t="shared" si="94"/>
        <v>8.6894989686474786E-2</v>
      </c>
      <c r="V128" s="23">
        <f t="shared" si="94"/>
        <v>9.0523946357068508E-2</v>
      </c>
      <c r="W128" s="23">
        <f t="shared" si="94"/>
        <v>9.0801683443290787E-2</v>
      </c>
      <c r="X128" s="23">
        <f t="shared" si="94"/>
        <v>9.153505025788071E-2</v>
      </c>
      <c r="Y128" s="23">
        <f t="shared" si="94"/>
        <v>9.1400995297094195E-2</v>
      </c>
      <c r="Z128" s="23">
        <f t="shared" si="94"/>
        <v>9.176094005873231E-2</v>
      </c>
      <c r="AA128" s="23">
        <f t="shared" si="94"/>
        <v>9.2271443367042946E-2</v>
      </c>
      <c r="AB128" s="23">
        <f t="shared" si="94"/>
        <v>9.1541888606439928E-2</v>
      </c>
      <c r="AC128" s="23">
        <f t="shared" si="94"/>
        <v>9.1963549982576193E-2</v>
      </c>
      <c r="AD128" s="23">
        <f t="shared" si="94"/>
        <v>9.2715245428803189E-2</v>
      </c>
      <c r="AE128" s="23">
        <f t="shared" si="94"/>
        <v>9.2364051797400745E-2</v>
      </c>
      <c r="AF128" s="23">
        <f t="shared" si="94"/>
        <v>8.7699637378885781E-2</v>
      </c>
      <c r="AG128" s="23">
        <f t="shared" si="94"/>
        <v>9.3860253810882158E-2</v>
      </c>
      <c r="AH128" s="23">
        <f t="shared" si="94"/>
        <v>9.2406663979140186E-2</v>
      </c>
    </row>
    <row r="129" spans="1:34" ht="18" customHeight="1" x14ac:dyDescent="0.2">
      <c r="A129" s="23" t="s">
        <v>11</v>
      </c>
      <c r="B129" s="23"/>
      <c r="C129" s="23">
        <f>+$B$14+LN(D56/C56)/10+$B$18*LN(D88/C88)/10</f>
        <v>1.7091099415962738E-2</v>
      </c>
      <c r="D129" s="23">
        <f t="shared" ref="D129:BH129" si="95">+$B$14+LN(E56/D56)/10+$B$18*LN(E88/D88)/10</f>
        <v>1.6599513561829947E-2</v>
      </c>
      <c r="E129" s="23">
        <f t="shared" si="95"/>
        <v>1.9004545910327339E-2</v>
      </c>
      <c r="F129" s="23">
        <f t="shared" si="95"/>
        <v>1.7658307563435983E-2</v>
      </c>
      <c r="G129" s="23">
        <f t="shared" si="95"/>
        <v>1.9483087102962562E-2</v>
      </c>
      <c r="H129" s="23">
        <f t="shared" si="95"/>
        <v>2.0353954879862163E-2</v>
      </c>
      <c r="I129" s="23">
        <f t="shared" si="95"/>
        <v>2.0335729462781293E-2</v>
      </c>
      <c r="J129" s="23">
        <f t="shared" si="95"/>
        <v>2.1041246321608142E-2</v>
      </c>
      <c r="K129" s="23">
        <f t="shared" si="95"/>
        <v>2.0499600950055562E-2</v>
      </c>
      <c r="L129" s="23">
        <f t="shared" si="95"/>
        <v>1.3455468373332639E-2</v>
      </c>
      <c r="M129" s="37">
        <f t="shared" si="95"/>
        <v>1.7122921884644648E-2</v>
      </c>
      <c r="N129" s="23">
        <f t="shared" si="95"/>
        <v>1.8776747725849311E-2</v>
      </c>
      <c r="O129" s="23">
        <f t="shared" si="95"/>
        <v>2.0338686720869609E-2</v>
      </c>
      <c r="P129" s="23">
        <f t="shared" si="95"/>
        <v>1.9720270847499607E-2</v>
      </c>
      <c r="Q129" s="23">
        <f t="shared" si="95"/>
        <v>1.8764788410172366E-2</v>
      </c>
      <c r="R129" s="23">
        <f t="shared" si="95"/>
        <v>1.7613832180476099E-2</v>
      </c>
      <c r="S129" s="23">
        <f t="shared" si="95"/>
        <v>1.4863243187858713E-2</v>
      </c>
      <c r="T129" s="23">
        <f t="shared" si="95"/>
        <v>1.0644160704223195E-2</v>
      </c>
      <c r="U129" s="23">
        <f t="shared" si="95"/>
        <v>1.8678418632454768E-2</v>
      </c>
      <c r="V129" s="23">
        <f t="shared" si="95"/>
        <v>1.7109411400387742E-2</v>
      </c>
      <c r="W129" s="23">
        <f t="shared" si="95"/>
        <v>1.8126253499401678E-2</v>
      </c>
      <c r="X129" s="23">
        <f t="shared" si="95"/>
        <v>1.7484499165626194E-2</v>
      </c>
      <c r="Y129" s="23">
        <f t="shared" si="95"/>
        <v>1.8126657211696453E-2</v>
      </c>
      <c r="Z129" s="23">
        <f t="shared" si="95"/>
        <v>1.8689860993354894E-2</v>
      </c>
      <c r="AA129" s="23">
        <f t="shared" si="95"/>
        <v>1.6861022254907758E-2</v>
      </c>
      <c r="AB129" s="23">
        <f t="shared" si="95"/>
        <v>1.8152565043715409E-2</v>
      </c>
      <c r="AC129" s="23">
        <f t="shared" si="95"/>
        <v>1.9166316495326904E-2</v>
      </c>
      <c r="AD129" s="23">
        <f t="shared" si="95"/>
        <v>1.811306275756035E-2</v>
      </c>
      <c r="AE129" s="23">
        <f t="shared" si="95"/>
        <v>1.0667073446672962E-2</v>
      </c>
      <c r="AF129" s="23">
        <f t="shared" si="95"/>
        <v>2.3757099483130168E-2</v>
      </c>
      <c r="AG129" s="23">
        <f t="shared" si="95"/>
        <v>1.786628587151684E-2</v>
      </c>
      <c r="AH129" s="23" t="e">
        <f t="shared" si="95"/>
        <v>#NUM!</v>
      </c>
    </row>
    <row r="130" spans="1:34" ht="18" customHeight="1" x14ac:dyDescent="0.2">
      <c r="A130" s="23" t="s">
        <v>12</v>
      </c>
      <c r="B130" s="23"/>
      <c r="C130" s="23">
        <f>+$B$14+LN(C56/B56)/10+$B$18*LN(C88/B88)/10</f>
        <v>5.3828700232633683E-3</v>
      </c>
      <c r="D130" s="23">
        <f t="shared" ref="D130:BH130" si="96">+$B$14+LN(D56/C56)/10+$B$18*LN(D88/C88)/10</f>
        <v>1.7091099415962738E-2</v>
      </c>
      <c r="E130" s="23">
        <f t="shared" si="96"/>
        <v>1.6599513561829947E-2</v>
      </c>
      <c r="F130" s="23">
        <f t="shared" si="96"/>
        <v>1.9004545910327339E-2</v>
      </c>
      <c r="G130" s="23">
        <f t="shared" si="96"/>
        <v>1.7658307563435983E-2</v>
      </c>
      <c r="H130" s="23">
        <f t="shared" si="96"/>
        <v>1.9483087102962562E-2</v>
      </c>
      <c r="I130" s="23">
        <f t="shared" si="96"/>
        <v>2.0353954879862163E-2</v>
      </c>
      <c r="J130" s="23">
        <f t="shared" si="96"/>
        <v>2.0335729462781293E-2</v>
      </c>
      <c r="K130" s="23">
        <f t="shared" si="96"/>
        <v>2.1041246321608142E-2</v>
      </c>
      <c r="L130" s="23">
        <f t="shared" si="96"/>
        <v>2.0499600950055562E-2</v>
      </c>
      <c r="M130" s="37">
        <f t="shared" si="96"/>
        <v>1.3455468373332639E-2</v>
      </c>
      <c r="N130" s="23">
        <f t="shared" si="96"/>
        <v>1.7122921884644648E-2</v>
      </c>
      <c r="O130" s="23">
        <f t="shared" si="96"/>
        <v>1.8776747725849311E-2</v>
      </c>
      <c r="P130" s="23">
        <f t="shared" si="96"/>
        <v>2.0338686720869609E-2</v>
      </c>
      <c r="Q130" s="23">
        <f t="shared" si="96"/>
        <v>1.9720270847499607E-2</v>
      </c>
      <c r="R130" s="23">
        <f t="shared" si="96"/>
        <v>1.8764788410172366E-2</v>
      </c>
      <c r="S130" s="23">
        <f t="shared" si="96"/>
        <v>1.7613832180476099E-2</v>
      </c>
      <c r="T130" s="23">
        <f t="shared" si="96"/>
        <v>1.4863243187858713E-2</v>
      </c>
      <c r="U130" s="23">
        <f t="shared" si="96"/>
        <v>1.0644160704223195E-2</v>
      </c>
      <c r="V130" s="23">
        <f t="shared" si="96"/>
        <v>1.8678418632454768E-2</v>
      </c>
      <c r="W130" s="23">
        <f t="shared" si="96"/>
        <v>1.7109411400387742E-2</v>
      </c>
      <c r="X130" s="23">
        <f t="shared" si="96"/>
        <v>1.8126253499401678E-2</v>
      </c>
      <c r="Y130" s="23">
        <f t="shared" si="96"/>
        <v>1.7484499165626194E-2</v>
      </c>
      <c r="Z130" s="23">
        <f t="shared" si="96"/>
        <v>1.8126657211696453E-2</v>
      </c>
      <c r="AA130" s="23">
        <f t="shared" si="96"/>
        <v>1.8689860993354894E-2</v>
      </c>
      <c r="AB130" s="23">
        <f t="shared" si="96"/>
        <v>1.6861022254907758E-2</v>
      </c>
      <c r="AC130" s="23">
        <f t="shared" si="96"/>
        <v>1.8152565043715409E-2</v>
      </c>
      <c r="AD130" s="23">
        <f t="shared" si="96"/>
        <v>1.9166316495326904E-2</v>
      </c>
      <c r="AE130" s="23">
        <f t="shared" si="96"/>
        <v>1.811306275756035E-2</v>
      </c>
      <c r="AF130" s="23">
        <f t="shared" si="96"/>
        <v>1.0667073446672962E-2</v>
      </c>
      <c r="AG130" s="23">
        <f t="shared" si="96"/>
        <v>2.3757099483130168E-2</v>
      </c>
      <c r="AH130" s="23">
        <f t="shared" si="96"/>
        <v>1.786628587151684E-2</v>
      </c>
    </row>
    <row r="131" spans="1:34" ht="18" customHeight="1" x14ac:dyDescent="0.2">
      <c r="A131" s="23" t="s">
        <v>1116</v>
      </c>
      <c r="B131" s="23"/>
      <c r="C131" s="23">
        <f t="shared" ref="C131:AN131" si="97">+AVERAGE(C129:C130)</f>
        <v>1.1236984719613053E-2</v>
      </c>
      <c r="D131" s="23">
        <f t="shared" si="97"/>
        <v>1.6845306488896344E-2</v>
      </c>
      <c r="E131" s="23">
        <f t="shared" si="97"/>
        <v>1.7802029736078643E-2</v>
      </c>
      <c r="F131" s="23">
        <f t="shared" si="97"/>
        <v>1.8331426736881661E-2</v>
      </c>
      <c r="G131" s="23">
        <f t="shared" si="97"/>
        <v>1.8570697333199271E-2</v>
      </c>
      <c r="H131" s="23">
        <f t="shared" si="97"/>
        <v>1.9918520991412364E-2</v>
      </c>
      <c r="I131" s="23">
        <f t="shared" si="97"/>
        <v>2.034484217132173E-2</v>
      </c>
      <c r="J131" s="23">
        <f t="shared" si="97"/>
        <v>2.0688487892194719E-2</v>
      </c>
      <c r="K131" s="23">
        <f t="shared" si="97"/>
        <v>2.0770423635831852E-2</v>
      </c>
      <c r="L131" s="23">
        <f t="shared" si="97"/>
        <v>1.6977534661694101E-2</v>
      </c>
      <c r="M131" s="37">
        <f t="shared" si="97"/>
        <v>1.5289195128988645E-2</v>
      </c>
      <c r="N131" s="23">
        <f t="shared" si="97"/>
        <v>1.7949834805246978E-2</v>
      </c>
      <c r="O131" s="23">
        <f t="shared" si="97"/>
        <v>1.9557717223359458E-2</v>
      </c>
      <c r="P131" s="23">
        <f t="shared" si="97"/>
        <v>2.0029478784184609E-2</v>
      </c>
      <c r="Q131" s="23">
        <f t="shared" si="97"/>
        <v>1.9242529628835985E-2</v>
      </c>
      <c r="R131" s="23">
        <f t="shared" si="97"/>
        <v>1.8189310295324231E-2</v>
      </c>
      <c r="S131" s="23">
        <f t="shared" si="97"/>
        <v>1.6238537684167408E-2</v>
      </c>
      <c r="T131" s="23">
        <f t="shared" si="97"/>
        <v>1.2753701946040953E-2</v>
      </c>
      <c r="U131" s="23">
        <f t="shared" si="97"/>
        <v>1.4661289668338982E-2</v>
      </c>
      <c r="V131" s="23">
        <f t="shared" si="97"/>
        <v>1.7893915016421257E-2</v>
      </c>
      <c r="W131" s="23">
        <f t="shared" si="97"/>
        <v>1.7617832449894712E-2</v>
      </c>
      <c r="X131" s="23">
        <f t="shared" si="97"/>
        <v>1.7805376332513938E-2</v>
      </c>
      <c r="Y131" s="23">
        <f t="shared" si="97"/>
        <v>1.7805578188661325E-2</v>
      </c>
      <c r="Z131" s="23">
        <f t="shared" si="97"/>
        <v>1.8408259102525672E-2</v>
      </c>
      <c r="AA131" s="23">
        <f t="shared" si="97"/>
        <v>1.7775441624131326E-2</v>
      </c>
      <c r="AB131" s="23">
        <f t="shared" si="97"/>
        <v>1.7506793649311583E-2</v>
      </c>
      <c r="AC131" s="23">
        <f t="shared" si="97"/>
        <v>1.8659440769521154E-2</v>
      </c>
      <c r="AD131" s="23">
        <f t="shared" si="97"/>
        <v>1.8639689626443627E-2</v>
      </c>
      <c r="AE131" s="23">
        <f t="shared" si="97"/>
        <v>1.4390068102116656E-2</v>
      </c>
      <c r="AF131" s="23">
        <f t="shared" si="97"/>
        <v>1.7212086464901563E-2</v>
      </c>
      <c r="AG131" s="23">
        <f t="shared" si="97"/>
        <v>2.0811692677323503E-2</v>
      </c>
      <c r="AH131" s="23" t="e">
        <f t="shared" si="97"/>
        <v>#NUM!</v>
      </c>
    </row>
    <row r="132" spans="1:34" ht="18" customHeight="1" x14ac:dyDescent="0.2">
      <c r="A132" s="23" t="s">
        <v>13</v>
      </c>
      <c r="B132" s="23">
        <f t="shared" ref="B132:AG132" si="98">+B88^-$B$18</f>
        <v>6.7770504493310131E-3</v>
      </c>
      <c r="C132" s="23">
        <f t="shared" si="98"/>
        <v>8.1906444619080088E-3</v>
      </c>
      <c r="D132" s="23">
        <f t="shared" si="98"/>
        <v>8.6584740780903755E-3</v>
      </c>
      <c r="E132" s="23">
        <f t="shared" si="98"/>
        <v>9.0262757486268934E-3</v>
      </c>
      <c r="F132" s="23">
        <f t="shared" si="98"/>
        <v>9.0545944754192257E-3</v>
      </c>
      <c r="G132" s="23">
        <f t="shared" si="98"/>
        <v>9.0369030212167547E-3</v>
      </c>
      <c r="H132" s="23">
        <f t="shared" si="98"/>
        <v>8.7577761910143936E-3</v>
      </c>
      <c r="I132" s="23">
        <f t="shared" si="98"/>
        <v>8.413678877385455E-3</v>
      </c>
      <c r="J132" s="23">
        <f t="shared" si="98"/>
        <v>8.0845746288331268E-3</v>
      </c>
      <c r="K132" s="23">
        <f t="shared" si="98"/>
        <v>7.7137293279799504E-3</v>
      </c>
      <c r="L132" s="23">
        <f t="shared" si="98"/>
        <v>7.3769165345096178E-3</v>
      </c>
      <c r="M132" s="37">
        <f t="shared" si="98"/>
        <v>7.5462039722637379E-3</v>
      </c>
      <c r="N132" s="23">
        <f t="shared" si="98"/>
        <v>7.4414002048777241E-3</v>
      </c>
      <c r="O132" s="23">
        <f t="shared" si="98"/>
        <v>7.2176914018149373E-3</v>
      </c>
      <c r="P132" s="23">
        <f t="shared" si="98"/>
        <v>6.892210645697153E-3</v>
      </c>
      <c r="Q132" s="23">
        <f t="shared" si="98"/>
        <v>6.6222339744237092E-3</v>
      </c>
      <c r="R132" s="23">
        <f t="shared" si="98"/>
        <v>6.4239197552440419E-3</v>
      </c>
      <c r="S132" s="23">
        <f t="shared" si="98"/>
        <v>6.3036810803780534E-3</v>
      </c>
      <c r="T132" s="23">
        <f t="shared" si="98"/>
        <v>6.358197512685371E-3</v>
      </c>
      <c r="U132" s="23">
        <f t="shared" si="98"/>
        <v>6.6895520788160211E-3</v>
      </c>
      <c r="V132" s="23">
        <f t="shared" si="98"/>
        <v>6.4868239554575075E-3</v>
      </c>
      <c r="W132" s="23">
        <f t="shared" si="98"/>
        <v>6.3818366498841475E-3</v>
      </c>
      <c r="X132" s="23">
        <f t="shared" si="98"/>
        <v>6.2150291012324776E-3</v>
      </c>
      <c r="Y132" s="23">
        <f t="shared" si="98"/>
        <v>6.0915491536121802E-3</v>
      </c>
      <c r="Z132" s="23">
        <f t="shared" si="98"/>
        <v>5.932305149211098E-3</v>
      </c>
      <c r="AA132" s="23">
        <f t="shared" si="98"/>
        <v>5.7447779784200875E-3</v>
      </c>
      <c r="AB132" s="23">
        <f t="shared" si="98"/>
        <v>5.6658563733742772E-3</v>
      </c>
      <c r="AC132" s="23">
        <f t="shared" si="98"/>
        <v>5.5163113987951266E-3</v>
      </c>
      <c r="AD132" s="23">
        <f t="shared" si="98"/>
        <v>5.3165428792755582E-3</v>
      </c>
      <c r="AE132" s="23">
        <f t="shared" si="98"/>
        <v>5.178262835584908E-3</v>
      </c>
      <c r="AF132" s="23">
        <f t="shared" si="98"/>
        <v>5.4204964693770662E-3</v>
      </c>
      <c r="AG132" s="23">
        <f t="shared" si="98"/>
        <v>4.9660085855031538E-3</v>
      </c>
      <c r="AH132" s="23">
        <f t="shared" ref="AH132:BI132" si="99">+AH88^-$B$18</f>
        <v>4.8256891674630514E-3</v>
      </c>
    </row>
    <row r="133" spans="1:34" ht="18" customHeight="1" x14ac:dyDescent="0.2">
      <c r="A133" s="23" t="s">
        <v>14</v>
      </c>
      <c r="B133" s="23">
        <f t="shared" ref="B133:AG133" si="100">+B17*B132/$B132</f>
        <v>1</v>
      </c>
      <c r="C133" s="23">
        <f t="shared" si="100"/>
        <v>1.0413984656421731</v>
      </c>
      <c r="D133" s="23">
        <f t="shared" si="100"/>
        <v>0.94859274222667977</v>
      </c>
      <c r="E133" s="23">
        <f t="shared" si="100"/>
        <v>0.852092241178109</v>
      </c>
      <c r="F133" s="23">
        <f t="shared" si="100"/>
        <v>0.73652347906215443</v>
      </c>
      <c r="G133" s="23">
        <f t="shared" si="100"/>
        <v>0.63339815011055123</v>
      </c>
      <c r="H133" s="23">
        <f t="shared" si="100"/>
        <v>0.52892073022287045</v>
      </c>
      <c r="I133" s="23">
        <f t="shared" si="100"/>
        <v>0.43784687695539953</v>
      </c>
      <c r="J133" s="23">
        <f t="shared" si="100"/>
        <v>0.3625209219717665</v>
      </c>
      <c r="K133" s="23">
        <f t="shared" si="100"/>
        <v>0.29804365080127748</v>
      </c>
      <c r="L133" s="23">
        <f t="shared" si="100"/>
        <v>0.24560088429948856</v>
      </c>
      <c r="M133" s="37">
        <f t="shared" si="100"/>
        <v>0.21648268904772958</v>
      </c>
      <c r="N133" s="23">
        <f t="shared" si="100"/>
        <v>0.18394537529298363</v>
      </c>
      <c r="O133" s="23">
        <f t="shared" si="100"/>
        <v>0.15373476860609434</v>
      </c>
      <c r="P133" s="23">
        <f t="shared" si="100"/>
        <v>0.12649457748649889</v>
      </c>
      <c r="Q133" s="23">
        <f t="shared" si="100"/>
        <v>0.10472671113217802</v>
      </c>
      <c r="R133" s="23">
        <f t="shared" si="100"/>
        <v>8.7537195531278131E-2</v>
      </c>
      <c r="S133" s="23">
        <f t="shared" si="100"/>
        <v>7.4016122859658959E-2</v>
      </c>
      <c r="T133" s="23">
        <f t="shared" si="100"/>
        <v>6.4328835739717635E-2</v>
      </c>
      <c r="U133" s="23">
        <f t="shared" si="100"/>
        <v>5.8318761599855454E-2</v>
      </c>
      <c r="V133" s="23">
        <f t="shared" si="100"/>
        <v>4.872848885072438E-2</v>
      </c>
      <c r="W133" s="23">
        <f t="shared" si="100"/>
        <v>4.1308183046341249E-2</v>
      </c>
      <c r="X133" s="23">
        <f t="shared" si="100"/>
        <v>3.466355917951653E-2</v>
      </c>
      <c r="Y133" s="23">
        <f t="shared" si="100"/>
        <v>2.9275027858227973E-2</v>
      </c>
      <c r="Z133" s="23">
        <f t="shared" si="100"/>
        <v>2.4565896852383775E-2</v>
      </c>
      <c r="AA133" s="23">
        <f t="shared" si="100"/>
        <v>2.0498494608577809E-2</v>
      </c>
      <c r="AB133" s="23">
        <f t="shared" si="100"/>
        <v>1.7420228919255255E-2</v>
      </c>
      <c r="AC133" s="23">
        <f t="shared" si="100"/>
        <v>1.461425390653351E-2</v>
      </c>
      <c r="AD133" s="23">
        <f t="shared" si="100"/>
        <v>1.2136592563866778E-2</v>
      </c>
      <c r="AE133" s="23">
        <f t="shared" si="100"/>
        <v>1.0185705599392707E-2</v>
      </c>
      <c r="AF133" s="23">
        <f t="shared" si="100"/>
        <v>9.1872529217370668E-3</v>
      </c>
      <c r="AG133" s="23">
        <f t="shared" si="100"/>
        <v>7.2525987399998468E-3</v>
      </c>
      <c r="AH133" s="23">
        <f t="shared" ref="AH133:BI133" si="101">+AH17*AH132/$B132</f>
        <v>6.0727458561481203E-3</v>
      </c>
    </row>
    <row r="134" spans="1:34" ht="18" customHeight="1" x14ac:dyDescent="0.2">
      <c r="A134" s="23" t="s">
        <v>1117</v>
      </c>
      <c r="B134" s="23"/>
      <c r="C134" s="23">
        <f>+(C133/B133)^-0.1-1</f>
        <v>-4.048232563286458E-3</v>
      </c>
      <c r="D134" s="23">
        <f t="shared" ref="D134:X134" si="102">+(D133/C133)^-0.1-1</f>
        <v>9.3777183212486737E-3</v>
      </c>
      <c r="E134" s="23">
        <f t="shared" si="102"/>
        <v>1.0786234190064192E-2</v>
      </c>
      <c r="F134" s="23">
        <f t="shared" si="102"/>
        <v>1.468210567941175E-2</v>
      </c>
      <c r="G134" s="23">
        <f t="shared" si="102"/>
        <v>1.5198530694701562E-2</v>
      </c>
      <c r="H134" s="23">
        <f t="shared" si="102"/>
        <v>1.8189514262689332E-2</v>
      </c>
      <c r="I134" s="23">
        <f t="shared" si="102"/>
        <v>1.9076608916446913E-2</v>
      </c>
      <c r="J134" s="23">
        <f t="shared" si="102"/>
        <v>1.9058035989462319E-2</v>
      </c>
      <c r="K134" s="23">
        <f t="shared" si="102"/>
        <v>1.9777252293756931E-2</v>
      </c>
      <c r="L134" s="23">
        <f t="shared" si="102"/>
        <v>1.9541703278084022E-2</v>
      </c>
      <c r="M134" s="37">
        <f t="shared" si="102"/>
        <v>1.2699685783221337E-2</v>
      </c>
      <c r="N134" s="23">
        <f t="shared" si="102"/>
        <v>1.6420533649521563E-2</v>
      </c>
      <c r="O134" s="23">
        <f t="shared" si="102"/>
        <v>1.8102906986391165E-2</v>
      </c>
      <c r="P134" s="23">
        <f t="shared" si="102"/>
        <v>1.9694364173726386E-2</v>
      </c>
      <c r="Q134" s="23">
        <f t="shared" si="102"/>
        <v>1.9063963937782535E-2</v>
      </c>
      <c r="R134" s="23">
        <f t="shared" si="102"/>
        <v>1.8090731245141933E-2</v>
      </c>
      <c r="S134" s="23">
        <f t="shared" si="102"/>
        <v>1.6919627449503816E-2</v>
      </c>
      <c r="T134" s="23">
        <f t="shared" si="102"/>
        <v>1.4126342865884434E-2</v>
      </c>
      <c r="U134" s="23">
        <f t="shared" si="102"/>
        <v>9.8566735535834393E-3</v>
      </c>
      <c r="V134" s="23">
        <f t="shared" si="102"/>
        <v>1.8128360168732538E-2</v>
      </c>
      <c r="W134" s="23">
        <f t="shared" si="102"/>
        <v>1.6657537971284997E-2</v>
      </c>
      <c r="X134" s="23">
        <f t="shared" si="102"/>
        <v>1.7691843929975137E-2</v>
      </c>
      <c r="Y134" s="23">
        <f t="shared" ref="Y134:BA134" si="103">+(Y133/X133)^-0.1-1</f>
        <v>1.7038945301355302E-2</v>
      </c>
      <c r="Z134" s="23">
        <f t="shared" si="103"/>
        <v>1.7692254784767769E-2</v>
      </c>
      <c r="AA134" s="23">
        <f t="shared" si="103"/>
        <v>1.8265584346760955E-2</v>
      </c>
      <c r="AB134" s="23">
        <f t="shared" si="103"/>
        <v>1.6405042634031419E-2</v>
      </c>
      <c r="AC134" s="23">
        <f t="shared" si="103"/>
        <v>1.7718621326300088E-2</v>
      </c>
      <c r="AD134" s="23">
        <f t="shared" si="103"/>
        <v>1.8750858183406161E-2</v>
      </c>
      <c r="AE134" s="23">
        <f t="shared" si="103"/>
        <v>1.7678419908124354E-2</v>
      </c>
      <c r="AF134" s="23">
        <f t="shared" si="103"/>
        <v>1.0370237461767129E-2</v>
      </c>
      <c r="AG134" s="23">
        <f t="shared" si="103"/>
        <v>2.3927488375666828E-2</v>
      </c>
      <c r="AH134" s="23">
        <f t="shared" si="103"/>
        <v>1.7913453560332249E-2</v>
      </c>
    </row>
    <row r="135" spans="1:34" ht="18" customHeight="1" x14ac:dyDescent="0.2">
      <c r="A135" s="23" t="s">
        <v>206</v>
      </c>
      <c r="B135" s="23"/>
      <c r="C135" s="23">
        <f>+LN(C56/B56)/10</f>
        <v>9.3279313555020352E-3</v>
      </c>
      <c r="D135" s="23">
        <f t="shared" ref="D135:K135" si="104">+LN(D56/C56)/10</f>
        <v>7.6456914107725076E-3</v>
      </c>
      <c r="E135" s="23">
        <f t="shared" si="104"/>
        <v>5.7596483440908825E-3</v>
      </c>
      <c r="F135" s="23">
        <f t="shared" si="104"/>
        <v>4.3177913415189213E-3</v>
      </c>
      <c r="G135" s="23">
        <f t="shared" si="104"/>
        <v>2.4627299464364742E-3</v>
      </c>
      <c r="H135" s="23">
        <f t="shared" si="104"/>
        <v>1.3456354717457319E-3</v>
      </c>
      <c r="I135" s="23">
        <f t="shared" si="104"/>
        <v>1.3456354717457319E-3</v>
      </c>
      <c r="J135" s="23">
        <f t="shared" si="104"/>
        <v>1.3456354717457319E-3</v>
      </c>
      <c r="K135" s="23">
        <f t="shared" si="104"/>
        <v>1.3456354717457319E-3</v>
      </c>
      <c r="L135" s="23">
        <f t="shared" ref="L135:AQ135" si="105">+LN(L56/K56)/10</f>
        <v>1.03499762952242E-3</v>
      </c>
      <c r="M135" s="37">
        <f t="shared" si="105"/>
        <v>7.2435978729910833E-4</v>
      </c>
      <c r="N135" s="23">
        <f t="shared" si="105"/>
        <v>7.2435978729910833E-4</v>
      </c>
      <c r="O135" s="23">
        <f t="shared" si="105"/>
        <v>7.2435978729910833E-4</v>
      </c>
      <c r="P135" s="23">
        <f t="shared" si="105"/>
        <v>7.2435978729910833E-4</v>
      </c>
      <c r="Q135" s="23">
        <f t="shared" si="105"/>
        <v>7.2435978729910833E-4</v>
      </c>
      <c r="R135" s="23">
        <f t="shared" si="105"/>
        <v>7.2435978729910833E-4</v>
      </c>
      <c r="S135" s="23">
        <f t="shared" si="105"/>
        <v>7.2435978729910833E-4</v>
      </c>
      <c r="T135" s="23">
        <f t="shared" si="105"/>
        <v>7.2435978729910833E-4</v>
      </c>
      <c r="U135" s="23">
        <f t="shared" si="105"/>
        <v>7.2435978729910833E-4</v>
      </c>
      <c r="V135" s="23">
        <f t="shared" si="105"/>
        <v>6.0103040758817373E-4</v>
      </c>
      <c r="W135" s="23">
        <f t="shared" si="105"/>
        <v>4.7770102787725988E-4</v>
      </c>
      <c r="X135" s="23">
        <f t="shared" si="105"/>
        <v>4.7770102787725988E-4</v>
      </c>
      <c r="Y135" s="23">
        <f t="shared" si="105"/>
        <v>4.7770102787725988E-4</v>
      </c>
      <c r="Z135" s="23">
        <f t="shared" si="105"/>
        <v>4.7770102787725988E-4</v>
      </c>
      <c r="AA135" s="23">
        <f t="shared" si="105"/>
        <v>4.7770102787725988E-4</v>
      </c>
      <c r="AB135" s="23">
        <f t="shared" si="105"/>
        <v>4.7770102787725988E-4</v>
      </c>
      <c r="AC135" s="23">
        <f t="shared" si="105"/>
        <v>4.7770102787725988E-4</v>
      </c>
      <c r="AD135" s="23">
        <f t="shared" si="105"/>
        <v>4.7770102787725988E-4</v>
      </c>
      <c r="AE135" s="23">
        <f t="shared" si="105"/>
        <v>4.7770102787725988E-4</v>
      </c>
      <c r="AF135" s="23">
        <f t="shared" si="105"/>
        <v>2.3885051393862677E-4</v>
      </c>
      <c r="AG135" s="23">
        <f t="shared" si="105"/>
        <v>0</v>
      </c>
      <c r="AH135" s="23">
        <f t="shared" si="105"/>
        <v>0</v>
      </c>
    </row>
    <row r="136" spans="1:34" ht="18" customHeight="1" x14ac:dyDescent="0.2">
      <c r="A136" s="23" t="s">
        <v>207</v>
      </c>
      <c r="B136" s="23"/>
      <c r="C136" s="23">
        <f>+C134+C135</f>
        <v>5.2796987922155772E-3</v>
      </c>
      <c r="D136" s="23">
        <f t="shared" ref="D136:K136" si="106">+D134+D135</f>
        <v>1.7023409732021183E-2</v>
      </c>
      <c r="E136" s="23">
        <f t="shared" si="106"/>
        <v>1.6545882534155076E-2</v>
      </c>
      <c r="F136" s="23">
        <f t="shared" si="106"/>
        <v>1.8999897020930672E-2</v>
      </c>
      <c r="G136" s="23">
        <f t="shared" si="106"/>
        <v>1.7661260641138037E-2</v>
      </c>
      <c r="H136" s="23">
        <f t="shared" si="106"/>
        <v>1.9535149734435063E-2</v>
      </c>
      <c r="I136" s="23">
        <f t="shared" si="106"/>
        <v>2.0422244388192644E-2</v>
      </c>
      <c r="J136" s="23">
        <f t="shared" si="106"/>
        <v>2.0403671461208049E-2</v>
      </c>
      <c r="K136" s="23">
        <f t="shared" si="106"/>
        <v>2.1122887765502661E-2</v>
      </c>
      <c r="L136" s="23">
        <f t="shared" ref="L136:BI136" si="107">+L134+L135</f>
        <v>2.0576700907606441E-2</v>
      </c>
      <c r="M136" s="37">
        <f t="shared" si="107"/>
        <v>1.3424045570520446E-2</v>
      </c>
      <c r="N136" s="23">
        <f t="shared" si="107"/>
        <v>1.7144893436820671E-2</v>
      </c>
      <c r="O136" s="23">
        <f t="shared" si="107"/>
        <v>1.8827266773690274E-2</v>
      </c>
      <c r="P136" s="23">
        <f t="shared" si="107"/>
        <v>2.0418723961025495E-2</v>
      </c>
      <c r="Q136" s="23">
        <f t="shared" si="107"/>
        <v>1.9788323725081644E-2</v>
      </c>
      <c r="R136" s="23">
        <f t="shared" si="107"/>
        <v>1.8815091032441042E-2</v>
      </c>
      <c r="S136" s="23">
        <f t="shared" si="107"/>
        <v>1.7643987236802924E-2</v>
      </c>
      <c r="T136" s="23">
        <f t="shared" si="107"/>
        <v>1.4850702653183542E-2</v>
      </c>
      <c r="U136" s="23">
        <f t="shared" si="107"/>
        <v>1.0581033340882548E-2</v>
      </c>
      <c r="V136" s="23">
        <f t="shared" si="107"/>
        <v>1.8729390576320712E-2</v>
      </c>
      <c r="W136" s="23">
        <f t="shared" si="107"/>
        <v>1.7135238999162257E-2</v>
      </c>
      <c r="X136" s="23">
        <f t="shared" si="107"/>
        <v>1.8169544957852397E-2</v>
      </c>
      <c r="Y136" s="23">
        <f t="shared" si="107"/>
        <v>1.7516646329232562E-2</v>
      </c>
      <c r="Z136" s="23">
        <f t="shared" si="107"/>
        <v>1.8169955812645029E-2</v>
      </c>
      <c r="AA136" s="23">
        <f t="shared" si="107"/>
        <v>1.8743285374638215E-2</v>
      </c>
      <c r="AB136" s="23">
        <f t="shared" si="107"/>
        <v>1.6882743661908679E-2</v>
      </c>
      <c r="AC136" s="23">
        <f t="shared" si="107"/>
        <v>1.8196322354177348E-2</v>
      </c>
      <c r="AD136" s="23">
        <f t="shared" si="107"/>
        <v>1.9228559211283421E-2</v>
      </c>
      <c r="AE136" s="23">
        <f t="shared" si="107"/>
        <v>1.8156120936001614E-2</v>
      </c>
      <c r="AF136" s="23">
        <f t="shared" si="107"/>
        <v>1.0609087975705755E-2</v>
      </c>
      <c r="AG136" s="23">
        <f t="shared" si="107"/>
        <v>2.3927488375666828E-2</v>
      </c>
      <c r="AH136" s="23">
        <f t="shared" si="107"/>
        <v>1.7913453560332249E-2</v>
      </c>
    </row>
    <row r="137" spans="1:34" ht="18" customHeight="1" x14ac:dyDescent="0.2">
      <c r="A137" s="23" t="s">
        <v>208</v>
      </c>
      <c r="B137" s="23"/>
      <c r="C137" s="23">
        <f>+C136-C129</f>
        <v>-1.1811400623747161E-2</v>
      </c>
      <c r="D137" s="23">
        <f t="shared" ref="D137:K137" si="108">+D136-D129</f>
        <v>4.238961701912361E-4</v>
      </c>
      <c r="E137" s="23">
        <f t="shared" si="108"/>
        <v>-2.4586633761722633E-3</v>
      </c>
      <c r="F137" s="23">
        <f t="shared" si="108"/>
        <v>1.3415894574946886E-3</v>
      </c>
      <c r="G137" s="23">
        <f t="shared" si="108"/>
        <v>-1.8218264618245252E-3</v>
      </c>
      <c r="H137" s="23">
        <f t="shared" si="108"/>
        <v>-8.1880514542709976E-4</v>
      </c>
      <c r="I137" s="23">
        <f t="shared" si="108"/>
        <v>8.6514925411351057E-5</v>
      </c>
      <c r="J137" s="23">
        <f t="shared" si="108"/>
        <v>-6.3757486040009331E-4</v>
      </c>
      <c r="K137" s="23">
        <f t="shared" si="108"/>
        <v>6.2328681544709941E-4</v>
      </c>
      <c r="L137" s="23">
        <f t="shared" ref="L137:BI137" si="109">+L136-L129</f>
        <v>7.1212325342738022E-3</v>
      </c>
      <c r="M137" s="37">
        <f t="shared" si="109"/>
        <v>-3.6988763141242026E-3</v>
      </c>
      <c r="N137" s="23">
        <f t="shared" si="109"/>
        <v>-1.6318542890286399E-3</v>
      </c>
      <c r="O137" s="23">
        <f t="shared" si="109"/>
        <v>-1.5114199471793349E-3</v>
      </c>
      <c r="P137" s="23">
        <f t="shared" si="109"/>
        <v>6.9845311352588826E-4</v>
      </c>
      <c r="Q137" s="23">
        <f t="shared" si="109"/>
        <v>1.0235353149092782E-3</v>
      </c>
      <c r="R137" s="23">
        <f t="shared" si="109"/>
        <v>1.2012588519649432E-3</v>
      </c>
      <c r="S137" s="23">
        <f t="shared" si="109"/>
        <v>2.7807440489442115E-3</v>
      </c>
      <c r="T137" s="23">
        <f t="shared" si="109"/>
        <v>4.2065419489603472E-3</v>
      </c>
      <c r="U137" s="23">
        <f t="shared" si="109"/>
        <v>-8.0973852915722198E-3</v>
      </c>
      <c r="V137" s="23">
        <f t="shared" si="109"/>
        <v>1.6199791759329701E-3</v>
      </c>
      <c r="W137" s="23">
        <f t="shared" si="109"/>
        <v>-9.910145002394212E-4</v>
      </c>
      <c r="X137" s="23">
        <f t="shared" si="109"/>
        <v>6.8504579222620349E-4</v>
      </c>
      <c r="Y137" s="23">
        <f t="shared" si="109"/>
        <v>-6.1001088246389126E-4</v>
      </c>
      <c r="Z137" s="23">
        <f t="shared" si="109"/>
        <v>-5.199051807098648E-4</v>
      </c>
      <c r="AA137" s="23">
        <f t="shared" si="109"/>
        <v>1.8822631197304568E-3</v>
      </c>
      <c r="AB137" s="23">
        <f t="shared" si="109"/>
        <v>-1.2698213818067294E-3</v>
      </c>
      <c r="AC137" s="23">
        <f t="shared" si="109"/>
        <v>-9.6999414114955565E-4</v>
      </c>
      <c r="AD137" s="23">
        <f t="shared" si="109"/>
        <v>1.1154964537230701E-3</v>
      </c>
      <c r="AE137" s="23">
        <f t="shared" si="109"/>
        <v>7.4890474893286527E-3</v>
      </c>
      <c r="AF137" s="23">
        <f t="shared" si="109"/>
        <v>-1.3148011507424413E-2</v>
      </c>
      <c r="AG137" s="23">
        <f t="shared" si="109"/>
        <v>6.0612025041499873E-3</v>
      </c>
      <c r="AH137" s="23" t="e">
        <f t="shared" si="109"/>
        <v>#NUM!</v>
      </c>
    </row>
    <row r="138" spans="1:34" ht="18" customHeight="1" x14ac:dyDescent="0.2">
      <c r="A138" s="23"/>
      <c r="B138" s="23" t="s">
        <v>28</v>
      </c>
    </row>
    <row r="139" spans="1:34" ht="18" customHeight="1" x14ac:dyDescent="0.2">
      <c r="A139" s="23" t="s">
        <v>209</v>
      </c>
      <c r="B139" s="23">
        <f t="shared" ref="B139:AG139" si="110">+$B$7*B68/B74-(1-(1-0.1)^10)/10</f>
        <v>6.7337101851271272E-2</v>
      </c>
      <c r="C139" s="23">
        <f t="shared" si="110"/>
        <v>5.126508622590227E-2</v>
      </c>
      <c r="D139" s="23">
        <f t="shared" si="110"/>
        <v>4.0433607811427338E-2</v>
      </c>
      <c r="E139" s="23">
        <f t="shared" si="110"/>
        <v>3.7652146928401242E-2</v>
      </c>
      <c r="F139" s="23">
        <f t="shared" si="110"/>
        <v>3.8747263170672397E-2</v>
      </c>
      <c r="G139" s="23">
        <f t="shared" si="110"/>
        <v>3.8236191035648112E-2</v>
      </c>
      <c r="H139" s="23">
        <f t="shared" si="110"/>
        <v>3.9115190030477379E-2</v>
      </c>
      <c r="I139" s="23">
        <f t="shared" si="110"/>
        <v>3.9244150465915145E-2</v>
      </c>
      <c r="J139" s="23">
        <f t="shared" si="110"/>
        <v>3.8463579035347889E-2</v>
      </c>
      <c r="K139" s="23">
        <f t="shared" si="110"/>
        <v>3.7663826520424631E-2</v>
      </c>
      <c r="L139" s="23">
        <f t="shared" si="110"/>
        <v>3.5985564515063184E-2</v>
      </c>
      <c r="M139" s="37">
        <f t="shared" si="110"/>
        <v>3.2436258024516815E-2</v>
      </c>
      <c r="N139" s="23">
        <f t="shared" si="110"/>
        <v>2.7997311972705899E-2</v>
      </c>
      <c r="O139" s="23">
        <f t="shared" si="110"/>
        <v>2.7583180383048481E-2</v>
      </c>
      <c r="P139" s="23">
        <f t="shared" si="110"/>
        <v>2.8412567200197553E-2</v>
      </c>
      <c r="Q139" s="23">
        <f t="shared" si="110"/>
        <v>2.8308279494046601E-2</v>
      </c>
      <c r="R139" s="23">
        <f t="shared" si="110"/>
        <v>2.7680090346671238E-2</v>
      </c>
      <c r="S139" s="23">
        <f t="shared" si="110"/>
        <v>2.6761099901253832E-2</v>
      </c>
      <c r="T139" s="23">
        <f t="shared" si="110"/>
        <v>2.4787039735565605E-2</v>
      </c>
      <c r="U139" s="23">
        <f t="shared" si="110"/>
        <v>2.1644093241370704E-2</v>
      </c>
      <c r="V139" s="23">
        <f t="shared" si="110"/>
        <v>2.5249837410527803E-2</v>
      </c>
      <c r="W139" s="23">
        <f t="shared" si="110"/>
        <v>2.55520747795564E-2</v>
      </c>
      <c r="X139" s="23">
        <f t="shared" si="110"/>
        <v>2.6273828896863902E-2</v>
      </c>
      <c r="Y139" s="23">
        <f t="shared" si="110"/>
        <v>2.6131245179473364E-2</v>
      </c>
      <c r="Z139" s="23">
        <f t="shared" si="110"/>
        <v>2.6473857974598641E-2</v>
      </c>
      <c r="AA139" s="23">
        <f t="shared" si="110"/>
        <v>2.6936298485316895E-2</v>
      </c>
      <c r="AB139" s="23">
        <f t="shared" si="110"/>
        <v>2.5976813835684884E-2</v>
      </c>
      <c r="AC139" s="23">
        <f t="shared" si="110"/>
        <v>2.6436564892584544E-2</v>
      </c>
      <c r="AD139" s="23">
        <f t="shared" si="110"/>
        <v>2.7216367405363248E-2</v>
      </c>
      <c r="AE139" s="23">
        <f t="shared" si="110"/>
        <v>2.6835377091448426E-2</v>
      </c>
      <c r="AF139" s="23">
        <f t="shared" si="110"/>
        <v>2.2189089558781405E-2</v>
      </c>
      <c r="AG139" s="23">
        <f t="shared" si="110"/>
        <v>2.8381663536044086E-2</v>
      </c>
      <c r="AH139" s="23">
        <f t="shared" ref="AH139:BI139" si="111">+$B$7*AH68/AH74-(1-(1-0.1)^10)/10</f>
        <v>2.6927655260314126E-2</v>
      </c>
    </row>
    <row r="140" spans="1:34" s="552" customFormat="1" ht="18" customHeight="1" x14ac:dyDescent="0.2">
      <c r="A140" s="552" t="s">
        <v>94</v>
      </c>
      <c r="B140" s="552">
        <v>1</v>
      </c>
      <c r="C140" s="552">
        <f t="shared" ref="C140:AH140" si="112">+B140/(1+C131)^10</f>
        <v>0.8942738880970692</v>
      </c>
      <c r="D140" s="552">
        <f t="shared" si="112"/>
        <v>0.75669639729547455</v>
      </c>
      <c r="E140" s="552">
        <f t="shared" si="112"/>
        <v>0.63429098658691574</v>
      </c>
      <c r="F140" s="552">
        <f t="shared" si="112"/>
        <v>0.52892862676197805</v>
      </c>
      <c r="G140" s="552">
        <f t="shared" si="112"/>
        <v>0.44003304530203352</v>
      </c>
      <c r="H140" s="552">
        <f t="shared" si="112"/>
        <v>0.36126884342853227</v>
      </c>
      <c r="I140" s="552">
        <f t="shared" si="112"/>
        <v>0.29536618528483394</v>
      </c>
      <c r="J140" s="552">
        <f t="shared" si="112"/>
        <v>0.24067368584712376</v>
      </c>
      <c r="K140" s="552">
        <f t="shared" si="112"/>
        <v>0.19595115531420276</v>
      </c>
      <c r="L140" s="552">
        <f t="shared" si="112"/>
        <v>0.16559004915189909</v>
      </c>
      <c r="M140" s="552">
        <f t="shared" si="112"/>
        <v>0.14227761984563175</v>
      </c>
      <c r="N140" s="552">
        <f t="shared" si="112"/>
        <v>0.11908932371703802</v>
      </c>
      <c r="O140" s="552">
        <f t="shared" si="112"/>
        <v>9.8119350906187758E-2</v>
      </c>
      <c r="P140" s="552">
        <f t="shared" si="112"/>
        <v>8.0468783578870828E-2</v>
      </c>
      <c r="Q140" s="552">
        <f t="shared" si="112"/>
        <v>6.6504658212043391E-2</v>
      </c>
      <c r="R140" s="552">
        <f t="shared" si="112"/>
        <v>5.5534994606282917E-2</v>
      </c>
      <c r="S140" s="552">
        <f t="shared" si="112"/>
        <v>4.727267001944227E-2</v>
      </c>
      <c r="T140" s="552">
        <f t="shared" si="112"/>
        <v>4.1645850812607771E-2</v>
      </c>
      <c r="U140" s="552">
        <f t="shared" si="112"/>
        <v>3.6004834564150101E-2</v>
      </c>
      <c r="V140" s="552">
        <f t="shared" si="112"/>
        <v>3.0153354823665525E-2</v>
      </c>
      <c r="W140" s="552">
        <f t="shared" si="112"/>
        <v>2.5321448751454419E-2</v>
      </c>
      <c r="X140" s="552">
        <f t="shared" si="112"/>
        <v>2.122467964187873E-2</v>
      </c>
      <c r="Y140" s="552">
        <f t="shared" si="112"/>
        <v>1.7790693451043033E-2</v>
      </c>
      <c r="Z140" s="552">
        <f t="shared" si="112"/>
        <v>1.4824284781686485E-2</v>
      </c>
      <c r="AA140" s="552">
        <f t="shared" si="112"/>
        <v>1.2429511934841255E-2</v>
      </c>
      <c r="AB140" s="552">
        <f t="shared" si="112"/>
        <v>1.0449148464909203E-2</v>
      </c>
      <c r="AC140" s="552">
        <f t="shared" si="112"/>
        <v>8.6854186056367251E-3</v>
      </c>
      <c r="AD140" s="552">
        <f t="shared" si="112"/>
        <v>7.2207917050616226E-3</v>
      </c>
      <c r="AE140" s="552">
        <f t="shared" si="112"/>
        <v>6.2594321109281249E-3</v>
      </c>
      <c r="AF140" s="552">
        <f t="shared" si="112"/>
        <v>5.2773976030915919E-3</v>
      </c>
      <c r="AG140" s="552">
        <f t="shared" si="112"/>
        <v>4.2950028471331128E-3</v>
      </c>
      <c r="AH140" s="552" t="e">
        <f t="shared" si="112"/>
        <v>#NUM!</v>
      </c>
    </row>
    <row r="141" spans="1:34" ht="18" customHeight="1" x14ac:dyDescent="0.2">
      <c r="A141" s="23" t="s">
        <v>208</v>
      </c>
      <c r="B141" s="23">
        <f t="shared" ref="B141:K141" si="113">+B139-C131</f>
        <v>5.6100117131658217E-2</v>
      </c>
      <c r="C141" s="23">
        <f t="shared" si="113"/>
        <v>3.4419779737005926E-2</v>
      </c>
      <c r="D141" s="23">
        <f t="shared" si="113"/>
        <v>2.2631578075348695E-2</v>
      </c>
      <c r="E141" s="23">
        <f t="shared" si="113"/>
        <v>1.9320720191519581E-2</v>
      </c>
      <c r="F141" s="23">
        <f t="shared" si="113"/>
        <v>2.0176565837473126E-2</v>
      </c>
      <c r="G141" s="23">
        <f t="shared" si="113"/>
        <v>1.8317670044235748E-2</v>
      </c>
      <c r="H141" s="23">
        <f t="shared" si="113"/>
        <v>1.8770347859155649E-2</v>
      </c>
      <c r="I141" s="23">
        <f t="shared" si="113"/>
        <v>1.8555662573720426E-2</v>
      </c>
      <c r="J141" s="23">
        <f t="shared" si="113"/>
        <v>1.7693155399516037E-2</v>
      </c>
      <c r="K141" s="23">
        <f t="shared" si="113"/>
        <v>2.068629185873053E-2</v>
      </c>
    </row>
    <row r="142" spans="1:34" ht="18" customHeight="1" x14ac:dyDescent="0.2">
      <c r="A142" s="23" t="s">
        <v>13</v>
      </c>
      <c r="B142" s="23"/>
      <c r="C142" s="23">
        <f>+EXP(C128-0.1)</f>
        <v>1.0166084530153567</v>
      </c>
      <c r="D142" s="23">
        <f>+EXP(D128-0.1)</f>
        <v>1.0056183949427286</v>
      </c>
    </row>
    <row r="143" spans="1:34" ht="18" customHeight="1" x14ac:dyDescent="0.2">
      <c r="A143" s="23" t="s">
        <v>149</v>
      </c>
      <c r="B143" s="23"/>
    </row>
    <row r="144" spans="1:34" ht="18" customHeight="1" x14ac:dyDescent="0.2">
      <c r="A144" s="23" t="s">
        <v>152</v>
      </c>
      <c r="B144" s="23">
        <f>+SUMPRODUCT(B140:U140*B84:U84)*10</f>
        <v>570.35461180537436</v>
      </c>
    </row>
    <row r="145" spans="1:62" ht="18" customHeight="1" x14ac:dyDescent="0.2">
      <c r="A145" s="23" t="s">
        <v>150</v>
      </c>
      <c r="B145" s="23">
        <f>+SUMPRODUCT(B140:AE140*B84:AE84)*10</f>
        <v>591.949696953689</v>
      </c>
    </row>
    <row r="146" spans="1:62" ht="18" customHeight="1" x14ac:dyDescent="0.2">
      <c r="A146" s="23" t="s">
        <v>151</v>
      </c>
      <c r="B146" s="23" t="e">
        <f>+SUMPRODUCT(B140:BI140*B84:BI84)*10</f>
        <v>#NUM!</v>
      </c>
    </row>
    <row r="147" spans="1:62" ht="18" customHeight="1" x14ac:dyDescent="0.2">
      <c r="A147" s="23"/>
      <c r="B147" s="23"/>
    </row>
    <row r="148" spans="1:62" s="63" customFormat="1" ht="18" customHeight="1" x14ac:dyDescent="0.2">
      <c r="A148" s="23" t="s">
        <v>69</v>
      </c>
      <c r="B148" s="23">
        <v>1</v>
      </c>
      <c r="C148" s="23">
        <f t="shared" ref="C148:AH148" si="114">+B148/(1+B79)^10</f>
        <v>1.0413984656421742</v>
      </c>
      <c r="D148" s="23">
        <f t="shared" si="114"/>
        <v>0.94859274222668066</v>
      </c>
      <c r="E148" s="23">
        <f t="shared" si="114"/>
        <v>0.85209224117811033</v>
      </c>
      <c r="F148" s="23">
        <f t="shared" si="114"/>
        <v>0.73652347906215476</v>
      </c>
      <c r="G148" s="23">
        <f t="shared" si="114"/>
        <v>0.63339815011055134</v>
      </c>
      <c r="H148" s="23">
        <f t="shared" si="114"/>
        <v>0.52892073022287001</v>
      </c>
      <c r="I148" s="23">
        <f t="shared" si="114"/>
        <v>0.43784687695539976</v>
      </c>
      <c r="J148" s="23">
        <f t="shared" si="114"/>
        <v>0.362520921971767</v>
      </c>
      <c r="K148" s="23">
        <f t="shared" si="114"/>
        <v>0.29804365080127815</v>
      </c>
      <c r="L148" s="23">
        <f t="shared" si="114"/>
        <v>0.24560088429948915</v>
      </c>
      <c r="M148" s="37">
        <f t="shared" si="114"/>
        <v>0.21648268904772996</v>
      </c>
      <c r="N148" s="23">
        <f t="shared" si="114"/>
        <v>0.18394537529298408</v>
      </c>
      <c r="O148" s="23">
        <f t="shared" si="114"/>
        <v>0.15373476860609483</v>
      </c>
      <c r="P148" s="23">
        <f t="shared" si="114"/>
        <v>0.12649457748649914</v>
      </c>
      <c r="Q148" s="23">
        <f t="shared" si="114"/>
        <v>0.10472671113217814</v>
      </c>
      <c r="R148" s="23">
        <f t="shared" si="114"/>
        <v>8.75371955312782E-2</v>
      </c>
      <c r="S148" s="23">
        <f t="shared" si="114"/>
        <v>7.4016122859659042E-2</v>
      </c>
      <c r="T148" s="23">
        <f t="shared" si="114"/>
        <v>6.4328835739717677E-2</v>
      </c>
      <c r="U148" s="23">
        <f t="shared" si="114"/>
        <v>5.8318761599855516E-2</v>
      </c>
      <c r="V148" s="23">
        <f t="shared" si="114"/>
        <v>4.872848885072445E-2</v>
      </c>
      <c r="W148" s="23">
        <f t="shared" si="114"/>
        <v>4.1308183046341339E-2</v>
      </c>
      <c r="X148" s="23">
        <f t="shared" si="114"/>
        <v>3.4663559179516641E-2</v>
      </c>
      <c r="Y148" s="23">
        <f t="shared" si="114"/>
        <v>2.9275027858228053E-2</v>
      </c>
      <c r="Z148" s="23">
        <f t="shared" si="114"/>
        <v>2.4565896852383834E-2</v>
      </c>
      <c r="AA148" s="23">
        <f t="shared" si="114"/>
        <v>2.0498494608577854E-2</v>
      </c>
      <c r="AB148" s="23">
        <f t="shared" si="114"/>
        <v>1.7420228919255282E-2</v>
      </c>
      <c r="AC148" s="23">
        <f t="shared" si="114"/>
        <v>1.4614253906533543E-2</v>
      </c>
      <c r="AD148" s="23">
        <f t="shared" si="114"/>
        <v>1.2136592563866802E-2</v>
      </c>
      <c r="AE148" s="23">
        <f t="shared" si="114"/>
        <v>1.0185705599392737E-2</v>
      </c>
      <c r="AF148" s="23">
        <f t="shared" si="114"/>
        <v>9.1872529217370928E-3</v>
      </c>
      <c r="AG148" s="23">
        <f t="shared" si="114"/>
        <v>7.2525987399998633E-3</v>
      </c>
      <c r="AH148" s="23">
        <f t="shared" si="114"/>
        <v>6.0727458561481307E-3</v>
      </c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</row>
    <row r="149" spans="1:62" ht="18" customHeight="1" x14ac:dyDescent="0.2">
      <c r="A149" s="23"/>
      <c r="B149" s="23"/>
    </row>
    <row r="150" spans="1:62" ht="18" customHeight="1" x14ac:dyDescent="0.2">
      <c r="A150" s="23" t="s">
        <v>149</v>
      </c>
      <c r="B150" s="23"/>
    </row>
    <row r="151" spans="1:62" ht="18" customHeight="1" x14ac:dyDescent="0.2">
      <c r="A151" s="23" t="s">
        <v>152</v>
      </c>
      <c r="B151" s="23">
        <f>+SUMPRODUCT(B148:U148*B84:U84)*10</f>
        <v>761.70181117268908</v>
      </c>
    </row>
    <row r="152" spans="1:62" ht="18" customHeight="1" x14ac:dyDescent="0.2">
      <c r="A152" s="23" t="s">
        <v>150</v>
      </c>
      <c r="B152" s="23">
        <f>+SUMPRODUCT(B148:AE148*B84:AE84)*10</f>
        <v>797.1713066292557</v>
      </c>
    </row>
    <row r="153" spans="1:62" ht="18" customHeight="1" x14ac:dyDescent="0.2">
      <c r="A153" s="23" t="s">
        <v>151</v>
      </c>
      <c r="B153" s="23">
        <f>+SUMPRODUCT(B148:BI148*B84:BI84)*10</f>
        <v>800.80012447729951</v>
      </c>
    </row>
    <row r="154" spans="1:62" ht="18" customHeight="1" x14ac:dyDescent="0.2">
      <c r="A154" s="23"/>
      <c r="B154" s="23"/>
    </row>
    <row r="155" spans="1:62" ht="18" customHeight="1" x14ac:dyDescent="0.2">
      <c r="A155" s="21" t="s">
        <v>228</v>
      </c>
      <c r="B155" s="29">
        <f>+B63*B61</f>
        <v>7.4023965145710423E-3</v>
      </c>
      <c r="C155" s="29">
        <f t="shared" ref="C155:BI155" si="115">+C63*C61</f>
        <v>6.4777101281132139E-3</v>
      </c>
      <c r="D155" s="29">
        <f t="shared" si="115"/>
        <v>3.6493464483045037E-3</v>
      </c>
      <c r="E155" s="29">
        <f t="shared" si="115"/>
        <v>3.938231509701658E-3</v>
      </c>
      <c r="F155" s="29">
        <f t="shared" si="115"/>
        <v>5.5066628586235792E-3</v>
      </c>
      <c r="G155" s="29">
        <f t="shared" si="115"/>
        <v>8.43132641544511E-3</v>
      </c>
      <c r="H155" s="29">
        <f t="shared" si="115"/>
        <v>6.4022010133696714E-3</v>
      </c>
      <c r="I155" s="29">
        <f t="shared" si="115"/>
        <v>9.8064005530030442E-3</v>
      </c>
      <c r="J155" s="29">
        <f t="shared" si="115"/>
        <v>1.446422491109331E-2</v>
      </c>
      <c r="K155" s="29">
        <f t="shared" si="115"/>
        <v>8.8639567976246426E-3</v>
      </c>
      <c r="L155" s="29">
        <f t="shared" si="115"/>
        <v>9.6213198229372875E-3</v>
      </c>
      <c r="M155" s="36">
        <f t="shared" si="115"/>
        <v>1.398969169664061E-2</v>
      </c>
      <c r="N155" s="29">
        <f t="shared" si="115"/>
        <v>1.7854553053054143E-2</v>
      </c>
      <c r="O155" s="29">
        <f t="shared" si="115"/>
        <v>1.8136531006736407E-2</v>
      </c>
      <c r="P155" s="29">
        <f t="shared" si="115"/>
        <v>1.5676192127004558E-2</v>
      </c>
      <c r="Q155" s="29">
        <f t="shared" si="115"/>
        <v>2.1935927592499724E-2</v>
      </c>
      <c r="R155" s="29">
        <f t="shared" si="115"/>
        <v>2.1472137755898815E-2</v>
      </c>
      <c r="S155" s="29">
        <f t="shared" si="115"/>
        <v>2.300597908964527E-2</v>
      </c>
      <c r="T155" s="29">
        <f t="shared" si="115"/>
        <v>1.8292140123922298E-2</v>
      </c>
      <c r="U155" s="29">
        <f t="shared" si="115"/>
        <v>2.243334310806518E-2</v>
      </c>
      <c r="V155" s="29">
        <f t="shared" si="115"/>
        <v>2.6441061384334705E-2</v>
      </c>
      <c r="W155" s="29">
        <f t="shared" si="115"/>
        <v>2.2148606444596281E-2</v>
      </c>
      <c r="X155" s="29">
        <f t="shared" si="115"/>
        <v>2.4694108271017763E-2</v>
      </c>
      <c r="Y155" s="29">
        <f t="shared" si="115"/>
        <v>2.6850130477801982E-2</v>
      </c>
      <c r="Z155" s="29">
        <f t="shared" si="115"/>
        <v>3.0802635743515012E-2</v>
      </c>
      <c r="AA155" s="29">
        <f t="shared" si="115"/>
        <v>4.1221472276043503E-2</v>
      </c>
      <c r="AB155" s="29">
        <f t="shared" si="115"/>
        <v>4.9580211249744904E-2</v>
      </c>
      <c r="AC155" s="29">
        <f t="shared" si="115"/>
        <v>4.5021041038839263E-2</v>
      </c>
      <c r="AD155" s="29">
        <f t="shared" si="115"/>
        <v>4.2218295026846889E-2</v>
      </c>
      <c r="AE155" s="29">
        <f t="shared" si="115"/>
        <v>5.2589233018068123E-2</v>
      </c>
      <c r="AF155" s="29">
        <f t="shared" si="115"/>
        <v>5.377225477771936E-2</v>
      </c>
      <c r="AG155" s="29">
        <f t="shared" si="115"/>
        <v>4.5938701800403631E-2</v>
      </c>
      <c r="AH155" s="29">
        <f t="shared" si="115"/>
        <v>5.0189353443511657E-2</v>
      </c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</row>
    <row r="157" spans="1:62" ht="18" customHeight="1" x14ac:dyDescent="0.2">
      <c r="A157" s="21" t="s">
        <v>790</v>
      </c>
      <c r="C157" s="23">
        <f>+LN(C94/B94)/10</f>
        <v>-4.1460994567758244E-2</v>
      </c>
      <c r="D157" s="23">
        <f>+LN(D94/C94)/10</f>
        <v>-2.3202450142943472E-2</v>
      </c>
    </row>
    <row r="160" spans="1:62" ht="18" customHeight="1" x14ac:dyDescent="0.2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="85" zoomScaleNormal="85" workbookViewId="0">
      <pane xSplit="1" ySplit="4" topLeftCell="R52" activePane="bottomRight" state="frozen"/>
      <selection pane="topRight" activeCell="L1" sqref="L1"/>
      <selection pane="bottomLeft" activeCell="A4" sqref="A4"/>
      <selection pane="bottomRight" activeCell="B64" sqref="B64:AH64"/>
    </sheetView>
  </sheetViews>
  <sheetFormatPr baseColWidth="10" defaultColWidth="10" defaultRowHeight="14" x14ac:dyDescent="0.2"/>
  <cols>
    <col min="1" max="1" width="53.6640625" style="122" customWidth="1"/>
    <col min="2" max="2" width="17.33203125" style="81" customWidth="1"/>
    <col min="3" max="3" width="15.5" style="81" customWidth="1"/>
    <col min="4" max="4" width="13.5" style="81" customWidth="1"/>
    <col min="5" max="7" width="10" style="81"/>
    <col min="8" max="8" width="12.1640625" style="81" customWidth="1"/>
    <col min="9" max="9" width="12.5" style="81" bestFit="1" customWidth="1"/>
    <col min="10" max="16384" width="10" style="81"/>
  </cols>
  <sheetData>
    <row r="1" spans="1:61" ht="16" x14ac:dyDescent="0.2">
      <c r="A1" s="85" t="s">
        <v>105</v>
      </c>
    </row>
    <row r="2" spans="1:61" s="87" customFormat="1" ht="16" x14ac:dyDescent="0.2">
      <c r="A2" s="86"/>
      <c r="B2" s="87">
        <v>1</v>
      </c>
      <c r="C2" s="87">
        <v>2</v>
      </c>
      <c r="D2" s="87">
        <v>3</v>
      </c>
      <c r="E2" s="87">
        <v>4</v>
      </c>
      <c r="F2" s="87">
        <v>5</v>
      </c>
      <c r="G2" s="87">
        <v>6</v>
      </c>
      <c r="H2" s="87">
        <v>7</v>
      </c>
      <c r="I2" s="87">
        <v>8</v>
      </c>
      <c r="J2" s="87">
        <v>9</v>
      </c>
      <c r="K2" s="87">
        <v>10</v>
      </c>
      <c r="L2" s="87">
        <v>11</v>
      </c>
      <c r="M2" s="87">
        <v>12</v>
      </c>
      <c r="N2" s="87">
        <v>13</v>
      </c>
      <c r="O2" s="87">
        <v>14</v>
      </c>
      <c r="P2" s="87">
        <v>15</v>
      </c>
      <c r="Q2" s="87">
        <v>16</v>
      </c>
      <c r="R2" s="87">
        <v>17</v>
      </c>
      <c r="S2" s="87">
        <v>18</v>
      </c>
      <c r="T2" s="87">
        <v>19</v>
      </c>
      <c r="U2" s="87">
        <v>20</v>
      </c>
      <c r="V2" s="87">
        <v>21</v>
      </c>
      <c r="W2" s="87">
        <v>22</v>
      </c>
      <c r="X2" s="87">
        <v>23</v>
      </c>
      <c r="Y2" s="87">
        <v>24</v>
      </c>
      <c r="Z2" s="87">
        <v>25</v>
      </c>
      <c r="AA2" s="87">
        <v>26</v>
      </c>
      <c r="AB2" s="87">
        <v>27</v>
      </c>
      <c r="AC2" s="87">
        <v>28</v>
      </c>
      <c r="AD2" s="87">
        <v>29</v>
      </c>
      <c r="AE2" s="87">
        <v>30</v>
      </c>
      <c r="AF2" s="87">
        <v>31</v>
      </c>
      <c r="AG2" s="87">
        <v>32</v>
      </c>
      <c r="AH2" s="87">
        <v>33</v>
      </c>
      <c r="AI2" s="87">
        <v>34</v>
      </c>
      <c r="AJ2" s="87">
        <v>35</v>
      </c>
      <c r="AK2" s="87">
        <v>36</v>
      </c>
      <c r="AL2" s="87">
        <v>37</v>
      </c>
      <c r="AM2" s="87">
        <v>38</v>
      </c>
      <c r="AN2" s="87">
        <v>39</v>
      </c>
      <c r="AO2" s="87">
        <f>+AN2+1</f>
        <v>40</v>
      </c>
      <c r="AP2" s="87">
        <f t="shared" ref="AP2:BI2" si="0">+AO2+1</f>
        <v>41</v>
      </c>
      <c r="AQ2" s="87">
        <f t="shared" si="0"/>
        <v>42</v>
      </c>
      <c r="AR2" s="87">
        <f t="shared" si="0"/>
        <v>43</v>
      </c>
      <c r="AS2" s="87">
        <f t="shared" si="0"/>
        <v>44</v>
      </c>
      <c r="AT2" s="87">
        <f t="shared" si="0"/>
        <v>45</v>
      </c>
      <c r="AU2" s="87">
        <f t="shared" si="0"/>
        <v>46</v>
      </c>
      <c r="AV2" s="87">
        <f t="shared" si="0"/>
        <v>47</v>
      </c>
      <c r="AW2" s="87">
        <f t="shared" si="0"/>
        <v>48</v>
      </c>
      <c r="AX2" s="87">
        <f t="shared" si="0"/>
        <v>49</v>
      </c>
      <c r="AY2" s="87">
        <f t="shared" si="0"/>
        <v>50</v>
      </c>
      <c r="AZ2" s="87">
        <f t="shared" si="0"/>
        <v>51</v>
      </c>
      <c r="BA2" s="87">
        <f t="shared" si="0"/>
        <v>52</v>
      </c>
      <c r="BB2" s="87">
        <f t="shared" si="0"/>
        <v>53</v>
      </c>
      <c r="BC2" s="87">
        <f t="shared" si="0"/>
        <v>54</v>
      </c>
      <c r="BD2" s="87">
        <f t="shared" si="0"/>
        <v>55</v>
      </c>
      <c r="BE2" s="87">
        <f t="shared" si="0"/>
        <v>56</v>
      </c>
      <c r="BF2" s="87">
        <f t="shared" si="0"/>
        <v>57</v>
      </c>
      <c r="BG2" s="87">
        <f t="shared" si="0"/>
        <v>58</v>
      </c>
      <c r="BH2" s="87">
        <f t="shared" si="0"/>
        <v>59</v>
      </c>
      <c r="BI2" s="87">
        <f t="shared" si="0"/>
        <v>60</v>
      </c>
    </row>
    <row r="3" spans="1:61" s="87" customFormat="1" ht="16" x14ac:dyDescent="0.2">
      <c r="A3" s="88"/>
    </row>
    <row r="4" spans="1:61" s="89" customFormat="1" ht="16" x14ac:dyDescent="0.2">
      <c r="A4" s="88"/>
      <c r="B4" s="89">
        <f>US!B4</f>
        <v>1990</v>
      </c>
      <c r="C4" s="89">
        <f>US!C4</f>
        <v>1991</v>
      </c>
      <c r="D4" s="89">
        <f>US!D4</f>
        <v>1992</v>
      </c>
      <c r="E4" s="89">
        <f>US!E4</f>
        <v>1993</v>
      </c>
      <c r="F4" s="89">
        <f>US!F4</f>
        <v>1994</v>
      </c>
      <c r="G4" s="89">
        <f>US!G4</f>
        <v>1995</v>
      </c>
      <c r="H4" s="89">
        <f>US!H4</f>
        <v>1996</v>
      </c>
      <c r="I4" s="89">
        <f>US!I4</f>
        <v>1997</v>
      </c>
      <c r="J4" s="89">
        <f>US!J4</f>
        <v>1998</v>
      </c>
      <c r="K4" s="89">
        <f>US!K4</f>
        <v>1999</v>
      </c>
      <c r="L4" s="89">
        <f>US!L4</f>
        <v>2000</v>
      </c>
      <c r="M4" s="89">
        <f>US!M4</f>
        <v>2001</v>
      </c>
      <c r="N4" s="89">
        <f>US!N4</f>
        <v>2002</v>
      </c>
      <c r="O4" s="89">
        <f>US!O4</f>
        <v>2003</v>
      </c>
      <c r="P4" s="89">
        <f>US!P4</f>
        <v>2004</v>
      </c>
      <c r="Q4" s="89">
        <f>US!Q4</f>
        <v>2005</v>
      </c>
      <c r="R4" s="89">
        <f>US!R4</f>
        <v>2006</v>
      </c>
      <c r="S4" s="89">
        <f>US!S4</f>
        <v>2007</v>
      </c>
      <c r="T4" s="89">
        <f>US!T4</f>
        <v>2008</v>
      </c>
      <c r="U4" s="89">
        <f>US!U4</f>
        <v>2009</v>
      </c>
      <c r="V4" s="89">
        <f>US!V4</f>
        <v>2010</v>
      </c>
      <c r="W4" s="89">
        <f>US!W4</f>
        <v>2011</v>
      </c>
      <c r="X4" s="89">
        <f>US!X4</f>
        <v>2012</v>
      </c>
      <c r="Y4" s="89">
        <f>US!Y4</f>
        <v>2013</v>
      </c>
      <c r="Z4" s="89">
        <f>US!Z4</f>
        <v>2014</v>
      </c>
      <c r="AA4" s="89">
        <f>US!AA4</f>
        <v>2015</v>
      </c>
      <c r="AB4" s="89">
        <f>US!AB4</f>
        <v>2016</v>
      </c>
      <c r="AC4" s="89">
        <f>US!AC4</f>
        <v>2017</v>
      </c>
      <c r="AD4" s="89">
        <f>US!AD4</f>
        <v>2018</v>
      </c>
      <c r="AE4" s="89">
        <f>US!AE4</f>
        <v>2019</v>
      </c>
      <c r="AF4" s="89">
        <f>US!AF4</f>
        <v>2020</v>
      </c>
      <c r="AG4" s="89">
        <f>US!AG4</f>
        <v>2021</v>
      </c>
      <c r="AH4" s="89">
        <f>US!AH4</f>
        <v>2022</v>
      </c>
      <c r="AI4" s="89">
        <f t="shared" ref="D4:BI4" si="1">+AH4+10</f>
        <v>2032</v>
      </c>
      <c r="AJ4" s="89">
        <f t="shared" si="1"/>
        <v>2042</v>
      </c>
      <c r="AK4" s="89">
        <f t="shared" si="1"/>
        <v>2052</v>
      </c>
      <c r="AL4" s="89">
        <f t="shared" si="1"/>
        <v>2062</v>
      </c>
      <c r="AM4" s="89">
        <f t="shared" si="1"/>
        <v>2072</v>
      </c>
      <c r="AN4" s="89">
        <f t="shared" si="1"/>
        <v>2082</v>
      </c>
      <c r="AO4" s="89">
        <f t="shared" si="1"/>
        <v>2092</v>
      </c>
      <c r="AP4" s="89">
        <f t="shared" si="1"/>
        <v>2102</v>
      </c>
      <c r="AQ4" s="89">
        <f t="shared" si="1"/>
        <v>2112</v>
      </c>
      <c r="AR4" s="89">
        <f t="shared" si="1"/>
        <v>2122</v>
      </c>
      <c r="AS4" s="89">
        <f t="shared" si="1"/>
        <v>2132</v>
      </c>
      <c r="AT4" s="89">
        <f t="shared" si="1"/>
        <v>2142</v>
      </c>
      <c r="AU4" s="89">
        <f t="shared" si="1"/>
        <v>2152</v>
      </c>
      <c r="AV4" s="89">
        <f t="shared" si="1"/>
        <v>2162</v>
      </c>
      <c r="AW4" s="89">
        <f t="shared" si="1"/>
        <v>2172</v>
      </c>
      <c r="AX4" s="89">
        <f t="shared" si="1"/>
        <v>2182</v>
      </c>
      <c r="AY4" s="89">
        <f t="shared" si="1"/>
        <v>2192</v>
      </c>
      <c r="AZ4" s="89">
        <f t="shared" si="1"/>
        <v>2202</v>
      </c>
      <c r="BA4" s="89">
        <f t="shared" si="1"/>
        <v>2212</v>
      </c>
      <c r="BB4" s="89">
        <f t="shared" si="1"/>
        <v>2222</v>
      </c>
      <c r="BC4" s="89">
        <f t="shared" si="1"/>
        <v>2232</v>
      </c>
      <c r="BD4" s="89">
        <f t="shared" si="1"/>
        <v>2242</v>
      </c>
      <c r="BE4" s="89">
        <f t="shared" si="1"/>
        <v>2252</v>
      </c>
      <c r="BF4" s="89">
        <f t="shared" si="1"/>
        <v>2262</v>
      </c>
      <c r="BG4" s="89">
        <f t="shared" si="1"/>
        <v>2272</v>
      </c>
      <c r="BH4" s="89">
        <f t="shared" si="1"/>
        <v>2282</v>
      </c>
      <c r="BI4" s="89">
        <f t="shared" si="1"/>
        <v>2292</v>
      </c>
    </row>
    <row r="5" spans="1:61" s="91" customFormat="1" x14ac:dyDescent="0.2">
      <c r="A5" s="90"/>
    </row>
    <row r="6" spans="1:61" s="91" customFormat="1" ht="16" x14ac:dyDescent="0.2">
      <c r="A6" s="92" t="s">
        <v>77</v>
      </c>
    </row>
    <row r="7" spans="1:61" ht="16" x14ac:dyDescent="0.2">
      <c r="A7" s="85" t="s">
        <v>112</v>
      </c>
      <c r="B7" s="93">
        <f>+Parameters!G35</f>
        <v>0.3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</row>
    <row r="8" spans="1:61" s="91" customFormat="1" ht="16" x14ac:dyDescent="0.2">
      <c r="A8" s="85" t="s">
        <v>108</v>
      </c>
      <c r="B8" s="93">
        <f>+Parameters!G36</f>
        <v>0.1</v>
      </c>
    </row>
    <row r="9" spans="1:61" ht="15" x14ac:dyDescent="0.2">
      <c r="A9" s="94" t="s">
        <v>49</v>
      </c>
      <c r="B9" s="93">
        <f>Parameters!G37</f>
        <v>13.03105747782735</v>
      </c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</row>
    <row r="10" spans="1:61" ht="15" x14ac:dyDescent="0.2">
      <c r="A10" s="94" t="str">
        <f>+Parameters!A37</f>
        <v>Initial output (2005 US International $, trillions)</v>
      </c>
      <c r="B10" s="93">
        <f>+Parameters!G38</f>
        <v>6.7765473111546279E-2</v>
      </c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</row>
    <row r="11" spans="1:61" ht="15" x14ac:dyDescent="0.2">
      <c r="A11" s="94" t="s">
        <v>38</v>
      </c>
      <c r="B11" s="93">
        <f>+Parameters!G39</f>
        <v>23.302275318288661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</row>
    <row r="12" spans="1:61" ht="15" x14ac:dyDescent="0.2">
      <c r="A12" s="94" t="s">
        <v>162</v>
      </c>
      <c r="B12" s="93">
        <f>+Parameters!G40</f>
        <v>8.3478215480070634</v>
      </c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</row>
    <row r="13" spans="1:61" ht="16" x14ac:dyDescent="0.2">
      <c r="A13" s="92" t="s">
        <v>117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</row>
    <row r="14" spans="1:61" ht="16" x14ac:dyDescent="0.2">
      <c r="A14" s="85" t="s">
        <v>118</v>
      </c>
      <c r="B14" s="94">
        <f>+$B$15</f>
        <v>1.4999999999999999E-2</v>
      </c>
      <c r="C14" s="94">
        <f t="shared" ref="C14:BI14" si="2">+B14*(1-$B$16)</f>
        <v>1.4999999999999999E-2</v>
      </c>
      <c r="D14" s="94">
        <f t="shared" si="2"/>
        <v>1.4999999999999999E-2</v>
      </c>
      <c r="E14" s="94">
        <f t="shared" si="2"/>
        <v>1.4999999999999999E-2</v>
      </c>
      <c r="F14" s="94">
        <f t="shared" si="2"/>
        <v>1.4999999999999999E-2</v>
      </c>
      <c r="G14" s="94">
        <f t="shared" si="2"/>
        <v>1.4999999999999999E-2</v>
      </c>
      <c r="H14" s="94">
        <f t="shared" si="2"/>
        <v>1.4999999999999999E-2</v>
      </c>
      <c r="I14" s="94">
        <f t="shared" si="2"/>
        <v>1.4999999999999999E-2</v>
      </c>
      <c r="J14" s="94">
        <f t="shared" si="2"/>
        <v>1.4999999999999999E-2</v>
      </c>
      <c r="K14" s="94">
        <f t="shared" si="2"/>
        <v>1.4999999999999999E-2</v>
      </c>
      <c r="L14" s="94">
        <f t="shared" si="2"/>
        <v>1.4999999999999999E-2</v>
      </c>
      <c r="M14" s="94">
        <f t="shared" si="2"/>
        <v>1.4999999999999999E-2</v>
      </c>
      <c r="N14" s="94">
        <f t="shared" si="2"/>
        <v>1.4999999999999999E-2</v>
      </c>
      <c r="O14" s="94">
        <f t="shared" si="2"/>
        <v>1.4999999999999999E-2</v>
      </c>
      <c r="P14" s="94">
        <f t="shared" si="2"/>
        <v>1.4999999999999999E-2</v>
      </c>
      <c r="Q14" s="94">
        <f t="shared" si="2"/>
        <v>1.4999999999999999E-2</v>
      </c>
      <c r="R14" s="94">
        <f t="shared" si="2"/>
        <v>1.4999999999999999E-2</v>
      </c>
      <c r="S14" s="94">
        <f t="shared" si="2"/>
        <v>1.4999999999999999E-2</v>
      </c>
      <c r="T14" s="94">
        <f t="shared" si="2"/>
        <v>1.4999999999999999E-2</v>
      </c>
      <c r="U14" s="94">
        <f t="shared" si="2"/>
        <v>1.4999999999999999E-2</v>
      </c>
      <c r="V14" s="94">
        <f t="shared" si="2"/>
        <v>1.4999999999999999E-2</v>
      </c>
      <c r="W14" s="94">
        <f t="shared" si="2"/>
        <v>1.4999999999999999E-2</v>
      </c>
      <c r="X14" s="94">
        <f t="shared" si="2"/>
        <v>1.4999999999999999E-2</v>
      </c>
      <c r="Y14" s="94">
        <f t="shared" si="2"/>
        <v>1.4999999999999999E-2</v>
      </c>
      <c r="Z14" s="94">
        <f t="shared" si="2"/>
        <v>1.4999999999999999E-2</v>
      </c>
      <c r="AA14" s="94">
        <f t="shared" si="2"/>
        <v>1.4999999999999999E-2</v>
      </c>
      <c r="AB14" s="94">
        <f t="shared" si="2"/>
        <v>1.4999999999999999E-2</v>
      </c>
      <c r="AC14" s="94">
        <f t="shared" si="2"/>
        <v>1.4999999999999999E-2</v>
      </c>
      <c r="AD14" s="94">
        <f t="shared" si="2"/>
        <v>1.4999999999999999E-2</v>
      </c>
      <c r="AE14" s="94">
        <f t="shared" si="2"/>
        <v>1.4999999999999999E-2</v>
      </c>
      <c r="AF14" s="94">
        <f t="shared" si="2"/>
        <v>1.4999999999999999E-2</v>
      </c>
      <c r="AG14" s="94">
        <f t="shared" si="2"/>
        <v>1.4999999999999999E-2</v>
      </c>
      <c r="AH14" s="94">
        <f t="shared" si="2"/>
        <v>1.4999999999999999E-2</v>
      </c>
      <c r="AI14" s="94">
        <f t="shared" si="2"/>
        <v>1.4999999999999999E-2</v>
      </c>
      <c r="AJ14" s="94">
        <f t="shared" si="2"/>
        <v>1.4999999999999999E-2</v>
      </c>
      <c r="AK14" s="94">
        <f t="shared" si="2"/>
        <v>1.4999999999999999E-2</v>
      </c>
      <c r="AL14" s="94">
        <f t="shared" si="2"/>
        <v>1.4999999999999999E-2</v>
      </c>
      <c r="AM14" s="94">
        <f t="shared" si="2"/>
        <v>1.4999999999999999E-2</v>
      </c>
      <c r="AN14" s="94">
        <f t="shared" si="2"/>
        <v>1.4999999999999999E-2</v>
      </c>
      <c r="AO14" s="94">
        <f t="shared" si="2"/>
        <v>1.4999999999999999E-2</v>
      </c>
      <c r="AP14" s="94">
        <f t="shared" si="2"/>
        <v>1.4999999999999999E-2</v>
      </c>
      <c r="AQ14" s="94">
        <f t="shared" si="2"/>
        <v>1.4999999999999999E-2</v>
      </c>
      <c r="AR14" s="94">
        <f t="shared" si="2"/>
        <v>1.4999999999999999E-2</v>
      </c>
      <c r="AS14" s="94">
        <f t="shared" si="2"/>
        <v>1.4999999999999999E-2</v>
      </c>
      <c r="AT14" s="94">
        <f t="shared" si="2"/>
        <v>1.4999999999999999E-2</v>
      </c>
      <c r="AU14" s="94">
        <f t="shared" si="2"/>
        <v>1.4999999999999999E-2</v>
      </c>
      <c r="AV14" s="94">
        <f t="shared" si="2"/>
        <v>1.4999999999999999E-2</v>
      </c>
      <c r="AW14" s="94">
        <f t="shared" si="2"/>
        <v>1.4999999999999999E-2</v>
      </c>
      <c r="AX14" s="94">
        <f t="shared" si="2"/>
        <v>1.4999999999999999E-2</v>
      </c>
      <c r="AY14" s="94">
        <f t="shared" si="2"/>
        <v>1.4999999999999999E-2</v>
      </c>
      <c r="AZ14" s="94">
        <f t="shared" si="2"/>
        <v>1.4999999999999999E-2</v>
      </c>
      <c r="BA14" s="94">
        <f t="shared" si="2"/>
        <v>1.4999999999999999E-2</v>
      </c>
      <c r="BB14" s="94">
        <f t="shared" si="2"/>
        <v>1.4999999999999999E-2</v>
      </c>
      <c r="BC14" s="94">
        <f t="shared" si="2"/>
        <v>1.4999999999999999E-2</v>
      </c>
      <c r="BD14" s="94">
        <f t="shared" si="2"/>
        <v>1.4999999999999999E-2</v>
      </c>
      <c r="BE14" s="94">
        <f t="shared" si="2"/>
        <v>1.4999999999999999E-2</v>
      </c>
      <c r="BF14" s="94">
        <f t="shared" si="2"/>
        <v>1.4999999999999999E-2</v>
      </c>
      <c r="BG14" s="94">
        <f t="shared" si="2"/>
        <v>1.4999999999999999E-2</v>
      </c>
      <c r="BH14" s="94">
        <f t="shared" si="2"/>
        <v>1.4999999999999999E-2</v>
      </c>
      <c r="BI14" s="94">
        <f t="shared" si="2"/>
        <v>1.4999999999999999E-2</v>
      </c>
    </row>
    <row r="15" spans="1:61" ht="16" x14ac:dyDescent="0.2">
      <c r="A15" s="85" t="s">
        <v>172</v>
      </c>
      <c r="B15" s="93">
        <f>+Parameters!G43</f>
        <v>1.4999999999999999E-2</v>
      </c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</row>
    <row r="16" spans="1:61" ht="15" x14ac:dyDescent="0.2">
      <c r="A16" s="94" t="s">
        <v>95</v>
      </c>
      <c r="B16" s="93">
        <f>+Parameters!G44</f>
        <v>0</v>
      </c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</row>
    <row r="17" spans="1:66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</row>
    <row r="18" spans="1:66" ht="12.75" customHeight="1" x14ac:dyDescent="0.2">
      <c r="A18" s="85" t="s">
        <v>125</v>
      </c>
      <c r="B18" s="93">
        <f>+Parameters!G45</f>
        <v>1.5</v>
      </c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  <c r="BG18" s="94"/>
      <c r="BH18" s="94"/>
      <c r="BI18" s="94"/>
    </row>
    <row r="19" spans="1:66" ht="16" x14ac:dyDescent="0.2">
      <c r="A19" s="97" t="s">
        <v>42</v>
      </c>
      <c r="B19" s="93"/>
      <c r="C19" s="94">
        <f t="shared" ref="C19:BI19" si="4">+LN(C20/B20)/10</f>
        <v>1.1409679007567874E-2</v>
      </c>
      <c r="D19" s="94">
        <f t="shared" si="4"/>
        <v>1.2118581433224524E-2</v>
      </c>
      <c r="E19" s="94">
        <f t="shared" si="4"/>
        <v>1.1173857058911095E-2</v>
      </c>
      <c r="F19" s="94">
        <f t="shared" si="4"/>
        <v>1.0320166539274065E-2</v>
      </c>
      <c r="G19" s="94">
        <f t="shared" si="4"/>
        <v>9.5487337132589573E-3</v>
      </c>
      <c r="H19" s="94">
        <f t="shared" si="4"/>
        <v>8.8516288963968737E-3</v>
      </c>
      <c r="I19" s="94">
        <f t="shared" si="4"/>
        <v>8.2216871964627906E-3</v>
      </c>
      <c r="J19" s="94">
        <f t="shared" si="4"/>
        <v>7.652434715571442E-3</v>
      </c>
      <c r="K19" s="94">
        <f t="shared" si="4"/>
        <v>7.138021876902381E-3</v>
      </c>
      <c r="L19" s="94">
        <f t="shared" si="4"/>
        <v>6.673163187872649E-3</v>
      </c>
      <c r="M19" s="94">
        <f t="shared" si="4"/>
        <v>6.2530828180838672E-3</v>
      </c>
      <c r="N19" s="94">
        <f t="shared" si="4"/>
        <v>5.8734654304466163E-3</v>
      </c>
      <c r="O19" s="94">
        <f t="shared" si="4"/>
        <v>5.5304117581524391E-3</v>
      </c>
      <c r="P19" s="94">
        <f t="shared" si="4"/>
        <v>5.2203984691853254E-3</v>
      </c>
      <c r="Q19" s="94">
        <f t="shared" si="4"/>
        <v>4.9402419043469061E-3</v>
      </c>
      <c r="R19" s="94">
        <f t="shared" si="4"/>
        <v>4.6870653147693033E-3</v>
      </c>
      <c r="S19" s="94">
        <f t="shared" si="4"/>
        <v>4.4582692610257834E-3</v>
      </c>
      <c r="T19" s="94">
        <f t="shared" si="4"/>
        <v>4.2515048685889531E-3</v>
      </c>
      <c r="U19" s="94">
        <f t="shared" si="4"/>
        <v>4.0646496638749906E-3</v>
      </c>
      <c r="V19" s="94">
        <f t="shared" si="4"/>
        <v>3.8957857417473854E-3</v>
      </c>
      <c r="W19" s="94">
        <f t="shared" si="4"/>
        <v>3.7431800394170959E-3</v>
      </c>
      <c r="X19" s="94">
        <f t="shared" si="4"/>
        <v>3.6052665134133841E-3</v>
      </c>
      <c r="Y19" s="94">
        <f t="shared" si="4"/>
        <v>3.4806300359353087E-3</v>
      </c>
      <c r="Z19" s="94">
        <f t="shared" si="4"/>
        <v>3.3679918446339213E-3</v>
      </c>
      <c r="AA19" s="94">
        <f t="shared" si="4"/>
        <v>3.2661963959002794E-3</v>
      </c>
      <c r="AB19" s="94">
        <f t="shared" si="4"/>
        <v>3.174199486210439E-3</v>
      </c>
      <c r="AC19" s="94">
        <f t="shared" si="4"/>
        <v>3.0910575191585156E-3</v>
      </c>
      <c r="AD19" s="94">
        <f t="shared" si="4"/>
        <v>3.0159178076220776E-3</v>
      </c>
      <c r="AE19" s="94">
        <f t="shared" si="4"/>
        <v>2.9480098111785329E-3</v>
      </c>
      <c r="AF19" s="94">
        <f t="shared" si="4"/>
        <v>2.8866372185341275E-3</v>
      </c>
      <c r="AG19" s="94">
        <f t="shared" si="4"/>
        <v>2.8311707934370605E-3</v>
      </c>
      <c r="AH19" s="94">
        <f t="shared" si="4"/>
        <v>2.781041910416985E-3</v>
      </c>
      <c r="AI19" s="94">
        <f t="shared" si="4"/>
        <v>2.735736713803334E-3</v>
      </c>
      <c r="AJ19" s="94">
        <f t="shared" si="4"/>
        <v>2.6947908398963528E-3</v>
      </c>
      <c r="AK19" s="94">
        <f t="shared" si="4"/>
        <v>2.6577846479695776E-3</v>
      </c>
      <c r="AL19" s="94">
        <f t="shared" si="4"/>
        <v>2.624338911023801E-3</v>
      </c>
      <c r="AM19" s="94">
        <f t="shared" si="4"/>
        <v>2.5941109219492589E-3</v>
      </c>
      <c r="AN19" s="94">
        <f t="shared" si="4"/>
        <v>2.5667909750315895E-3</v>
      </c>
      <c r="AO19" s="94">
        <f t="shared" si="4"/>
        <v>2.542099186603794E-3</v>
      </c>
      <c r="AP19" s="94">
        <f t="shared" si="4"/>
        <v>2.5197826221379995E-3</v>
      </c>
      <c r="AQ19" s="94">
        <f t="shared" si="4"/>
        <v>2.4996127002269962E-3</v>
      </c>
      <c r="AR19" s="94">
        <f t="shared" si="4"/>
        <v>2.4813828467567913E-3</v>
      </c>
      <c r="AS19" s="94">
        <f t="shared" si="4"/>
        <v>2.4649063751459735E-3</v>
      </c>
      <c r="AT19" s="94">
        <f t="shared" si="4"/>
        <v>2.4500145708562129E-3</v>
      </c>
      <c r="AU19" s="94">
        <f t="shared" si="4"/>
        <v>2.4365549604795714E-3</v>
      </c>
      <c r="AV19" s="94">
        <f t="shared" si="4"/>
        <v>2.4243897476087569E-3</v>
      </c>
      <c r="AW19" s="94">
        <f t="shared" si="4"/>
        <v>2.4133943994119988E-3</v>
      </c>
      <c r="AX19" s="94">
        <f t="shared" si="4"/>
        <v>2.4034563693856219E-3</v>
      </c>
      <c r="AY19" s="94">
        <f t="shared" si="4"/>
        <v>2.3944739431579578E-3</v>
      </c>
      <c r="AZ19" s="94">
        <f t="shared" si="4"/>
        <v>2.3863551954840345E-3</v>
      </c>
      <c r="BA19" s="94">
        <f t="shared" si="4"/>
        <v>2.379017047714504E-3</v>
      </c>
      <c r="BB19" s="94">
        <f t="shared" si="4"/>
        <v>2.3723844160556469E-3</v>
      </c>
      <c r="BC19" s="94">
        <f t="shared" si="4"/>
        <v>2.3663894418705354E-3</v>
      </c>
      <c r="BD19" s="94">
        <f t="shared" si="4"/>
        <v>2.3609707961155806E-3</v>
      </c>
      <c r="BE19" s="94">
        <f t="shared" si="4"/>
        <v>2.3560730507685324E-3</v>
      </c>
      <c r="BF19" s="94">
        <f t="shared" si="4"/>
        <v>2.3516461107928894E-3</v>
      </c>
      <c r="BG19" s="94">
        <f t="shared" si="4"/>
        <v>2.3476447008060892E-3</v>
      </c>
      <c r="BH19" s="94">
        <f t="shared" si="4"/>
        <v>2.3440279011806434E-3</v>
      </c>
      <c r="BI19" s="94">
        <f t="shared" si="4"/>
        <v>2.3407587288159335E-3</v>
      </c>
    </row>
    <row r="20" spans="1:66" s="96" customFormat="1" ht="16" x14ac:dyDescent="0.2">
      <c r="A20" s="98" t="s">
        <v>189</v>
      </c>
      <c r="B20" s="99">
        <f>+B21</f>
        <v>8.3478215480070634</v>
      </c>
      <c r="C20" s="100">
        <f>+B20*EXP(C22*10)</f>
        <v>9.3567443342477876</v>
      </c>
      <c r="D20" s="100">
        <f>+C20*EXP(D22*10)</f>
        <v>10.562217183287629</v>
      </c>
      <c r="E20" s="100">
        <f>+D20*EXP(E22*10)</f>
        <v>11.810887639390934</v>
      </c>
      <c r="F20" s="100">
        <f>+E20*EXP(F22*10)</f>
        <v>13.094908005332597</v>
      </c>
      <c r="G20" s="100">
        <f t="shared" ref="G20:BI20" si="5">+F20*EXP(G22*10)</f>
        <v>14.406950876725915</v>
      </c>
      <c r="H20" s="100">
        <f t="shared" si="5"/>
        <v>15.740343700302844</v>
      </c>
      <c r="I20" s="100">
        <f t="shared" si="5"/>
        <v>17.089153274600296</v>
      </c>
      <c r="J20" s="100">
        <f t="shared" si="5"/>
        <v>18.448227547339449</v>
      </c>
      <c r="K20" s="100">
        <f t="shared" si="5"/>
        <v>19.813202664919434</v>
      </c>
      <c r="L20" s="100">
        <f t="shared" si="5"/>
        <v>21.180483088508389</v>
      </c>
      <c r="M20" s="100">
        <f t="shared" si="5"/>
        <v>22.547201963426087</v>
      </c>
      <c r="N20" s="100">
        <f t="shared" si="5"/>
        <v>23.911168023412834</v>
      </c>
      <c r="O20" s="100">
        <f t="shared" si="5"/>
        <v>25.270804288450659</v>
      </c>
      <c r="P20" s="100">
        <f t="shared" si="5"/>
        <v>26.625082786670525</v>
      </c>
      <c r="Q20" s="100">
        <f t="shared" si="5"/>
        <v>27.973458570417495</v>
      </c>
      <c r="R20" s="100">
        <f t="shared" si="5"/>
        <v>29.315805445329097</v>
      </c>
      <c r="S20" s="100">
        <f t="shared" si="5"/>
        <v>30.652355107822906</v>
      </c>
      <c r="T20" s="100">
        <f t="shared" si="5"/>
        <v>31.983640793312514</v>
      </c>
      <c r="U20" s="100">
        <f t="shared" si="5"/>
        <v>33.310446067314402</v>
      </c>
      <c r="V20" s="100">
        <f t="shared" si="5"/>
        <v>34.633759031210666</v>
      </c>
      <c r="W20" s="100">
        <f t="shared" si="5"/>
        <v>35.954731948079392</v>
      </c>
      <c r="X20" s="100">
        <f t="shared" si="5"/>
        <v>37.274646105535567</v>
      </c>
      <c r="Y20" s="100">
        <f t="shared" si="5"/>
        <v>38.594881606647675</v>
      </c>
      <c r="Z20" s="100">
        <f t="shared" si="5"/>
        <v>39.916891703013356</v>
      </c>
      <c r="AA20" s="100">
        <f t="shared" si="5"/>
        <v>41.242181244212524</v>
      </c>
      <c r="AB20" s="100">
        <f t="shared" si="5"/>
        <v>42.572288805302897</v>
      </c>
      <c r="AC20" s="100">
        <f t="shared" si="5"/>
        <v>43.908772060841166</v>
      </c>
      <c r="AD20" s="100">
        <f t="shared" si="5"/>
        <v>45.253195993831795</v>
      </c>
      <c r="AE20" s="100">
        <f t="shared" si="5"/>
        <v>46.607123556192711</v>
      </c>
      <c r="AF20" s="100">
        <f t="shared" si="5"/>
        <v>47.972108430148424</v>
      </c>
      <c r="AG20" s="100">
        <f t="shared" si="5"/>
        <v>49.349689574756333</v>
      </c>
      <c r="AH20" s="100">
        <f t="shared" si="5"/>
        <v>50.741387276657235</v>
      </c>
      <c r="AI20" s="100">
        <f t="shared" si="5"/>
        <v>52.14870045783362</v>
      </c>
      <c r="AJ20" s="100">
        <f t="shared" si="5"/>
        <v>53.573105024835151</v>
      </c>
      <c r="AK20" s="100">
        <f t="shared" si="5"/>
        <v>55.016053073110278</v>
      </c>
      <c r="AL20" s="100">
        <f t="shared" si="5"/>
        <v>56.478972786532609</v>
      </c>
      <c r="AM20" s="100">
        <f t="shared" si="5"/>
        <v>57.963268895875686</v>
      </c>
      <c r="AN20" s="100">
        <f t="shared" si="5"/>
        <v>59.470323580933773</v>
      </c>
      <c r="AO20" s="100">
        <f t="shared" si="5"/>
        <v>61.001497719352052</v>
      </c>
      <c r="AP20" s="100">
        <f t="shared" si="5"/>
        <v>62.558132401205413</v>
      </c>
      <c r="AQ20" s="100">
        <f t="shared" si="5"/>
        <v>64.141550642164006</v>
      </c>
      <c r="AR20" s="100">
        <f t="shared" si="5"/>
        <v>65.753059239927396</v>
      </c>
      <c r="AS20" s="100">
        <f t="shared" si="5"/>
        <v>67.393950728714387</v>
      </c>
      <c r="AT20" s="100">
        <f t="shared" si="5"/>
        <v>69.065505395172138</v>
      </c>
      <c r="AU20" s="100">
        <f t="shared" si="5"/>
        <v>70.768993326308703</v>
      </c>
      <c r="AV20" s="100">
        <f t="shared" si="5"/>
        <v>72.505676466135867</v>
      </c>
      <c r="AW20" s="100">
        <f t="shared" si="5"/>
        <v>74.276810662793395</v>
      </c>
      <c r="AX20" s="100">
        <f t="shared" si="5"/>
        <v>76.083647692154344</v>
      </c>
      <c r="AY20" s="100">
        <f t="shared" si="5"/>
        <v>77.927437247410097</v>
      </c>
      <c r="AZ20" s="100">
        <f t="shared" si="5"/>
        <v>79.809428887011691</v>
      </c>
      <c r="BA20" s="100">
        <f t="shared" si="5"/>
        <v>81.730873935698881</v>
      </c>
      <c r="BB20" s="100">
        <f t="shared" si="5"/>
        <v>83.693027335261377</v>
      </c>
      <c r="BC20" s="100">
        <f t="shared" si="5"/>
        <v>85.697149443218791</v>
      </c>
      <c r="BD20" s="100">
        <f t="shared" si="5"/>
        <v>87.744507778839534</v>
      </c>
      <c r="BE20" s="100">
        <f t="shared" si="5"/>
        <v>89.836378716894146</v>
      </c>
      <c r="BF20" s="100">
        <f t="shared" si="5"/>
        <v>91.974049130300983</v>
      </c>
      <c r="BG20" s="100">
        <f t="shared" si="5"/>
        <v>94.158817983408383</v>
      </c>
      <c r="BH20" s="100">
        <f t="shared" si="5"/>
        <v>96.391997878098664</v>
      </c>
      <c r="BI20" s="100">
        <f t="shared" si="5"/>
        <v>98.674916555222751</v>
      </c>
    </row>
    <row r="21" spans="1:66" ht="16" x14ac:dyDescent="0.2">
      <c r="A21" s="85" t="s">
        <v>190</v>
      </c>
      <c r="B21" s="93">
        <f>+Parameters!G40</f>
        <v>8.3478215480070634</v>
      </c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  <c r="AX21" s="94"/>
      <c r="AY21" s="94"/>
      <c r="AZ21" s="94"/>
      <c r="BA21" s="94"/>
      <c r="BB21" s="94"/>
      <c r="BC21" s="94"/>
      <c r="BD21" s="94"/>
      <c r="BE21" s="94"/>
      <c r="BF21" s="94"/>
      <c r="BG21" s="94"/>
      <c r="BH21" s="94"/>
      <c r="BI21" s="94"/>
    </row>
    <row r="22" spans="1:66" ht="16" x14ac:dyDescent="0.2">
      <c r="A22" s="85" t="s">
        <v>144</v>
      </c>
      <c r="B22" s="93"/>
      <c r="C22" s="94">
        <f>+Data!C55</f>
        <v>1.1409679007567876E-2</v>
      </c>
      <c r="D22" s="94">
        <f>+Data!D55</f>
        <v>1.2118581433224517E-2</v>
      </c>
      <c r="E22" s="94">
        <f>+Data!E55</f>
        <v>1.117385705891109E-2</v>
      </c>
      <c r="F22" s="94">
        <f>+Data!F55</f>
        <v>1.0320166539274058E-2</v>
      </c>
      <c r="G22" s="94">
        <f>+Data!G55</f>
        <v>9.5487337132589608E-3</v>
      </c>
      <c r="H22" s="94">
        <f>+Data!H55</f>
        <v>8.851628896396865E-3</v>
      </c>
      <c r="I22" s="94">
        <f>+Data!I55</f>
        <v>8.2216871964627888E-3</v>
      </c>
      <c r="J22" s="94">
        <f>+Data!J55</f>
        <v>7.6524347155714403E-3</v>
      </c>
      <c r="K22" s="94">
        <f>+Data!K55</f>
        <v>7.1380218769023862E-3</v>
      </c>
      <c r="L22" s="94">
        <f>+Data!L55</f>
        <v>6.6731631878726404E-3</v>
      </c>
      <c r="M22" s="94">
        <f>+Data!M55</f>
        <v>6.253082818083862E-3</v>
      </c>
      <c r="N22" s="94">
        <f>+Data!N55</f>
        <v>5.8734654304466241E-3</v>
      </c>
      <c r="O22" s="94">
        <f>+Data!O55</f>
        <v>5.530411758152433E-3</v>
      </c>
      <c r="P22" s="94">
        <f>+Data!P55</f>
        <v>5.2203984691853184E-3</v>
      </c>
      <c r="Q22" s="94">
        <f>+Data!Q55</f>
        <v>4.9402419043469053E-3</v>
      </c>
      <c r="R22" s="94">
        <f>+Data!R55</f>
        <v>4.6870653147693059E-3</v>
      </c>
      <c r="S22" s="94">
        <f>+Data!S55</f>
        <v>4.4582692610257747E-3</v>
      </c>
      <c r="T22" s="94">
        <f>+Data!T55</f>
        <v>4.2515048685889435E-3</v>
      </c>
      <c r="U22" s="94">
        <f>+Data!U55</f>
        <v>4.0646496638749932E-3</v>
      </c>
      <c r="V22" s="94">
        <f>+Data!V55</f>
        <v>3.895785741747385E-3</v>
      </c>
      <c r="W22" s="94">
        <f>+Data!W55</f>
        <v>3.7431800394170998E-3</v>
      </c>
      <c r="X22" s="94">
        <f>+Data!X55</f>
        <v>3.6052665134133871E-3</v>
      </c>
      <c r="Y22" s="94">
        <f>+Data!Y55</f>
        <v>3.4806300359353165E-3</v>
      </c>
      <c r="Z22" s="94">
        <f>+Data!Z55</f>
        <v>3.3679918446339113E-3</v>
      </c>
      <c r="AA22" s="94">
        <f>+Data!AA55</f>
        <v>3.2661963959002799E-3</v>
      </c>
      <c r="AB22" s="94">
        <f>+Data!AB55</f>
        <v>3.1741994862104481E-3</v>
      </c>
      <c r="AC22" s="94">
        <f>+Data!AC55</f>
        <v>3.0910575191585095E-3</v>
      </c>
      <c r="AD22" s="94">
        <f>+Data!AD55</f>
        <v>3.0159178076220755E-3</v>
      </c>
      <c r="AE22" s="94">
        <f>+Data!AE55</f>
        <v>2.9480098111785229E-3</v>
      </c>
      <c r="AF22" s="94">
        <f>+Data!AF55</f>
        <v>2.8866372185341353E-3</v>
      </c>
      <c r="AG22" s="94">
        <f>+Data!AG55</f>
        <v>2.8311707934370574E-3</v>
      </c>
      <c r="AH22" s="94">
        <f>+Data!AH55</f>
        <v>2.781041910416988E-3</v>
      </c>
      <c r="AI22" s="94">
        <f>+Data!AI55</f>
        <v>2.7357367138033427E-3</v>
      </c>
      <c r="AJ22" s="94">
        <f>+Data!AJ55</f>
        <v>2.6947908398963494E-3</v>
      </c>
      <c r="AK22" s="94">
        <f>+Data!AK55</f>
        <v>2.6577846479695698E-3</v>
      </c>
      <c r="AL22" s="94">
        <f>+Data!AL55</f>
        <v>2.6243389110238067E-3</v>
      </c>
      <c r="AM22" s="94">
        <f>+Data!AM55</f>
        <v>2.5941109219492537E-3</v>
      </c>
      <c r="AN22" s="94">
        <f>+Data!AN55</f>
        <v>2.5667909750315848E-3</v>
      </c>
      <c r="AO22" s="94">
        <f>+Data!AO55</f>
        <v>2.5420991866038039E-3</v>
      </c>
      <c r="AP22" s="94">
        <f>+Data!AP55</f>
        <v>2.5197826221379925E-3</v>
      </c>
      <c r="AQ22" s="94">
        <f>+Data!AQ55</f>
        <v>2.4996127002269958E-3</v>
      </c>
      <c r="AR22" s="94">
        <f>+Data!AR55</f>
        <v>2.4813828467567869E-3</v>
      </c>
      <c r="AS22" s="94">
        <f>+Data!AS55</f>
        <v>2.4649063751459796E-3</v>
      </c>
      <c r="AT22" s="94">
        <f>+Data!AT55</f>
        <v>2.4500145708562029E-3</v>
      </c>
      <c r="AU22" s="94">
        <f>+Data!AU55</f>
        <v>2.4365549604795774E-3</v>
      </c>
      <c r="AV22" s="94">
        <f>+Data!AV55</f>
        <v>2.4243897476087478E-3</v>
      </c>
      <c r="AW22" s="94">
        <f>+Data!AW55</f>
        <v>2.4133943994119967E-3</v>
      </c>
      <c r="AX22" s="94">
        <f>+Data!AX55</f>
        <v>2.4034563693856167E-3</v>
      </c>
      <c r="AY22" s="94">
        <f>+Data!AY55</f>
        <v>2.3944739431579643E-3</v>
      </c>
      <c r="AZ22" s="94">
        <f>+Data!AZ55</f>
        <v>2.3863551954840388E-3</v>
      </c>
      <c r="BA22" s="94">
        <f>+Data!BA55</f>
        <v>2.3790170477145109E-3</v>
      </c>
      <c r="BB22" s="94">
        <f>+Data!BB55</f>
        <v>2.3723844160556573E-3</v>
      </c>
      <c r="BC22" s="94">
        <f>+Data!BC55</f>
        <v>2.3663894418705345E-3</v>
      </c>
      <c r="BD22" s="94">
        <f>+Data!BD55</f>
        <v>2.3609707961155892E-3</v>
      </c>
      <c r="BE22" s="94">
        <f>+Data!BE55</f>
        <v>2.3560730507685393E-3</v>
      </c>
      <c r="BF22" s="94">
        <f>+Data!BF55</f>
        <v>2.3516461107928933E-3</v>
      </c>
      <c r="BG22" s="94">
        <f>+Data!BG55</f>
        <v>2.3476447008060962E-3</v>
      </c>
      <c r="BH22" s="94">
        <f>+Data!BH55</f>
        <v>2.344027901180649E-3</v>
      </c>
      <c r="BI22" s="94">
        <f>+Data!BI55</f>
        <v>2.3407587288159313E-3</v>
      </c>
    </row>
    <row r="23" spans="1:66" ht="16" x14ac:dyDescent="0.2">
      <c r="A23" s="92" t="s">
        <v>111</v>
      </c>
      <c r="B23" s="93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</row>
    <row r="24" spans="1:66" ht="16" x14ac:dyDescent="0.2">
      <c r="A24" s="21" t="s">
        <v>181</v>
      </c>
      <c r="B24" s="29">
        <f>+Parameters!G51</f>
        <v>0</v>
      </c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</row>
    <row r="25" spans="1:66" ht="16" x14ac:dyDescent="0.2">
      <c r="A25" s="21" t="s">
        <v>182</v>
      </c>
      <c r="B25" s="29">
        <f>+Parameters!G52</f>
        <v>0.15910847073502937</v>
      </c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</row>
    <row r="26" spans="1:66" ht="16" x14ac:dyDescent="0.2">
      <c r="A26" s="21" t="s">
        <v>47</v>
      </c>
      <c r="B26" s="29">
        <f>+Parameters!G53</f>
        <v>2</v>
      </c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</row>
    <row r="27" spans="1:66" ht="16" x14ac:dyDescent="0.2">
      <c r="A27" s="21" t="str">
        <f>+Parameters!A54</f>
        <v>Threshold for catastrophic damages</v>
      </c>
      <c r="B27" s="29">
        <f>+Parameters!G54</f>
        <v>4</v>
      </c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</row>
    <row r="28" spans="1:66" ht="16" x14ac:dyDescent="0.2">
      <c r="A28" s="21" t="str">
        <f>+Parameters!A55</f>
        <v>Exponent for catastrophic damages</v>
      </c>
      <c r="B28" s="29">
        <f>+Parameters!G55</f>
        <v>6</v>
      </c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</row>
    <row r="29" spans="1:66" ht="16" x14ac:dyDescent="0.2">
      <c r="A29" s="21" t="str">
        <f>+Parameters!A56</f>
        <v>Damage rate at threshold for catastrophic damages</v>
      </c>
      <c r="B29" s="29">
        <f>+Parameters!G56</f>
        <v>0</v>
      </c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</row>
    <row r="30" spans="1:66" ht="16" x14ac:dyDescent="0.2">
      <c r="A30" s="92" t="s">
        <v>110</v>
      </c>
      <c r="B30" s="93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  <c r="BH30" s="94"/>
      <c r="BI30" s="94"/>
    </row>
    <row r="31" spans="1:66" s="96" customFormat="1" ht="16" x14ac:dyDescent="0.2">
      <c r="A31" s="95" t="s">
        <v>80</v>
      </c>
      <c r="B31" s="94">
        <f>+B36*B40/$B38</f>
        <v>5.5407006783841813E-2</v>
      </c>
      <c r="C31" s="94">
        <f>+C36*C40/$B38</f>
        <v>3.6513189265975958E-2</v>
      </c>
      <c r="D31" s="94">
        <f>+D36*D40/$B38</f>
        <v>3.0546838306810292E-2</v>
      </c>
      <c r="E31" s="94">
        <f>+E36*E40/$B38</f>
        <v>2.5838539493063167E-2</v>
      </c>
      <c r="F31" s="94">
        <f>+F36*F40/$B38</f>
        <v>2.2074557958627342E-2</v>
      </c>
      <c r="G31" s="94">
        <f t="shared" ref="G31:BI31" si="6">+G36*G40/$B38</f>
        <v>1.9029283812572548E-2</v>
      </c>
      <c r="H31" s="94">
        <f t="shared" si="6"/>
        <v>1.6538093402669818E-2</v>
      </c>
      <c r="I31" s="94">
        <f t="shared" si="6"/>
        <v>1.447922012418165E-2</v>
      </c>
      <c r="J31" s="94">
        <f t="shared" si="6"/>
        <v>1.2761448659491288E-2</v>
      </c>
      <c r="K31" s="94">
        <f t="shared" si="6"/>
        <v>1.1315636072687743E-2</v>
      </c>
      <c r="L31" s="94">
        <f t="shared" si="6"/>
        <v>1.0088787087667944E-2</v>
      </c>
      <c r="M31" s="94">
        <f t="shared" si="6"/>
        <v>9.0398591999271E-3</v>
      </c>
      <c r="N31" s="94">
        <f t="shared" si="6"/>
        <v>8.1367555400877097E-3</v>
      </c>
      <c r="O31" s="94">
        <f t="shared" si="6"/>
        <v>7.3541439117711964E-3</v>
      </c>
      <c r="P31" s="94">
        <f t="shared" si="6"/>
        <v>6.6718575628931685E-3</v>
      </c>
      <c r="Q31" s="94">
        <f t="shared" si="6"/>
        <v>6.0737103263064172E-3</v>
      </c>
      <c r="R31" s="94">
        <f t="shared" si="6"/>
        <v>5.5466101534597592E-3</v>
      </c>
      <c r="S31" s="94">
        <f t="shared" si="6"/>
        <v>5.0798897542899618E-3</v>
      </c>
      <c r="T31" s="94">
        <f t="shared" si="6"/>
        <v>4.6647967518695117E-3</v>
      </c>
      <c r="U31" s="94">
        <f t="shared" si="6"/>
        <v>4.2941021281744079E-3</v>
      </c>
      <c r="V31" s="94">
        <f t="shared" si="6"/>
        <v>3.961797164670113E-3</v>
      </c>
      <c r="W31" s="94">
        <f t="shared" si="6"/>
        <v>3.6628571407364219E-3</v>
      </c>
      <c r="X31" s="94">
        <f t="shared" si="6"/>
        <v>3.3930557920444559E-3</v>
      </c>
      <c r="Y31" s="94">
        <f t="shared" si="6"/>
        <v>3.1488186556186066E-3</v>
      </c>
      <c r="Z31" s="94">
        <f t="shared" si="6"/>
        <v>2.9271064187780717E-3</v>
      </c>
      <c r="AA31" s="94">
        <f t="shared" si="6"/>
        <v>2.7253215755824308E-3</v>
      </c>
      <c r="AB31" s="94">
        <f t="shared" si="6"/>
        <v>2.5412333058501776E-3</v>
      </c>
      <c r="AC31" s="94">
        <f t="shared" si="6"/>
        <v>2.3729166886330105E-3</v>
      </c>
      <c r="AD31" s="94">
        <f t="shared" si="6"/>
        <v>2.2187032574481564E-3</v>
      </c>
      <c r="AE31" s="94">
        <f t="shared" si="6"/>
        <v>2.0771405792226042E-3</v>
      </c>
      <c r="AF31" s="94">
        <f t="shared" si="6"/>
        <v>1.9469590506516047E-3</v>
      </c>
      <c r="AG31" s="94">
        <f t="shared" si="6"/>
        <v>1.8270444963651704E-3</v>
      </c>
      <c r="AH31" s="94">
        <f t="shared" si="6"/>
        <v>1.7164154534148681E-3</v>
      </c>
      <c r="AI31" s="94">
        <f t="shared" si="6"/>
        <v>1.6142042585029763E-3</v>
      </c>
      <c r="AJ31" s="94">
        <f t="shared" si="6"/>
        <v>1.5196412345955942E-3</v>
      </c>
      <c r="AK31" s="94">
        <f t="shared" si="6"/>
        <v>1.4320414143716132E-3</v>
      </c>
      <c r="AL31" s="94">
        <f t="shared" si="6"/>
        <v>1.3507933485486553E-3</v>
      </c>
      <c r="AM31" s="94">
        <f t="shared" si="6"/>
        <v>1.2753496344115177E-3</v>
      </c>
      <c r="AN31" s="94">
        <f t="shared" si="6"/>
        <v>1.2052188690850529E-3</v>
      </c>
      <c r="AO31" s="94">
        <f t="shared" si="6"/>
        <v>1.1399587872294805E-3</v>
      </c>
      <c r="AP31" s="94">
        <f t="shared" si="6"/>
        <v>1.079170386945148E-3</v>
      </c>
      <c r="AQ31" s="94">
        <f t="shared" si="6"/>
        <v>1.0224928831058526E-3</v>
      </c>
      <c r="AR31" s="94">
        <f t="shared" si="6"/>
        <v>9.6959935591330688E-4</v>
      </c>
      <c r="AS31" s="94">
        <f t="shared" si="6"/>
        <v>9.2019298559383443E-4</v>
      </c>
      <c r="AT31" s="94">
        <f t="shared" si="6"/>
        <v>8.7400378294626082E-4</v>
      </c>
      <c r="AU31" s="94">
        <f t="shared" si="6"/>
        <v>8.3078574076386855E-4</v>
      </c>
      <c r="AV31" s="94">
        <f t="shared" si="6"/>
        <v>7.9031434367631708E-4</v>
      </c>
      <c r="AW31" s="94">
        <f t="shared" si="6"/>
        <v>7.5238438423028966E-4</v>
      </c>
      <c r="AX31" s="94">
        <f t="shared" si="6"/>
        <v>7.1680804148000822E-4</v>
      </c>
      <c r="AY31" s="94">
        <f t="shared" si="6"/>
        <v>6.8341318533352003E-4</v>
      </c>
      <c r="AZ31" s="94">
        <f t="shared" si="6"/>
        <v>6.5204187567228882E-4</v>
      </c>
      <c r="BA31" s="94">
        <f t="shared" si="6"/>
        <v>6.2254903005074631E-4</v>
      </c>
      <c r="BB31" s="94">
        <f t="shared" si="6"/>
        <v>5.9480123776692393E-4</v>
      </c>
      <c r="BC31" s="94">
        <f t="shared" si="6"/>
        <v>5.6867570141896787E-4</v>
      </c>
      <c r="BD31" s="94">
        <f t="shared" si="6"/>
        <v>5.4405928984196266E-4</v>
      </c>
      <c r="BE31" s="94">
        <f t="shared" si="6"/>
        <v>2.6520595906702303E-4</v>
      </c>
      <c r="BF31" s="94">
        <f t="shared" si="6"/>
        <v>1.2928194749004809E-4</v>
      </c>
      <c r="BG31" s="94">
        <f t="shared" si="6"/>
        <v>6.3024338570484404E-5</v>
      </c>
      <c r="BH31" s="94">
        <f t="shared" si="6"/>
        <v>3.0725073505366685E-5</v>
      </c>
      <c r="BI31" s="94">
        <f t="shared" si="6"/>
        <v>1.4979260219387366E-5</v>
      </c>
    </row>
    <row r="32" spans="1:66" s="96" customFormat="1" ht="16" x14ac:dyDescent="0.2">
      <c r="A32" s="95" t="s">
        <v>116</v>
      </c>
      <c r="B32" s="93">
        <f>+Parameters!G58</f>
        <v>1.7639999999999998</v>
      </c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  <c r="BA32" s="94"/>
      <c r="BB32" s="94"/>
      <c r="BC32" s="94"/>
      <c r="BD32" s="94"/>
      <c r="BE32" s="94"/>
      <c r="BF32" s="94"/>
      <c r="BG32" s="94"/>
      <c r="BH32" s="94"/>
      <c r="BI32" s="94"/>
    </row>
    <row r="33" spans="1:61 15424:15424" s="96" customFormat="1" ht="16" x14ac:dyDescent="0.2">
      <c r="A33" s="95" t="s">
        <v>157</v>
      </c>
      <c r="B33" s="93">
        <f>+Parameters!G60</f>
        <v>0.1</v>
      </c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  <c r="AX33" s="94"/>
      <c r="AY33" s="94"/>
      <c r="AZ33" s="94"/>
      <c r="BA33" s="94"/>
      <c r="BB33" s="94"/>
      <c r="BC33" s="94"/>
      <c r="BD33" s="94"/>
      <c r="BE33" s="94"/>
      <c r="BF33" s="94"/>
      <c r="BG33" s="94"/>
      <c r="BH33" s="94"/>
      <c r="BI33" s="94"/>
    </row>
    <row r="34" spans="1:61 15424:15424" s="96" customFormat="1" ht="16" x14ac:dyDescent="0.2">
      <c r="A34" s="95" t="s">
        <v>176</v>
      </c>
      <c r="B34" s="93">
        <f>+Parameters!G61</f>
        <v>0.05</v>
      </c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BF34" s="94"/>
      <c r="BG34" s="94"/>
      <c r="BH34" s="94"/>
      <c r="BI34" s="94"/>
    </row>
    <row r="35" spans="1:61 15424:15424" s="96" customFormat="1" ht="16" x14ac:dyDescent="0.2">
      <c r="A35" s="95" t="s">
        <v>96</v>
      </c>
      <c r="B35" s="93">
        <f>+Parameters!G65</f>
        <v>1</v>
      </c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</row>
    <row r="36" spans="1:61 15424:15424" s="33" customFormat="1" ht="18" customHeight="1" x14ac:dyDescent="0.2">
      <c r="A36" s="496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0.61678368628822255</v>
      </c>
      <c r="AB36" s="23">
        <f>+IF(AB4&gt;$B$37,AA36*Parameters!$B$105,$B$33*$B$32+(AA36-$B$33*$B$32)*(1-$B$34))</f>
        <v>0.59476450197381148</v>
      </c>
      <c r="AC36" s="23">
        <f>+IF(AC4&gt;$B$37,AB36*Parameters!$B$105,$B$33*$B$32+(AB36-$B$33*$B$32)*(1-$B$34))</f>
        <v>0.57384627687512091</v>
      </c>
      <c r="AD36" s="23">
        <f>+IF(AD4&gt;$B$37,AC36*Parameters!$B$105,$B$33*$B$32+(AC36-$B$33*$B$32)*(1-$B$34))</f>
        <v>0.55397396303136492</v>
      </c>
      <c r="AE36" s="23">
        <f>+IF(AE4&gt;$B$37,AD36*Parameters!$B$105,$B$33*$B$32+(AD36-$B$33*$B$32)*(1-$B$34))</f>
        <v>0.53509526487979664</v>
      </c>
      <c r="AF36" s="23">
        <f>+IF(AF4&gt;$B$37,AE36*Parameters!$B$105,$B$33*$B$32+(AE36-$B$33*$B$32)*(1-$B$34))</f>
        <v>0.51716050163580674</v>
      </c>
      <c r="AG36" s="23">
        <f>+IF(AG4&gt;$B$37,AF36*Parameters!$B$105,$B$33*$B$32+(AF36-$B$33*$B$32)*(1-$B$34))</f>
        <v>0.50012247655401643</v>
      </c>
      <c r="AH36" s="23">
        <f>+IF(AH4&gt;$B$37,AG36*Parameters!$B$105,$B$33*$B$32+(AG36-$B$33*$B$32)*(1-$B$34))</f>
        <v>0.48393635272631558</v>
      </c>
      <c r="AI36" s="23">
        <f>+IF(AI4&gt;$B$37,AH36*Parameters!$B$105,$B$33*$B$32+(AH36-$B$33*$B$32)*(1-$B$34))</f>
        <v>0.46855953508999981</v>
      </c>
      <c r="AJ36" s="23">
        <f>+IF(AJ4&gt;$B$37,AI36*Parameters!$B$105,$B$33*$B$32+(AI36-$B$33*$B$32)*(1-$B$34))</f>
        <v>0.45395155833549983</v>
      </c>
      <c r="AK36" s="23">
        <f>+IF(AK4&gt;$B$37,AJ36*Parameters!$B$105,$B$33*$B$32+(AJ36-$B$33*$B$32)*(1-$B$34))</f>
        <v>0.44007398041872481</v>
      </c>
      <c r="AL36" s="23">
        <f>+IF(AL4&gt;$B$37,AK36*Parameters!$B$105,$B$33*$B$32+(AK36-$B$33*$B$32)*(1-$B$34))</f>
        <v>0.42689028139778856</v>
      </c>
      <c r="AM36" s="23">
        <f>+IF(AM4&gt;$B$37,AL36*Parameters!$B$105,$B$33*$B$32+(AL36-$B$33*$B$32)*(1-$B$34))</f>
        <v>0.41436576732789909</v>
      </c>
      <c r="AN36" s="23">
        <f>+IF(AN4&gt;$B$37,AM36*Parameters!$B$105,$B$33*$B$32+(AM36-$B$33*$B$32)*(1-$B$34))</f>
        <v>0.40246747896150414</v>
      </c>
      <c r="AO36" s="23">
        <f>+IF(AO4&gt;$B$37,AN36*Parameters!$B$105,$B$33*$B$32+(AN36-$B$33*$B$32)*(1-$B$34))</f>
        <v>0.39116410501342891</v>
      </c>
      <c r="AP36" s="23">
        <f>+IF(AP4&gt;$B$37,AO36*Parameters!$B$105,$B$33*$B$32+(AO36-$B$33*$B$32)*(1-$B$34))</f>
        <v>0.38042589976275742</v>
      </c>
      <c r="AQ36" s="23">
        <f>+IF(AQ4&gt;$B$37,AP36*Parameters!$B$105,$B$33*$B$32+(AP36-$B$33*$B$32)*(1-$B$34))</f>
        <v>0.37022460477461955</v>
      </c>
      <c r="AR36" s="23">
        <f>+IF(AR4&gt;$B$37,AQ36*Parameters!$B$105,$B$33*$B$32+(AQ36-$B$33*$B$32)*(1-$B$34))</f>
        <v>0.36053337453588857</v>
      </c>
      <c r="AS36" s="23">
        <f>+IF(AS4&gt;$B$37,AR36*Parameters!$B$105,$B$33*$B$32+(AR36-$B$33*$B$32)*(1-$B$34))</f>
        <v>0.35132670580909414</v>
      </c>
      <c r="AT36" s="23">
        <f>+IF(AT4&gt;$B$37,AS36*Parameters!$B$105,$B$33*$B$32+(AS36-$B$33*$B$32)*(1-$B$34))</f>
        <v>0.34258037051863943</v>
      </c>
      <c r="AU36" s="23">
        <f>+IF(AU4&gt;$B$37,AT36*Parameters!$B$105,$B$33*$B$32+(AT36-$B$33*$B$32)*(1-$B$34))</f>
        <v>0.33427135199270747</v>
      </c>
      <c r="AV36" s="23">
        <f>+IF(AV4&gt;$B$37,AU36*Parameters!$B$105,$B$33*$B$32+(AU36-$B$33*$B$32)*(1-$B$34))</f>
        <v>0.32637778439307208</v>
      </c>
      <c r="AW36" s="23">
        <f>+IF(AW4&gt;$B$37,AV36*Parameters!$B$105,$B$33*$B$32+(AV36-$B$33*$B$32)*(1-$B$34))</f>
        <v>0.3188788951734185</v>
      </c>
      <c r="AX36" s="23">
        <f>+IF(AX4&gt;$B$37,AW36*Parameters!$B$105,$B$33*$B$32+(AW36-$B$33*$B$32)*(1-$B$34))</f>
        <v>0.31175495041474754</v>
      </c>
      <c r="AY36" s="23">
        <f>+IF(AY4&gt;$B$37,AX36*Parameters!$B$105,$B$33*$B$32+(AX36-$B$33*$B$32)*(1-$B$34))</f>
        <v>0.30498720289401016</v>
      </c>
      <c r="AZ36" s="23">
        <f>+IF(AZ4&gt;$B$37,AY36*Parameters!$B$105,$B$33*$B$32+(AY36-$B$33*$B$32)*(1-$B$34))</f>
        <v>0.29855784274930963</v>
      </c>
      <c r="BA36" s="23">
        <f>+IF(BA4&gt;$B$37,AZ36*Parameters!$B$105,$B$33*$B$32+(AZ36-$B$33*$B$32)*(1-$B$34))</f>
        <v>0.29244995061184414</v>
      </c>
      <c r="BB36" s="23">
        <f>+IF(BB4&gt;$B$37,BA36*Parameters!$B$105,$B$33*$B$32+(BA36-$B$33*$B$32)*(1-$B$34))</f>
        <v>0.28664745308125195</v>
      </c>
      <c r="BC36" s="23">
        <f>+IF(BC4&gt;$B$37,BB36*Parameters!$B$105,$B$33*$B$32+(BB36-$B$33*$B$32)*(1-$B$34))</f>
        <v>0.28113508042718938</v>
      </c>
      <c r="BD36" s="23">
        <f>+IF(BD4&gt;$B$37,BC36*Parameters!$B$105,$B$33*$B$32+(BC36-$B$33*$B$32)*(1-$B$34))</f>
        <v>0.2758983264058299</v>
      </c>
      <c r="BE36" s="23">
        <f>+IF(BE4&gt;$B$37,BD36*Parameters!$B$105,$B$33*$B$32+(BD36-$B$33*$B$32)*(1-$B$34))</f>
        <v>0.13794916320291495</v>
      </c>
      <c r="BF36" s="23">
        <f>+IF(BF4&gt;$B$37,BE36*Parameters!$B$105,$B$33*$B$32+(BE36-$B$33*$B$32)*(1-$B$34))</f>
        <v>6.8974581601457474E-2</v>
      </c>
      <c r="BG36" s="23">
        <f>+IF(BG4&gt;$B$37,BF36*Parameters!$B$105,$B$33*$B$32+(BF36-$B$33*$B$32)*(1-$B$34))</f>
        <v>3.4487290800728737E-2</v>
      </c>
      <c r="BH36" s="23">
        <f>+IF(BH4&gt;$B$37,BG36*Parameters!$B$105,$B$33*$B$32+(BG36-$B$33*$B$32)*(1-$B$34))</f>
        <v>1.7243645400364369E-2</v>
      </c>
      <c r="BI36" s="23">
        <f>+IF(BI4&gt;$B$37,BH36*Parameters!$B$105,$B$33*$B$32+(BH36-$B$33*$B$32)*(1-$B$34))</f>
        <v>8.6218227001821843E-3</v>
      </c>
    </row>
    <row r="37" spans="1:61 15424:15424" s="96" customFormat="1" ht="16" x14ac:dyDescent="0.2">
      <c r="A37" s="95" t="s">
        <v>73</v>
      </c>
      <c r="B37" s="93">
        <f>+Parameters!G64</f>
        <v>2250</v>
      </c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94"/>
      <c r="AS37" s="94"/>
      <c r="AT37" s="94"/>
      <c r="AU37" s="94"/>
      <c r="AV37" s="94"/>
      <c r="AW37" s="94"/>
      <c r="AX37" s="94"/>
      <c r="AY37" s="94"/>
      <c r="AZ37" s="94"/>
      <c r="BA37" s="94"/>
      <c r="BB37" s="94"/>
      <c r="BC37" s="94"/>
      <c r="BD37" s="94"/>
      <c r="BE37" s="94"/>
      <c r="BF37" s="94"/>
      <c r="BG37" s="94"/>
      <c r="BH37" s="94"/>
      <c r="BI37" s="94"/>
    </row>
    <row r="38" spans="1:61 15424:15424" ht="16" x14ac:dyDescent="0.2">
      <c r="A38" s="101" t="s">
        <v>81</v>
      </c>
      <c r="B38" s="102">
        <f>+Parameters!C63</f>
        <v>2.8</v>
      </c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</row>
    <row r="39" spans="1:61 15424:15424" ht="16" x14ac:dyDescent="0.2">
      <c r="A39" s="92" t="s">
        <v>82</v>
      </c>
      <c r="B39" s="104"/>
      <c r="C39" s="104"/>
      <c r="D39" s="104"/>
      <c r="E39" s="104"/>
      <c r="F39" s="104"/>
      <c r="G39" s="104"/>
      <c r="H39" s="104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</row>
    <row r="40" spans="1:61 15424:15424" s="108" customFormat="1" ht="14" customHeight="1" x14ac:dyDescent="0.2">
      <c r="A40" s="105" t="s">
        <v>203</v>
      </c>
      <c r="B40" s="106">
        <f>+B41</f>
        <v>8.794762981562193E-2</v>
      </c>
      <c r="C40" s="107">
        <f>+B40*EXP(C42*10)*Data!G90</f>
        <v>6.068842228201772E-2</v>
      </c>
      <c r="D40" s="107">
        <f>+C40*EXP(D42*10)</f>
        <v>5.3151049527481418E-2</v>
      </c>
      <c r="E40" s="107">
        <f>+D40*EXP(E42*10)</f>
        <v>4.705345370167522E-2</v>
      </c>
      <c r="F40" s="107">
        <f>+E40*EXP(F42*10)</f>
        <v>4.2060793823593817E-2</v>
      </c>
      <c r="G40" s="107">
        <f t="shared" ref="G40:BI40" si="8">+F40*EXP(G42*10)</f>
        <v>3.7927052418198791E-2</v>
      </c>
      <c r="H40" s="107">
        <f t="shared" si="8"/>
        <v>3.4468931417614965E-2</v>
      </c>
      <c r="I40" s="107">
        <f t="shared" si="8"/>
        <v>3.154808039844454E-2</v>
      </c>
      <c r="J40" s="107">
        <f t="shared" si="8"/>
        <v>2.905880896256436E-2</v>
      </c>
      <c r="K40" s="107">
        <f t="shared" si="8"/>
        <v>2.6919467046968293E-2</v>
      </c>
      <c r="L40" s="107">
        <f t="shared" si="8"/>
        <v>2.5066315640554237E-2</v>
      </c>
      <c r="M40" s="107">
        <f t="shared" si="8"/>
        <v>2.3449112481380228E-2</v>
      </c>
      <c r="N40" s="107">
        <f t="shared" si="8"/>
        <v>2.2027894553771025E-2</v>
      </c>
      <c r="O40" s="107">
        <f t="shared" si="8"/>
        <v>2.0770606293381542E-2</v>
      </c>
      <c r="P40" s="107">
        <f t="shared" si="8"/>
        <v>1.9651332499913899E-2</v>
      </c>
      <c r="Q40" s="107">
        <f t="shared" si="8"/>
        <v>1.8648968480536862E-2</v>
      </c>
      <c r="R40" s="107">
        <f t="shared" si="8"/>
        <v>1.774620967967969E-2</v>
      </c>
      <c r="S40" s="107">
        <f t="shared" si="8"/>
        <v>1.6928777099977081E-2</v>
      </c>
      <c r="T40" s="107">
        <f t="shared" si="8"/>
        <v>1.6184818399056486E-2</v>
      </c>
      <c r="U40" s="107">
        <f t="shared" si="8"/>
        <v>1.5504441054831349E-2</v>
      </c>
      <c r="V40" s="107">
        <f t="shared" si="8"/>
        <v>1.4879345668667564E-2</v>
      </c>
      <c r="W40" s="107">
        <f t="shared" si="8"/>
        <v>1.4302535816401007E-2</v>
      </c>
      <c r="X40" s="107">
        <f t="shared" si="8"/>
        <v>1.3768086870546158E-2</v>
      </c>
      <c r="Y40" s="107">
        <f t="shared" si="8"/>
        <v>1.327096059108359E-2</v>
      </c>
      <c r="Z40" s="107">
        <f t="shared" si="8"/>
        <v>1.2806855490803848E-2</v>
      </c>
      <c r="AA40" s="107">
        <f t="shared" si="8"/>
        <v>1.2372085353867307E-2</v>
      </c>
      <c r="AB40" s="107">
        <f t="shared" si="8"/>
        <v>1.1963480054318713E-2</v>
      </c>
      <c r="AC40" s="107">
        <f t="shared" si="8"/>
        <v>1.1578304148548685E-2</v>
      </c>
      <c r="AD40" s="107">
        <f t="shared" si="8"/>
        <v>1.1214189719062854E-2</v>
      </c>
      <c r="AE40" s="107">
        <f t="shared" si="8"/>
        <v>1.0869080710571773E-2</v>
      </c>
      <c r="AF40" s="107">
        <f t="shared" si="8"/>
        <v>1.0541186584399136E-2</v>
      </c>
      <c r="AG40" s="107">
        <f t="shared" si="8"/>
        <v>1.0228943568126049E-2</v>
      </c>
      <c r="AH40" s="107">
        <f t="shared" si="8"/>
        <v>9.9309821270641054E-3</v>
      </c>
      <c r="AI40" s="107">
        <f t="shared" si="8"/>
        <v>9.6460995568902162E-3</v>
      </c>
      <c r="AJ40" s="107">
        <f t="shared" si="8"/>
        <v>9.3732368107060093E-3</v>
      </c>
      <c r="AK40" s="107">
        <f t="shared" si="8"/>
        <v>9.1114588425003518E-3</v>
      </c>
      <c r="AL40" s="107">
        <f t="shared" si="8"/>
        <v>8.85993788275506E-3</v>
      </c>
      <c r="AM40" s="107">
        <f t="shared" si="8"/>
        <v>8.6179391685279709E-3</v>
      </c>
      <c r="AN40" s="107">
        <f t="shared" si="8"/>
        <v>8.3848087357163287E-3</v>
      </c>
      <c r="AO40" s="107">
        <f t="shared" si="8"/>
        <v>8.1599629499055533E-3</v>
      </c>
      <c r="AP40" s="107">
        <f t="shared" si="8"/>
        <v>7.942879507759076E-3</v>
      </c>
      <c r="AQ40" s="107">
        <f t="shared" si="8"/>
        <v>7.7330896860279578E-3</v>
      </c>
      <c r="AR40" s="107">
        <f t="shared" si="8"/>
        <v>7.5301716520754782E-3</v>
      </c>
      <c r="AS40" s="107">
        <f t="shared" si="8"/>
        <v>7.3337446799811197E-3</v>
      </c>
      <c r="AT40" s="107">
        <f t="shared" si="8"/>
        <v>7.1434641411142388E-3</v>
      </c>
      <c r="AU40" s="107">
        <f t="shared" si="8"/>
        <v>6.959017158579538E-3</v>
      </c>
      <c r="AV40" s="107">
        <f t="shared" si="8"/>
        <v>6.780118831950315E-3</v>
      </c>
      <c r="AW40" s="107">
        <f t="shared" si="8"/>
        <v>6.6065089528710274E-3</v>
      </c>
      <c r="AX40" s="107">
        <f t="shared" si="8"/>
        <v>6.437949143947512E-3</v>
      </c>
      <c r="AY40" s="107">
        <f t="shared" si="8"/>
        <v>6.2742203632683551E-3</v>
      </c>
      <c r="AZ40" s="107">
        <f t="shared" si="8"/>
        <v>6.1151207252505852E-3</v>
      </c>
      <c r="BA40" s="107">
        <f t="shared" si="8"/>
        <v>5.9604635955493061E-3</v>
      </c>
      <c r="BB40" s="107">
        <f t="shared" si="8"/>
        <v>5.8100759237351644E-3</v>
      </c>
      <c r="BC40" s="107">
        <f t="shared" si="8"/>
        <v>5.6637967825061038E-3</v>
      </c>
      <c r="BD40" s="107">
        <f t="shared" si="8"/>
        <v>5.5214760865084601E-3</v>
      </c>
      <c r="BE40" s="107">
        <f t="shared" si="8"/>
        <v>5.3829734675184555E-3</v>
      </c>
      <c r="BF40" s="107">
        <f t="shared" si="8"/>
        <v>5.2481572858788543E-3</v>
      </c>
      <c r="BG40" s="107">
        <f t="shared" si="8"/>
        <v>5.1169037607798245E-3</v>
      </c>
      <c r="BH40" s="107">
        <f t="shared" si="8"/>
        <v>4.9890962042868758E-3</v>
      </c>
      <c r="BI40" s="107">
        <f t="shared" si="8"/>
        <v>4.8646243460096156E-3</v>
      </c>
    </row>
    <row r="41" spans="1:61 15424:15424" ht="16" x14ac:dyDescent="0.2">
      <c r="A41" s="85" t="s">
        <v>92</v>
      </c>
      <c r="B41" s="93">
        <f>+Parameters!G69</f>
        <v>8.794762981562193E-2</v>
      </c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</row>
    <row r="42" spans="1:61 15424:15424" s="45" customFormat="1" ht="18" customHeight="1" x14ac:dyDescent="0.2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6" x14ac:dyDescent="0.2">
      <c r="A43" s="85" t="s">
        <v>169</v>
      </c>
      <c r="B43" s="93">
        <f>+B44</f>
        <v>0</v>
      </c>
      <c r="C43" s="94">
        <f>+B43*(1-Parameters!$G$71)</f>
        <v>0</v>
      </c>
      <c r="D43" s="94">
        <f>+C43*(1-Parameters!$G$71)</f>
        <v>0</v>
      </c>
      <c r="E43" s="94">
        <f>+D43*(1-Parameters!$G$71)</f>
        <v>0</v>
      </c>
      <c r="F43" s="94">
        <f>+E43*(1-Parameters!$G$71)</f>
        <v>0</v>
      </c>
      <c r="G43" s="94">
        <f>+F43*(1-Parameters!$G$71)</f>
        <v>0</v>
      </c>
      <c r="H43" s="94">
        <f>+G43*(1-Parameters!$G$71)</f>
        <v>0</v>
      </c>
      <c r="I43" s="94">
        <f>+H43*(1-Parameters!$G$71)</f>
        <v>0</v>
      </c>
      <c r="J43" s="94">
        <f>+I43*(1-Parameters!$G$71)</f>
        <v>0</v>
      </c>
      <c r="K43" s="94">
        <f>+J43*(1-Parameters!$G$71)</f>
        <v>0</v>
      </c>
      <c r="L43" s="94">
        <f>+K43*(1-Parameters!$G$71)</f>
        <v>0</v>
      </c>
      <c r="M43" s="94">
        <f>+L43*(1-Parameters!$G$71)</f>
        <v>0</v>
      </c>
      <c r="N43" s="94">
        <f>+M43*(1-Parameters!$G$71)</f>
        <v>0</v>
      </c>
      <c r="O43" s="94">
        <f>+N43*(1-Parameters!$G$71)</f>
        <v>0</v>
      </c>
      <c r="P43" s="94">
        <f>+O43*(1-Parameters!$G$71)</f>
        <v>0</v>
      </c>
      <c r="Q43" s="94">
        <f>+P43*(1-Parameters!$G$71)</f>
        <v>0</v>
      </c>
      <c r="R43" s="94">
        <f>+Q43*(1-Parameters!$G$71)</f>
        <v>0</v>
      </c>
      <c r="S43" s="94">
        <f>+R43*(1-Parameters!$G$71)</f>
        <v>0</v>
      </c>
      <c r="T43" s="94">
        <f>+S43*(1-Parameters!$G$71)</f>
        <v>0</v>
      </c>
      <c r="U43" s="94">
        <f>+T43*(1-Parameters!$G$71)</f>
        <v>0</v>
      </c>
      <c r="V43" s="94">
        <f>+U43*(1-Parameters!$G$71)</f>
        <v>0</v>
      </c>
      <c r="W43" s="94">
        <f>+V43*(1-Parameters!$G$71)</f>
        <v>0</v>
      </c>
      <c r="X43" s="94">
        <f>+W43*(1-Parameters!$G$71)</f>
        <v>0</v>
      </c>
      <c r="Y43" s="94">
        <f>+X43*(1-Parameters!$G$71)</f>
        <v>0</v>
      </c>
      <c r="Z43" s="94">
        <f>+Y43*(1-Parameters!$G$71)</f>
        <v>0</v>
      </c>
      <c r="AA43" s="94">
        <f>+Z43*(1-Parameters!$G$71)</f>
        <v>0</v>
      </c>
      <c r="AB43" s="94">
        <f>+AA43*(1-Parameters!$G$71)</f>
        <v>0</v>
      </c>
      <c r="AC43" s="94">
        <f>+AB43*(1-Parameters!$G$71)</f>
        <v>0</v>
      </c>
      <c r="AD43" s="94">
        <f>+AC43*(1-Parameters!$G$71)</f>
        <v>0</v>
      </c>
      <c r="AE43" s="94">
        <f>+AD43*(1-Parameters!$G$71)</f>
        <v>0</v>
      </c>
      <c r="AF43" s="94">
        <f>+AE43*(1-Parameters!$G$71)</f>
        <v>0</v>
      </c>
      <c r="AG43" s="94">
        <f>+AF43*(1-Parameters!$G$71)</f>
        <v>0</v>
      </c>
      <c r="AH43" s="94">
        <f>+AG43*(1-Parameters!$G$71)</f>
        <v>0</v>
      </c>
      <c r="AI43" s="94">
        <f>+AH43*(1-Parameters!$G$71)</f>
        <v>0</v>
      </c>
      <c r="AJ43" s="94">
        <f>+AI43*(1-Parameters!$G$71)</f>
        <v>0</v>
      </c>
      <c r="AK43" s="94">
        <f>+AJ43*(1-Parameters!$G$71)</f>
        <v>0</v>
      </c>
      <c r="AL43" s="94">
        <f>+AK43*(1-Parameters!$G$71)</f>
        <v>0</v>
      </c>
      <c r="AM43" s="94">
        <f>+AL43*(1-Parameters!$G$71)</f>
        <v>0</v>
      </c>
      <c r="AN43" s="94">
        <f>+AM43*(1-Parameters!$G$71)</f>
        <v>0</v>
      </c>
      <c r="AO43" s="94">
        <f>+AN43*(1-Parameters!$G$71)</f>
        <v>0</v>
      </c>
      <c r="AP43" s="94">
        <f>+AO43*(1-Parameters!$G$71)</f>
        <v>0</v>
      </c>
      <c r="AQ43" s="94">
        <f>+AP43*(1-Parameters!$G$71)</f>
        <v>0</v>
      </c>
      <c r="AR43" s="94">
        <f>+AQ43*(1-Parameters!$G$71)</f>
        <v>0</v>
      </c>
      <c r="AS43" s="94">
        <f>+AR43*(1-Parameters!$G$71)</f>
        <v>0</v>
      </c>
      <c r="AT43" s="94">
        <f>+AS43*(1-Parameters!$G$71)</f>
        <v>0</v>
      </c>
      <c r="AU43" s="94">
        <f>+AT43*(1-Parameters!$G$71)</f>
        <v>0</v>
      </c>
      <c r="AV43" s="94">
        <f>+AU43*(1-Parameters!$G$71)</f>
        <v>0</v>
      </c>
      <c r="AW43" s="94">
        <f>+AV43*(1-Parameters!$G$71)</f>
        <v>0</v>
      </c>
      <c r="AX43" s="94">
        <f>+AW43*(1-Parameters!$G$71)</f>
        <v>0</v>
      </c>
      <c r="AY43" s="94">
        <f>+AX43*(1-Parameters!$G$71)</f>
        <v>0</v>
      </c>
      <c r="AZ43" s="94">
        <f>+AY43*(1-Parameters!$G$71)</f>
        <v>0</v>
      </c>
      <c r="BA43" s="94">
        <f>+AZ43*(1-Parameters!$G$71)</f>
        <v>0</v>
      </c>
      <c r="BB43" s="94">
        <f>+BA43*(1-Parameters!$G$71)</f>
        <v>0</v>
      </c>
      <c r="BC43" s="94">
        <f>+BB43*(1-Parameters!$G$71)</f>
        <v>0</v>
      </c>
      <c r="BD43" s="94">
        <f>+BC43*(1-Parameters!$G$71)</f>
        <v>0</v>
      </c>
      <c r="BE43" s="94">
        <f>+BD43*(1-Parameters!$G$71)</f>
        <v>0</v>
      </c>
      <c r="BF43" s="94">
        <f>+BE43*(1-Parameters!$G$71)</f>
        <v>0</v>
      </c>
      <c r="BG43" s="94">
        <f>+BF43*(1-Parameters!$G$71)</f>
        <v>0</v>
      </c>
      <c r="BH43" s="94">
        <f>+BG43*(1-Parameters!$G$71)</f>
        <v>0</v>
      </c>
      <c r="BI43" s="94">
        <f>+BH43*(1-Parameters!$G$71)</f>
        <v>0</v>
      </c>
    </row>
    <row r="44" spans="1:61 15424:15424" ht="32" x14ac:dyDescent="0.2">
      <c r="A44" s="85" t="s">
        <v>23</v>
      </c>
      <c r="B44" s="93">
        <f>+Parameters!G70</f>
        <v>0</v>
      </c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  <c r="AI44" s="94"/>
      <c r="AJ44" s="94"/>
      <c r="AK44" s="94"/>
      <c r="AL44" s="94"/>
      <c r="AM44" s="94"/>
      <c r="AN44" s="94"/>
      <c r="AO44" s="94"/>
      <c r="AP44" s="94"/>
      <c r="AQ44" s="94"/>
      <c r="AR44" s="94"/>
      <c r="AS44" s="94"/>
      <c r="AT44" s="94"/>
      <c r="AU44" s="94"/>
      <c r="AV44" s="94"/>
      <c r="AW44" s="94"/>
      <c r="AX44" s="94"/>
      <c r="AY44" s="94"/>
      <c r="AZ44" s="94"/>
      <c r="BA44" s="94"/>
      <c r="BB44" s="94"/>
      <c r="BC44" s="94"/>
      <c r="BD44" s="94"/>
      <c r="BE44" s="94"/>
      <c r="BF44" s="94"/>
      <c r="BG44" s="94"/>
      <c r="BH44" s="94"/>
      <c r="BI44" s="94"/>
    </row>
    <row r="45" spans="1:61 15424:15424" ht="16" x14ac:dyDescent="0.2">
      <c r="A45" s="110" t="s">
        <v>6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H45" s="111"/>
      <c r="BI45" s="111"/>
    </row>
    <row r="46" spans="1:61 15424:15424" s="23" customFormat="1" ht="18" customHeight="1" x14ac:dyDescent="0.2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 x14ac:dyDescent="0.2">
      <c r="A47" s="557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 x14ac:dyDescent="0.2">
      <c r="A48" s="556" t="s">
        <v>1130</v>
      </c>
      <c r="B48" s="219">
        <f>+Parameters!D132</f>
        <v>4.517451143770594E-3</v>
      </c>
      <c r="C48" s="219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0.10874499682478715</v>
      </c>
      <c r="D50" s="44">
        <f>100*$B$49*(Global!C135*$B$48+Global!C135^2*$C$48)*(C61/$B61)^(1/$C$49)</f>
        <v>0.12694884809884466</v>
      </c>
      <c r="E50" s="44">
        <f>100*$B$49*(Global!D135*$B$48+Global!D135^2*$C$48)*(D61/$B61)^(1/$C$49)</f>
        <v>0.14795394197768541</v>
      </c>
      <c r="F50" s="44">
        <f>100*$B$49*(Global!E135*$B$48+Global!E135^2*$C$48)*(E61/$B61)^(1/$C$49)</f>
        <v>0.16856202367832257</v>
      </c>
      <c r="G50" s="44">
        <f>100*$B$49*(Global!F135*$B$48+Global!F135^2*$C$48)*(F61/$B61)^(1/$C$49)</f>
        <v>0.19171196630953027</v>
      </c>
      <c r="H50" s="44">
        <f>100*$B$49*(Global!G135*$B$48+Global!G135^2*$C$48)*(G61/$B61)^(1/$C$49)</f>
        <v>0.21793963910382011</v>
      </c>
      <c r="I50" s="44">
        <f>100*$B$49*(Global!H135*$B$48+Global!H135^2*$C$48)*(H61/$B61)^(1/$C$49)</f>
        <v>0.24160066694850604</v>
      </c>
      <c r="J50" s="44">
        <f>100*$B$49*(Global!I135*$B$48+Global!I135^2*$C$48)*(I61/$B61)^(1/$C$49)</f>
        <v>0.26870892878372038</v>
      </c>
      <c r="K50" s="44">
        <f>100*$B$49*(Global!J135*$B$48+Global!J135^2*$C$48)*(J61/$B61)^(1/$C$49)</f>
        <v>0.29868576606044439</v>
      </c>
      <c r="L50" s="44">
        <f>100*$B$49*(Global!K135*$B$48+Global!K135^2*$C$48)*(K61/$B61)^(1/$C$49)</f>
        <v>0.32387077932271113</v>
      </c>
      <c r="M50" s="44">
        <f>100*$B$49*(Global!L135*$B$48+Global!L135^2*$C$48)*(L61/$B61)^(1/$C$49)</f>
        <v>0.35062663133417543</v>
      </c>
      <c r="N50" s="44">
        <f>100*$B$49*(Global!M135*$B$48+Global!M135^2*$C$48)*(M61/$B61)^(1/$C$49)</f>
        <v>0.37301732989730207</v>
      </c>
      <c r="O50" s="44">
        <f>100*$B$49*(Global!N135*$B$48+Global!N135^2*$C$48)*(N61/$B61)^(1/$C$49)</f>
        <v>0.39700826925638627</v>
      </c>
      <c r="P50" s="44">
        <f>100*$B$49*(Global!O135*$B$48+Global!O135^2*$C$48)*(O61/$B61)^(1/$C$49)</f>
        <v>0.42065737863384678</v>
      </c>
      <c r="Q50" s="44">
        <f>100*$B$49*(Global!P135*$B$48+Global!P135^2*$C$48)*(P61/$B61)^(1/$C$49)</f>
        <v>0.44391995819927471</v>
      </c>
      <c r="R50" s="44">
        <f>100*$B$49*(Global!Q135*$B$48+Global!Q135^2*$C$48)*(Q61/$B61)^(1/$C$49)</f>
        <v>0.46952870665596874</v>
      </c>
      <c r="S50" s="44">
        <f>100*$B$49*(Global!R135*$B$48+Global!R135^2*$C$48)*(R61/$B61)^(1/$C$49)</f>
        <v>0.49577469032919164</v>
      </c>
      <c r="T50" s="44">
        <f>100*$B$49*(Global!S135*$B$48+Global!S135^2*$C$48)*(S61/$B61)^(1/$C$49)</f>
        <v>0.52208197924801913</v>
      </c>
      <c r="U50" s="44">
        <f>100*$B$49*(Global!T135*$B$48+Global!T135^2*$C$48)*(T61/$B61)^(1/$C$49)</f>
        <v>0.54248641538813347</v>
      </c>
      <c r="V50" s="44">
        <f>100*$B$49*(Global!U135*$B$48+Global!U135^2*$C$48)*(U61/$B61)^(1/$C$49)</f>
        <v>0.55815404749622222</v>
      </c>
      <c r="W50" s="44">
        <f>100*$B$49*(Global!V135*$B$48+Global!V135^2*$C$48)*(V61/$B61)^(1/$C$49)</f>
        <v>0.58441493487089935</v>
      </c>
      <c r="X50" s="44">
        <f>100*$B$49*(Global!W135*$B$48+Global!W135^2*$C$48)*(W61/$B61)^(1/$C$49)</f>
        <v>0.60801807139419028</v>
      </c>
      <c r="Y50" s="44">
        <f>100*$B$49*(Global!X135*$B$48+Global!X135^2*$C$48)*(X61/$B61)^(1/$C$49)</f>
        <v>0.62870274545452287</v>
      </c>
      <c r="Z50" s="44">
        <f>100*$B$49*(Global!Y135*$B$48+Global!Y135^2*$C$48)*(Y61/$B61)^(1/$C$49)</f>
        <v>0.65107549471216108</v>
      </c>
      <c r="AA50" s="44">
        <f>100*$B$49*(Global!Z135*$B$48+Global!Z135^2*$C$48)*(Z61/$B61)^(1/$C$49)</f>
        <v>0.67651057582872265</v>
      </c>
      <c r="AB50" s="44">
        <f>100*$B$49*(Global!AA135*$B$48+Global!AA135^2*$C$48)*(AA61/$B61)^(1/$C$49)</f>
        <v>0.70584788974247581</v>
      </c>
      <c r="AC50" s="44">
        <f>100*$B$49*(Global!AB135*$B$48+Global!AB135^2*$C$48)*(AB61/$B61)^(1/$C$49)</f>
        <v>0.73622221738228166</v>
      </c>
      <c r="AD50" s="44">
        <f>100*$B$49*(Global!AC135*$B$48+Global!AC135^2*$C$48)*(AC61/$B61)^(1/$C$49)</f>
        <v>0.76673504017227156</v>
      </c>
      <c r="AE50" s="44">
        <f>100*$B$49*(Global!AD135*$B$48+Global!AD135^2*$C$48)*(AD61/$B61)^(1/$C$49)</f>
        <v>0.79381470291007672</v>
      </c>
      <c r="AF50" s="44">
        <f>100*$B$49*(Global!AE135*$B$48+Global!AE135^2*$C$48)*(AE61/$B61)^(1/$C$49)</f>
        <v>0.8224244786201812</v>
      </c>
      <c r="AG50" s="44">
        <f>100*$B$49*(Global!AF135*$B$48+Global!AF135^2*$C$48)*(AF61/$B61)^(1/$C$49)</f>
        <v>0.83591944411735231</v>
      </c>
      <c r="AH50" s="44">
        <f>100*$B$49*(Global!AG135*$B$48+Global!AG135^2*$C$48)*(AG61/$B61)^(1/$C$49)</f>
        <v>0.87177599593949917</v>
      </c>
      <c r="AI50" s="44">
        <f>100*$B$49*(Global!AH135*$B$48+Global!AH135^2*$C$48)*(AH61/$B61)^(1/$C$49)</f>
        <v>0.90257625707835254</v>
      </c>
      <c r="AJ50" s="44">
        <f>100*$B$49*(Global!AI135*$B$48+Global!AI135^2*$C$48)*(AI61/$B61)^(1/$C$49)</f>
        <v>1.3752241804629035</v>
      </c>
      <c r="AK50" s="44">
        <f>100*$B$49*(Global!AJ135*$B$48+Global!AJ135^2*$C$48)*(AJ61/$B61)^(1/$C$49)</f>
        <v>1.5218013279100668</v>
      </c>
      <c r="AL50" s="44">
        <f>100*$B$49*(Global!AK135*$B$48+Global!AK135^2*$C$48)*(AK61/$B61)^(1/$C$49)</f>
        <v>1.5945804371041084</v>
      </c>
      <c r="AM50" s="44">
        <f>100*$B$49*(Global!AL135*$B$48+Global!AL135^2*$C$48)*(AL61/$B61)^(1/$C$49)</f>
        <v>1.6383197657517665</v>
      </c>
      <c r="AN50" s="44">
        <f>100*$B$49*(Global!AM135*$B$48+Global!AM135^2*$C$48)*(AM61/$B61)^(1/$C$49)</f>
        <v>1.6690489159348028</v>
      </c>
      <c r="AO50" s="44">
        <f>100*$B$49*(Global!AN135*$B$48+Global!AN135^2*$C$48)*(AN61/$B61)^(1/$C$49)</f>
        <v>1.6935337096306651</v>
      </c>
      <c r="AP50" s="44">
        <f>100*$B$49*(Global!AO135*$B$48+Global!AO135^2*$C$48)*(AO61/$B61)^(1/$C$49)</f>
        <v>1.714972135135578</v>
      </c>
      <c r="AQ50" s="44">
        <f>100*$B$49*(Global!AP135*$B$48+Global!AP135^2*$C$48)*(AP61/$B61)^(1/$C$49)</f>
        <v>1.7349744937681748</v>
      </c>
      <c r="AR50" s="44">
        <f>100*$B$49*(Global!AQ135*$B$48+Global!AQ135^2*$C$48)*(AQ61/$B61)^(1/$C$49)</f>
        <v>1.7543812468053379</v>
      </c>
      <c r="AS50" s="44">
        <f>100*$B$49*(Global!AR135*$B$48+Global!AR135^2*$C$48)*(AR61/$B61)^(1/$C$49)</f>
        <v>1.773640987229653</v>
      </c>
      <c r="AT50" s="44">
        <f>100*$B$49*(Global!AS135*$B$48+Global!AS135^2*$C$48)*(AS61/$B61)^(1/$C$49)</f>
        <v>1.7929973255160432</v>
      </c>
      <c r="AU50" s="44">
        <f>100*$B$49*(Global!AT135*$B$48+Global!AT135^2*$C$48)*(AT61/$B61)^(1/$C$49)</f>
        <v>1.812584954026502</v>
      </c>
      <c r="AV50" s="44">
        <f>100*$B$49*(Global!AU135*$B$48+Global!AU135^2*$C$48)*(AU61/$B61)^(1/$C$49)</f>
        <v>1.8324801188164839</v>
      </c>
      <c r="AW50" s="44">
        <f>100*$B$49*(Global!AV135*$B$48+Global!AV135^2*$C$48)*(AV61/$B61)^(1/$C$49)</f>
        <v>1.8527274671340987</v>
      </c>
      <c r="AX50" s="44">
        <f>100*$B$49*(Global!AW135*$B$48+Global!AW135^2*$C$48)*(AW61/$B61)^(1/$C$49)</f>
        <v>1.8733544330289966</v>
      </c>
      <c r="AY50" s="44">
        <f>100*$B$49*(Global!AX135*$B$48+Global!AX135^2*$C$48)*(AX61/$B61)^(1/$C$49)</f>
        <v>1.8943789831517859</v>
      </c>
      <c r="AZ50" s="44">
        <f>100*$B$49*(Global!AY135*$B$48+Global!AY135^2*$C$48)*(AY61/$B61)^(1/$C$49)</f>
        <v>1.915813804540478</v>
      </c>
      <c r="BA50" s="44">
        <f>100*$B$49*(Global!AZ135*$B$48+Global!AZ135^2*$C$48)*(AZ61/$B61)^(1/$C$49)</f>
        <v>1.9376685791740873</v>
      </c>
      <c r="BB50" s="44">
        <f>100*$B$49*(Global!BA135*$B$48+Global!BA135^2*$C$48)*(BA61/$B61)^(1/$C$49)</f>
        <v>1.9599512272121178</v>
      </c>
      <c r="BC50" s="44">
        <f>100*$B$49*(Global!BB135*$B$48+Global!BB135^2*$C$48)*(BB61/$B61)^(1/$C$49)</f>
        <v>1.9826685930835661</v>
      </c>
      <c r="BD50" s="44">
        <f>100*$B$49*(Global!BC135*$B$48+Global!BC135^2*$C$48)*(BC61/$B61)^(1/$C$49)</f>
        <v>2.0058268298009612</v>
      </c>
      <c r="BE50" s="44">
        <f>100*$B$49*(Global!BD135*$B$48+Global!BD135^2*$C$48)*(BD61/$B61)^(1/$C$49)</f>
        <v>2.0294316192193125</v>
      </c>
      <c r="BF50" s="44">
        <f>100*$B$49*(Global!BE135*$B$48+Global!BE135^2*$C$48)*(BE61/$B61)^(1/$C$49)</f>
        <v>2.0534883026031276</v>
      </c>
      <c r="BG50" s="44">
        <f>100*$B$49*(Global!BF135*$B$48+Global!BF135^2*$C$48)*(BF61/$B61)^(1/$C$49)</f>
        <v>2.078028927738178</v>
      </c>
      <c r="BH50" s="44">
        <f>100*$B$49*(Global!BG135*$B$48+Global!BG135^2*$C$48)*(BG61/$B61)^(1/$C$49)</f>
        <v>2.1030315681835443</v>
      </c>
      <c r="BI50" s="44">
        <f>100*$B$49*(Global!BH135*$B$48+Global!BH135^2*$C$48)*(BH61/$B61)^(1/$C$49)</f>
        <v>2.1284937386518665</v>
      </c>
      <c r="BJ50" s="44">
        <f>100*$B$49*(Global!BI135*$B$48+Global!BI135^2*$C$48)*(BI61/$B61)^(1/$C$49)</f>
        <v>2.1544197639293032</v>
      </c>
      <c r="BK50" s="44">
        <f>100*$B$49*(Global!BJ80*$B$48+Global!BJ80^2*$C$48)*(BJ61/$B61)^(1/$C$49)</f>
        <v>2.1627146183899213</v>
      </c>
      <c r="BL50" s="44">
        <f>100*$B$49*(Global!BK80*$B$48+Global!BK80^2*$C$48)*(BK61/$B61)^(1/$C$49)</f>
        <v>2.171219226045991</v>
      </c>
      <c r="BM50" s="44">
        <f>100*$B$49*(Global!BL80*$B$48+Global!BL80^2*$C$48)*(BL61/$B61)^(1/$C$49)</f>
        <v>2.1799282961694275</v>
      </c>
      <c r="BN50" s="44">
        <f>100*$B$49*(Global!BM80*$B$48+Global!BM80^2*$C$48)*(BM61/$B61)^(1/$C$49)</f>
        <v>2.1888366656102805</v>
      </c>
    </row>
    <row r="51" spans="1:66" ht="15" x14ac:dyDescent="0.2">
      <c r="A51" s="112" t="s">
        <v>195</v>
      </c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</row>
    <row r="52" spans="1:66" ht="15" x14ac:dyDescent="0.2">
      <c r="A52" s="94" t="s">
        <v>120</v>
      </c>
      <c r="B52" s="135">
        <f>+Data!B235/1000</f>
        <v>0.10264033008888995</v>
      </c>
      <c r="C52" s="114">
        <f>+B95-B92</f>
        <v>211.90533780594274</v>
      </c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  <c r="BC52" s="91"/>
      <c r="BD52" s="91"/>
      <c r="BE52" s="91"/>
      <c r="BF52" s="91"/>
      <c r="BG52" s="91"/>
      <c r="BH52" s="91"/>
      <c r="BI52" s="91"/>
    </row>
    <row r="53" spans="1:66" s="114" customFormat="1" ht="16" x14ac:dyDescent="0.2">
      <c r="A53" s="85" t="s">
        <v>121</v>
      </c>
      <c r="B53" s="135">
        <f>+Data!O170</f>
        <v>-2063.1557315357941</v>
      </c>
      <c r="C53" s="114">
        <f>+Data!Q170</f>
        <v>-1190.0914153813032</v>
      </c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</row>
    <row r="54" spans="1:66" s="116" customFormat="1" ht="21.75" customHeight="1" x14ac:dyDescent="0.2">
      <c r="A54" s="85" t="s">
        <v>122</v>
      </c>
      <c r="B54" s="115"/>
      <c r="C54" s="115"/>
      <c r="D54" s="115"/>
      <c r="E54" s="115"/>
      <c r="F54" s="115"/>
      <c r="G54" s="115"/>
      <c r="H54" s="115"/>
      <c r="I54" s="115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  <c r="BC54" s="91"/>
      <c r="BD54" s="91"/>
      <c r="BE54" s="91"/>
      <c r="BF54" s="91"/>
      <c r="BG54" s="91"/>
      <c r="BH54" s="91"/>
      <c r="BI54" s="91"/>
    </row>
    <row r="55" spans="1:66" ht="15" x14ac:dyDescent="0.2">
      <c r="A55" s="117" t="s">
        <v>44</v>
      </c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</row>
    <row r="56" spans="1:66" s="23" customFormat="1" ht="18" customHeight="1" x14ac:dyDescent="0.2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0" customFormat="1" ht="15" x14ac:dyDescent="0.2">
      <c r="A57" s="118" t="s">
        <v>113</v>
      </c>
      <c r="B57" s="119">
        <f>Parameters!G48</f>
        <v>490.08019258719162</v>
      </c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B57" s="119"/>
      <c r="AC57" s="119"/>
      <c r="AD57" s="119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  <c r="BC57" s="119"/>
      <c r="BD57" s="119"/>
      <c r="BE57" s="119"/>
      <c r="BF57" s="119"/>
      <c r="BG57" s="119"/>
      <c r="BH57" s="119"/>
      <c r="BI57" s="119"/>
    </row>
    <row r="58" spans="1:66" s="23" customFormat="1" ht="18" customHeight="1" x14ac:dyDescent="0.2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 ht="15" x14ac:dyDescent="0.2">
      <c r="A59" s="122" t="s">
        <v>129</v>
      </c>
      <c r="B59" s="121">
        <f>+BI56</f>
        <v>520.79208514014647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</row>
    <row r="60" spans="1:66" s="94" customFormat="1" ht="18" customHeight="1" x14ac:dyDescent="0.2">
      <c r="A60" s="112" t="s">
        <v>123</v>
      </c>
    </row>
    <row r="61" spans="1:66" s="45" customFormat="1" ht="18" customHeight="1" x14ac:dyDescent="0.2">
      <c r="A61" s="555" t="s">
        <v>124</v>
      </c>
      <c r="B61" s="682">
        <v>14.144416532088242</v>
      </c>
      <c r="C61" s="682">
        <v>14.514629992300486</v>
      </c>
      <c r="D61" s="682">
        <v>14.772087625065955</v>
      </c>
      <c r="E61" s="682">
        <v>14.811876889206818</v>
      </c>
      <c r="F61" s="682">
        <v>15.168015405468575</v>
      </c>
      <c r="G61" s="682">
        <v>15.617806902691907</v>
      </c>
      <c r="H61" s="682">
        <v>15.974287097078674</v>
      </c>
      <c r="I61" s="682">
        <v>16.506803865007019</v>
      </c>
      <c r="J61" s="682">
        <v>17.010575236957663</v>
      </c>
      <c r="K61" s="682">
        <v>17.45900674241258</v>
      </c>
      <c r="L61" s="682">
        <v>18.178120179884512</v>
      </c>
      <c r="M61" s="682">
        <v>18.500220261899823</v>
      </c>
      <c r="N61" s="682">
        <v>18.75952939538778</v>
      </c>
      <c r="O61" s="682">
        <v>19.03111701619763</v>
      </c>
      <c r="P61" s="682">
        <v>19.590427710133042</v>
      </c>
      <c r="Q61" s="682">
        <v>20.070656838954864</v>
      </c>
      <c r="R61" s="682">
        <v>20.781508917942585</v>
      </c>
      <c r="S61" s="682">
        <v>21.445709432556672</v>
      </c>
      <c r="T61" s="682">
        <v>21.568859784802402</v>
      </c>
      <c r="U61" s="682">
        <v>20.674210271961297</v>
      </c>
      <c r="V61" s="682">
        <v>21.222532855028629</v>
      </c>
      <c r="W61" s="682">
        <v>21.721770072222657</v>
      </c>
      <c r="X61" s="682">
        <v>21.719233627273184</v>
      </c>
      <c r="Y61" s="682">
        <v>21.904608476582606</v>
      </c>
      <c r="Z61" s="682">
        <v>22.369824318378743</v>
      </c>
      <c r="AA61" s="682">
        <v>22.960022641982945</v>
      </c>
      <c r="AB61" s="682">
        <v>23.436594850650071</v>
      </c>
      <c r="AC61" s="682">
        <v>24.184270737709557</v>
      </c>
      <c r="AD61" s="682">
        <v>24.695155117757157</v>
      </c>
      <c r="AE61" s="682">
        <v>25.112959888559278</v>
      </c>
      <c r="AF61" s="682">
        <v>23.732566132389419</v>
      </c>
      <c r="AG61" s="682">
        <v>25.348269060713665</v>
      </c>
      <c r="AH61" s="682">
        <v>26.31651101820021</v>
      </c>
      <c r="AI61" s="45">
        <f t="shared" ref="B61:BI61" si="10">AI20*AI74^$B7*(AI56/1000)^(1-$B7)</f>
        <v>125.80485951192458</v>
      </c>
      <c r="AJ61" s="45">
        <f t="shared" si="10"/>
        <v>188.46212018978261</v>
      </c>
      <c r="AK61" s="45">
        <f t="shared" si="10"/>
        <v>226.78886879062932</v>
      </c>
      <c r="AL61" s="45">
        <f t="shared" si="10"/>
        <v>252.07999165079474</v>
      </c>
      <c r="AM61" s="45">
        <f t="shared" si="10"/>
        <v>270.64529769731041</v>
      </c>
      <c r="AN61" s="45">
        <f t="shared" si="10"/>
        <v>285.73397745716107</v>
      </c>
      <c r="AO61" s="45">
        <f t="shared" si="10"/>
        <v>299.06641413742994</v>
      </c>
      <c r="AP61" s="45">
        <f t="shared" si="10"/>
        <v>311.57599401368833</v>
      </c>
      <c r="AQ61" s="45">
        <f t="shared" si="10"/>
        <v>323.77837666496634</v>
      </c>
      <c r="AR61" s="45">
        <f t="shared" si="10"/>
        <v>335.96330405219584</v>
      </c>
      <c r="AS61" s="45">
        <f t="shared" si="10"/>
        <v>348.29709317231578</v>
      </c>
      <c r="AT61" s="45">
        <f t="shared" si="10"/>
        <v>360.87831070879218</v>
      </c>
      <c r="AU61" s="45">
        <f t="shared" si="10"/>
        <v>373.76829246069332</v>
      </c>
      <c r="AV61" s="45">
        <f t="shared" si="10"/>
        <v>387.00795709268328</v>
      </c>
      <c r="AW61" s="45">
        <f t="shared" si="10"/>
        <v>400.6270957975243</v>
      </c>
      <c r="AX61" s="45">
        <f t="shared" si="10"/>
        <v>414.64951503396156</v>
      </c>
      <c r="AY61" s="45">
        <f t="shared" si="10"/>
        <v>429.09588914280596</v>
      </c>
      <c r="AZ61" s="45">
        <f t="shared" si="10"/>
        <v>443.98534712409167</v>
      </c>
      <c r="BA61" s="45">
        <f t="shared" si="10"/>
        <v>459.33635954912597</v>
      </c>
      <c r="BB61" s="45">
        <f t="shared" si="10"/>
        <v>475.16723858307239</v>
      </c>
      <c r="BC61" s="45">
        <f t="shared" si="10"/>
        <v>491.49642424287032</v>
      </c>
      <c r="BD61" s="45">
        <f t="shared" si="10"/>
        <v>508.34265266239578</v>
      </c>
      <c r="BE61" s="45">
        <f t="shared" si="10"/>
        <v>525.72505934326898</v>
      </c>
      <c r="BF61" s="45">
        <f t="shared" si="10"/>
        <v>543.69146749770141</v>
      </c>
      <c r="BG61" s="45">
        <f t="shared" si="10"/>
        <v>562.23517900012939</v>
      </c>
      <c r="BH61" s="45">
        <f t="shared" si="10"/>
        <v>581.36904505558857</v>
      </c>
      <c r="BI61" s="45">
        <f t="shared" si="10"/>
        <v>601.11358304827399</v>
      </c>
      <c r="BJ61" s="45">
        <f>+BI61</f>
        <v>601.11358304827399</v>
      </c>
      <c r="BK61" s="45">
        <f t="shared" ref="BK61:BN61" si="11">+BJ61</f>
        <v>601.11358304827399</v>
      </c>
      <c r="BL61" s="45">
        <f t="shared" si="11"/>
        <v>601.11358304827399</v>
      </c>
      <c r="BM61" s="45">
        <f t="shared" si="11"/>
        <v>601.11358304827399</v>
      </c>
      <c r="BN61" s="45">
        <f t="shared" si="11"/>
        <v>601.11358304827399</v>
      </c>
    </row>
    <row r="62" spans="1:66" s="63" customFormat="1" ht="18" customHeight="1" x14ac:dyDescent="0.2">
      <c r="A62" s="563" t="s">
        <v>1128</v>
      </c>
      <c r="B62" s="63">
        <f>($B24*B81+$B25*B81^$B$26+$B$29*(B81/$B$27)^$B$28)*Parameters!$B$116*0.01</f>
        <v>8.2481831229039228E-4</v>
      </c>
      <c r="C62" s="63">
        <f>($B24*C81+$B25*C81^$B$26+$B$29*(C81/$B$27)^$B$28)*Parameters!$B$116*0.01</f>
        <v>7.1423792512954692E-4</v>
      </c>
      <c r="D62" s="63">
        <f>($B24*D81+$B25*D81^$B$26+$B$29*(D81/$B$27)^$B$28)*Parameters!$B$116*0.01</f>
        <v>3.8201943823480553E-4</v>
      </c>
      <c r="E62" s="63">
        <f>($B24*E81+$B25*E81^$B$26+$B$29*(E81/$B$27)^$B$28)*Parameters!$B$116*0.01</f>
        <v>3.9777117683757344E-4</v>
      </c>
      <c r="F62" s="63">
        <f>($B24*F81+$B25*F81^$B$26+$B$29*(F81/$B$27)^$B$28)*Parameters!$B$116*0.01</f>
        <v>5.3524089555263886E-4</v>
      </c>
      <c r="G62" s="63">
        <f>($B24*G81+$B25*G81^$B$26+$B$29*(G81/$B$27)^$B$28)*Parameters!$B$116*0.01</f>
        <v>8.0206580097528309E-4</v>
      </c>
      <c r="H62" s="63">
        <f>($B24*H81+$B25*H81^$B$26+$B$29*(H81/$B$27)^$B$28)*Parameters!$B$116*0.01</f>
        <v>5.7279049464610576E-4</v>
      </c>
      <c r="I62" s="63">
        <f>($B24*I81+$B25*I81^$B$26+$B$29*(I81/$B$27)^$B$28)*Parameters!$B$116*0.01</f>
        <v>8.4788904054697149E-4</v>
      </c>
      <c r="J62" s="63">
        <f>($B24*J81+$B25*J81^$B$26+$B$29*(J81/$B$27)^$B$28)*Parameters!$B$116*0.01</f>
        <v>1.2042920149934373E-3</v>
      </c>
      <c r="K62" s="63">
        <f>($B24*K81+$B25*K81^$B$26+$B$29*(K81/$B$27)^$B$28)*Parameters!$B$116*0.01</f>
        <v>6.7223328885549914E-4</v>
      </c>
      <c r="L62" s="63">
        <f>($B24*L81+$B25*L81^$B$26+$B$29*(L81/$B$27)^$B$28)*Parameters!$B$116*0.01</f>
        <v>6.9307649852178802E-4</v>
      </c>
      <c r="M62" s="63">
        <f>($B24*M81+$B25*M81^$B$26+$B$29*(M81/$B$27)^$B$28)*Parameters!$B$116*0.01</f>
        <v>1.0182942127041881E-3</v>
      </c>
      <c r="N62" s="63">
        <f>($B24*N81+$B25*N81^$B$26+$B$29*(N81/$B$27)^$B$28)*Parameters!$B$116*0.01</f>
        <v>1.2887786129537379E-3</v>
      </c>
      <c r="O62" s="63">
        <f>($B24*O81+$B25*O81^$B$26+$B$29*(O81/$B$27)^$B$28)*Parameters!$B$116*0.01</f>
        <v>1.2602981966921677E-3</v>
      </c>
      <c r="P62" s="63">
        <f>($B24*P81+$B25*P81^$B$26+$B$29*(P81/$B$27)^$B$28)*Parameters!$B$116*0.01</f>
        <v>1.0182942127041881E-3</v>
      </c>
      <c r="Q62" s="63">
        <f>($B24*Q81+$B25*Q81^$B$26+$B$29*(Q81/$B$27)^$B$28)*Parameters!$B$116*0.01</f>
        <v>1.4058824474147194E-3</v>
      </c>
      <c r="R62" s="63">
        <f>($B24*R81+$B25*R81^$B$26+$B$29*(R81/$B$27)^$B$28)*Parameters!$B$116*0.01</f>
        <v>1.3175772461567785E-3</v>
      </c>
      <c r="S62" s="63">
        <f>($B24*S81+$B25*S81^$B$26+$B$29*(S81/$B$27)^$B$28)*Parameters!$B$116*0.01</f>
        <v>1.376129163387269E-3</v>
      </c>
      <c r="T62" s="63">
        <f>($B24*T81+$B25*T81^$B$26+$B$29*(T81/$B$27)^$B$28)*Parameters!$B$116*0.01</f>
        <v>1.0439106764925279E-3</v>
      </c>
      <c r="U62" s="63">
        <f>($B24*U81+$B25*U81^$B$26+$B$29*(U81/$B$27)^$B$28)*Parameters!$B$116*0.01</f>
        <v>1.3466940963012886E-3</v>
      </c>
      <c r="V62" s="63">
        <f>($B24*V81+$B25*V81^$B$26+$B$29*(V81/$B$27)^$B$28)*Parameters!$B$116*0.01</f>
        <v>1.5594221216740228E-3</v>
      </c>
      <c r="W62" s="63">
        <f>($B24*W81+$B25*W81^$B$26+$B$29*(W81/$B$27)^$B$28)*Parameters!$B$116*0.01</f>
        <v>1.2321359973720674E-3</v>
      </c>
      <c r="X62" s="63">
        <f>($B24*X81+$B25*X81^$B$26+$B$29*(X81/$B$27)^$B$28)*Parameters!$B$116*0.01</f>
        <v>1.3466940963012886E-3</v>
      </c>
      <c r="Y62" s="63">
        <f>($B24*Y81+$B25*Y81^$B$26+$B$29*(Y81/$B$27)^$B$28)*Parameters!$B$116*0.01</f>
        <v>1.4359539483836401E-3</v>
      </c>
      <c r="Z62" s="63">
        <f>($B24*Z81+$B25*Z81^$B$26+$B$29*(Z81/$B$27)^$B$28)*Parameters!$B$116*0.01</f>
        <v>1.6230655099680347E-3</v>
      </c>
      <c r="AA62" s="63">
        <f>($B24*AA81+$B25*AA81^$B$26+$B$29*(AA81/$B$27)^$B$28)*Parameters!$B$116*0.01</f>
        <v>2.1780358558918167E-3</v>
      </c>
      <c r="AB62" s="63">
        <f>($B24*AB81+$B25*AB81^$B$26+$B$29*(AB81/$B$27)^$B$28)*Parameters!$B$116*0.01</f>
        <v>2.6068331845227216E-3</v>
      </c>
      <c r="AC62" s="63">
        <f>($B24*AC81+$B25*AC81^$B$26+$B$29*(AC81/$B$27)^$B$28)*Parameters!$B$116*0.01</f>
        <v>2.2531350540787509E-3</v>
      </c>
      <c r="AD62" s="63">
        <f>($B24*AD81+$B25*AD81^$B$26+$B$29*(AD81/$B$27)^$B$28)*Parameters!$B$116*0.01</f>
        <v>1.9958566569002086E-3</v>
      </c>
      <c r="AE62" s="63">
        <f>($B24*AE81+$B25*AE81^$B$26+$B$29*(AE81/$B$27)^$B$28)*Parameters!$B$116*0.01</f>
        <v>2.4860698552348339E-3</v>
      </c>
      <c r="AF62" s="63">
        <f>($B24*AF81+$B25*AF81^$B$26+$B$29*(AF81/$B$27)^$B$28)*Parameters!$B$116*0.01</f>
        <v>2.6068331845227216E-3</v>
      </c>
      <c r="AG62" s="63">
        <f>($B24*AG81+$B25*AG81^$B$26+$B$29*(AG81/$B$27)^$B$28)*Parameters!$B$116*0.01</f>
        <v>1.9958566569002086E-3</v>
      </c>
      <c r="AH62" s="63">
        <f>($B24*AH81+$B25*AH81^$B$26+$B$29*(AH81/$B$27)^$B$28)*Parameters!$B$116*0.01</f>
        <v>2.1409635822105554E-3</v>
      </c>
      <c r="AI62" s="63">
        <f>($B24*AI81+$B25*AI81^$B$26+$B$29*(AI81/$B$27)^$B$28)*Parameters!$B$116*0.01</f>
        <v>3.2992732491615691E-3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</row>
    <row r="63" spans="1:66" s="63" customFormat="1" ht="18" customHeight="1" x14ac:dyDescent="0.2">
      <c r="A63" s="563" t="s">
        <v>1129</v>
      </c>
      <c r="B63" s="63">
        <f t="shared" ref="B63:BM63" si="12">+B62+B50/100</f>
        <v>8.2481831229039228E-4</v>
      </c>
      <c r="C63" s="63">
        <f t="shared" si="12"/>
        <v>1.8016878933774184E-3</v>
      </c>
      <c r="D63" s="63">
        <f t="shared" si="12"/>
        <v>1.6515079192232522E-3</v>
      </c>
      <c r="E63" s="63">
        <f t="shared" si="12"/>
        <v>1.8773105966144277E-3</v>
      </c>
      <c r="F63" s="63">
        <f t="shared" si="12"/>
        <v>2.2208611323358647E-3</v>
      </c>
      <c r="G63" s="63">
        <f t="shared" si="12"/>
        <v>2.7191854640705856E-3</v>
      </c>
      <c r="H63" s="63">
        <f t="shared" si="12"/>
        <v>2.7521868856843069E-3</v>
      </c>
      <c r="I63" s="63">
        <f t="shared" si="12"/>
        <v>3.2638957100320316E-3</v>
      </c>
      <c r="J63" s="63">
        <f t="shared" si="12"/>
        <v>3.891381302830641E-3</v>
      </c>
      <c r="K63" s="63">
        <f t="shared" si="12"/>
        <v>3.6590909494599432E-3</v>
      </c>
      <c r="L63" s="63">
        <f t="shared" si="12"/>
        <v>3.9317842917488991E-3</v>
      </c>
      <c r="M63" s="63">
        <f t="shared" si="12"/>
        <v>4.5245605260459424E-3</v>
      </c>
      <c r="N63" s="63">
        <f t="shared" si="12"/>
        <v>5.0189519119267587E-3</v>
      </c>
      <c r="O63" s="63">
        <f t="shared" si="12"/>
        <v>5.2303808892560305E-3</v>
      </c>
      <c r="P63" s="63">
        <f t="shared" si="12"/>
        <v>5.2248679990426561E-3</v>
      </c>
      <c r="Q63" s="63">
        <f t="shared" si="12"/>
        <v>5.8450820294074666E-3</v>
      </c>
      <c r="R63" s="63">
        <f t="shared" si="12"/>
        <v>6.0128643127164661E-3</v>
      </c>
      <c r="S63" s="63">
        <f t="shared" si="12"/>
        <v>6.3338760666791852E-3</v>
      </c>
      <c r="T63" s="63">
        <f t="shared" si="12"/>
        <v>6.2647304689727196E-3</v>
      </c>
      <c r="U63" s="63">
        <f t="shared" si="12"/>
        <v>6.7715582501826233E-3</v>
      </c>
      <c r="V63" s="63">
        <f t="shared" si="12"/>
        <v>7.1409625966362446E-3</v>
      </c>
      <c r="W63" s="63">
        <f t="shared" si="12"/>
        <v>7.0762853460810612E-3</v>
      </c>
      <c r="X63" s="63">
        <f t="shared" si="12"/>
        <v>7.426874810243192E-3</v>
      </c>
      <c r="Y63" s="63">
        <f t="shared" si="12"/>
        <v>7.7229814029288685E-3</v>
      </c>
      <c r="Z63" s="63">
        <f t="shared" si="12"/>
        <v>8.1338204570896456E-3</v>
      </c>
      <c r="AA63" s="63">
        <f t="shared" si="12"/>
        <v>8.9431416141790426E-3</v>
      </c>
      <c r="AB63" s="63">
        <f t="shared" si="12"/>
        <v>9.6653120819474789E-3</v>
      </c>
      <c r="AC63" s="63">
        <f t="shared" si="12"/>
        <v>9.6153572279015671E-3</v>
      </c>
      <c r="AD63" s="63">
        <f t="shared" si="12"/>
        <v>9.6632070586229243E-3</v>
      </c>
      <c r="AE63" s="63">
        <f t="shared" si="12"/>
        <v>1.0424216884335601E-2</v>
      </c>
      <c r="AF63" s="63">
        <f t="shared" si="12"/>
        <v>1.0831077970724533E-2</v>
      </c>
      <c r="AG63" s="63">
        <f t="shared" si="12"/>
        <v>1.0355051098073732E-2</v>
      </c>
      <c r="AH63" s="63">
        <f t="shared" si="12"/>
        <v>1.0858723541605548E-2</v>
      </c>
      <c r="AI63" s="63">
        <f t="shared" si="12"/>
        <v>1.2325035819945096E-2</v>
      </c>
      <c r="AJ63" s="63">
        <f t="shared" si="12"/>
        <v>1.3752241804629035E-2</v>
      </c>
      <c r="AK63" s="63">
        <f t="shared" si="12"/>
        <v>1.5218013279100669E-2</v>
      </c>
      <c r="AL63" s="63">
        <f t="shared" si="12"/>
        <v>1.5945804371041084E-2</v>
      </c>
      <c r="AM63" s="63">
        <f t="shared" si="12"/>
        <v>1.6383197657517664E-2</v>
      </c>
      <c r="AN63" s="63">
        <f t="shared" si="12"/>
        <v>1.6690489159348027E-2</v>
      </c>
      <c r="AO63" s="63">
        <f t="shared" si="12"/>
        <v>1.6935337096306652E-2</v>
      </c>
      <c r="AP63" s="63">
        <f t="shared" si="12"/>
        <v>1.7149721351355781E-2</v>
      </c>
      <c r="AQ63" s="63">
        <f t="shared" si="12"/>
        <v>1.7349744937681748E-2</v>
      </c>
      <c r="AR63" s="63">
        <f t="shared" si="12"/>
        <v>1.754381246805338E-2</v>
      </c>
      <c r="AS63" s="63">
        <f t="shared" si="12"/>
        <v>1.7736409872296532E-2</v>
      </c>
      <c r="AT63" s="63">
        <f t="shared" si="12"/>
        <v>1.7929973255160433E-2</v>
      </c>
      <c r="AU63" s="63">
        <f t="shared" si="12"/>
        <v>1.812584954026502E-2</v>
      </c>
      <c r="AV63" s="63">
        <f t="shared" si="12"/>
        <v>1.832480118816484E-2</v>
      </c>
      <c r="AW63" s="63">
        <f t="shared" si="12"/>
        <v>1.8527274671340986E-2</v>
      </c>
      <c r="AX63" s="63">
        <f t="shared" si="12"/>
        <v>1.8733544330289967E-2</v>
      </c>
      <c r="AY63" s="63">
        <f t="shared" si="12"/>
        <v>1.8943789831517857E-2</v>
      </c>
      <c r="AZ63" s="63">
        <f t="shared" si="12"/>
        <v>1.9158138045404779E-2</v>
      </c>
      <c r="BA63" s="63">
        <f t="shared" si="12"/>
        <v>1.9376685791740872E-2</v>
      </c>
      <c r="BB63" s="63">
        <f t="shared" si="12"/>
        <v>1.9599512272121179E-2</v>
      </c>
      <c r="BC63" s="63">
        <f t="shared" si="12"/>
        <v>1.9826685930835662E-2</v>
      </c>
      <c r="BD63" s="63">
        <f t="shared" si="12"/>
        <v>2.0058268298009611E-2</v>
      </c>
      <c r="BE63" s="63">
        <f t="shared" si="12"/>
        <v>2.0294316192193126E-2</v>
      </c>
      <c r="BF63" s="63">
        <f t="shared" si="12"/>
        <v>2.0534883026031278E-2</v>
      </c>
      <c r="BG63" s="63">
        <f t="shared" si="12"/>
        <v>2.0780289277381781E-2</v>
      </c>
      <c r="BH63" s="63">
        <f t="shared" si="12"/>
        <v>2.1030315681835443E-2</v>
      </c>
      <c r="BI63" s="63">
        <f t="shared" si="12"/>
        <v>2.1284937386518665E-2</v>
      </c>
      <c r="BJ63" s="63">
        <f t="shared" si="12"/>
        <v>2.1544197639293033E-2</v>
      </c>
      <c r="BK63" s="63">
        <f t="shared" si="12"/>
        <v>2.1627146183899212E-2</v>
      </c>
      <c r="BL63" s="63">
        <f t="shared" si="12"/>
        <v>2.1712192260459909E-2</v>
      </c>
      <c r="BM63" s="63">
        <f t="shared" si="12"/>
        <v>2.1799282961694276E-2</v>
      </c>
      <c r="BN63" s="63">
        <f t="shared" ref="BN63" si="13">+BN62+BN50/100</f>
        <v>2.1888366656102803E-2</v>
      </c>
    </row>
    <row r="64" spans="1:66" s="143" customFormat="1" ht="18" customHeight="1" x14ac:dyDescent="0.2">
      <c r="A64" s="559" t="s">
        <v>1133</v>
      </c>
      <c r="B64" s="143">
        <f>+B61-B65</f>
        <v>1.1656958899163072E-2</v>
      </c>
      <c r="C64" s="143">
        <f>+C63*C61/(1+C63^Parameters!$B$125)</f>
        <v>2.6150833133980558E-2</v>
      </c>
      <c r="D64" s="143">
        <f>+D63*D61/(1+D63^Parameters!$B$125)</f>
        <v>2.439621969625623E-2</v>
      </c>
      <c r="E64" s="143">
        <f>+E63*E61/(1+E63^Parameters!$B$125)</f>
        <v>2.7806493439856306E-2</v>
      </c>
      <c r="F64" s="143">
        <f>+F63*F61/(1+F63^Parameters!$B$125)</f>
        <v>3.3686055868676776E-2</v>
      </c>
      <c r="G64" s="143">
        <f>+G63*G61/(1+G63^Parameters!$B$125)</f>
        <v>4.2467713510461087E-2</v>
      </c>
      <c r="H64" s="143">
        <f>+H63*H61/(1+H63^Parameters!$B$125)</f>
        <v>4.3964223456735965E-2</v>
      </c>
      <c r="I64" s="143">
        <f>+I63*I61/(1+I63^Parameters!$B$125)</f>
        <v>5.387648632133657E-2</v>
      </c>
      <c r="J64" s="143">
        <f>+J63*J61/(1+J63^Parameters!$B$125)</f>
        <v>6.6194634427490948E-2</v>
      </c>
      <c r="K64" s="143">
        <f>+K63*K61/(1+K63^Parameters!$B$125)</f>
        <v>6.3884093557721996E-2</v>
      </c>
      <c r="L64" s="143">
        <f>+L63*L61/(1+L63^Parameters!$B$125)</f>
        <v>7.1472447376793605E-2</v>
      </c>
      <c r="M64" s="143">
        <f>+M63*M61/(1+M63^Parameters!$B$125)</f>
        <v>8.3705366320147273E-2</v>
      </c>
      <c r="N64" s="143">
        <f>+N63*N61/(1+N63^Parameters!$B$125)</f>
        <v>9.4153175925827726E-2</v>
      </c>
      <c r="O64" s="143">
        <f>+O63*O61/(1+O63^Parameters!$B$125)</f>
        <v>9.9539990742715329E-2</v>
      </c>
      <c r="P64" s="143">
        <f>+P63*P61/(1+P63^Parameters!$B$125)</f>
        <v>0.10235739883023263</v>
      </c>
      <c r="Q64" s="143">
        <f>+Q63*Q61/(1+Q63^Parameters!$B$125)</f>
        <v>0.11731463560777915</v>
      </c>
      <c r="R64" s="143">
        <f>+R63*R61/(1+R63^Parameters!$B$125)</f>
        <v>0.12495639333709595</v>
      </c>
      <c r="S64" s="143">
        <f>+S63*S61/(1+S63^Parameters!$B$125)</f>
        <v>0.13583446570782676</v>
      </c>
      <c r="T64" s="143">
        <f>+T63*T61/(1+T63^Parameters!$B$125)</f>
        <v>0.13512309307485199</v>
      </c>
      <c r="U64" s="143">
        <f>+U63*U61/(1+U63^Parameters!$B$125)</f>
        <v>0.13999661913310985</v>
      </c>
      <c r="V64" s="143">
        <f>+V63*V61/(1+V63^Parameters!$B$125)</f>
        <v>0.15154931332364324</v>
      </c>
      <c r="W64" s="143">
        <f>+W63*W61/(1+W63^Parameters!$B$125)</f>
        <v>0.15370944325301134</v>
      </c>
      <c r="X64" s="143">
        <f>+X63*X61/(1+X63^Parameters!$B$125)</f>
        <v>0.16130602912418207</v>
      </c>
      <c r="Y64" s="143">
        <f>+Y63*Y61/(1+Y63^Parameters!$B$125)</f>
        <v>0.16916888390308552</v>
      </c>
      <c r="Z64" s="143">
        <f>+Z63*Z61/(1+Z63^Parameters!$B$125)</f>
        <v>0.18195213466233046</v>
      </c>
      <c r="AA64" s="143">
        <f>+AA63*AA61/(1+AA63^Parameters!$B$125)</f>
        <v>0.20533473395201071</v>
      </c>
      <c r="AB64" s="143">
        <f>+AB63*AB61/(1+AB63^Parameters!$B$125)</f>
        <v>0.22652200336969619</v>
      </c>
      <c r="AC64" s="143">
        <f>+AC63*AC61/(1+AC63^Parameters!$B$125)</f>
        <v>0.23254040243936397</v>
      </c>
      <c r="AD64" s="143">
        <f>+AD63*AD61/(1+AD63^Parameters!$B$125)</f>
        <v>0.238634397247699</v>
      </c>
      <c r="AE64" s="143">
        <f>+AE63*AE61/(1+AE63^Parameters!$B$125)</f>
        <v>0.26178294048596235</v>
      </c>
      <c r="AF64" s="143">
        <f>+AF63*AF61/(1+AF63^Parameters!$B$125)</f>
        <v>0.25704927422528617</v>
      </c>
      <c r="AG64" s="143">
        <f>+AG63*AG61/(1+AG63^Parameters!$B$125)</f>
        <v>0.26248262137141143</v>
      </c>
      <c r="AH64" s="143">
        <f>+AH63*AH61/(1+AH63^Parameters!$B$125)</f>
        <v>0.28576371772625242</v>
      </c>
      <c r="AI64" s="143">
        <f>+AI63*AI61/(1+AI63^Parameters!$B$125)</f>
        <v>1.550549399807631</v>
      </c>
      <c r="AJ64" s="143">
        <f>+AJ63*AJ61/(1+AJ63^Parameters!$B$125)</f>
        <v>2.5917766478629503</v>
      </c>
      <c r="AK64" s="143">
        <f>+AK63*AK61/(1+AK63^Parameters!$B$125)</f>
        <v>3.4512760168080163</v>
      </c>
      <c r="AL64" s="143">
        <f>+AL63*AL61/(1+AL63^Parameters!$B$125)</f>
        <v>4.0196182327172432</v>
      </c>
      <c r="AM64" s="143">
        <f>+AM63*AM61/(1+AM63^Parameters!$B$125)</f>
        <v>4.4340354072527468</v>
      </c>
      <c r="AN64" s="143">
        <f>+AN63*AN61/(1+AN63^Parameters!$B$125)</f>
        <v>4.7690398532061407</v>
      </c>
      <c r="AO64" s="143">
        <f>+AO63*AO61/(1+AO63^Parameters!$B$125)</f>
        <v>5.0647905376010254</v>
      </c>
      <c r="AP64" s="143">
        <f>+AP63*AP61/(1+AP63^Parameters!$B$125)</f>
        <v>5.3434414771064516</v>
      </c>
      <c r="AQ64" s="143">
        <f>+AQ63*AQ61/(1+AQ63^Parameters!$B$125)</f>
        <v>5.6174722514738145</v>
      </c>
      <c r="AR64" s="143">
        <f>+AR63*AR61/(1+AR63^Parameters!$B$125)</f>
        <v>5.8940772024393215</v>
      </c>
      <c r="AS64" s="143">
        <f>+AS63*AS61/(1+AS63^Parameters!$B$125)</f>
        <v>6.1775400018336466</v>
      </c>
      <c r="AT64" s="143">
        <f>+AT63*AT61/(1+AT63^Parameters!$B$125)</f>
        <v>6.4705384593761206</v>
      </c>
      <c r="AU64" s="143">
        <f>+AU63*AU61/(1+AU63^Parameters!$B$125)</f>
        <v>6.7748678320642997</v>
      </c>
      <c r="AV64" s="143">
        <f>+AV63*AV61/(1+AV63^Parameters!$B$125)</f>
        <v>7.0918438719612498</v>
      </c>
      <c r="AW64" s="143">
        <f>+AW63*AW61/(1+AW63^Parameters!$B$125)</f>
        <v>7.422528244622371</v>
      </c>
      <c r="AX64" s="143">
        <f>+AX63*AX61/(1+AX63^Parameters!$B$125)</f>
        <v>7.7678550714219554</v>
      </c>
      <c r="AY64" s="143">
        <f>+AY63*AY61/(1+AY63^Parameters!$B$125)</f>
        <v>8.1287023414896016</v>
      </c>
      <c r="AZ64" s="143">
        <f>+AZ63*AZ61/(1+AZ63^Parameters!$B$125)</f>
        <v>8.5059325703403079</v>
      </c>
      <c r="BA64" s="143">
        <f>+BA63*BA61/(1+BA63^Parameters!$B$125)</f>
        <v>8.9004163117055253</v>
      </c>
      <c r="BB64" s="143">
        <f>+BB63*BB61/(1+BB63^Parameters!$B$125)</f>
        <v>9.3130461239188591</v>
      </c>
      <c r="BC64" s="143">
        <f>+BC63*BC61/(1+BC63^Parameters!$B$125)</f>
        <v>9.7447452395921523</v>
      </c>
      <c r="BD64" s="143">
        <f>+BD63*BD61/(1+BD63^Parameters!$B$125)</f>
        <v>10.196473314424244</v>
      </c>
      <c r="BE64" s="143">
        <f>+BE63*BE61/(1+BE63^Parameters!$B$125)</f>
        <v>10.669230584471796</v>
      </c>
      <c r="BF64" s="143">
        <f>+BF63*BF61/(1+BF63^Parameters!$B$125)</f>
        <v>11.164640687316584</v>
      </c>
      <c r="BG64" s="143">
        <f>+BG63*BG61/(1+BG63^Parameters!$B$125)</f>
        <v>11.683409661543216</v>
      </c>
      <c r="BH64" s="143">
        <f>+BH63*BH61/(1+BH63^Parameters!$B$125)</f>
        <v>12.226374545166241</v>
      </c>
      <c r="BI64" s="143">
        <f>+BI63*BI61/(1+BI63^Parameters!$B$125)</f>
        <v>12.794664977368399</v>
      </c>
      <c r="BJ64" s="143">
        <f>+BJ63*BJ61/(1+BJ63^Parameters!$B$125)</f>
        <v>12.9505098368556</v>
      </c>
      <c r="BK64" s="143">
        <f>+BK63*BK61/(1+BK63^Parameters!$B$125)</f>
        <v>13.000371333712462</v>
      </c>
      <c r="BL64" s="143">
        <f>+BL63*BL61/(1+BL63^Parameters!$B$125)</f>
        <v>13.051493685518059</v>
      </c>
      <c r="BM64" s="143">
        <f>+BM63*BM61/(1+BM63^Parameters!$B$125)</f>
        <v>13.103845088987237</v>
      </c>
      <c r="BN64" s="143">
        <f>+BN63*BN61/(1+BN63^Parameters!$B$125)</f>
        <v>13.157394507724323</v>
      </c>
    </row>
    <row r="65" spans="1:66" s="45" customFormat="1" ht="18" customHeight="1" x14ac:dyDescent="0.2">
      <c r="A65" s="555" t="s">
        <v>21</v>
      </c>
      <c r="B65" s="45">
        <f>+B61/(1+B63)</f>
        <v>14.132759573189078</v>
      </c>
      <c r="C65" s="45">
        <f t="shared" ref="C65:BN65" si="14">+C61-C64</f>
        <v>14.488479159166506</v>
      </c>
      <c r="D65" s="45">
        <f t="shared" si="14"/>
        <v>14.747691405369698</v>
      </c>
      <c r="E65" s="45">
        <f t="shared" si="14"/>
        <v>14.784070395766962</v>
      </c>
      <c r="F65" s="45">
        <f t="shared" si="14"/>
        <v>15.134329349599899</v>
      </c>
      <c r="G65" s="45">
        <f t="shared" si="14"/>
        <v>15.575339189181445</v>
      </c>
      <c r="H65" s="45">
        <f t="shared" si="14"/>
        <v>15.930322873621938</v>
      </c>
      <c r="I65" s="45">
        <f t="shared" si="14"/>
        <v>16.452927378685683</v>
      </c>
      <c r="J65" s="45">
        <f t="shared" si="14"/>
        <v>16.944380602530174</v>
      </c>
      <c r="K65" s="45">
        <f t="shared" si="14"/>
        <v>17.395122648854858</v>
      </c>
      <c r="L65" s="45">
        <f t="shared" si="14"/>
        <v>18.106647732507717</v>
      </c>
      <c r="M65" s="45">
        <f t="shared" si="14"/>
        <v>18.416514895579677</v>
      </c>
      <c r="N65" s="45">
        <f t="shared" si="14"/>
        <v>18.665376219461951</v>
      </c>
      <c r="O65" s="45">
        <f t="shared" si="14"/>
        <v>18.931577025454914</v>
      </c>
      <c r="P65" s="45">
        <f t="shared" si="14"/>
        <v>19.48807031130281</v>
      </c>
      <c r="Q65" s="45">
        <f t="shared" si="14"/>
        <v>19.953342203347084</v>
      </c>
      <c r="R65" s="45">
        <f t="shared" si="14"/>
        <v>20.656552524605488</v>
      </c>
      <c r="S65" s="45">
        <f t="shared" si="14"/>
        <v>21.309874966848845</v>
      </c>
      <c r="T65" s="45">
        <f t="shared" si="14"/>
        <v>21.43373669172755</v>
      </c>
      <c r="U65" s="45">
        <f t="shared" si="14"/>
        <v>20.534213652828186</v>
      </c>
      <c r="V65" s="45">
        <f t="shared" si="14"/>
        <v>21.070983541704987</v>
      </c>
      <c r="W65" s="45">
        <f t="shared" si="14"/>
        <v>21.568060628969647</v>
      </c>
      <c r="X65" s="45">
        <f t="shared" si="14"/>
        <v>21.557927598149</v>
      </c>
      <c r="Y65" s="45">
        <f t="shared" si="14"/>
        <v>21.735439592679519</v>
      </c>
      <c r="Z65" s="45">
        <f t="shared" si="14"/>
        <v>22.187872183716411</v>
      </c>
      <c r="AA65" s="45">
        <f t="shared" si="14"/>
        <v>22.754687908030935</v>
      </c>
      <c r="AB65" s="45">
        <f t="shared" si="14"/>
        <v>23.210072847280376</v>
      </c>
      <c r="AC65" s="45">
        <f t="shared" si="14"/>
        <v>23.951730335270192</v>
      </c>
      <c r="AD65" s="45">
        <f t="shared" si="14"/>
        <v>24.456520720509456</v>
      </c>
      <c r="AE65" s="45">
        <f t="shared" si="14"/>
        <v>24.851176948073316</v>
      </c>
      <c r="AF65" s="45">
        <f t="shared" si="14"/>
        <v>23.475516858164134</v>
      </c>
      <c r="AG65" s="45">
        <f t="shared" si="14"/>
        <v>25.085786439342254</v>
      </c>
      <c r="AH65" s="45">
        <f t="shared" si="14"/>
        <v>26.030747300473958</v>
      </c>
      <c r="AI65" s="45">
        <f t="shared" si="14"/>
        <v>124.25431011211694</v>
      </c>
      <c r="AJ65" s="45">
        <f t="shared" si="14"/>
        <v>185.87034354191965</v>
      </c>
      <c r="AK65" s="45">
        <f t="shared" si="14"/>
        <v>223.33759277382131</v>
      </c>
      <c r="AL65" s="45">
        <f t="shared" si="14"/>
        <v>248.06037341807749</v>
      </c>
      <c r="AM65" s="45">
        <f t="shared" si="14"/>
        <v>266.21126229005768</v>
      </c>
      <c r="AN65" s="45">
        <f t="shared" si="14"/>
        <v>280.96493760395492</v>
      </c>
      <c r="AO65" s="45">
        <f t="shared" si="14"/>
        <v>294.00162359982892</v>
      </c>
      <c r="AP65" s="45">
        <f t="shared" si="14"/>
        <v>306.23255253658186</v>
      </c>
      <c r="AQ65" s="45">
        <f t="shared" si="14"/>
        <v>318.16090441349252</v>
      </c>
      <c r="AR65" s="45">
        <f t="shared" si="14"/>
        <v>330.06922684975649</v>
      </c>
      <c r="AS65" s="45">
        <f t="shared" si="14"/>
        <v>342.11955317048216</v>
      </c>
      <c r="AT65" s="45">
        <f t="shared" si="14"/>
        <v>354.40777224941604</v>
      </c>
      <c r="AU65" s="45">
        <f t="shared" si="14"/>
        <v>366.99342462862904</v>
      </c>
      <c r="AV65" s="45">
        <f t="shared" si="14"/>
        <v>379.91611322072202</v>
      </c>
      <c r="AW65" s="45">
        <f t="shared" si="14"/>
        <v>393.20456755290195</v>
      </c>
      <c r="AX65" s="45">
        <f t="shared" si="14"/>
        <v>406.88165996253963</v>
      </c>
      <c r="AY65" s="45">
        <f t="shared" si="14"/>
        <v>420.96718680131636</v>
      </c>
      <c r="AZ65" s="45">
        <f t="shared" si="14"/>
        <v>435.47941455375138</v>
      </c>
      <c r="BA65" s="45">
        <f t="shared" si="14"/>
        <v>450.43594323742047</v>
      </c>
      <c r="BB65" s="45">
        <f t="shared" si="14"/>
        <v>465.85419245915352</v>
      </c>
      <c r="BC65" s="45">
        <f t="shared" si="14"/>
        <v>481.75167900327818</v>
      </c>
      <c r="BD65" s="45">
        <f t="shared" si="14"/>
        <v>498.14617934797155</v>
      </c>
      <c r="BE65" s="45">
        <f t="shared" si="14"/>
        <v>515.05582875879713</v>
      </c>
      <c r="BF65" s="45">
        <f t="shared" si="14"/>
        <v>532.52682681038482</v>
      </c>
      <c r="BG65" s="45">
        <f t="shared" si="14"/>
        <v>550.55176933858615</v>
      </c>
      <c r="BH65" s="45">
        <f t="shared" si="14"/>
        <v>569.14267051042236</v>
      </c>
      <c r="BI65" s="45">
        <f t="shared" si="14"/>
        <v>588.31891807090562</v>
      </c>
      <c r="BJ65" s="45">
        <f t="shared" si="14"/>
        <v>588.16307321141835</v>
      </c>
      <c r="BK65" s="45">
        <f t="shared" si="14"/>
        <v>588.11321171456154</v>
      </c>
      <c r="BL65" s="45">
        <f t="shared" si="14"/>
        <v>588.06208936275596</v>
      </c>
      <c r="BM65" s="45">
        <f t="shared" si="14"/>
        <v>588.00973795928678</v>
      </c>
      <c r="BN65" s="45">
        <f t="shared" si="14"/>
        <v>587.95618854054965</v>
      </c>
    </row>
    <row r="66" spans="1:66" s="33" customFormat="1" ht="18" customHeight="1" x14ac:dyDescent="0.2">
      <c r="A66" s="23" t="s">
        <v>159</v>
      </c>
      <c r="B66" s="33">
        <f t="shared" ref="B66:AG66" si="15">(B31*(B103)^$B38)</f>
        <v>1.0636264263439013E-11</v>
      </c>
      <c r="C66" s="33">
        <f t="shared" si="15"/>
        <v>7.5297414603640979E-12</v>
      </c>
      <c r="D66" s="33">
        <f t="shared" si="15"/>
        <v>6.7645012891997556E-12</v>
      </c>
      <c r="E66" s="33">
        <f t="shared" si="15"/>
        <v>6.1419065448717545E-12</v>
      </c>
      <c r="F66" s="33">
        <f t="shared" si="15"/>
        <v>5.6300524868817237E-12</v>
      </c>
      <c r="G66" s="33">
        <f t="shared" si="15"/>
        <v>5.2052344120982129E-12</v>
      </c>
      <c r="H66" s="33">
        <f t="shared" si="15"/>
        <v>4.8495957405109675E-12</v>
      </c>
      <c r="I66" s="33">
        <f t="shared" si="15"/>
        <v>4.5495114404542748E-12</v>
      </c>
      <c r="J66" s="33">
        <f t="shared" si="15"/>
        <v>4.2944599495171E-12</v>
      </c>
      <c r="K66" s="33">
        <f t="shared" si="15"/>
        <v>4.076224765798344E-12</v>
      </c>
      <c r="L66" s="33">
        <f t="shared" si="15"/>
        <v>3.8883218351994281E-12</v>
      </c>
      <c r="M66" s="33">
        <f t="shared" si="15"/>
        <v>3.7255837490620149E-12</v>
      </c>
      <c r="N66" s="33">
        <f t="shared" si="15"/>
        <v>3.5838542710102595E-12</v>
      </c>
      <c r="O66" s="33">
        <f t="shared" si="15"/>
        <v>3.4597614472916186E-12</v>
      </c>
      <c r="P66" s="33">
        <f t="shared" si="15"/>
        <v>3.3505473383812339E-12</v>
      </c>
      <c r="Q66" s="33">
        <f t="shared" si="15"/>
        <v>3.2539389940222904E-12</v>
      </c>
      <c r="R66" s="33">
        <f t="shared" si="15"/>
        <v>3.1680497796625698E-12</v>
      </c>
      <c r="S66" s="33">
        <f t="shared" si="15"/>
        <v>3.0913032582130014E-12</v>
      </c>
      <c r="T66" s="33">
        <f t="shared" si="15"/>
        <v>3.0223739854171924E-12</v>
      </c>
      <c r="U66" s="33">
        <f t="shared" si="15"/>
        <v>2.9601410980656012E-12</v>
      </c>
      <c r="V66" s="33">
        <f t="shared" si="15"/>
        <v>2.9036516609187318E-12</v>
      </c>
      <c r="W66" s="33">
        <f t="shared" si="15"/>
        <v>2.8520915364539278E-12</v>
      </c>
      <c r="X66" s="33">
        <f t="shared" si="15"/>
        <v>2.8047620283392819E-12</v>
      </c>
      <c r="Y66" s="33">
        <f t="shared" si="15"/>
        <v>2.7610610805503772E-12</v>
      </c>
      <c r="Z66" s="33">
        <f t="shared" si="15"/>
        <v>2.7204680303185154E-12</v>
      </c>
      <c r="AA66" s="33">
        <f t="shared" si="15"/>
        <v>2.6825311705214601E-12</v>
      </c>
      <c r="AB66" s="33">
        <f t="shared" si="15"/>
        <v>2.5412333058501776E-3</v>
      </c>
      <c r="AC66" s="33">
        <f t="shared" si="15"/>
        <v>2.3729166886330105E-3</v>
      </c>
      <c r="AD66" s="33">
        <f t="shared" si="15"/>
        <v>2.2187032574481564E-3</v>
      </c>
      <c r="AE66" s="33">
        <f t="shared" si="15"/>
        <v>2.0771405792226042E-3</v>
      </c>
      <c r="AF66" s="33">
        <f t="shared" si="15"/>
        <v>1.9469590506516047E-3</v>
      </c>
      <c r="AG66" s="33">
        <f t="shared" si="15"/>
        <v>1.8270444963651704E-3</v>
      </c>
      <c r="AH66" s="33">
        <f t="shared" ref="AH66:BI66" si="16">(AH31*(AH103)^$B38)</f>
        <v>1.7164154534148681E-3</v>
      </c>
      <c r="AI66" s="33">
        <f t="shared" si="16"/>
        <v>1.6142042585029763E-3</v>
      </c>
      <c r="AJ66" s="33">
        <f t="shared" si="16"/>
        <v>1.5196412345955942E-3</v>
      </c>
      <c r="AK66" s="33">
        <f t="shared" si="16"/>
        <v>1.4320414143716132E-3</v>
      </c>
      <c r="AL66" s="33">
        <f t="shared" si="16"/>
        <v>1.3507933485486553E-3</v>
      </c>
      <c r="AM66" s="33">
        <f t="shared" si="16"/>
        <v>1.2753496344115177E-3</v>
      </c>
      <c r="AN66" s="33">
        <f t="shared" si="16"/>
        <v>1.2052188690850529E-3</v>
      </c>
      <c r="AO66" s="33">
        <f t="shared" si="16"/>
        <v>1.1399587872294805E-3</v>
      </c>
      <c r="AP66" s="33">
        <f t="shared" si="16"/>
        <v>1.079170386945148E-3</v>
      </c>
      <c r="AQ66" s="33">
        <f t="shared" si="16"/>
        <v>1.0224928831058526E-3</v>
      </c>
      <c r="AR66" s="33">
        <f t="shared" si="16"/>
        <v>9.6959935591330688E-4</v>
      </c>
      <c r="AS66" s="33">
        <f t="shared" si="16"/>
        <v>9.2019298559383443E-4</v>
      </c>
      <c r="AT66" s="33">
        <f t="shared" si="16"/>
        <v>8.7400378294626082E-4</v>
      </c>
      <c r="AU66" s="33">
        <f t="shared" si="16"/>
        <v>8.3078574076386855E-4</v>
      </c>
      <c r="AV66" s="33">
        <f t="shared" si="16"/>
        <v>7.9031434367631708E-4</v>
      </c>
      <c r="AW66" s="33">
        <f t="shared" si="16"/>
        <v>7.5238438423028966E-4</v>
      </c>
      <c r="AX66" s="33">
        <f t="shared" si="16"/>
        <v>7.1680804148000822E-4</v>
      </c>
      <c r="AY66" s="33">
        <f t="shared" si="16"/>
        <v>6.8341318533352003E-4</v>
      </c>
      <c r="AZ66" s="33">
        <f t="shared" si="16"/>
        <v>6.5204187567228882E-4</v>
      </c>
      <c r="BA66" s="33">
        <f t="shared" si="16"/>
        <v>6.2254903005074631E-4</v>
      </c>
      <c r="BB66" s="33">
        <f t="shared" si="16"/>
        <v>5.9480123776692393E-4</v>
      </c>
      <c r="BC66" s="33">
        <f t="shared" si="16"/>
        <v>5.6867570141896787E-4</v>
      </c>
      <c r="BD66" s="33">
        <f t="shared" si="16"/>
        <v>5.4405928984196266E-4</v>
      </c>
      <c r="BE66" s="33">
        <f t="shared" si="16"/>
        <v>2.6520595906702303E-4</v>
      </c>
      <c r="BF66" s="33">
        <f t="shared" si="16"/>
        <v>1.2928194749004809E-4</v>
      </c>
      <c r="BG66" s="33">
        <f t="shared" si="16"/>
        <v>6.3024338570484404E-5</v>
      </c>
      <c r="BH66" s="33">
        <f t="shared" si="16"/>
        <v>3.0725073505366685E-5</v>
      </c>
      <c r="BI66" s="33">
        <f t="shared" si="16"/>
        <v>1.4979260219387366E-5</v>
      </c>
      <c r="BJ66" s="23"/>
      <c r="BK66" s="23"/>
      <c r="BL66" s="23"/>
      <c r="BM66" s="23"/>
      <c r="BN66" s="23"/>
    </row>
    <row r="67" spans="1:66" s="107" customFormat="1" ht="18" customHeight="1" x14ac:dyDescent="0.2">
      <c r="A67" s="94" t="s">
        <v>160</v>
      </c>
      <c r="B67" s="94">
        <f>+B61*B66</f>
        <v>1.5044375208744614E-10</v>
      </c>
      <c r="C67" s="94">
        <f>+C61*C66</f>
        <v>1.092914112348692E-10</v>
      </c>
      <c r="D67" s="94">
        <f t="shared" ref="D67:BI67" si="17">+D61*D66</f>
        <v>9.9925805783930414E-11</v>
      </c>
      <c r="E67" s="94">
        <f t="shared" si="17"/>
        <v>9.0973163607654045E-11</v>
      </c>
      <c r="F67" s="94">
        <f t="shared" si="17"/>
        <v>8.5396722854618651E-11</v>
      </c>
      <c r="G67" s="94">
        <f t="shared" si="17"/>
        <v>8.1294345931396922E-11</v>
      </c>
      <c r="H67" s="94">
        <f t="shared" si="17"/>
        <v>7.7468834663692052E-11</v>
      </c>
      <c r="I67" s="94">
        <f t="shared" si="17"/>
        <v>7.5097893029184273E-11</v>
      </c>
      <c r="J67" s="94">
        <f t="shared" si="17"/>
        <v>7.3051234073362038E-11</v>
      </c>
      <c r="K67" s="94">
        <f t="shared" si="17"/>
        <v>7.1166835669662431E-11</v>
      </c>
      <c r="L67" s="94">
        <f t="shared" si="17"/>
        <v>7.0682381618324312E-11</v>
      </c>
      <c r="M67" s="94">
        <f t="shared" si="17"/>
        <v>6.8924119961801788E-11</v>
      </c>
      <c r="N67" s="94">
        <f t="shared" si="17"/>
        <v>6.7231419545803012E-11</v>
      </c>
      <c r="O67" s="94">
        <f t="shared" si="17"/>
        <v>6.584312495153606E-11</v>
      </c>
      <c r="P67" s="94">
        <f t="shared" si="17"/>
        <v>6.5638655421936234E-11</v>
      </c>
      <c r="Q67" s="94">
        <f t="shared" si="17"/>
        <v>6.5308692923915391E-11</v>
      </c>
      <c r="R67" s="94">
        <f t="shared" si="17"/>
        <v>6.583685474854374E-11</v>
      </c>
      <c r="S67" s="94">
        <f t="shared" si="17"/>
        <v>6.6295191443551734E-11</v>
      </c>
      <c r="T67" s="94">
        <f t="shared" si="17"/>
        <v>6.5189160708697849E-11</v>
      </c>
      <c r="U67" s="94">
        <f t="shared" si="17"/>
        <v>6.1198579496082644E-11</v>
      </c>
      <c r="V67" s="94">
        <f t="shared" si="17"/>
        <v>6.1622842773406236E-11</v>
      </c>
      <c r="W67" s="94">
        <f t="shared" si="17"/>
        <v>6.195247657978446E-11</v>
      </c>
      <c r="X67" s="94">
        <f t="shared" si="17"/>
        <v>6.0917281762405477E-11</v>
      </c>
      <c r="Y67" s="94">
        <f t="shared" si="17"/>
        <v>6.0479961949386122E-11</v>
      </c>
      <c r="Z67" s="94">
        <f t="shared" si="17"/>
        <v>6.0856391901991048E-11</v>
      </c>
      <c r="AA67" s="94">
        <f t="shared" si="17"/>
        <v>6.1590976412997733E-11</v>
      </c>
      <c r="AB67" s="94">
        <f t="shared" si="17"/>
        <v>5.955785541018873E-2</v>
      </c>
      <c r="AC67" s="94">
        <f t="shared" si="17"/>
        <v>5.7387259635929978E-2</v>
      </c>
      <c r="AD67" s="94">
        <f t="shared" si="17"/>
        <v>5.4791221102955312E-2</v>
      </c>
      <c r="AE67" s="94">
        <f t="shared" si="17"/>
        <v>5.2163148048916044E-2</v>
      </c>
      <c r="AF67" s="94">
        <f t="shared" si="17"/>
        <v>4.6206334426643327E-2</v>
      </c>
      <c r="AG67" s="94">
        <f t="shared" si="17"/>
        <v>4.6312415479760428E-2</v>
      </c>
      <c r="AH67" s="94">
        <f t="shared" si="17"/>
        <v>4.5170066191601486E-2</v>
      </c>
      <c r="AI67" s="94">
        <f t="shared" si="17"/>
        <v>0.20307473996451733</v>
      </c>
      <c r="AJ67" s="94">
        <f t="shared" si="17"/>
        <v>0.28639480899970449</v>
      </c>
      <c r="AK67" s="94">
        <f t="shared" si="17"/>
        <v>0.32477105242667104</v>
      </c>
      <c r="AL67" s="94">
        <f t="shared" si="17"/>
        <v>0.34050797602409411</v>
      </c>
      <c r="AM67" s="94">
        <f t="shared" si="17"/>
        <v>0.34516738147346121</v>
      </c>
      <c r="AN67" s="94">
        <f t="shared" si="17"/>
        <v>0.34437198117009366</v>
      </c>
      <c r="AO67" s="94">
        <f t="shared" si="17"/>
        <v>0.34092338676117423</v>
      </c>
      <c r="AP67" s="94">
        <f t="shared" si="17"/>
        <v>0.33624358602257115</v>
      </c>
      <c r="AQ67" s="94">
        <f t="shared" si="17"/>
        <v>0.33106108584349414</v>
      </c>
      <c r="AR67" s="94">
        <f t="shared" si="17"/>
        <v>0.32574980321951558</v>
      </c>
      <c r="AS67" s="94">
        <f t="shared" si="17"/>
        <v>0.3205005420398872</v>
      </c>
      <c r="AT67" s="94">
        <f t="shared" si="17"/>
        <v>0.31540900874274047</v>
      </c>
      <c r="AU67" s="94">
        <f t="shared" si="17"/>
        <v>0.31052136772600336</v>
      </c>
      <c r="AV67" s="94">
        <f t="shared" si="17"/>
        <v>0.3058579396072163</v>
      </c>
      <c r="AW67" s="94">
        <f t="shared" si="17"/>
        <v>0.30142557077758958</v>
      </c>
      <c r="AX67" s="94">
        <f t="shared" si="17"/>
        <v>0.29722410677212924</v>
      </c>
      <c r="AY67" s="94">
        <f t="shared" si="17"/>
        <v>0.29324978841260402</v>
      </c>
      <c r="AZ67" s="94">
        <f t="shared" si="17"/>
        <v>0.28949703850980496</v>
      </c>
      <c r="BA67" s="94">
        <f t="shared" si="17"/>
        <v>0.28595940510434925</v>
      </c>
      <c r="BB67" s="94">
        <f t="shared" si="17"/>
        <v>0.2826300616555027</v>
      </c>
      <c r="BC67" s="94">
        <f t="shared" si="17"/>
        <v>0.27950207380122888</v>
      </c>
      <c r="BD67" s="94">
        <f t="shared" si="17"/>
        <v>0.27656854260388253</v>
      </c>
      <c r="BE67" s="94">
        <f t="shared" si="17"/>
        <v>0.13942541856869925</v>
      </c>
      <c r="BF67" s="94">
        <f t="shared" si="17"/>
        <v>7.0289491751825015E-2</v>
      </c>
      <c r="BG67" s="94">
        <f t="shared" si="17"/>
        <v>3.543450027754106E-2</v>
      </c>
      <c r="BH67" s="94">
        <f t="shared" si="17"/>
        <v>1.7862606643077795E-2</v>
      </c>
      <c r="BI67" s="94">
        <f t="shared" si="17"/>
        <v>9.0042367818884139E-3</v>
      </c>
      <c r="BJ67" s="94"/>
      <c r="BK67" s="94"/>
      <c r="BL67" s="94"/>
      <c r="BM67" s="94"/>
      <c r="BN67" s="94"/>
    </row>
    <row r="68" spans="1:66" s="107" customFormat="1" ht="18" customHeight="1" x14ac:dyDescent="0.2">
      <c r="A68" s="94" t="s">
        <v>27</v>
      </c>
      <c r="B68" s="94">
        <f>+B65-B67</f>
        <v>14.132759573038635</v>
      </c>
      <c r="C68" s="94">
        <f>+C65-C67</f>
        <v>14.488479159057214</v>
      </c>
      <c r="D68" s="94">
        <f>+D65-D67</f>
        <v>14.747691405269773</v>
      </c>
      <c r="E68" s="94">
        <f>+E65-E67</f>
        <v>14.78407039567599</v>
      </c>
      <c r="F68" s="94">
        <f>+F65-F67</f>
        <v>15.134329349514502</v>
      </c>
      <c r="G68" s="94">
        <f t="shared" ref="G68:BI68" si="18">+G65-G67</f>
        <v>15.57533918910015</v>
      </c>
      <c r="H68" s="94">
        <f t="shared" si="18"/>
        <v>15.930322873544469</v>
      </c>
      <c r="I68" s="94">
        <f t="shared" si="18"/>
        <v>16.452927378610585</v>
      </c>
      <c r="J68" s="94">
        <f t="shared" si="18"/>
        <v>16.944380602457123</v>
      </c>
      <c r="K68" s="94">
        <f t="shared" si="18"/>
        <v>17.395122648783691</v>
      </c>
      <c r="L68" s="94">
        <f t="shared" si="18"/>
        <v>18.106647732437036</v>
      </c>
      <c r="M68" s="94">
        <f t="shared" si="18"/>
        <v>18.416514895510755</v>
      </c>
      <c r="N68" s="94">
        <f t="shared" si="18"/>
        <v>18.665376219394719</v>
      </c>
      <c r="O68" s="94">
        <f t="shared" si="18"/>
        <v>18.931577025389071</v>
      </c>
      <c r="P68" s="94">
        <f t="shared" si="18"/>
        <v>19.48807031123717</v>
      </c>
      <c r="Q68" s="94">
        <f t="shared" si="18"/>
        <v>19.953342203281775</v>
      </c>
      <c r="R68" s="94">
        <f t="shared" si="18"/>
        <v>20.656552524539652</v>
      </c>
      <c r="S68" s="94">
        <f t="shared" si="18"/>
        <v>21.309874966782552</v>
      </c>
      <c r="T68" s="94">
        <f t="shared" si="18"/>
        <v>21.433736691662361</v>
      </c>
      <c r="U68" s="94">
        <f t="shared" si="18"/>
        <v>20.534213652766987</v>
      </c>
      <c r="V68" s="94">
        <f t="shared" si="18"/>
        <v>21.070983541643365</v>
      </c>
      <c r="W68" s="94">
        <f t="shared" si="18"/>
        <v>21.568060628907695</v>
      </c>
      <c r="X68" s="94">
        <f t="shared" si="18"/>
        <v>21.557927598088082</v>
      </c>
      <c r="Y68" s="94">
        <f t="shared" si="18"/>
        <v>21.735439592619038</v>
      </c>
      <c r="Z68" s="94">
        <f t="shared" si="18"/>
        <v>22.187872183655553</v>
      </c>
      <c r="AA68" s="94">
        <f t="shared" si="18"/>
        <v>22.754687907969345</v>
      </c>
      <c r="AB68" s="94">
        <f t="shared" si="18"/>
        <v>23.150514991870189</v>
      </c>
      <c r="AC68" s="94">
        <f t="shared" si="18"/>
        <v>23.894343075634261</v>
      </c>
      <c r="AD68" s="94">
        <f t="shared" si="18"/>
        <v>24.4017294994065</v>
      </c>
      <c r="AE68" s="94">
        <f t="shared" si="18"/>
        <v>24.799013800024401</v>
      </c>
      <c r="AF68" s="94">
        <f t="shared" si="18"/>
        <v>23.429310523737492</v>
      </c>
      <c r="AG68" s="94">
        <f t="shared" si="18"/>
        <v>25.039474023862493</v>
      </c>
      <c r="AH68" s="94">
        <f t="shared" si="18"/>
        <v>25.985577234282356</v>
      </c>
      <c r="AI68" s="94">
        <f t="shared" si="18"/>
        <v>124.05123537215242</v>
      </c>
      <c r="AJ68" s="94">
        <f t="shared" si="18"/>
        <v>185.58394873291994</v>
      </c>
      <c r="AK68" s="94">
        <f t="shared" si="18"/>
        <v>223.01282172139463</v>
      </c>
      <c r="AL68" s="94">
        <f t="shared" si="18"/>
        <v>247.71986544205339</v>
      </c>
      <c r="AM68" s="94">
        <f t="shared" si="18"/>
        <v>265.86609490858422</v>
      </c>
      <c r="AN68" s="94">
        <f t="shared" si="18"/>
        <v>280.62056562278485</v>
      </c>
      <c r="AO68" s="94">
        <f t="shared" si="18"/>
        <v>293.66070021306774</v>
      </c>
      <c r="AP68" s="94">
        <f t="shared" si="18"/>
        <v>305.89630895055927</v>
      </c>
      <c r="AQ68" s="94">
        <f t="shared" si="18"/>
        <v>317.82984332764903</v>
      </c>
      <c r="AR68" s="94">
        <f t="shared" si="18"/>
        <v>329.74347704653695</v>
      </c>
      <c r="AS68" s="94">
        <f t="shared" si="18"/>
        <v>341.79905262844227</v>
      </c>
      <c r="AT68" s="94">
        <f t="shared" si="18"/>
        <v>354.09236324067331</v>
      </c>
      <c r="AU68" s="94">
        <f t="shared" si="18"/>
        <v>366.68290326090306</v>
      </c>
      <c r="AV68" s="94">
        <f t="shared" si="18"/>
        <v>379.6102552811148</v>
      </c>
      <c r="AW68" s="94">
        <f t="shared" si="18"/>
        <v>392.90314198212434</v>
      </c>
      <c r="AX68" s="94">
        <f t="shared" si="18"/>
        <v>406.58443585576748</v>
      </c>
      <c r="AY68" s="94">
        <f t="shared" si="18"/>
        <v>420.67393701290376</v>
      </c>
      <c r="AZ68" s="94">
        <f t="shared" si="18"/>
        <v>435.18991751524158</v>
      </c>
      <c r="BA68" s="94">
        <f t="shared" si="18"/>
        <v>450.14998383231614</v>
      </c>
      <c r="BB68" s="94">
        <f t="shared" si="18"/>
        <v>465.57156239749804</v>
      </c>
      <c r="BC68" s="94">
        <f t="shared" si="18"/>
        <v>481.47217692947697</v>
      </c>
      <c r="BD68" s="94">
        <f t="shared" si="18"/>
        <v>497.8696108053677</v>
      </c>
      <c r="BE68" s="94">
        <f t="shared" si="18"/>
        <v>514.91640334022838</v>
      </c>
      <c r="BF68" s="94">
        <f t="shared" si="18"/>
        <v>532.45653731863297</v>
      </c>
      <c r="BG68" s="94">
        <f t="shared" si="18"/>
        <v>550.51633483830858</v>
      </c>
      <c r="BH68" s="94">
        <f t="shared" si="18"/>
        <v>569.12480790377924</v>
      </c>
      <c r="BI68" s="94">
        <f t="shared" si="18"/>
        <v>588.30991383412379</v>
      </c>
      <c r="BJ68" s="94"/>
      <c r="BK68" s="94"/>
      <c r="BL68" s="94"/>
      <c r="BM68" s="94"/>
      <c r="BN68" s="94"/>
    </row>
    <row r="69" spans="1:66" ht="15" x14ac:dyDescent="0.2">
      <c r="A69" s="112" t="s">
        <v>82</v>
      </c>
      <c r="B69" s="104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66" ht="16" x14ac:dyDescent="0.2">
      <c r="A70" s="105" t="s">
        <v>36</v>
      </c>
      <c r="B70" s="113">
        <f t="shared" ref="B70:AG70" si="19">+B71+B43</f>
        <v>1.2435466666162149</v>
      </c>
      <c r="C70" s="113">
        <f t="shared" si="19"/>
        <v>0.88056397828851396</v>
      </c>
      <c r="D70" s="113">
        <f t="shared" si="19"/>
        <v>0.78487216872798093</v>
      </c>
      <c r="E70" s="113">
        <f t="shared" si="19"/>
        <v>0.69669523858310478</v>
      </c>
      <c r="F70" s="113">
        <f t="shared" si="19"/>
        <v>0.63773965785851561</v>
      </c>
      <c r="G70" s="113">
        <f t="shared" si="19"/>
        <v>0.59210975688709544</v>
      </c>
      <c r="H70" s="113">
        <f t="shared" si="19"/>
        <v>0.55039969365744013</v>
      </c>
      <c r="I70" s="113">
        <f t="shared" si="19"/>
        <v>0.52054770135412154</v>
      </c>
      <c r="J70" s="113">
        <f t="shared" si="19"/>
        <v>0.49410251269869415</v>
      </c>
      <c r="K70" s="113">
        <f t="shared" si="19"/>
        <v>0.46978788953534301</v>
      </c>
      <c r="L70" s="113">
        <f t="shared" si="19"/>
        <v>0.45546058751248247</v>
      </c>
      <c r="M70" s="113">
        <f t="shared" si="19"/>
        <v>0.43362075831590657</v>
      </c>
      <c r="N70" s="113">
        <f t="shared" si="19"/>
        <v>0.41304468742561667</v>
      </c>
      <c r="O70" s="113">
        <f t="shared" si="19"/>
        <v>0.39510347811751312</v>
      </c>
      <c r="P70" s="113">
        <f t="shared" si="19"/>
        <v>0.38479422051331114</v>
      </c>
      <c r="Q70" s="113">
        <f t="shared" si="19"/>
        <v>0.37411418243505939</v>
      </c>
      <c r="R70" s="113">
        <f t="shared" si="19"/>
        <v>0.36860867152778309</v>
      </c>
      <c r="S70" s="113">
        <f t="shared" si="19"/>
        <v>0.36286400820363757</v>
      </c>
      <c r="T70" s="113">
        <f t="shared" si="19"/>
        <v>0.348905549049564</v>
      </c>
      <c r="U70" s="113">
        <f t="shared" si="19"/>
        <v>0.32037071850546539</v>
      </c>
      <c r="V70" s="113">
        <f t="shared" si="19"/>
        <v>0.31560485837161184</v>
      </c>
      <c r="W70" s="113">
        <f t="shared" si="19"/>
        <v>0.31050292754383363</v>
      </c>
      <c r="X70" s="113">
        <f t="shared" si="19"/>
        <v>0.2988617269881183</v>
      </c>
      <c r="Y70" s="113">
        <f t="shared" si="19"/>
        <v>0.29052585201204506</v>
      </c>
      <c r="Z70" s="113">
        <f t="shared" si="19"/>
        <v>0.28631670957321209</v>
      </c>
      <c r="AA70" s="113">
        <f t="shared" si="19"/>
        <v>0.28389090521864663</v>
      </c>
      <c r="AB70" s="113">
        <f t="shared" si="19"/>
        <v>0</v>
      </c>
      <c r="AC70" s="113">
        <f t="shared" si="19"/>
        <v>0</v>
      </c>
      <c r="AD70" s="113">
        <f t="shared" si="19"/>
        <v>0</v>
      </c>
      <c r="AE70" s="113">
        <f t="shared" si="19"/>
        <v>0</v>
      </c>
      <c r="AF70" s="113">
        <f t="shared" si="19"/>
        <v>0</v>
      </c>
      <c r="AG70" s="113">
        <f t="shared" si="19"/>
        <v>0</v>
      </c>
      <c r="AH70" s="113">
        <f t="shared" ref="AH70:BI70" si="20">+AH71+AH43</f>
        <v>0</v>
      </c>
      <c r="AI70" s="113">
        <f t="shared" si="20"/>
        <v>0</v>
      </c>
      <c r="AJ70" s="113">
        <f t="shared" si="20"/>
        <v>0</v>
      </c>
      <c r="AK70" s="113">
        <f t="shared" si="20"/>
        <v>0</v>
      </c>
      <c r="AL70" s="113">
        <f t="shared" si="20"/>
        <v>0</v>
      </c>
      <c r="AM70" s="113">
        <f t="shared" si="20"/>
        <v>0</v>
      </c>
      <c r="AN70" s="113">
        <f t="shared" si="20"/>
        <v>0</v>
      </c>
      <c r="AO70" s="113">
        <f t="shared" si="20"/>
        <v>0</v>
      </c>
      <c r="AP70" s="113">
        <f t="shared" si="20"/>
        <v>0</v>
      </c>
      <c r="AQ70" s="113">
        <f t="shared" si="20"/>
        <v>0</v>
      </c>
      <c r="AR70" s="113">
        <f t="shared" si="20"/>
        <v>0</v>
      </c>
      <c r="AS70" s="113">
        <f t="shared" si="20"/>
        <v>0</v>
      </c>
      <c r="AT70" s="113">
        <f t="shared" si="20"/>
        <v>0</v>
      </c>
      <c r="AU70" s="113">
        <f t="shared" si="20"/>
        <v>0</v>
      </c>
      <c r="AV70" s="113">
        <f t="shared" si="20"/>
        <v>0</v>
      </c>
      <c r="AW70" s="113">
        <f t="shared" si="20"/>
        <v>0</v>
      </c>
      <c r="AX70" s="113">
        <f t="shared" si="20"/>
        <v>0</v>
      </c>
      <c r="AY70" s="113">
        <f t="shared" si="20"/>
        <v>0</v>
      </c>
      <c r="AZ70" s="113">
        <f t="shared" si="20"/>
        <v>0</v>
      </c>
      <c r="BA70" s="113">
        <f t="shared" si="20"/>
        <v>0</v>
      </c>
      <c r="BB70" s="113">
        <f t="shared" si="20"/>
        <v>0</v>
      </c>
      <c r="BC70" s="113">
        <f t="shared" si="20"/>
        <v>0</v>
      </c>
      <c r="BD70" s="113">
        <f t="shared" si="20"/>
        <v>0</v>
      </c>
      <c r="BE70" s="113">
        <f t="shared" si="20"/>
        <v>0</v>
      </c>
      <c r="BF70" s="113">
        <f t="shared" si="20"/>
        <v>0</v>
      </c>
      <c r="BG70" s="113">
        <f t="shared" si="20"/>
        <v>0</v>
      </c>
      <c r="BH70" s="113">
        <f t="shared" si="20"/>
        <v>0</v>
      </c>
      <c r="BI70" s="113">
        <f t="shared" si="20"/>
        <v>0</v>
      </c>
    </row>
    <row r="71" spans="1:66" s="45" customFormat="1" ht="18" customHeight="1" x14ac:dyDescent="0.2">
      <c r="A71" s="43" t="s">
        <v>1</v>
      </c>
      <c r="B71" s="46">
        <f t="shared" ref="B71:AG71" si="21">+B102</f>
        <v>1.2435466666162149</v>
      </c>
      <c r="C71" s="46">
        <f t="shared" si="21"/>
        <v>0.88056397828851396</v>
      </c>
      <c r="D71" s="46">
        <f t="shared" si="21"/>
        <v>0.78487216872798093</v>
      </c>
      <c r="E71" s="46">
        <f t="shared" si="21"/>
        <v>0.69669523858310478</v>
      </c>
      <c r="F71" s="46">
        <f t="shared" si="21"/>
        <v>0.63773965785851561</v>
      </c>
      <c r="G71" s="46">
        <f t="shared" si="21"/>
        <v>0.59210975688709544</v>
      </c>
      <c r="H71" s="46">
        <f t="shared" si="21"/>
        <v>0.55039969365744013</v>
      </c>
      <c r="I71" s="46">
        <f t="shared" si="21"/>
        <v>0.52054770135412154</v>
      </c>
      <c r="J71" s="46">
        <f t="shared" si="21"/>
        <v>0.49410251269869415</v>
      </c>
      <c r="K71" s="46">
        <f t="shared" si="21"/>
        <v>0.46978788953534301</v>
      </c>
      <c r="L71" s="46">
        <f t="shared" si="21"/>
        <v>0.45546058751248247</v>
      </c>
      <c r="M71" s="46">
        <f t="shared" si="21"/>
        <v>0.43362075831590657</v>
      </c>
      <c r="N71" s="46">
        <f t="shared" si="21"/>
        <v>0.41304468742561667</v>
      </c>
      <c r="O71" s="46">
        <f t="shared" si="21"/>
        <v>0.39510347811751312</v>
      </c>
      <c r="P71" s="46">
        <f t="shared" si="21"/>
        <v>0.38479422051331114</v>
      </c>
      <c r="Q71" s="46">
        <f t="shared" si="21"/>
        <v>0.37411418243505939</v>
      </c>
      <c r="R71" s="46">
        <f t="shared" si="21"/>
        <v>0.36860867152778309</v>
      </c>
      <c r="S71" s="46">
        <f t="shared" si="21"/>
        <v>0.36286400820363757</v>
      </c>
      <c r="T71" s="46">
        <f t="shared" si="21"/>
        <v>0.348905549049564</v>
      </c>
      <c r="U71" s="46">
        <f t="shared" si="21"/>
        <v>0.32037071850546539</v>
      </c>
      <c r="V71" s="46">
        <f t="shared" si="21"/>
        <v>0.31560485837161184</v>
      </c>
      <c r="W71" s="46">
        <f t="shared" si="21"/>
        <v>0.31050292754383363</v>
      </c>
      <c r="X71" s="46">
        <f t="shared" si="21"/>
        <v>0.2988617269881183</v>
      </c>
      <c r="Y71" s="46">
        <f t="shared" si="21"/>
        <v>0.29052585201204506</v>
      </c>
      <c r="Z71" s="46">
        <f t="shared" si="21"/>
        <v>0.28631670957321209</v>
      </c>
      <c r="AA71" s="46">
        <f t="shared" si="21"/>
        <v>0.28389090521864663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4" customFormat="1" ht="18" customHeight="1" x14ac:dyDescent="0.2">
      <c r="A72" s="92" t="s">
        <v>33</v>
      </c>
      <c r="B72" s="93"/>
    </row>
    <row r="73" spans="1:66" s="113" customFormat="1" ht="18" customHeight="1" x14ac:dyDescent="0.2">
      <c r="A73" s="105" t="s">
        <v>34</v>
      </c>
      <c r="B73" s="109">
        <f t="shared" ref="B73:AG73" si="23">(B97)*B68</f>
        <v>2.4681844986199901</v>
      </c>
      <c r="C73" s="113">
        <f t="shared" si="23"/>
        <v>2.8906236535646883</v>
      </c>
      <c r="D73" s="113">
        <f t="shared" si="23"/>
        <v>2.8937481635174662</v>
      </c>
      <c r="E73" s="113">
        <f t="shared" si="23"/>
        <v>2.8747277177011692</v>
      </c>
      <c r="F73" s="113">
        <f t="shared" si="23"/>
        <v>2.9227068277836903</v>
      </c>
      <c r="G73" s="113">
        <f t="shared" si="23"/>
        <v>3.012588013457929</v>
      </c>
      <c r="H73" s="113">
        <f t="shared" si="23"/>
        <v>3.106394123870146</v>
      </c>
      <c r="I73" s="113">
        <f t="shared" si="23"/>
        <v>3.2371391191116645</v>
      </c>
      <c r="J73" s="113">
        <f t="shared" si="23"/>
        <v>3.3664678621069464</v>
      </c>
      <c r="K73" s="113">
        <f t="shared" si="23"/>
        <v>3.5690763975477791</v>
      </c>
      <c r="L73" s="113">
        <f t="shared" si="23"/>
        <v>3.8158841538754298</v>
      </c>
      <c r="M73" s="113">
        <f t="shared" si="23"/>
        <v>4.0578264160347635</v>
      </c>
      <c r="N73" s="113">
        <f t="shared" si="23"/>
        <v>4.1126595948264733</v>
      </c>
      <c r="O73" s="113">
        <f t="shared" si="23"/>
        <v>4.171313290634953</v>
      </c>
      <c r="P73" s="113">
        <f t="shared" si="23"/>
        <v>4.2939289520927488</v>
      </c>
      <c r="Q73" s="113">
        <f t="shared" si="23"/>
        <v>4.3964452308180633</v>
      </c>
      <c r="R73" s="113">
        <f t="shared" si="23"/>
        <v>4.5513879783367086</v>
      </c>
      <c r="S73" s="113">
        <f t="shared" si="23"/>
        <v>4.695338616085647</v>
      </c>
      <c r="T73" s="113">
        <f t="shared" si="23"/>
        <v>4.7226298480046367</v>
      </c>
      <c r="U73" s="113">
        <f t="shared" si="23"/>
        <v>4.5244322862090947</v>
      </c>
      <c r="V73" s="113">
        <f t="shared" si="23"/>
        <v>4.6427021677134155</v>
      </c>
      <c r="W73" s="113">
        <f t="shared" si="23"/>
        <v>4.7522262848957872</v>
      </c>
      <c r="X73" s="113">
        <f t="shared" si="23"/>
        <v>4.7499936105614946</v>
      </c>
      <c r="Y73" s="113">
        <f t="shared" si="23"/>
        <v>4.7891059434136958</v>
      </c>
      <c r="Z73" s="113">
        <f t="shared" si="23"/>
        <v>4.8887932582938056</v>
      </c>
      <c r="AA73" s="113">
        <f t="shared" si="23"/>
        <v>5.0136833274623784</v>
      </c>
      <c r="AB73" s="113">
        <f t="shared" si="23"/>
        <v>5.1008983953700628</v>
      </c>
      <c r="AC73" s="113">
        <f t="shared" si="23"/>
        <v>5.2647907096548963</v>
      </c>
      <c r="AD73" s="113">
        <f t="shared" si="23"/>
        <v>5.376586347711382</v>
      </c>
      <c r="AE73" s="113">
        <f t="shared" si="23"/>
        <v>5.4641224933322992</v>
      </c>
      <c r="AF73" s="113">
        <f t="shared" si="23"/>
        <v>5.1623271662478452</v>
      </c>
      <c r="AG73" s="113">
        <f t="shared" si="23"/>
        <v>5.5171046049767609</v>
      </c>
      <c r="AH73" s="113">
        <f t="shared" ref="AH73:BI73" si="24">(AH97)*AH68</f>
        <v>5.7255654685722313</v>
      </c>
      <c r="AI73" s="113">
        <f t="shared" si="24"/>
        <v>27.332987956237616</v>
      </c>
      <c r="AJ73" s="113">
        <f t="shared" si="24"/>
        <v>40.890877228028252</v>
      </c>
      <c r="AK73" s="113">
        <f t="shared" si="24"/>
        <v>49.137815934768312</v>
      </c>
      <c r="AL73" s="113">
        <f t="shared" si="24"/>
        <v>54.581674082775123</v>
      </c>
      <c r="AM73" s="113">
        <f t="shared" si="24"/>
        <v>58.579946812360156</v>
      </c>
      <c r="AN73" s="113">
        <f t="shared" si="24"/>
        <v>61.830892029649284</v>
      </c>
      <c r="AO73" s="113">
        <f t="shared" si="24"/>
        <v>64.70410679961627</v>
      </c>
      <c r="AP73" s="113">
        <f t="shared" si="24"/>
        <v>67.400055334556598</v>
      </c>
      <c r="AQ73" s="113">
        <f t="shared" si="24"/>
        <v>70.029445928094887</v>
      </c>
      <c r="AR73" s="113">
        <f t="shared" si="24"/>
        <v>72.654451684599351</v>
      </c>
      <c r="AS73" s="113">
        <f t="shared" si="24"/>
        <v>75.310732383434697</v>
      </c>
      <c r="AT73" s="113">
        <f t="shared" si="24"/>
        <v>78.019394734908786</v>
      </c>
      <c r="AU73" s="113">
        <f t="shared" si="24"/>
        <v>80.793547508986848</v>
      </c>
      <c r="AV73" s="113">
        <f t="shared" si="24"/>
        <v>83.641912186811027</v>
      </c>
      <c r="AW73" s="113">
        <f t="shared" si="24"/>
        <v>86.570817417075958</v>
      </c>
      <c r="AX73" s="113">
        <f t="shared" si="24"/>
        <v>89.585302839588579</v>
      </c>
      <c r="AY73" s="113">
        <f t="shared" si="24"/>
        <v>92.689731137155164</v>
      </c>
      <c r="AZ73" s="113">
        <f t="shared" si="24"/>
        <v>95.88812830791359</v>
      </c>
      <c r="BA73" s="113">
        <f t="shared" si="24"/>
        <v>99.184373695897108</v>
      </c>
      <c r="BB73" s="113">
        <f t="shared" si="24"/>
        <v>102.58230697663986</v>
      </c>
      <c r="BC73" s="113">
        <f t="shared" si="24"/>
        <v>106.08578926116147</v>
      </c>
      <c r="BD73" s="113">
        <f t="shared" si="24"/>
        <v>109.69873887265349</v>
      </c>
      <c r="BE73" s="113">
        <f t="shared" si="24"/>
        <v>113.45476575662619</v>
      </c>
      <c r="BF73" s="113">
        <f t="shared" si="24"/>
        <v>117.31949365993371</v>
      </c>
      <c r="BG73" s="113">
        <f t="shared" si="24"/>
        <v>121.29872229571879</v>
      </c>
      <c r="BH73" s="113">
        <f t="shared" si="24"/>
        <v>125.39884406118618</v>
      </c>
      <c r="BI73" s="113">
        <f t="shared" si="24"/>
        <v>129.62601896807121</v>
      </c>
    </row>
    <row r="74" spans="1:66" s="113" customFormat="1" ht="18" customHeight="1" x14ac:dyDescent="0.2">
      <c r="A74" s="105" t="s">
        <v>35</v>
      </c>
      <c r="B74" s="106">
        <f>+B11</f>
        <v>23.302275318288661</v>
      </c>
      <c r="C74" s="113">
        <f t="shared" ref="C74:BI74" si="25">+B74*(1-$B$8)^10+10*B73</f>
        <v>32.806845994961527</v>
      </c>
      <c r="D74" s="113">
        <f t="shared" si="25"/>
        <v>40.345276421771004</v>
      </c>
      <c r="E74" s="113">
        <f t="shared" si="25"/>
        <v>43.005009683321092</v>
      </c>
      <c r="F74" s="113">
        <f t="shared" si="25"/>
        <v>43.742196869877489</v>
      </c>
      <c r="G74" s="113">
        <f t="shared" si="25"/>
        <v>44.479029248972893</v>
      </c>
      <c r="H74" s="113">
        <f t="shared" si="25"/>
        <v>45.634758670273442</v>
      </c>
      <c r="I74" s="113">
        <f t="shared" si="25"/>
        <v>46.97579770619236</v>
      </c>
      <c r="J74" s="113">
        <f t="shared" si="25"/>
        <v>48.750839057764964</v>
      </c>
      <c r="K74" s="113">
        <f t="shared" si="25"/>
        <v>50.663045137297111</v>
      </c>
      <c r="L74" s="113">
        <f t="shared" si="25"/>
        <v>53.355875524666445</v>
      </c>
      <c r="M74" s="113">
        <f t="shared" si="25"/>
        <v>56.762884986864769</v>
      </c>
      <c r="N74" s="113">
        <f t="shared" si="25"/>
        <v>60.370258353143363</v>
      </c>
      <c r="O74" s="113">
        <f t="shared" si="25"/>
        <v>62.17640345927277</v>
      </c>
      <c r="P74" s="113">
        <f t="shared" si="25"/>
        <v>63.392704275557008</v>
      </c>
      <c r="Q74" s="113">
        <f t="shared" si="25"/>
        <v>65.042958761449313</v>
      </c>
      <c r="R74" s="113">
        <f t="shared" si="25"/>
        <v>66.643529708611425</v>
      </c>
      <c r="S74" s="113">
        <f t="shared" si="25"/>
        <v>68.751041764923741</v>
      </c>
      <c r="T74" s="113">
        <f t="shared" si="25"/>
        <v>70.925392158700035</v>
      </c>
      <c r="U74" s="113">
        <f t="shared" si="25"/>
        <v>71.956453581422679</v>
      </c>
      <c r="V74" s="113">
        <f t="shared" si="25"/>
        <v>70.333986851989479</v>
      </c>
      <c r="W74" s="113">
        <f t="shared" si="25"/>
        <v>70.950966498699771</v>
      </c>
      <c r="X74" s="113">
        <f t="shared" si="25"/>
        <v>72.261335171311885</v>
      </c>
      <c r="Y74" s="113">
        <f t="shared" si="25"/>
        <v>72.695905732691259</v>
      </c>
      <c r="Z74" s="113">
        <f t="shared" si="25"/>
        <v>73.238554446668402</v>
      </c>
      <c r="AA74" s="113">
        <f t="shared" si="25"/>
        <v>74.424637502581319</v>
      </c>
      <c r="AB74" s="113">
        <f t="shared" si="25"/>
        <v>76.087099784031807</v>
      </c>
      <c r="AC74" s="113">
        <f t="shared" si="25"/>
        <v>77.538915218129901</v>
      </c>
      <c r="AD74" s="113">
        <f t="shared" si="25"/>
        <v>79.684055101852664</v>
      </c>
      <c r="AE74" s="113">
        <f t="shared" si="25"/>
        <v>81.549975510870269</v>
      </c>
      <c r="AF74" s="113">
        <f t="shared" si="25"/>
        <v>83.075943184646448</v>
      </c>
      <c r="AG74" s="113">
        <f t="shared" si="25"/>
        <v>80.590061941937222</v>
      </c>
      <c r="AH74" s="113">
        <f t="shared" si="25"/>
        <v>83.271063135244674</v>
      </c>
      <c r="AI74" s="113">
        <f t="shared" si="25"/>
        <v>86.290479085188053</v>
      </c>
      <c r="AJ74" s="113">
        <f t="shared" si="25"/>
        <v>303.41750920528125</v>
      </c>
      <c r="AK74" s="113">
        <f t="shared" si="25"/>
        <v>514.70391608900741</v>
      </c>
      <c r="AL74" s="113">
        <f t="shared" si="25"/>
        <v>670.84431792295959</v>
      </c>
      <c r="AM74" s="113">
        <f t="shared" si="25"/>
        <v>779.7256911510774</v>
      </c>
      <c r="AN74" s="113">
        <f t="shared" si="25"/>
        <v>857.67300582005373</v>
      </c>
      <c r="AO74" s="113">
        <f t="shared" si="25"/>
        <v>917.3610060817075</v>
      </c>
      <c r="AP74" s="113">
        <f t="shared" si="25"/>
        <v>966.90507260529921</v>
      </c>
      <c r="AQ74" s="113">
        <f t="shared" si="25"/>
        <v>1011.1395057863591</v>
      </c>
      <c r="AR74" s="113">
        <f t="shared" si="25"/>
        <v>1052.8570048820216</v>
      </c>
      <c r="AS74" s="113">
        <f t="shared" si="25"/>
        <v>1093.6530549566151</v>
      </c>
      <c r="AT74" s="113">
        <f t="shared" si="25"/>
        <v>1134.4405650472193</v>
      </c>
      <c r="AU74" s="113">
        <f t="shared" si="25"/>
        <v>1175.7489139559152</v>
      </c>
      <c r="AV74" s="113">
        <f t="shared" si="25"/>
        <v>1217.8937723572863</v>
      </c>
      <c r="AW74" s="113">
        <f t="shared" si="25"/>
        <v>1261.0724226211537</v>
      </c>
      <c r="AX74" s="113">
        <f t="shared" si="25"/>
        <v>1305.4169393434315</v>
      </c>
      <c r="AY74" s="113">
        <f t="shared" si="25"/>
        <v>1351.02377048627</v>
      </c>
      <c r="AZ74" s="113">
        <f t="shared" si="25"/>
        <v>1397.9701722027248</v>
      </c>
      <c r="BA74" s="113">
        <f t="shared" si="25"/>
        <v>1446.3233420291106</v>
      </c>
      <c r="BB74" s="113">
        <f t="shared" si="25"/>
        <v>1496.1455037379003</v>
      </c>
      <c r="BC74" s="113">
        <f t="shared" si="25"/>
        <v>1547.4967501723586</v>
      </c>
      <c r="BD74" s="113">
        <f t="shared" si="25"/>
        <v>1600.4366455215322</v>
      </c>
      <c r="BE74" s="113">
        <f t="shared" si="25"/>
        <v>1655.0251417658596</v>
      </c>
      <c r="BF74" s="113">
        <f t="shared" si="25"/>
        <v>1711.6192423234634</v>
      </c>
      <c r="BG74" s="113">
        <f t="shared" si="25"/>
        <v>1769.9996640578265</v>
      </c>
      <c r="BH74" s="113">
        <f t="shared" si="25"/>
        <v>1830.1479447983952</v>
      </c>
      <c r="BI74" s="113">
        <f t="shared" si="25"/>
        <v>1892.1215711563873</v>
      </c>
    </row>
    <row r="75" spans="1:66" s="113" customFormat="1" ht="18" customHeight="1" x14ac:dyDescent="0.2">
      <c r="A75" s="92" t="s">
        <v>204</v>
      </c>
      <c r="B75" s="109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</row>
    <row r="76" spans="1:66" s="100" customFormat="1" ht="18" customHeight="1" x14ac:dyDescent="0.2">
      <c r="A76" s="98" t="s">
        <v>205</v>
      </c>
      <c r="B76" s="93">
        <f>+B14</f>
        <v>1.4999999999999999E-2</v>
      </c>
      <c r="C76" s="94">
        <f t="shared" ref="C76:BI76" si="26">+C14</f>
        <v>1.4999999999999999E-2</v>
      </c>
      <c r="D76" s="94">
        <f t="shared" si="26"/>
        <v>1.4999999999999999E-2</v>
      </c>
      <c r="E76" s="94">
        <f t="shared" si="26"/>
        <v>1.4999999999999999E-2</v>
      </c>
      <c r="F76" s="94">
        <f t="shared" si="26"/>
        <v>1.4999999999999999E-2</v>
      </c>
      <c r="G76" s="94">
        <f t="shared" si="26"/>
        <v>1.4999999999999999E-2</v>
      </c>
      <c r="H76" s="94">
        <f t="shared" si="26"/>
        <v>1.4999999999999999E-2</v>
      </c>
      <c r="I76" s="94">
        <f t="shared" si="26"/>
        <v>1.4999999999999999E-2</v>
      </c>
      <c r="J76" s="94">
        <f t="shared" si="26"/>
        <v>1.4999999999999999E-2</v>
      </c>
      <c r="K76" s="94">
        <f t="shared" si="26"/>
        <v>1.4999999999999999E-2</v>
      </c>
      <c r="L76" s="94">
        <f t="shared" si="26"/>
        <v>1.4999999999999999E-2</v>
      </c>
      <c r="M76" s="94">
        <f t="shared" si="26"/>
        <v>1.4999999999999999E-2</v>
      </c>
      <c r="N76" s="94">
        <f t="shared" si="26"/>
        <v>1.4999999999999999E-2</v>
      </c>
      <c r="O76" s="94">
        <f t="shared" si="26"/>
        <v>1.4999999999999999E-2</v>
      </c>
      <c r="P76" s="94">
        <f t="shared" si="26"/>
        <v>1.4999999999999999E-2</v>
      </c>
      <c r="Q76" s="94">
        <f t="shared" si="26"/>
        <v>1.4999999999999999E-2</v>
      </c>
      <c r="R76" s="94">
        <f t="shared" si="26"/>
        <v>1.4999999999999999E-2</v>
      </c>
      <c r="S76" s="94">
        <f t="shared" si="26"/>
        <v>1.4999999999999999E-2</v>
      </c>
      <c r="T76" s="94">
        <f t="shared" si="26"/>
        <v>1.4999999999999999E-2</v>
      </c>
      <c r="U76" s="94">
        <f t="shared" si="26"/>
        <v>1.4999999999999999E-2</v>
      </c>
      <c r="V76" s="94">
        <f t="shared" si="26"/>
        <v>1.4999999999999999E-2</v>
      </c>
      <c r="W76" s="94">
        <f t="shared" si="26"/>
        <v>1.4999999999999999E-2</v>
      </c>
      <c r="X76" s="94">
        <f t="shared" si="26"/>
        <v>1.4999999999999999E-2</v>
      </c>
      <c r="Y76" s="94">
        <f t="shared" si="26"/>
        <v>1.4999999999999999E-2</v>
      </c>
      <c r="Z76" s="94">
        <f t="shared" si="26"/>
        <v>1.4999999999999999E-2</v>
      </c>
      <c r="AA76" s="94">
        <f t="shared" si="26"/>
        <v>1.4999999999999999E-2</v>
      </c>
      <c r="AB76" s="94">
        <f t="shared" si="26"/>
        <v>1.4999999999999999E-2</v>
      </c>
      <c r="AC76" s="94">
        <f t="shared" si="26"/>
        <v>1.4999999999999999E-2</v>
      </c>
      <c r="AD76" s="94">
        <f t="shared" si="26"/>
        <v>1.4999999999999999E-2</v>
      </c>
      <c r="AE76" s="94">
        <f t="shared" si="26"/>
        <v>1.4999999999999999E-2</v>
      </c>
      <c r="AF76" s="94">
        <f t="shared" si="26"/>
        <v>1.4999999999999999E-2</v>
      </c>
      <c r="AG76" s="94">
        <f t="shared" si="26"/>
        <v>1.4999999999999999E-2</v>
      </c>
      <c r="AH76" s="94">
        <f t="shared" si="26"/>
        <v>1.4999999999999999E-2</v>
      </c>
      <c r="AI76" s="94">
        <f t="shared" si="26"/>
        <v>1.4999999999999999E-2</v>
      </c>
      <c r="AJ76" s="94">
        <f t="shared" si="26"/>
        <v>1.4999999999999999E-2</v>
      </c>
      <c r="AK76" s="94">
        <f t="shared" si="26"/>
        <v>1.4999999999999999E-2</v>
      </c>
      <c r="AL76" s="94">
        <f t="shared" si="26"/>
        <v>1.4999999999999999E-2</v>
      </c>
      <c r="AM76" s="94">
        <f t="shared" si="26"/>
        <v>1.4999999999999999E-2</v>
      </c>
      <c r="AN76" s="94">
        <f t="shared" si="26"/>
        <v>1.4999999999999999E-2</v>
      </c>
      <c r="AO76" s="94">
        <f t="shared" si="26"/>
        <v>1.4999999999999999E-2</v>
      </c>
      <c r="AP76" s="94">
        <f t="shared" si="26"/>
        <v>1.4999999999999999E-2</v>
      </c>
      <c r="AQ76" s="94">
        <f t="shared" si="26"/>
        <v>1.4999999999999999E-2</v>
      </c>
      <c r="AR76" s="94">
        <f t="shared" si="26"/>
        <v>1.4999999999999999E-2</v>
      </c>
      <c r="AS76" s="94">
        <f t="shared" si="26"/>
        <v>1.4999999999999999E-2</v>
      </c>
      <c r="AT76" s="94">
        <f t="shared" si="26"/>
        <v>1.4999999999999999E-2</v>
      </c>
      <c r="AU76" s="94">
        <f t="shared" si="26"/>
        <v>1.4999999999999999E-2</v>
      </c>
      <c r="AV76" s="94">
        <f t="shared" si="26"/>
        <v>1.4999999999999999E-2</v>
      </c>
      <c r="AW76" s="94">
        <f t="shared" si="26"/>
        <v>1.4999999999999999E-2</v>
      </c>
      <c r="AX76" s="94">
        <f t="shared" si="26"/>
        <v>1.4999999999999999E-2</v>
      </c>
      <c r="AY76" s="94">
        <f t="shared" si="26"/>
        <v>1.4999999999999999E-2</v>
      </c>
      <c r="AZ76" s="94">
        <f t="shared" si="26"/>
        <v>1.4999999999999999E-2</v>
      </c>
      <c r="BA76" s="94">
        <f t="shared" si="26"/>
        <v>1.4999999999999999E-2</v>
      </c>
      <c r="BB76" s="94">
        <f t="shared" si="26"/>
        <v>1.4999999999999999E-2</v>
      </c>
      <c r="BC76" s="94">
        <f t="shared" si="26"/>
        <v>1.4999999999999999E-2</v>
      </c>
      <c r="BD76" s="94">
        <f t="shared" si="26"/>
        <v>1.4999999999999999E-2</v>
      </c>
      <c r="BE76" s="94">
        <f t="shared" si="26"/>
        <v>1.4999999999999999E-2</v>
      </c>
      <c r="BF76" s="94">
        <f t="shared" si="26"/>
        <v>1.4999999999999999E-2</v>
      </c>
      <c r="BG76" s="94">
        <f t="shared" si="26"/>
        <v>1.4999999999999999E-2</v>
      </c>
      <c r="BH76" s="94">
        <f t="shared" si="26"/>
        <v>1.4999999999999999E-2</v>
      </c>
      <c r="BI76" s="94">
        <f t="shared" si="26"/>
        <v>1.4999999999999999E-2</v>
      </c>
    </row>
    <row r="77" spans="1:66" s="100" customFormat="1" ht="18" customHeight="1" x14ac:dyDescent="0.2">
      <c r="A77" s="98" t="s">
        <v>71</v>
      </c>
      <c r="B77" s="93">
        <f t="shared" ref="B77:BI77" si="27">+$B$7*B61/B74</f>
        <v>0.18209916850034477</v>
      </c>
      <c r="C77" s="94">
        <f t="shared" si="27"/>
        <v>0.13272805920931541</v>
      </c>
      <c r="D77" s="94">
        <f t="shared" si="27"/>
        <v>0.10984250649794544</v>
      </c>
      <c r="E77" s="94">
        <f t="shared" si="27"/>
        <v>0.10332663797737547</v>
      </c>
      <c r="F77" s="94">
        <f t="shared" si="27"/>
        <v>0.1040278026084728</v>
      </c>
      <c r="G77" s="94">
        <f t="shared" si="27"/>
        <v>0.10533822679854833</v>
      </c>
      <c r="H77" s="94">
        <f t="shared" si="27"/>
        <v>0.10501394701677924</v>
      </c>
      <c r="I77" s="94">
        <f t="shared" si="27"/>
        <v>0.10541686147565571</v>
      </c>
      <c r="J77" s="94">
        <f t="shared" si="27"/>
        <v>0.10467866132602435</v>
      </c>
      <c r="K77" s="94">
        <f t="shared" si="27"/>
        <v>0.10338308738706042</v>
      </c>
      <c r="L77" s="94">
        <f t="shared" si="27"/>
        <v>0.10220872584958761</v>
      </c>
      <c r="M77" s="94">
        <f t="shared" si="27"/>
        <v>9.7776321267924654E-2</v>
      </c>
      <c r="N77" s="94">
        <f t="shared" si="27"/>
        <v>9.3222374264086638E-2</v>
      </c>
      <c r="O77" s="94">
        <f t="shared" si="27"/>
        <v>9.1824788620960648E-2</v>
      </c>
      <c r="P77" s="94">
        <f t="shared" si="27"/>
        <v>9.2709853289947408E-2</v>
      </c>
      <c r="Q77" s="94">
        <f t="shared" si="27"/>
        <v>9.2572619178806451E-2</v>
      </c>
      <c r="R77" s="94">
        <f t="shared" si="27"/>
        <v>9.3549256809205034E-2</v>
      </c>
      <c r="S77" s="94">
        <f t="shared" si="27"/>
        <v>9.3579859513480607E-2</v>
      </c>
      <c r="T77" s="94">
        <f t="shared" si="27"/>
        <v>9.1231895073096189E-2</v>
      </c>
      <c r="U77" s="94">
        <f t="shared" si="27"/>
        <v>8.6194674318825173E-2</v>
      </c>
      <c r="V77" s="94">
        <f t="shared" si="27"/>
        <v>9.0521810883645332E-2</v>
      </c>
      <c r="W77" s="94">
        <f t="shared" si="27"/>
        <v>9.1845556773158504E-2</v>
      </c>
      <c r="X77" s="94">
        <f t="shared" si="27"/>
        <v>9.0169522507919958E-2</v>
      </c>
      <c r="Y77" s="94">
        <f t="shared" si="27"/>
        <v>9.0395497198126784E-2</v>
      </c>
      <c r="Z77" s="94">
        <f t="shared" si="27"/>
        <v>9.1631345624120258E-2</v>
      </c>
      <c r="AA77" s="94">
        <f t="shared" si="27"/>
        <v>9.2550088569205088E-2</v>
      </c>
      <c r="AB77" s="94">
        <f t="shared" si="27"/>
        <v>9.2406971420280024E-2</v>
      </c>
      <c r="AC77" s="94">
        <f t="shared" si="27"/>
        <v>9.3569547638144679E-2</v>
      </c>
      <c r="AD77" s="94">
        <f t="shared" si="27"/>
        <v>9.297401501288427E-2</v>
      </c>
      <c r="AE77" s="94">
        <f t="shared" si="27"/>
        <v>9.2383693794776775E-2</v>
      </c>
      <c r="AF77" s="94">
        <f t="shared" si="27"/>
        <v>8.5701944110249409E-2</v>
      </c>
      <c r="AG77" s="94">
        <f t="shared" si="27"/>
        <v>9.4360030690792934E-2</v>
      </c>
      <c r="AH77" s="94">
        <f t="shared" si="27"/>
        <v>9.4810285928948412E-2</v>
      </c>
      <c r="AI77" s="94">
        <f t="shared" si="27"/>
        <v>0.43737684914598851</v>
      </c>
      <c r="AJ77" s="94">
        <f t="shared" si="27"/>
        <v>0.18633939816137243</v>
      </c>
      <c r="AK77" s="94">
        <f t="shared" si="27"/>
        <v>0.13218601706815702</v>
      </c>
      <c r="AL77" s="94">
        <f t="shared" si="27"/>
        <v>0.11272957894222359</v>
      </c>
      <c r="AM77" s="94">
        <f t="shared" si="27"/>
        <v>0.10413096583919187</v>
      </c>
      <c r="AN77" s="94">
        <f t="shared" si="27"/>
        <v>9.9945075402236766E-2</v>
      </c>
      <c r="AO77" s="94">
        <f t="shared" si="27"/>
        <v>9.7802199620895813E-2</v>
      </c>
      <c r="AP77" s="94">
        <f t="shared" si="27"/>
        <v>9.6672156194451034E-2</v>
      </c>
      <c r="AQ77" s="94">
        <f t="shared" si="27"/>
        <v>9.6063414042901585E-2</v>
      </c>
      <c r="AR77" s="94">
        <f t="shared" si="27"/>
        <v>9.5729040836796939E-2</v>
      </c>
      <c r="AS77" s="94">
        <f t="shared" si="27"/>
        <v>9.554138533983228E-2</v>
      </c>
      <c r="AT77" s="94">
        <f t="shared" si="27"/>
        <v>9.5433376192900293E-2</v>
      </c>
      <c r="AU77" s="94">
        <f t="shared" si="27"/>
        <v>9.5369416384094005E-2</v>
      </c>
      <c r="AV77" s="94">
        <f t="shared" si="27"/>
        <v>9.5330471148632093E-2</v>
      </c>
      <c r="AW77" s="94">
        <f t="shared" si="27"/>
        <v>9.5306285811440433E-2</v>
      </c>
      <c r="AX77" s="94">
        <f t="shared" si="27"/>
        <v>9.5291282624809293E-2</v>
      </c>
      <c r="AY77" s="94">
        <f t="shared" si="27"/>
        <v>9.5282384777366877E-2</v>
      </c>
      <c r="AZ77" s="94">
        <f t="shared" si="27"/>
        <v>9.5277858416218275E-2</v>
      </c>
      <c r="BA77" s="94">
        <f t="shared" si="27"/>
        <v>9.527669495495443E-2</v>
      </c>
      <c r="BB77" s="94">
        <f t="shared" si="27"/>
        <v>9.527828090167767E-2</v>
      </c>
      <c r="BC77" s="94">
        <f t="shared" si="27"/>
        <v>9.5282220952282046E-2</v>
      </c>
      <c r="BD77" s="94">
        <f t="shared" si="27"/>
        <v>9.5288242883880506E-2</v>
      </c>
      <c r="BE77" s="94">
        <f t="shared" si="27"/>
        <v>9.5296146156849962E-2</v>
      </c>
      <c r="BF77" s="94">
        <f t="shared" si="27"/>
        <v>9.5294231459969903E-2</v>
      </c>
      <c r="BG77" s="94">
        <f t="shared" si="27"/>
        <v>9.5294116222232397E-2</v>
      </c>
      <c r="BH77" s="94">
        <f t="shared" si="27"/>
        <v>9.5298696486468604E-2</v>
      </c>
      <c r="BI77" s="94">
        <f t="shared" si="27"/>
        <v>9.530786904155919E-2</v>
      </c>
    </row>
    <row r="78" spans="1:66" s="100" customFormat="1" ht="18" customHeight="1" x14ac:dyDescent="0.2">
      <c r="A78" s="98" t="s">
        <v>72</v>
      </c>
      <c r="B78" s="93">
        <f t="shared" ref="B78:BI78" si="28">+$B$7*B61/B74*(1-(1-$B$8)^10)/$B$8/10</f>
        <v>0.11860511448413746</v>
      </c>
      <c r="C78" s="94">
        <f t="shared" si="28"/>
        <v>8.6448646566710835E-2</v>
      </c>
      <c r="D78" s="94">
        <f t="shared" si="28"/>
        <v>7.1542792675567693E-2</v>
      </c>
      <c r="E78" s="94">
        <f t="shared" si="28"/>
        <v>6.7298867026646753E-2</v>
      </c>
      <c r="F78" s="94">
        <f t="shared" si="28"/>
        <v>6.7755550667919773E-2</v>
      </c>
      <c r="G78" s="94">
        <f t="shared" si="28"/>
        <v>6.8609058195530453E-2</v>
      </c>
      <c r="H78" s="94">
        <f t="shared" si="28"/>
        <v>6.8397847782224588E-2</v>
      </c>
      <c r="I78" s="94">
        <f t="shared" si="28"/>
        <v>6.8660274656086276E-2</v>
      </c>
      <c r="J78" s="94">
        <f t="shared" si="28"/>
        <v>6.8179468983109962E-2</v>
      </c>
      <c r="K78" s="94">
        <f t="shared" si="28"/>
        <v>6.7335633744218193E-2</v>
      </c>
      <c r="L78" s="94">
        <f t="shared" si="28"/>
        <v>6.6570746755744842E-2</v>
      </c>
      <c r="M78" s="94">
        <f t="shared" si="28"/>
        <v>6.3683826089508205E-2</v>
      </c>
      <c r="N78" s="94">
        <f t="shared" si="28"/>
        <v>6.0717742223266501E-2</v>
      </c>
      <c r="O78" s="94">
        <f t="shared" si="28"/>
        <v>5.9807464562091836E-2</v>
      </c>
      <c r="P78" s="94">
        <f t="shared" si="28"/>
        <v>6.0383926262908671E-2</v>
      </c>
      <c r="Q78" s="94">
        <f t="shared" si="28"/>
        <v>6.0294542727568859E-2</v>
      </c>
      <c r="R78" s="94">
        <f t="shared" si="28"/>
        <v>6.0930647872457097E-2</v>
      </c>
      <c r="S78" s="94">
        <f t="shared" si="28"/>
        <v>6.0950580073543023E-2</v>
      </c>
      <c r="T78" s="94">
        <f t="shared" si="28"/>
        <v>5.9421300211642124E-2</v>
      </c>
      <c r="U78" s="94">
        <f t="shared" si="28"/>
        <v>5.614044973240967E-2</v>
      </c>
      <c r="V78" s="94">
        <f t="shared" si="28"/>
        <v>5.8958807069708664E-2</v>
      </c>
      <c r="W78" s="94">
        <f t="shared" si="28"/>
        <v>5.9820991307377593E-2</v>
      </c>
      <c r="X78" s="94">
        <f t="shared" si="28"/>
        <v>5.872935405529657E-2</v>
      </c>
      <c r="Y78" s="94">
        <f t="shared" si="28"/>
        <v>5.8876536243019993E-2</v>
      </c>
      <c r="Z78" s="94">
        <f t="shared" si="28"/>
        <v>5.9681470967638026E-2</v>
      </c>
      <c r="AA78" s="94">
        <f t="shared" si="28"/>
        <v>6.0279868055777806E-2</v>
      </c>
      <c r="AB78" s="94">
        <f t="shared" si="28"/>
        <v>6.0186652771091489E-2</v>
      </c>
      <c r="AC78" s="94">
        <f t="shared" si="28"/>
        <v>6.0943863726813742E-2</v>
      </c>
      <c r="AD78" s="94">
        <f t="shared" si="28"/>
        <v>6.0555980488357787E-2</v>
      </c>
      <c r="AE78" s="94">
        <f t="shared" si="28"/>
        <v>6.0171491551737941E-2</v>
      </c>
      <c r="AF78" s="94">
        <f t="shared" si="28"/>
        <v>5.5819523924350245E-2</v>
      </c>
      <c r="AG78" s="94">
        <f t="shared" si="28"/>
        <v>6.1458722381739106E-2</v>
      </c>
      <c r="AH78" s="94">
        <f t="shared" si="28"/>
        <v>6.1751983325807683E-2</v>
      </c>
      <c r="AI78" s="94">
        <f t="shared" si="28"/>
        <v>0.28487297164991215</v>
      </c>
      <c r="AJ78" s="94">
        <f t="shared" si="28"/>
        <v>0.12136686748129226</v>
      </c>
      <c r="AK78" s="94">
        <f t="shared" si="28"/>
        <v>8.6095602833800036E-2</v>
      </c>
      <c r="AL78" s="94">
        <f t="shared" si="28"/>
        <v>7.3423205203519248E-2</v>
      </c>
      <c r="AM78" s="94">
        <f t="shared" si="28"/>
        <v>6.7822743104276051E-2</v>
      </c>
      <c r="AN78" s="94">
        <f t="shared" si="28"/>
        <v>6.5096382415307935E-2</v>
      </c>
      <c r="AO78" s="94">
        <f t="shared" si="28"/>
        <v>6.3700681218733041E-2</v>
      </c>
      <c r="AP78" s="94">
        <f t="shared" si="28"/>
        <v>6.2964659571466269E-2</v>
      </c>
      <c r="AQ78" s="94">
        <f t="shared" si="28"/>
        <v>6.2568172683742207E-2</v>
      </c>
      <c r="AR78" s="94">
        <f t="shared" si="28"/>
        <v>6.2350388205553366E-2</v>
      </c>
      <c r="AS78" s="94">
        <f t="shared" si="28"/>
        <v>6.2228164134546536E-2</v>
      </c>
      <c r="AT78" s="94">
        <f t="shared" si="28"/>
        <v>6.2157815448483325E-2</v>
      </c>
      <c r="AU78" s="94">
        <f t="shared" si="28"/>
        <v>6.2116157046040711E-2</v>
      </c>
      <c r="AV78" s="94">
        <f t="shared" si="28"/>
        <v>6.2090791174528981E-2</v>
      </c>
      <c r="AW78" s="94">
        <f t="shared" si="28"/>
        <v>6.2075038742982605E-2</v>
      </c>
      <c r="AX78" s="94">
        <f t="shared" si="28"/>
        <v>6.2065266844062536E-2</v>
      </c>
      <c r="AY78" s="94">
        <f t="shared" si="28"/>
        <v>6.2059471484186592E-2</v>
      </c>
      <c r="AZ78" s="94">
        <f t="shared" si="28"/>
        <v>6.2056523367582606E-2</v>
      </c>
      <c r="BA78" s="94">
        <f t="shared" si="28"/>
        <v>6.2055765580177356E-2</v>
      </c>
      <c r="BB78" s="94">
        <f t="shared" si="28"/>
        <v>6.2056798541471059E-2</v>
      </c>
      <c r="BC78" s="94">
        <f t="shared" si="28"/>
        <v>6.2059364781376782E-2</v>
      </c>
      <c r="BD78" s="94">
        <f t="shared" si="28"/>
        <v>6.2063286995259113E-2</v>
      </c>
      <c r="BE78" s="94">
        <f t="shared" si="28"/>
        <v>6.2068434567337884E-2</v>
      </c>
      <c r="BF78" s="94">
        <f t="shared" si="28"/>
        <v>6.2067187483979235E-2</v>
      </c>
      <c r="BG78" s="94">
        <f t="shared" si="28"/>
        <v>6.2067112427156276E-2</v>
      </c>
      <c r="BH78" s="94">
        <f t="shared" si="28"/>
        <v>6.2070095652003367E-2</v>
      </c>
      <c r="BI78" s="94">
        <f t="shared" si="28"/>
        <v>6.207606993489323E-2</v>
      </c>
    </row>
    <row r="79" spans="1:66" s="100" customFormat="1" ht="18" customHeight="1" x14ac:dyDescent="0.2">
      <c r="A79" s="98" t="s">
        <v>70</v>
      </c>
      <c r="B79" s="93">
        <f>+C134</f>
        <v>7.5378679794486647E-3</v>
      </c>
      <c r="C79" s="94">
        <f t="shared" ref="C79:BI79" si="29">+D134</f>
        <v>1.4735114808744232E-2</v>
      </c>
      <c r="D79" s="94">
        <f t="shared" si="29"/>
        <v>1.4238720058637355E-2</v>
      </c>
      <c r="E79" s="94">
        <f t="shared" si="29"/>
        <v>1.8824914907590973E-2</v>
      </c>
      <c r="F79" s="94">
        <f t="shared" si="29"/>
        <v>2.1698740952551976E-2</v>
      </c>
      <c r="G79" s="94">
        <f t="shared" si="29"/>
        <v>2.1781948749938884E-2</v>
      </c>
      <c r="H79" s="94">
        <f t="shared" si="29"/>
        <v>2.324250337044842E-2</v>
      </c>
      <c r="I79" s="94">
        <f t="shared" si="29"/>
        <v>2.277185025870998E-2</v>
      </c>
      <c r="J79" s="94">
        <f t="shared" si="29"/>
        <v>2.1403928800471705E-2</v>
      </c>
      <c r="K79" s="94">
        <f t="shared" si="29"/>
        <v>2.1532601128471329E-2</v>
      </c>
      <c r="L79" s="94">
        <f t="shared" si="29"/>
        <v>1.5052159178880142E-2</v>
      </c>
      <c r="M79" s="94">
        <f t="shared" si="29"/>
        <v>1.6374717666289396E-2</v>
      </c>
      <c r="N79" s="94">
        <f t="shared" si="29"/>
        <v>1.6487319458760696E-2</v>
      </c>
      <c r="O79" s="94">
        <f t="shared" si="29"/>
        <v>1.8747990951629934E-2</v>
      </c>
      <c r="P79" s="94">
        <f t="shared" si="29"/>
        <v>1.7926640251948678E-2</v>
      </c>
      <c r="Q79" s="94">
        <f t="shared" si="29"/>
        <v>1.961399330274749E-2</v>
      </c>
      <c r="R79" s="94">
        <f t="shared" si="29"/>
        <v>1.9079153148440664E-2</v>
      </c>
      <c r="S79" s="94">
        <f t="shared" si="29"/>
        <v>1.521261809582497E-2</v>
      </c>
      <c r="T79" s="94">
        <f t="shared" si="29"/>
        <v>7.8281539178521875E-3</v>
      </c>
      <c r="U79" s="94">
        <f t="shared" si="29"/>
        <v>1.8120609330790183E-2</v>
      </c>
      <c r="V79" s="94">
        <f t="shared" si="29"/>
        <v>1.7597245457597666E-2</v>
      </c>
      <c r="W79" s="94">
        <f t="shared" si="29"/>
        <v>1.3972943387161152E-2</v>
      </c>
      <c r="X79" s="94">
        <f t="shared" si="29"/>
        <v>1.5292533553356913E-2</v>
      </c>
      <c r="Y79" s="94">
        <f t="shared" si="29"/>
        <v>1.7182930577901434E-2</v>
      </c>
      <c r="Z79" s="94">
        <f t="shared" si="29"/>
        <v>1.7888631133442079E-2</v>
      </c>
      <c r="AA79" s="94">
        <f t="shared" si="29"/>
        <v>1.667102295159717E-2</v>
      </c>
      <c r="AB79" s="94">
        <f t="shared" si="29"/>
        <v>1.8866176959021264E-2</v>
      </c>
      <c r="AC79" s="94">
        <f t="shared" si="29"/>
        <v>1.7245568467970429E-2</v>
      </c>
      <c r="AD79" s="94">
        <f t="shared" si="29"/>
        <v>1.6503901347750816E-2</v>
      </c>
      <c r="AE79" s="94">
        <f t="shared" si="29"/>
        <v>5.9126636589399428E-3</v>
      </c>
      <c r="AF79" s="94">
        <f t="shared" si="29"/>
        <v>2.517001776699912E-2</v>
      </c>
      <c r="AG79" s="94">
        <f t="shared" si="29"/>
        <v>2.0662402526624657E-2</v>
      </c>
      <c r="AH79" s="94">
        <f t="shared" si="29"/>
        <v>0.28320590956551661</v>
      </c>
      <c r="AI79" s="94">
        <f t="shared" si="29"/>
        <v>7.8218899037936884E-2</v>
      </c>
      <c r="AJ79" s="94">
        <f t="shared" si="29"/>
        <v>4.3360654974174295E-2</v>
      </c>
      <c r="AK79" s="94">
        <f t="shared" si="29"/>
        <v>3.1123518563401342E-2</v>
      </c>
      <c r="AL79" s="94">
        <f t="shared" si="29"/>
        <v>2.5820468507609551E-2</v>
      </c>
      <c r="AM79" s="94">
        <f t="shared" si="29"/>
        <v>2.3256525977538356E-2</v>
      </c>
      <c r="AN79" s="94">
        <f t="shared" si="29"/>
        <v>2.1939044852600231E-2</v>
      </c>
      <c r="AO79" s="94">
        <f t="shared" si="29"/>
        <v>2.1234089089651853E-2</v>
      </c>
      <c r="AP79" s="94">
        <f t="shared" si="29"/>
        <v>2.0843358897209674E-2</v>
      </c>
      <c r="AQ79" s="94">
        <f t="shared" si="29"/>
        <v>2.0618116805958264E-2</v>
      </c>
      <c r="AR79" s="94">
        <f t="shared" si="29"/>
        <v>2.0481740956028283E-2</v>
      </c>
      <c r="AS79" s="94">
        <f t="shared" si="29"/>
        <v>2.0394004346422134E-2</v>
      </c>
      <c r="AT79" s="94">
        <f t="shared" si="29"/>
        <v>2.0333527176999544E-2</v>
      </c>
      <c r="AU79" s="94">
        <f t="shared" si="29"/>
        <v>2.0288833427992259E-2</v>
      </c>
      <c r="AV79" s="94">
        <f t="shared" si="29"/>
        <v>2.0253696725744952E-2</v>
      </c>
      <c r="AW79" s="94">
        <f t="shared" si="29"/>
        <v>2.0224689880683044E-2</v>
      </c>
      <c r="AX79" s="94">
        <f t="shared" si="29"/>
        <v>2.0199886055682903E-2</v>
      </c>
      <c r="AY79" s="94">
        <f t="shared" si="29"/>
        <v>2.0178167522208801E-2</v>
      </c>
      <c r="AZ79" s="94">
        <f t="shared" si="29"/>
        <v>2.0158856686933957E-2</v>
      </c>
      <c r="BA79" s="94">
        <f t="shared" si="29"/>
        <v>2.0141518584092077E-2</v>
      </c>
      <c r="BB79" s="94">
        <f t="shared" si="29"/>
        <v>2.0125854777898411E-2</v>
      </c>
      <c r="BC79" s="94">
        <f t="shared" si="29"/>
        <v>2.0111646071671707E-2</v>
      </c>
      <c r="BD79" s="94">
        <f t="shared" si="29"/>
        <v>2.0138665390632138E-2</v>
      </c>
      <c r="BE79" s="94">
        <f t="shared" si="29"/>
        <v>2.0112707806542174E-2</v>
      </c>
      <c r="BF79" s="94">
        <f t="shared" si="29"/>
        <v>2.0091078169310439E-2</v>
      </c>
      <c r="BG79" s="94">
        <f t="shared" si="29"/>
        <v>2.0073906112795914E-2</v>
      </c>
      <c r="BH79" s="94">
        <f t="shared" si="29"/>
        <v>1.4999999999999902E-2</v>
      </c>
      <c r="BI79" s="94">
        <f t="shared" si="29"/>
        <v>0</v>
      </c>
    </row>
    <row r="80" spans="1:66" s="94" customFormat="1" ht="18" customHeight="1" x14ac:dyDescent="0.2">
      <c r="A80" s="123" t="s">
        <v>107</v>
      </c>
      <c r="B80" s="124"/>
      <c r="C80" s="125"/>
      <c r="D80" s="125"/>
      <c r="E80" s="125"/>
      <c r="F80" s="125"/>
      <c r="G80" s="125"/>
      <c r="H80" s="125"/>
      <c r="I80" s="125"/>
      <c r="J80" s="125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  <c r="AI80" s="126"/>
      <c r="AJ80" s="126"/>
      <c r="AK80" s="126"/>
      <c r="AL80" s="126"/>
      <c r="AM80" s="126"/>
      <c r="AN80" s="126"/>
      <c r="AO80" s="126"/>
      <c r="AP80" s="126"/>
      <c r="AQ80" s="126"/>
      <c r="AR80" s="126"/>
      <c r="AS80" s="126"/>
      <c r="AT80" s="126"/>
      <c r="AU80" s="126"/>
      <c r="AV80" s="126"/>
      <c r="AW80" s="126"/>
      <c r="AX80" s="126"/>
      <c r="AY80" s="126"/>
      <c r="AZ80" s="126"/>
      <c r="BA80" s="126"/>
      <c r="BB80" s="126"/>
      <c r="BC80" s="126"/>
      <c r="BD80" s="126"/>
      <c r="BE80" s="126"/>
      <c r="BF80" s="126"/>
      <c r="BG80" s="126"/>
      <c r="BH80" s="126"/>
      <c r="BI80" s="126"/>
      <c r="BJ80" s="126"/>
    </row>
    <row r="81" spans="1:66" s="23" customFormat="1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</row>
    <row r="83" spans="1:66" s="94" customFormat="1" ht="18" customHeight="1" x14ac:dyDescent="0.2">
      <c r="A83" s="92" t="s">
        <v>117</v>
      </c>
      <c r="B83" s="93"/>
    </row>
    <row r="84" spans="1:66" s="381" customFormat="1" ht="18" customHeight="1" x14ac:dyDescent="0.2">
      <c r="A84" s="410" t="s">
        <v>98</v>
      </c>
      <c r="B84" s="383">
        <f>B68-B73</f>
        <v>11.664575074418645</v>
      </c>
      <c r="C84" s="381">
        <f t="shared" ref="C84:BH84" si="30">C68-C73</f>
        <v>11.597855505492525</v>
      </c>
      <c r="D84" s="381">
        <f>D68-D73</f>
        <v>11.853943241752306</v>
      </c>
      <c r="E84" s="381">
        <f>E68-E73</f>
        <v>11.90934267797482</v>
      </c>
      <c r="F84" s="381">
        <f t="shared" si="30"/>
        <v>12.211622521730812</v>
      </c>
      <c r="G84" s="381">
        <f t="shared" si="30"/>
        <v>12.562751175642221</v>
      </c>
      <c r="H84" s="381">
        <f t="shared" si="30"/>
        <v>12.823928749674323</v>
      </c>
      <c r="I84" s="381">
        <f t="shared" si="30"/>
        <v>13.215788259498922</v>
      </c>
      <c r="J84" s="381">
        <f>J68-J73</f>
        <v>13.577912740350177</v>
      </c>
      <c r="K84" s="381">
        <f t="shared" si="30"/>
        <v>13.826046251235912</v>
      </c>
      <c r="L84" s="381">
        <f>L68-L73</f>
        <v>14.290763578561606</v>
      </c>
      <c r="M84" s="381">
        <f t="shared" si="30"/>
        <v>14.35868847947599</v>
      </c>
      <c r="N84" s="381">
        <f t="shared" si="30"/>
        <v>14.552716624568246</v>
      </c>
      <c r="O84" s="381">
        <f t="shared" si="30"/>
        <v>14.760263734754119</v>
      </c>
      <c r="P84" s="381">
        <f t="shared" si="30"/>
        <v>15.194141359144421</v>
      </c>
      <c r="Q84" s="381">
        <f t="shared" si="30"/>
        <v>15.556896972463711</v>
      </c>
      <c r="R84" s="381">
        <f t="shared" si="30"/>
        <v>16.105164546202943</v>
      </c>
      <c r="S84" s="381">
        <f t="shared" si="30"/>
        <v>16.614536350696905</v>
      </c>
      <c r="T84" s="381">
        <f t="shared" si="30"/>
        <v>16.711106843657724</v>
      </c>
      <c r="U84" s="381">
        <f t="shared" si="30"/>
        <v>16.009781366557892</v>
      </c>
      <c r="V84" s="381">
        <f t="shared" si="30"/>
        <v>16.428281373929948</v>
      </c>
      <c r="W84" s="381">
        <f t="shared" si="30"/>
        <v>16.815834344011908</v>
      </c>
      <c r="X84" s="381">
        <f t="shared" si="30"/>
        <v>16.807933987526589</v>
      </c>
      <c r="Y84" s="381">
        <f t="shared" si="30"/>
        <v>16.946333649205343</v>
      </c>
      <c r="Z84" s="381">
        <f t="shared" si="30"/>
        <v>17.299078925361748</v>
      </c>
      <c r="AA84" s="381">
        <f t="shared" si="30"/>
        <v>17.741004580506967</v>
      </c>
      <c r="AB84" s="381">
        <f t="shared" si="30"/>
        <v>18.049616596500126</v>
      </c>
      <c r="AC84" s="381">
        <f t="shared" si="30"/>
        <v>18.629552365979364</v>
      </c>
      <c r="AD84" s="381">
        <f t="shared" si="30"/>
        <v>19.025143151695119</v>
      </c>
      <c r="AE84" s="381">
        <f t="shared" si="30"/>
        <v>19.3348913066921</v>
      </c>
      <c r="AF84" s="381">
        <f t="shared" si="30"/>
        <v>18.266983357489647</v>
      </c>
      <c r="AG84" s="381">
        <f t="shared" si="30"/>
        <v>19.522369418885731</v>
      </c>
      <c r="AH84" s="381">
        <f t="shared" si="30"/>
        <v>20.260011765710125</v>
      </c>
      <c r="AI84" s="381">
        <f t="shared" si="30"/>
        <v>96.718247415914803</v>
      </c>
      <c r="AJ84" s="381">
        <f t="shared" si="30"/>
        <v>144.69307150489169</v>
      </c>
      <c r="AK84" s="381">
        <f t="shared" si="30"/>
        <v>173.87500578662633</v>
      </c>
      <c r="AL84" s="381">
        <f t="shared" si="30"/>
        <v>193.13819135927827</v>
      </c>
      <c r="AM84" s="381">
        <f t="shared" si="30"/>
        <v>207.28614809622405</v>
      </c>
      <c r="AN84" s="381">
        <f t="shared" si="30"/>
        <v>218.78967359313557</v>
      </c>
      <c r="AO84" s="381">
        <f t="shared" si="30"/>
        <v>228.95659341345146</v>
      </c>
      <c r="AP84" s="381">
        <f t="shared" si="30"/>
        <v>238.49625361600266</v>
      </c>
      <c r="AQ84" s="381">
        <f t="shared" si="30"/>
        <v>247.80039739955413</v>
      </c>
      <c r="AR84" s="381">
        <f t="shared" si="30"/>
        <v>257.08902536193762</v>
      </c>
      <c r="AS84" s="381">
        <f t="shared" si="30"/>
        <v>266.48832024500757</v>
      </c>
      <c r="AT84" s="381">
        <f t="shared" si="30"/>
        <v>276.07296850576449</v>
      </c>
      <c r="AU84" s="381">
        <f t="shared" si="30"/>
        <v>285.88935575191624</v>
      </c>
      <c r="AV84" s="381">
        <f t="shared" si="30"/>
        <v>295.9683430943038</v>
      </c>
      <c r="AW84" s="381">
        <f t="shared" si="30"/>
        <v>306.3323245650484</v>
      </c>
      <c r="AX84" s="381">
        <f t="shared" si="30"/>
        <v>316.99913301617892</v>
      </c>
      <c r="AY84" s="381">
        <f t="shared" si="30"/>
        <v>327.98420587574861</v>
      </c>
      <c r="AZ84" s="381">
        <f t="shared" si="30"/>
        <v>339.301789207328</v>
      </c>
      <c r="BA84" s="381">
        <f t="shared" si="30"/>
        <v>350.96561013641906</v>
      </c>
      <c r="BB84" s="381">
        <f t="shared" si="30"/>
        <v>362.98925542085817</v>
      </c>
      <c r="BC84" s="381">
        <f t="shared" si="30"/>
        <v>375.38638766831548</v>
      </c>
      <c r="BD84" s="381">
        <f t="shared" si="30"/>
        <v>388.17087193271419</v>
      </c>
      <c r="BE84" s="381">
        <f t="shared" si="30"/>
        <v>401.46163758360217</v>
      </c>
      <c r="BF84" s="381">
        <f t="shared" si="30"/>
        <v>415.13704365869927</v>
      </c>
      <c r="BG84" s="381">
        <f t="shared" si="30"/>
        <v>429.21761254258979</v>
      </c>
      <c r="BH84" s="381">
        <f t="shared" si="30"/>
        <v>443.72596384259305</v>
      </c>
      <c r="BI84" s="381">
        <f>+BH84</f>
        <v>443.72596384259305</v>
      </c>
    </row>
    <row r="85" spans="1:66" s="381" customFormat="1" ht="18" customHeight="1" x14ac:dyDescent="0.2">
      <c r="A85" s="411" t="s">
        <v>970</v>
      </c>
      <c r="B85" s="383">
        <f>+C85/C84*B84</f>
        <v>0.95592481002771812</v>
      </c>
      <c r="C85" s="383">
        <f>+(C74-B74)/10</f>
        <v>0.95045706766728666</v>
      </c>
      <c r="D85" s="383">
        <f t="shared" ref="D85:BI85" si="31">+(D74-C74)/10</f>
        <v>0.75384304268094771</v>
      </c>
      <c r="E85" s="383">
        <f t="shared" si="31"/>
        <v>0.26597332615500874</v>
      </c>
      <c r="F85" s="383">
        <f t="shared" si="31"/>
        <v>7.3718718655639753E-2</v>
      </c>
      <c r="G85" s="383">
        <f t="shared" si="31"/>
        <v>7.3683237909540372E-2</v>
      </c>
      <c r="H85" s="383">
        <f t="shared" si="31"/>
        <v>0.11557294213005491</v>
      </c>
      <c r="I85" s="383">
        <f t="shared" si="31"/>
        <v>0.13410390359189178</v>
      </c>
      <c r="J85" s="383">
        <f t="shared" si="31"/>
        <v>0.17750413515726038</v>
      </c>
      <c r="K85" s="383">
        <f t="shared" si="31"/>
        <v>0.19122060795321474</v>
      </c>
      <c r="L85" s="383">
        <f t="shared" si="31"/>
        <v>0.26928303873693338</v>
      </c>
      <c r="M85" s="383">
        <f t="shared" si="31"/>
        <v>0.34070094621983243</v>
      </c>
      <c r="N85" s="383">
        <f t="shared" si="31"/>
        <v>0.3607373366278594</v>
      </c>
      <c r="O85" s="383">
        <f t="shared" si="31"/>
        <v>0.18061451061294065</v>
      </c>
      <c r="P85" s="383">
        <f t="shared" si="31"/>
        <v>0.12163008162842388</v>
      </c>
      <c r="Q85" s="383">
        <f t="shared" si="31"/>
        <v>0.16502544858923046</v>
      </c>
      <c r="R85" s="383">
        <f t="shared" si="31"/>
        <v>0.16005709471621116</v>
      </c>
      <c r="S85" s="383">
        <f t="shared" si="31"/>
        <v>0.21075120563123165</v>
      </c>
      <c r="T85" s="383">
        <f t="shared" si="31"/>
        <v>0.21743503937762937</v>
      </c>
      <c r="U85" s="383">
        <f t="shared" si="31"/>
        <v>0.10310614227226438</v>
      </c>
      <c r="V85" s="383">
        <f t="shared" si="31"/>
        <v>-0.16224667294331993</v>
      </c>
      <c r="W85" s="383">
        <f t="shared" si="31"/>
        <v>6.1697964671029129E-2</v>
      </c>
      <c r="X85" s="383">
        <f t="shared" si="31"/>
        <v>0.13103686726121139</v>
      </c>
      <c r="Y85" s="383">
        <f t="shared" si="31"/>
        <v>4.3457056137937398E-2</v>
      </c>
      <c r="Z85" s="383">
        <f t="shared" si="31"/>
        <v>5.4264871397714388E-2</v>
      </c>
      <c r="AA85" s="383">
        <f t="shared" si="31"/>
        <v>0.11860830559129169</v>
      </c>
      <c r="AB85" s="383">
        <f t="shared" si="31"/>
        <v>0.16624622814504875</v>
      </c>
      <c r="AC85" s="383">
        <f t="shared" si="31"/>
        <v>0.14518154340980943</v>
      </c>
      <c r="AD85" s="383">
        <f t="shared" si="31"/>
        <v>0.21451398837227628</v>
      </c>
      <c r="AE85" s="383">
        <f t="shared" si="31"/>
        <v>0.18659204090176046</v>
      </c>
      <c r="AF85" s="383">
        <f t="shared" si="31"/>
        <v>0.15259676737761793</v>
      </c>
      <c r="AG85" s="383">
        <f t="shared" si="31"/>
        <v>-0.24858812427092261</v>
      </c>
      <c r="AH85" s="383">
        <f t="shared" si="31"/>
        <v>0.26810011933074518</v>
      </c>
      <c r="AI85" s="383">
        <f t="shared" si="31"/>
        <v>0.30194159499433793</v>
      </c>
      <c r="AJ85" s="383">
        <f t="shared" si="31"/>
        <v>21.712703012009321</v>
      </c>
      <c r="AK85" s="383">
        <f t="shared" si="31"/>
        <v>21.128640688372617</v>
      </c>
      <c r="AL85" s="383">
        <f t="shared" si="31"/>
        <v>15.614040183395218</v>
      </c>
      <c r="AM85" s="383">
        <f t="shared" si="31"/>
        <v>10.888137322811781</v>
      </c>
      <c r="AN85" s="383">
        <f t="shared" si="31"/>
        <v>7.7947314668976331</v>
      </c>
      <c r="AO85" s="383">
        <f t="shared" si="31"/>
        <v>5.9688000261653773</v>
      </c>
      <c r="AP85" s="383">
        <f t="shared" si="31"/>
        <v>4.9544066523591708</v>
      </c>
      <c r="AQ85" s="383">
        <f t="shared" si="31"/>
        <v>4.4234433181059902</v>
      </c>
      <c r="AR85" s="383">
        <f t="shared" si="31"/>
        <v>4.1717499095662447</v>
      </c>
      <c r="AS85" s="383">
        <f t="shared" si="31"/>
        <v>4.0796050074593495</v>
      </c>
      <c r="AT85" s="383">
        <f t="shared" si="31"/>
        <v>4.0787510090604204</v>
      </c>
      <c r="AU85" s="383">
        <f t="shared" si="31"/>
        <v>4.130834890869596</v>
      </c>
      <c r="AV85" s="383">
        <f t="shared" si="31"/>
        <v>4.2144858401371037</v>
      </c>
      <c r="AW85" s="383">
        <f t="shared" si="31"/>
        <v>4.3178650263867437</v>
      </c>
      <c r="AX85" s="383">
        <f t="shared" si="31"/>
        <v>4.4344516722277829</v>
      </c>
      <c r="AY85" s="383">
        <f t="shared" si="31"/>
        <v>4.5606831142838473</v>
      </c>
      <c r="AZ85" s="383">
        <f t="shared" si="31"/>
        <v>4.6946401716454833</v>
      </c>
      <c r="BA85" s="383">
        <f t="shared" si="31"/>
        <v>4.8353169826385738</v>
      </c>
      <c r="BB85" s="383">
        <f t="shared" si="31"/>
        <v>4.9822161708789734</v>
      </c>
      <c r="BC85" s="383">
        <f t="shared" si="31"/>
        <v>5.1351246434458293</v>
      </c>
      <c r="BD85" s="383">
        <f t="shared" si="31"/>
        <v>5.2939895349173636</v>
      </c>
      <c r="BE85" s="383">
        <f t="shared" si="31"/>
        <v>5.4588496244327418</v>
      </c>
      <c r="BF85" s="383">
        <f t="shared" si="31"/>
        <v>5.6594100557603726</v>
      </c>
      <c r="BG85" s="383">
        <f t="shared" si="31"/>
        <v>5.8380421734363157</v>
      </c>
      <c r="BH85" s="383">
        <f t="shared" si="31"/>
        <v>6.0148280740568678</v>
      </c>
      <c r="BI85" s="383">
        <f t="shared" si="31"/>
        <v>6.1973626357992089</v>
      </c>
    </row>
    <row r="86" spans="1:66" s="381" customFormat="1" ht="19.5" customHeight="1" x14ac:dyDescent="0.2">
      <c r="A86" s="411" t="s">
        <v>973</v>
      </c>
      <c r="B86" s="383">
        <f t="shared" ref="B86:AG86" si="32">+(1-$B$98)*(1-$B$99)*B46*B123*(B120-B124)/1000</f>
        <v>0</v>
      </c>
      <c r="C86" s="383">
        <f t="shared" si="32"/>
        <v>0</v>
      </c>
      <c r="D86" s="383">
        <f t="shared" si="32"/>
        <v>0</v>
      </c>
      <c r="E86" s="383">
        <f t="shared" si="32"/>
        <v>0</v>
      </c>
      <c r="F86" s="383">
        <f t="shared" si="32"/>
        <v>0</v>
      </c>
      <c r="G86" s="383">
        <f t="shared" si="32"/>
        <v>0</v>
      </c>
      <c r="H86" s="383">
        <f t="shared" si="32"/>
        <v>0</v>
      </c>
      <c r="I86" s="383">
        <f t="shared" si="32"/>
        <v>0</v>
      </c>
      <c r="J86" s="383">
        <f t="shared" si="32"/>
        <v>0</v>
      </c>
      <c r="K86" s="383">
        <f t="shared" si="32"/>
        <v>0</v>
      </c>
      <c r="L86" s="383">
        <f t="shared" si="32"/>
        <v>0</v>
      </c>
      <c r="M86" s="383">
        <f t="shared" si="32"/>
        <v>0</v>
      </c>
      <c r="N86" s="383">
        <f t="shared" si="32"/>
        <v>0</v>
      </c>
      <c r="O86" s="383">
        <f t="shared" si="32"/>
        <v>0</v>
      </c>
      <c r="P86" s="383">
        <f t="shared" si="32"/>
        <v>0</v>
      </c>
      <c r="Q86" s="383">
        <f t="shared" si="32"/>
        <v>0</v>
      </c>
      <c r="R86" s="383">
        <f t="shared" si="32"/>
        <v>0</v>
      </c>
      <c r="S86" s="383">
        <f t="shared" si="32"/>
        <v>0</v>
      </c>
      <c r="T86" s="383">
        <f t="shared" si="32"/>
        <v>0</v>
      </c>
      <c r="U86" s="383">
        <f t="shared" si="32"/>
        <v>0</v>
      </c>
      <c r="V86" s="383">
        <f t="shared" si="32"/>
        <v>0</v>
      </c>
      <c r="W86" s="383">
        <f t="shared" si="32"/>
        <v>0</v>
      </c>
      <c r="X86" s="383">
        <f t="shared" si="32"/>
        <v>0</v>
      </c>
      <c r="Y86" s="383">
        <f t="shared" si="32"/>
        <v>0</v>
      </c>
      <c r="Z86" s="383">
        <f t="shared" si="32"/>
        <v>0</v>
      </c>
      <c r="AA86" s="383">
        <f t="shared" si="32"/>
        <v>0</v>
      </c>
      <c r="AB86" s="383">
        <f t="shared" si="32"/>
        <v>0</v>
      </c>
      <c r="AC86" s="383">
        <f t="shared" si="32"/>
        <v>0</v>
      </c>
      <c r="AD86" s="383">
        <f t="shared" si="32"/>
        <v>0</v>
      </c>
      <c r="AE86" s="383">
        <f t="shared" si="32"/>
        <v>0</v>
      </c>
      <c r="AF86" s="383">
        <f t="shared" si="32"/>
        <v>0</v>
      </c>
      <c r="AG86" s="383">
        <f t="shared" si="32"/>
        <v>0</v>
      </c>
      <c r="AH86" s="383">
        <f t="shared" ref="AH86:BI86" si="33">+(1-$B$98)*(1-$B$99)*AH46*AH123*(AH120-AH124)/1000</f>
        <v>0</v>
      </c>
      <c r="AI86" s="383">
        <f t="shared" si="33"/>
        <v>0</v>
      </c>
      <c r="AJ86" s="383">
        <f t="shared" si="33"/>
        <v>0</v>
      </c>
      <c r="AK86" s="383">
        <f t="shared" si="33"/>
        <v>0</v>
      </c>
      <c r="AL86" s="383">
        <f t="shared" si="33"/>
        <v>0</v>
      </c>
      <c r="AM86" s="383">
        <f t="shared" si="33"/>
        <v>0</v>
      </c>
      <c r="AN86" s="383">
        <f t="shared" si="33"/>
        <v>0</v>
      </c>
      <c r="AO86" s="383">
        <f t="shared" si="33"/>
        <v>0</v>
      </c>
      <c r="AP86" s="383">
        <f t="shared" si="33"/>
        <v>0</v>
      </c>
      <c r="AQ86" s="383">
        <f t="shared" si="33"/>
        <v>0</v>
      </c>
      <c r="AR86" s="383">
        <f t="shared" si="33"/>
        <v>0</v>
      </c>
      <c r="AS86" s="383">
        <f t="shared" si="33"/>
        <v>0</v>
      </c>
      <c r="AT86" s="383">
        <f t="shared" si="33"/>
        <v>0</v>
      </c>
      <c r="AU86" s="383">
        <f t="shared" si="33"/>
        <v>0</v>
      </c>
      <c r="AV86" s="383">
        <f t="shared" si="33"/>
        <v>0</v>
      </c>
      <c r="AW86" s="383">
        <f t="shared" si="33"/>
        <v>0</v>
      </c>
      <c r="AX86" s="383">
        <f t="shared" si="33"/>
        <v>0</v>
      </c>
      <c r="AY86" s="383">
        <f t="shared" si="33"/>
        <v>0</v>
      </c>
      <c r="AZ86" s="383">
        <f t="shared" si="33"/>
        <v>0</v>
      </c>
      <c r="BA86" s="383">
        <f t="shared" si="33"/>
        <v>0</v>
      </c>
      <c r="BB86" s="383">
        <f t="shared" si="33"/>
        <v>0</v>
      </c>
      <c r="BC86" s="383">
        <f t="shared" si="33"/>
        <v>0</v>
      </c>
      <c r="BD86" s="383">
        <f t="shared" si="33"/>
        <v>0</v>
      </c>
      <c r="BE86" s="383">
        <f t="shared" si="33"/>
        <v>0</v>
      </c>
      <c r="BF86" s="383">
        <f t="shared" si="33"/>
        <v>0</v>
      </c>
      <c r="BG86" s="383">
        <f t="shared" si="33"/>
        <v>0</v>
      </c>
      <c r="BH86" s="383">
        <f t="shared" si="33"/>
        <v>0</v>
      </c>
      <c r="BI86" s="383">
        <f t="shared" si="33"/>
        <v>0</v>
      </c>
    </row>
    <row r="87" spans="1:66" s="381" customFormat="1" ht="18" customHeight="1" x14ac:dyDescent="0.2">
      <c r="A87" s="410" t="s">
        <v>972</v>
      </c>
      <c r="B87" s="383">
        <f>+SUM(B84:B86)</f>
        <v>12.620499884446362</v>
      </c>
      <c r="C87" s="383">
        <f>+SUM(C84:C86)</f>
        <v>12.548312573159812</v>
      </c>
      <c r="D87" s="383">
        <f t="shared" ref="D87:BI87" si="34">+SUM(D84:D86)</f>
        <v>12.607786284433255</v>
      </c>
      <c r="E87" s="383">
        <f t="shared" si="34"/>
        <v>12.175316004129829</v>
      </c>
      <c r="F87" s="383">
        <f t="shared" si="34"/>
        <v>12.285341240386451</v>
      </c>
      <c r="G87" s="383">
        <f t="shared" si="34"/>
        <v>12.636434413551761</v>
      </c>
      <c r="H87" s="383">
        <f t="shared" si="34"/>
        <v>12.939501691804377</v>
      </c>
      <c r="I87" s="383">
        <f t="shared" si="34"/>
        <v>13.349892163090814</v>
      </c>
      <c r="J87" s="383">
        <f t="shared" si="34"/>
        <v>13.755416875507438</v>
      </c>
      <c r="K87" s="383">
        <f t="shared" si="34"/>
        <v>14.017266859189126</v>
      </c>
      <c r="L87" s="383">
        <f t="shared" si="34"/>
        <v>14.560046617298539</v>
      </c>
      <c r="M87" s="383">
        <f t="shared" si="34"/>
        <v>14.699389425695824</v>
      </c>
      <c r="N87" s="383">
        <f t="shared" si="34"/>
        <v>14.913453961196106</v>
      </c>
      <c r="O87" s="383">
        <f t="shared" si="34"/>
        <v>14.94087824536706</v>
      </c>
      <c r="P87" s="383">
        <f t="shared" si="34"/>
        <v>15.315771440772846</v>
      </c>
      <c r="Q87" s="383">
        <f t="shared" si="34"/>
        <v>15.721922421052941</v>
      </c>
      <c r="R87" s="383">
        <f t="shared" si="34"/>
        <v>16.265221640919155</v>
      </c>
      <c r="S87" s="383">
        <f t="shared" si="34"/>
        <v>16.825287556328139</v>
      </c>
      <c r="T87" s="383">
        <f t="shared" si="34"/>
        <v>16.928541883035354</v>
      </c>
      <c r="U87" s="383">
        <f t="shared" si="34"/>
        <v>16.112887508830156</v>
      </c>
      <c r="V87" s="383">
        <f t="shared" si="34"/>
        <v>16.26603470098663</v>
      </c>
      <c r="W87" s="383">
        <f t="shared" si="34"/>
        <v>16.877532308682937</v>
      </c>
      <c r="X87" s="383">
        <f t="shared" si="34"/>
        <v>16.938970854787801</v>
      </c>
      <c r="Y87" s="383">
        <f t="shared" si="34"/>
        <v>16.989790705343282</v>
      </c>
      <c r="Z87" s="383">
        <f t="shared" si="34"/>
        <v>17.353343796759461</v>
      </c>
      <c r="AA87" s="383">
        <f t="shared" si="34"/>
        <v>17.859612886098258</v>
      </c>
      <c r="AB87" s="383">
        <f t="shared" si="34"/>
        <v>18.215862824645175</v>
      </c>
      <c r="AC87" s="383">
        <f t="shared" si="34"/>
        <v>18.774733909389173</v>
      </c>
      <c r="AD87" s="383">
        <f t="shared" si="34"/>
        <v>19.239657140067393</v>
      </c>
      <c r="AE87" s="383">
        <f t="shared" si="34"/>
        <v>19.521483347593861</v>
      </c>
      <c r="AF87" s="383">
        <f t="shared" si="34"/>
        <v>18.419580124867263</v>
      </c>
      <c r="AG87" s="383">
        <f t="shared" si="34"/>
        <v>19.273781294614807</v>
      </c>
      <c r="AH87" s="383">
        <f t="shared" si="34"/>
        <v>20.528111885040872</v>
      </c>
      <c r="AI87" s="383">
        <f t="shared" si="34"/>
        <v>97.020189010909135</v>
      </c>
      <c r="AJ87" s="383">
        <f t="shared" si="34"/>
        <v>166.405774516901</v>
      </c>
      <c r="AK87" s="383">
        <f t="shared" si="34"/>
        <v>195.00364647499896</v>
      </c>
      <c r="AL87" s="383">
        <f t="shared" si="34"/>
        <v>208.75223154267348</v>
      </c>
      <c r="AM87" s="383">
        <f t="shared" si="34"/>
        <v>218.17428541903584</v>
      </c>
      <c r="AN87" s="383">
        <f t="shared" si="34"/>
        <v>226.58440506003322</v>
      </c>
      <c r="AO87" s="383">
        <f t="shared" si="34"/>
        <v>234.92539343961684</v>
      </c>
      <c r="AP87" s="383">
        <f t="shared" si="34"/>
        <v>243.45066026836184</v>
      </c>
      <c r="AQ87" s="383">
        <f t="shared" si="34"/>
        <v>252.22384071766012</v>
      </c>
      <c r="AR87" s="383">
        <f t="shared" si="34"/>
        <v>261.26077527150386</v>
      </c>
      <c r="AS87" s="383">
        <f t="shared" si="34"/>
        <v>270.56792525246692</v>
      </c>
      <c r="AT87" s="383">
        <f t="shared" si="34"/>
        <v>280.15171951482489</v>
      </c>
      <c r="AU87" s="383">
        <f t="shared" si="34"/>
        <v>290.02019064278585</v>
      </c>
      <c r="AV87" s="383">
        <f t="shared" si="34"/>
        <v>300.18282893444092</v>
      </c>
      <c r="AW87" s="383">
        <f t="shared" si="34"/>
        <v>310.65018959143515</v>
      </c>
      <c r="AX87" s="383">
        <f t="shared" si="34"/>
        <v>321.43358468840671</v>
      </c>
      <c r="AY87" s="383">
        <f t="shared" si="34"/>
        <v>332.54488899003246</v>
      </c>
      <c r="AZ87" s="383">
        <f t="shared" si="34"/>
        <v>343.99642937897346</v>
      </c>
      <c r="BA87" s="383">
        <f t="shared" si="34"/>
        <v>355.80092711905763</v>
      </c>
      <c r="BB87" s="383">
        <f t="shared" si="34"/>
        <v>367.97147159173716</v>
      </c>
      <c r="BC87" s="383">
        <f t="shared" si="34"/>
        <v>380.52151231176128</v>
      </c>
      <c r="BD87" s="383">
        <f t="shared" si="34"/>
        <v>393.46486146763158</v>
      </c>
      <c r="BE87" s="383">
        <f t="shared" si="34"/>
        <v>406.9204872080349</v>
      </c>
      <c r="BF87" s="383">
        <f t="shared" si="34"/>
        <v>420.79645371445963</v>
      </c>
      <c r="BG87" s="383">
        <f t="shared" si="34"/>
        <v>435.05565471602608</v>
      </c>
      <c r="BH87" s="383">
        <f t="shared" si="34"/>
        <v>449.74079191664993</v>
      </c>
      <c r="BI87" s="383">
        <f t="shared" si="34"/>
        <v>449.92332647839226</v>
      </c>
    </row>
    <row r="88" spans="1:66" s="94" customFormat="1" ht="18" customHeight="1" x14ac:dyDescent="0.2">
      <c r="A88" s="85" t="s">
        <v>153</v>
      </c>
      <c r="B88" s="93">
        <f>(B84/B56)*1000</f>
        <v>23.801359962825604</v>
      </c>
      <c r="C88" s="94">
        <f t="shared" ref="C88:AH88" si="35">(C84/C56)*1000</f>
        <v>22.658822833527019</v>
      </c>
      <c r="D88" s="94">
        <f t="shared" si="35"/>
        <v>22.619430055521214</v>
      </c>
      <c r="E88" s="94">
        <f t="shared" si="35"/>
        <v>22.506568527047694</v>
      </c>
      <c r="F88" s="94">
        <f t="shared" si="35"/>
        <v>23.078064501017305</v>
      </c>
      <c r="G88" s="94">
        <f t="shared" si="35"/>
        <v>24.112643346327161</v>
      </c>
      <c r="H88" s="94">
        <f t="shared" si="35"/>
        <v>25.207283587850092</v>
      </c>
      <c r="I88" s="94">
        <f t="shared" si="35"/>
        <v>26.603753136633589</v>
      </c>
      <c r="J88" s="94">
        <f t="shared" si="35"/>
        <v>27.991600883161823</v>
      </c>
      <c r="K88" s="94">
        <f t="shared" si="35"/>
        <v>29.190236633315081</v>
      </c>
      <c r="L88" s="94">
        <f t="shared" si="35"/>
        <v>30.465773495424109</v>
      </c>
      <c r="M88" s="94">
        <f t="shared" si="35"/>
        <v>30.476212254813635</v>
      </c>
      <c r="N88" s="94">
        <f t="shared" si="35"/>
        <v>30.752450691304759</v>
      </c>
      <c r="O88" s="94">
        <f t="shared" si="35"/>
        <v>31.054119325342164</v>
      </c>
      <c r="P88" s="94">
        <f t="shared" si="35"/>
        <v>31.826633597559052</v>
      </c>
      <c r="Q88" s="94">
        <f t="shared" si="35"/>
        <v>32.443444682540196</v>
      </c>
      <c r="R88" s="94">
        <f t="shared" si="35"/>
        <v>33.439408894697685</v>
      </c>
      <c r="S88" s="94">
        <f t="shared" si="35"/>
        <v>34.345598885924154</v>
      </c>
      <c r="T88" s="94">
        <f t="shared" si="35"/>
        <v>34.393591210324843</v>
      </c>
      <c r="U88" s="94">
        <f t="shared" si="35"/>
        <v>32.805537071985476</v>
      </c>
      <c r="V88" s="94">
        <f t="shared" si="35"/>
        <v>33.483824899976696</v>
      </c>
      <c r="W88" s="94">
        <f t="shared" si="35"/>
        <v>34.05918607409145</v>
      </c>
      <c r="X88" s="94">
        <f t="shared" si="35"/>
        <v>33.83008537994548</v>
      </c>
      <c r="Y88" s="94">
        <f t="shared" si="35"/>
        <v>33.8951396991651</v>
      </c>
      <c r="Z88" s="94">
        <f t="shared" si="35"/>
        <v>34.384092840142507</v>
      </c>
      <c r="AA88" s="94">
        <f t="shared" si="35"/>
        <v>35.041744116510579</v>
      </c>
      <c r="AB88" s="94">
        <f t="shared" si="35"/>
        <v>35.428144098535874</v>
      </c>
      <c r="AC88" s="94">
        <f t="shared" si="35"/>
        <v>36.337559526349345</v>
      </c>
      <c r="AD88" s="94">
        <f t="shared" si="35"/>
        <v>36.876881267505148</v>
      </c>
      <c r="AE88" s="94">
        <f t="shared" si="35"/>
        <v>37.242677990326818</v>
      </c>
      <c r="AF88" s="94">
        <f t="shared" si="35"/>
        <v>35.075385895263665</v>
      </c>
      <c r="AG88" s="94">
        <f t="shared" si="35"/>
        <v>37.485918038927593</v>
      </c>
      <c r="AH88" s="94">
        <f t="shared" si="35"/>
        <v>38.902303517646786</v>
      </c>
      <c r="AI88" s="94">
        <f t="shared" ref="AI88:BI88" si="36">(AI84/AI56)*1000</f>
        <v>185.71374292273984</v>
      </c>
      <c r="AJ88" s="94">
        <f t="shared" si="36"/>
        <v>277.83270067546135</v>
      </c>
      <c r="AK88" s="94">
        <f t="shared" si="36"/>
        <v>333.866452175125</v>
      </c>
      <c r="AL88" s="94">
        <f t="shared" si="36"/>
        <v>370.85469781535619</v>
      </c>
      <c r="AM88" s="94">
        <f t="shared" si="36"/>
        <v>398.02092622134001</v>
      </c>
      <c r="AN88" s="94">
        <f t="shared" si="36"/>
        <v>420.10944450943168</v>
      </c>
      <c r="AO88" s="94">
        <f t="shared" si="36"/>
        <v>439.6314766416595</v>
      </c>
      <c r="AP88" s="94">
        <f t="shared" si="36"/>
        <v>457.94907492079631</v>
      </c>
      <c r="AQ88" s="94">
        <f t="shared" si="36"/>
        <v>475.81444586061713</v>
      </c>
      <c r="AR88" s="94">
        <f t="shared" si="36"/>
        <v>493.6500240643141</v>
      </c>
      <c r="AS88" s="94">
        <f t="shared" si="36"/>
        <v>511.69809958477941</v>
      </c>
      <c r="AT88" s="94">
        <f t="shared" si="36"/>
        <v>530.10208177697734</v>
      </c>
      <c r="AU88" s="94">
        <f t="shared" si="36"/>
        <v>548.95103806153793</v>
      </c>
      <c r="AV88" s="94">
        <f t="shared" si="36"/>
        <v>568.30422646430577</v>
      </c>
      <c r="AW88" s="94">
        <f t="shared" si="36"/>
        <v>588.20464693240024</v>
      </c>
      <c r="AX88" s="94">
        <f t="shared" si="36"/>
        <v>608.68654125354772</v>
      </c>
      <c r="AY88" s="94">
        <f t="shared" si="36"/>
        <v>629.77955163717058</v>
      </c>
      <c r="AZ88" s="94">
        <f t="shared" si="36"/>
        <v>651.51103269171426</v>
      </c>
      <c r="BA88" s="94">
        <f t="shared" si="36"/>
        <v>673.90734258561804</v>
      </c>
      <c r="BB88" s="94">
        <f t="shared" si="36"/>
        <v>696.99456996005767</v>
      </c>
      <c r="BC88" s="94">
        <f t="shared" si="36"/>
        <v>720.79894909942436</v>
      </c>
      <c r="BD88" s="94">
        <f t="shared" si="36"/>
        <v>745.34710301570055</v>
      </c>
      <c r="BE88" s="94">
        <f t="shared" si="36"/>
        <v>770.86739418393392</v>
      </c>
      <c r="BF88" s="94">
        <f t="shared" si="36"/>
        <v>797.12625345868082</v>
      </c>
      <c r="BG88" s="94">
        <f t="shared" si="36"/>
        <v>824.16308693916926</v>
      </c>
      <c r="BH88" s="94">
        <f t="shared" si="36"/>
        <v>852.02132771120216</v>
      </c>
      <c r="BI88" s="94">
        <f t="shared" si="36"/>
        <v>852.02132771120216</v>
      </c>
    </row>
    <row r="89" spans="1:66" s="94" customFormat="1" ht="18" customHeight="1" x14ac:dyDescent="0.2">
      <c r="A89" s="85" t="s">
        <v>166</v>
      </c>
      <c r="B89" s="93"/>
      <c r="C89" s="94">
        <f>+LN(C88/B88)/10</f>
        <v>-4.9193415183791285E-3</v>
      </c>
      <c r="D89" s="94">
        <f>+LN(D88/C88)/10</f>
        <v>-1.7400312702652441E-4</v>
      </c>
      <c r="E89" s="94">
        <f>+LN(E88/D88)/10</f>
        <v>-5.0020727448316343E-4</v>
      </c>
      <c r="F89" s="94">
        <f>+LN(F88/E88)/10</f>
        <v>2.5075376540991436E-3</v>
      </c>
    </row>
    <row r="90" spans="1:66" s="107" customFormat="1" ht="18" customHeight="1" x14ac:dyDescent="0.2">
      <c r="A90" s="95" t="s">
        <v>5</v>
      </c>
      <c r="B90" s="106">
        <f t="shared" ref="B90:BI90" si="37">+(1/(1-$B$18))*(B88)^(1-$B$18)+1</f>
        <v>0.59005168147623566</v>
      </c>
      <c r="C90" s="107">
        <f t="shared" si="37"/>
        <v>0.57984327057595053</v>
      </c>
      <c r="D90" s="107">
        <f t="shared" si="37"/>
        <v>0.57947756859199107</v>
      </c>
      <c r="E90" s="107">
        <f t="shared" si="37"/>
        <v>0.57842451037609521</v>
      </c>
      <c r="F90" s="107">
        <f t="shared" si="37"/>
        <v>0.58367709600099005</v>
      </c>
      <c r="G90" s="107">
        <f t="shared" si="37"/>
        <v>0.59270640134850572</v>
      </c>
      <c r="H90" s="107">
        <f t="shared" si="37"/>
        <v>0.6016480274831042</v>
      </c>
      <c r="I90" s="107">
        <f t="shared" si="37"/>
        <v>0.61224398715793327</v>
      </c>
      <c r="J90" s="107">
        <f t="shared" si="37"/>
        <v>0.62197882552379569</v>
      </c>
      <c r="K90" s="107">
        <f t="shared" si="37"/>
        <v>0.6298215029394183</v>
      </c>
      <c r="L90" s="107">
        <f t="shared" si="37"/>
        <v>0.63765364976031425</v>
      </c>
      <c r="M90" s="107">
        <f t="shared" si="37"/>
        <v>0.63771571079142308</v>
      </c>
      <c r="N90" s="107">
        <f t="shared" si="37"/>
        <v>0.63934651739716419</v>
      </c>
      <c r="O90" s="107">
        <f t="shared" si="37"/>
        <v>0.6411025381830997</v>
      </c>
      <c r="P90" s="107">
        <f t="shared" si="37"/>
        <v>0.64548497714587583</v>
      </c>
      <c r="Q90" s="107">
        <f t="shared" si="37"/>
        <v>0.64887114842602123</v>
      </c>
      <c r="R90" s="107">
        <f t="shared" si="37"/>
        <v>0.65413971123750692</v>
      </c>
      <c r="S90" s="107">
        <f t="shared" si="37"/>
        <v>0.65873287885019649</v>
      </c>
      <c r="T90" s="107">
        <f t="shared" si="37"/>
        <v>0.65897106159407293</v>
      </c>
      <c r="U90" s="107">
        <f t="shared" si="37"/>
        <v>0.65081432444188936</v>
      </c>
      <c r="V90" s="107">
        <f t="shared" si="37"/>
        <v>0.65436917770587444</v>
      </c>
      <c r="W90" s="107">
        <f t="shared" si="37"/>
        <v>0.65730097957219946</v>
      </c>
      <c r="X90" s="107">
        <f t="shared" si="37"/>
        <v>0.65614254164598196</v>
      </c>
      <c r="Y90" s="107">
        <f t="shared" si="37"/>
        <v>0.6564726797819177</v>
      </c>
      <c r="Z90" s="107">
        <f t="shared" si="37"/>
        <v>0.65892396139220355</v>
      </c>
      <c r="AA90" s="107">
        <f t="shared" si="37"/>
        <v>0.66213971919582637</v>
      </c>
      <c r="AB90" s="107">
        <f t="shared" si="37"/>
        <v>0.66398722102923857</v>
      </c>
      <c r="AC90" s="107">
        <f t="shared" si="37"/>
        <v>0.66821853722516722</v>
      </c>
      <c r="AD90" s="107">
        <f t="shared" si="37"/>
        <v>0.67065361325790951</v>
      </c>
      <c r="AE90" s="107">
        <f t="shared" si="37"/>
        <v>0.67227502074004963</v>
      </c>
      <c r="AF90" s="107">
        <f t="shared" si="37"/>
        <v>0.66230178366423575</v>
      </c>
      <c r="AG90" s="107">
        <f t="shared" si="37"/>
        <v>0.67334002836312778</v>
      </c>
      <c r="AH90" s="107">
        <f t="shared" si="37"/>
        <v>0.67934181007254757</v>
      </c>
      <c r="AI90" s="107">
        <f t="shared" si="37"/>
        <v>0.85323990838917507</v>
      </c>
      <c r="AJ90" s="107">
        <f t="shared" si="37"/>
        <v>0.88001186158695233</v>
      </c>
      <c r="AK90" s="107">
        <f t="shared" si="37"/>
        <v>0.89054298392530196</v>
      </c>
      <c r="AL90" s="107">
        <f t="shared" si="37"/>
        <v>0.89614483423540181</v>
      </c>
      <c r="AM90" s="107">
        <f t="shared" si="37"/>
        <v>0.89975169399199273</v>
      </c>
      <c r="AN90" s="107">
        <f t="shared" si="37"/>
        <v>0.90242270532839541</v>
      </c>
      <c r="AO90" s="107">
        <f t="shared" si="37"/>
        <v>0.90461378719931451</v>
      </c>
      <c r="AP90" s="107">
        <f t="shared" si="37"/>
        <v>0.90654094128995077</v>
      </c>
      <c r="AQ90" s="107">
        <f t="shared" si="37"/>
        <v>0.90831227771868417</v>
      </c>
      <c r="AR90" s="107">
        <f t="shared" si="37"/>
        <v>0.90998385409906435</v>
      </c>
      <c r="AS90" s="107">
        <f t="shared" si="37"/>
        <v>0.91158558176035398</v>
      </c>
      <c r="AT90" s="107">
        <f t="shared" si="37"/>
        <v>0.91313391655796605</v>
      </c>
      <c r="AU90" s="107">
        <f t="shared" si="37"/>
        <v>0.91463827351578453</v>
      </c>
      <c r="AV90" s="107">
        <f t="shared" si="37"/>
        <v>0.91610432884171378</v>
      </c>
      <c r="AW90" s="107">
        <f t="shared" si="37"/>
        <v>0.91753573925681164</v>
      </c>
      <c r="AX90" s="107">
        <f t="shared" si="37"/>
        <v>0.91893504497223621</v>
      </c>
      <c r="AY90" s="107">
        <f t="shared" si="37"/>
        <v>0.92030414798303872</v>
      </c>
      <c r="AZ90" s="107">
        <f t="shared" si="37"/>
        <v>0.9216445681679678</v>
      </c>
      <c r="BA90" s="107">
        <f t="shared" si="37"/>
        <v>0.9229575825797246</v>
      </c>
      <c r="BB90" s="107">
        <f t="shared" si="37"/>
        <v>0.92424430300085048</v>
      </c>
      <c r="BC90" s="107">
        <f t="shared" si="37"/>
        <v>0.92550572063594028</v>
      </c>
      <c r="BD90" s="107">
        <f t="shared" si="37"/>
        <v>0.92674273311780397</v>
      </c>
      <c r="BE90" s="107">
        <f t="shared" si="37"/>
        <v>0.92796556445448175</v>
      </c>
      <c r="BF90" s="107">
        <f t="shared" si="37"/>
        <v>0.92916197583654414</v>
      </c>
      <c r="BG90" s="107">
        <f t="shared" si="37"/>
        <v>0.93033359245375469</v>
      </c>
      <c r="BH90" s="107">
        <f t="shared" si="37"/>
        <v>0.93148198660131776</v>
      </c>
      <c r="BI90" s="107">
        <f t="shared" si="37"/>
        <v>0.93148198660131776</v>
      </c>
    </row>
    <row r="91" spans="1:66" s="23" customFormat="1" ht="18" customHeight="1" x14ac:dyDescent="0.2">
      <c r="A91" s="28" t="s">
        <v>115</v>
      </c>
      <c r="B91" s="29">
        <f t="shared" ref="B91:BH91" si="38">B$17*B$56*B90</f>
        <v>289.17264169426983</v>
      </c>
      <c r="C91" s="29">
        <f t="shared" si="38"/>
        <v>255.7352231301924</v>
      </c>
      <c r="D91" s="29">
        <f t="shared" si="38"/>
        <v>225.47425982363555</v>
      </c>
      <c r="E91" s="29">
        <f t="shared" si="38"/>
        <v>195.81408462443758</v>
      </c>
      <c r="F91" s="29">
        <f t="shared" si="38"/>
        <v>170.25698951909001</v>
      </c>
      <c r="G91" s="29">
        <f t="shared" si="38"/>
        <v>146.682208687714</v>
      </c>
      <c r="H91" s="29">
        <f t="shared" si="38"/>
        <v>125.27805764348071</v>
      </c>
      <c r="I91" s="29">
        <f t="shared" si="38"/>
        <v>107.26344317630885</v>
      </c>
      <c r="J91" s="29">
        <f t="shared" si="38"/>
        <v>91.684832554676817</v>
      </c>
      <c r="K91" s="29">
        <f t="shared" si="38"/>
        <v>78.114934190877946</v>
      </c>
      <c r="L91" s="29">
        <f t="shared" si="38"/>
        <v>67.487579248470908</v>
      </c>
      <c r="M91" s="36">
        <f t="shared" si="38"/>
        <v>58.41390670812882</v>
      </c>
      <c r="N91" s="29">
        <f t="shared" si="38"/>
        <v>50.684547764367991</v>
      </c>
      <c r="O91" s="29">
        <f t="shared" si="38"/>
        <v>43.986246524312875</v>
      </c>
      <c r="P91" s="29">
        <f t="shared" si="38"/>
        <v>38.328840580363654</v>
      </c>
      <c r="Q91" s="29">
        <f t="shared" si="38"/>
        <v>33.346337622564882</v>
      </c>
      <c r="R91" s="29">
        <f t="shared" si="38"/>
        <v>29.094461911335575</v>
      </c>
      <c r="S91" s="29">
        <f t="shared" si="38"/>
        <v>25.357082924187988</v>
      </c>
      <c r="T91" s="29">
        <f t="shared" si="38"/>
        <v>21.953634482334632</v>
      </c>
      <c r="U91" s="29">
        <f t="shared" si="38"/>
        <v>18.764946252676236</v>
      </c>
      <c r="V91" s="29">
        <f t="shared" si="38"/>
        <v>16.34449307426172</v>
      </c>
      <c r="W91" s="29">
        <f t="shared" si="38"/>
        <v>14.235724096179139</v>
      </c>
      <c r="X91" s="29">
        <f t="shared" si="38"/>
        <v>12.321969844717547</v>
      </c>
      <c r="Y91" s="29">
        <f t="shared" si="38"/>
        <v>10.689693772961418</v>
      </c>
      <c r="Z91" s="29">
        <f t="shared" si="38"/>
        <v>9.3035901499211793</v>
      </c>
      <c r="AA91" s="29">
        <f t="shared" si="38"/>
        <v>8.1064661216398033</v>
      </c>
      <c r="AB91" s="29">
        <f t="shared" si="38"/>
        <v>7.0486884463479322</v>
      </c>
      <c r="AC91" s="29">
        <f t="shared" si="38"/>
        <v>6.1508307312881989</v>
      </c>
      <c r="AD91" s="29">
        <f t="shared" si="38"/>
        <v>5.35278977417323</v>
      </c>
      <c r="AE91" s="29">
        <f t="shared" si="38"/>
        <v>4.6525982762896314</v>
      </c>
      <c r="AF91" s="29">
        <f t="shared" si="38"/>
        <v>3.9619375455661419</v>
      </c>
      <c r="AG91" s="29">
        <f t="shared" si="38"/>
        <v>3.4707690096587336</v>
      </c>
      <c r="AH91" s="29">
        <f t="shared" si="38"/>
        <v>3.0173049109501733</v>
      </c>
      <c r="AI91" s="29">
        <f t="shared" si="38"/>
        <v>3.265439136383375</v>
      </c>
      <c r="AJ91" s="29">
        <f t="shared" si="38"/>
        <v>2.902007540605771</v>
      </c>
      <c r="AK91" s="29">
        <f t="shared" si="38"/>
        <v>2.5304891209000981</v>
      </c>
      <c r="AL91" s="29">
        <f t="shared" si="38"/>
        <v>2.194155340597391</v>
      </c>
      <c r="AM91" s="29">
        <f t="shared" si="38"/>
        <v>1.8982412912057651</v>
      </c>
      <c r="AN91" s="29">
        <f t="shared" si="38"/>
        <v>1.6405079313818618</v>
      </c>
      <c r="AO91" s="29">
        <f t="shared" si="38"/>
        <v>1.4170040797760994</v>
      </c>
      <c r="AP91" s="29">
        <f t="shared" si="38"/>
        <v>1.223587123892627</v>
      </c>
      <c r="AQ91" s="29">
        <f t="shared" si="38"/>
        <v>1.056385028891907</v>
      </c>
      <c r="AR91" s="29">
        <f t="shared" si="38"/>
        <v>0.91192751021810758</v>
      </c>
      <c r="AS91" s="29">
        <f t="shared" si="38"/>
        <v>0.78716115740929804</v>
      </c>
      <c r="AT91" s="29">
        <f t="shared" si="38"/>
        <v>0.67942302365135698</v>
      </c>
      <c r="AU91" s="29">
        <f t="shared" si="38"/>
        <v>0.58640104270011906</v>
      </c>
      <c r="AV91" s="29">
        <f t="shared" si="38"/>
        <v>0.50609247041859529</v>
      </c>
      <c r="AW91" s="29">
        <f t="shared" si="38"/>
        <v>0.43676467689708848</v>
      </c>
      <c r="AX91" s="29">
        <f t="shared" si="38"/>
        <v>0.37691976354948115</v>
      </c>
      <c r="AY91" s="29">
        <f t="shared" si="38"/>
        <v>0.32526329160862505</v>
      </c>
      <c r="AZ91" s="29">
        <f t="shared" si="38"/>
        <v>0.28067693059729654</v>
      </c>
      <c r="BA91" s="29">
        <f t="shared" si="38"/>
        <v>0.24219466384914967</v>
      </c>
      <c r="BB91" s="29">
        <f t="shared" si="38"/>
        <v>0.20898214765692025</v>
      </c>
      <c r="BC91" s="29">
        <f t="shared" si="38"/>
        <v>0.1803188341305022</v>
      </c>
      <c r="BD91" s="29">
        <f t="shared" si="38"/>
        <v>0.15558250153141351</v>
      </c>
      <c r="BE91" s="29">
        <f t="shared" si="38"/>
        <v>0.13423723519760006</v>
      </c>
      <c r="BF91" s="29">
        <f t="shared" si="38"/>
        <v>0.11581695555355137</v>
      </c>
      <c r="BG91" s="29">
        <f t="shared" si="38"/>
        <v>9.992151174234791E-2</v>
      </c>
      <c r="BH91" s="29">
        <f t="shared" si="38"/>
        <v>8.6205372240146794E-2</v>
      </c>
      <c r="BI91" s="29">
        <f>BI$17*BI$56*BI90/(1-(BJ17/BI17))</f>
        <v>0.53696853885385698</v>
      </c>
    </row>
    <row r="92" spans="1:66" s="94" customFormat="1" ht="35.25" customHeight="1" x14ac:dyDescent="0.2">
      <c r="A92" s="127" t="s">
        <v>62</v>
      </c>
      <c r="B92" s="128">
        <f>SUM(B91:AO91)*10*B52+B53</f>
        <v>188.15620041313286</v>
      </c>
      <c r="C92" s="129">
        <v>396.47221219651692</v>
      </c>
      <c r="D92" s="130">
        <f>+B92-C92</f>
        <v>-208.31601178338406</v>
      </c>
      <c r="I92" s="107"/>
    </row>
    <row r="93" spans="1:66" s="33" customFormat="1" ht="18" customHeight="1" x14ac:dyDescent="0.2">
      <c r="A93" s="32" t="s">
        <v>270</v>
      </c>
      <c r="B93" s="33">
        <f>+B90*Data!B360</f>
        <v>0.59005168147623566</v>
      </c>
      <c r="C93" s="33">
        <f>+C90*Data!C360</f>
        <v>0.43812099294792206</v>
      </c>
      <c r="D93" s="33">
        <f>+D90*Data!D360</f>
        <v>0.39697484583998621</v>
      </c>
      <c r="E93" s="33">
        <f>+E90*Data!E360</f>
        <v>0.35843485486656362</v>
      </c>
      <c r="F93" s="33">
        <f>+F90*Data!F360</f>
        <v>0.32740656439062571</v>
      </c>
      <c r="G93" s="33">
        <f>+G90*Data!G360</f>
        <v>0.30267210175437781</v>
      </c>
      <c r="H93" s="33">
        <f>+H90*Data!H360</f>
        <v>0.28125452432132103</v>
      </c>
      <c r="I93" s="33">
        <f>+I90*Data!I360</f>
        <v>0.26309811640192277</v>
      </c>
      <c r="J93" s="33">
        <f>+J90*Data!J360</f>
        <v>0.24687560513763965</v>
      </c>
      <c r="K93" s="33">
        <f>+K90*Data!K360</f>
        <v>0.23019714518834358</v>
      </c>
      <c r="L93" s="33">
        <f>+L90*Data!L360</f>
        <v>0.21658130947611129</v>
      </c>
      <c r="M93" s="33">
        <f>+M90*Data!M360</f>
        <v>0.2014773656832852</v>
      </c>
      <c r="N93" s="33">
        <f>+N90*Data!N360</f>
        <v>0.19511787686013357</v>
      </c>
      <c r="O93" s="33">
        <f>+O90*Data!O360</f>
        <v>0.18792004351769551</v>
      </c>
      <c r="P93" s="33">
        <f>+P90*Data!P360</f>
        <v>0.18165126181998378</v>
      </c>
      <c r="Q93" s="33">
        <f>+Q90*Data!Q360</f>
        <v>0.17568092693496579</v>
      </c>
      <c r="R93" s="33">
        <f>+R90*Data!R360</f>
        <v>0.17094200978549157</v>
      </c>
      <c r="S93" s="33">
        <f>+S90*Data!S360</f>
        <v>0.16675876429141209</v>
      </c>
      <c r="T93" s="33">
        <f>+T90*Data!T360</f>
        <v>0.16220874637152646</v>
      </c>
      <c r="U93" s="33">
        <f>+U90*Data!U360</f>
        <v>0.15634524785376053</v>
      </c>
      <c r="V93" s="33">
        <f>+V90*Data!V360</f>
        <v>0.15416936197483416</v>
      </c>
      <c r="W93" s="33">
        <f>+W90*Data!W360</f>
        <v>0.15229833008938556</v>
      </c>
      <c r="X93" s="33">
        <f>+X90*Data!X360</f>
        <v>0.14961395133750652</v>
      </c>
      <c r="Y93" s="33">
        <f>+Y90*Data!Y360</f>
        <v>0.14740667112452102</v>
      </c>
      <c r="Z93" s="33">
        <f>+Z90*Data!Z360</f>
        <v>0.1459249459947462</v>
      </c>
      <c r="AA93" s="33">
        <f>+AA90*Data!AA360</f>
        <v>0.14490091871438104</v>
      </c>
      <c r="AB93" s="33">
        <f>+AB90*Data!AB360</f>
        <v>0.14385980011128771</v>
      </c>
      <c r="AC93" s="33">
        <f>+AC90*Data!AC360</f>
        <v>0.14357460594753246</v>
      </c>
      <c r="AD93" s="33">
        <f>+AD90*Data!AD360</f>
        <v>0.14310525086330694</v>
      </c>
      <c r="AE93" s="33">
        <f>+AE90*Data!AE360</f>
        <v>0.14265460708052027</v>
      </c>
      <c r="AF93" s="33">
        <f>+AF90*Data!AF360</f>
        <v>0.139965136613138</v>
      </c>
      <c r="AG93" s="33">
        <f>+AG90*Data!AG360</f>
        <v>0.1419007087563639</v>
      </c>
      <c r="AH93" s="33">
        <f>+AH90*Data!AH360</f>
        <v>0.14289846665376346</v>
      </c>
      <c r="AI93" s="33">
        <f>+AI90*Data!AI360</f>
        <v>0.17930768327076671</v>
      </c>
      <c r="AJ93" s="33">
        <f>+AJ90*Data!AJ360</f>
        <v>0.18492193465367465</v>
      </c>
      <c r="AK93" s="33">
        <f>+AK90*Data!AK360</f>
        <v>0.18727735348431188</v>
      </c>
      <c r="AL93" s="33">
        <f>+AL90*Data!AL360</f>
        <v>0.18874141774497646</v>
      </c>
      <c r="AM93" s="33">
        <f>+AM90*Data!AM360</f>
        <v>0.18991808413215125</v>
      </c>
      <c r="AN93" s="33">
        <f>+AN90*Data!AN360</f>
        <v>0.19101691120829997</v>
      </c>
      <c r="AO93" s="33">
        <f>+AO90*Data!AO360</f>
        <v>0.19212096640530402</v>
      </c>
      <c r="AP93" s="33">
        <f>+AP90*Data!AP360</f>
        <v>0.19326334466398654</v>
      </c>
      <c r="AQ93" s="33">
        <f>+AQ90*Data!AQ360</f>
        <v>0.19445494350460402</v>
      </c>
      <c r="AR93" s="33">
        <f>+AR90*Data!AR360</f>
        <v>0.19569618200613173</v>
      </c>
      <c r="AS93" s="33">
        <f>+AS90*Data!AS360</f>
        <v>0.19698241906728364</v>
      </c>
      <c r="AT93" s="33">
        <f>+AT90*Data!AT360</f>
        <v>0.19830659719042709</v>
      </c>
      <c r="AU93" s="33">
        <f>+AU90*Data!AU360</f>
        <v>0.19966057409807031</v>
      </c>
      <c r="AV93" s="33">
        <f>+AV90*Data!AV360</f>
        <v>0.20103580684540723</v>
      </c>
      <c r="AW93" s="33">
        <f>+AW90*Data!AW360</f>
        <v>0.20242370710671179</v>
      </c>
      <c r="AX93" s="33">
        <f>+AX90*Data!AX360</f>
        <v>0.20381582304792653</v>
      </c>
      <c r="AY93" s="33">
        <f>+AY90*Data!AY360</f>
        <v>0.20520392054313502</v>
      </c>
      <c r="AZ93" s="33">
        <f>+AZ90*Data!AZ360</f>
        <v>0.20657999081895176</v>
      </c>
      <c r="BA93" s="33">
        <f>+BA90*Data!BA360</f>
        <v>0.20793618255061178</v>
      </c>
      <c r="BB93" s="33">
        <f>+BB90*Data!BB360</f>
        <v>0.20926463431122236</v>
      </c>
      <c r="BC93" s="33">
        <f>+BC90*Data!BC360</f>
        <v>0.21055716478056141</v>
      </c>
      <c r="BD93" s="33">
        <f>+BD90*Data!BD360</f>
        <v>0.21180476568007356</v>
      </c>
      <c r="BE93" s="33">
        <f>+BE90*Data!BE360</f>
        <v>0.21299900358631271</v>
      </c>
      <c r="BF93" s="33">
        <f>+BF90*Data!BF360</f>
        <v>0.21412371234225969</v>
      </c>
      <c r="BG93" s="33">
        <f>+BG90*Data!BG360</f>
        <v>0.21516207815495583</v>
      </c>
      <c r="BH93" s="33">
        <f>+BH90*Data!BH360</f>
        <v>0.21609229930506507</v>
      </c>
      <c r="BI93" s="33">
        <f>+BI90*Data!BI360</f>
        <v>0.21598717915311444</v>
      </c>
    </row>
    <row r="94" spans="1:66" s="23" customFormat="1" ht="18" customHeight="1" x14ac:dyDescent="0.2">
      <c r="A94" s="21" t="s">
        <v>271</v>
      </c>
      <c r="B94" s="29">
        <f>B$17*B$56*B93</f>
        <v>289.17264169426983</v>
      </c>
      <c r="C94" s="29">
        <f t="shared" ref="C94:BH94" si="39">C$17*C$56*C93</f>
        <v>193.22974944292707</v>
      </c>
      <c r="D94" s="29">
        <f t="shared" si="39"/>
        <v>154.46259594112922</v>
      </c>
      <c r="E94" s="29">
        <f t="shared" si="39"/>
        <v>121.3409731851673</v>
      </c>
      <c r="F94" s="29">
        <f t="shared" si="39"/>
        <v>95.503586458772872</v>
      </c>
      <c r="G94" s="29">
        <f t="shared" si="39"/>
        <v>74.904897757937093</v>
      </c>
      <c r="H94" s="29">
        <f t="shared" si="39"/>
        <v>58.564175233510085</v>
      </c>
      <c r="I94" s="29">
        <f t="shared" si="39"/>
        <v>46.094058006962101</v>
      </c>
      <c r="J94" s="29">
        <f t="shared" si="39"/>
        <v>36.39150979105645</v>
      </c>
      <c r="K94" s="29">
        <f t="shared" si="39"/>
        <v>28.550684223058489</v>
      </c>
      <c r="L94" s="29">
        <f t="shared" si="39"/>
        <v>22.922394143750036</v>
      </c>
      <c r="M94" s="29">
        <f t="shared" si="39"/>
        <v>18.455057392607152</v>
      </c>
      <c r="N94" s="29">
        <f t="shared" si="39"/>
        <v>15.468077295017382</v>
      </c>
      <c r="O94" s="29">
        <f t="shared" si="39"/>
        <v>12.893253214149976</v>
      </c>
      <c r="P94" s="29">
        <f t="shared" si="39"/>
        <v>10.786435783999009</v>
      </c>
      <c r="Q94" s="29">
        <f t="shared" si="39"/>
        <v>9.0284727832777687</v>
      </c>
      <c r="R94" s="29">
        <f t="shared" si="39"/>
        <v>7.6030635463826126</v>
      </c>
      <c r="S94" s="29">
        <f t="shared" si="39"/>
        <v>6.4191661752989084</v>
      </c>
      <c r="T94" s="29">
        <f t="shared" si="39"/>
        <v>5.4039877245350736</v>
      </c>
      <c r="U94" s="29">
        <f t="shared" si="39"/>
        <v>4.507906575893319</v>
      </c>
      <c r="V94" s="29">
        <f t="shared" si="39"/>
        <v>3.8507621613462248</v>
      </c>
      <c r="W94" s="29">
        <f t="shared" si="39"/>
        <v>3.2984539424730368</v>
      </c>
      <c r="X94" s="29">
        <f t="shared" si="39"/>
        <v>2.8096617422567074</v>
      </c>
      <c r="Y94" s="29">
        <f t="shared" si="39"/>
        <v>2.4003012203588234</v>
      </c>
      <c r="Z94" s="29">
        <f t="shared" si="39"/>
        <v>2.0603680693536308</v>
      </c>
      <c r="AA94" s="29">
        <f t="shared" si="39"/>
        <v>1.7739977749397289</v>
      </c>
      <c r="AB94" s="29">
        <f t="shared" si="39"/>
        <v>1.5271723292603914</v>
      </c>
      <c r="AC94" s="29">
        <f t="shared" si="39"/>
        <v>1.3215782701297614</v>
      </c>
      <c r="AD94" s="29">
        <f t="shared" si="39"/>
        <v>1.1421877230042197</v>
      </c>
      <c r="AE94" s="29">
        <f t="shared" si="39"/>
        <v>0.98726645871354424</v>
      </c>
      <c r="AF94" s="29">
        <f t="shared" si="39"/>
        <v>0.837281649386309</v>
      </c>
      <c r="AG94" s="29">
        <f t="shared" si="39"/>
        <v>0.73143517636618671</v>
      </c>
      <c r="AH94" s="29">
        <f t="shared" si="39"/>
        <v>0.63468527743876857</v>
      </c>
      <c r="AI94" s="29">
        <f t="shared" si="39"/>
        <v>0.6862294187715523</v>
      </c>
      <c r="AJ94" s="29">
        <f t="shared" si="39"/>
        <v>0.60981547205582365</v>
      </c>
      <c r="AK94" s="29">
        <f t="shared" si="39"/>
        <v>0.53215096198294676</v>
      </c>
      <c r="AL94" s="29">
        <f t="shared" si="39"/>
        <v>0.46212171728959495</v>
      </c>
      <c r="AM94" s="29">
        <f t="shared" si="39"/>
        <v>0.40067759989074081</v>
      </c>
      <c r="AN94" s="29">
        <f t="shared" si="39"/>
        <v>0.34724830837589155</v>
      </c>
      <c r="AO94" s="29">
        <f t="shared" si="39"/>
        <v>0.30094190146016497</v>
      </c>
      <c r="AP94" s="29">
        <f t="shared" si="39"/>
        <v>0.26085367938792525</v>
      </c>
      <c r="AQ94" s="29">
        <f t="shared" si="39"/>
        <v>0.22615492067135329</v>
      </c>
      <c r="AR94" s="29">
        <f t="shared" si="39"/>
        <v>0.19611417412754822</v>
      </c>
      <c r="AS94" s="29">
        <f t="shared" si="39"/>
        <v>0.17009583311185936</v>
      </c>
      <c r="AT94" s="29">
        <f t="shared" si="39"/>
        <v>0.14755126869124316</v>
      </c>
      <c r="AU94" s="29">
        <f t="shared" si="39"/>
        <v>0.12800816697421122</v>
      </c>
      <c r="AV94" s="29">
        <f t="shared" si="39"/>
        <v>0.11106017614568765</v>
      </c>
      <c r="AW94" s="29">
        <f t="shared" si="39"/>
        <v>9.6357581779196608E-2</v>
      </c>
      <c r="AX94" s="29">
        <f t="shared" si="39"/>
        <v>8.3599175209590995E-2</v>
      </c>
      <c r="AY94" s="29">
        <f t="shared" si="39"/>
        <v>7.2525265471350422E-2</v>
      </c>
      <c r="AZ94" s="29">
        <f t="shared" si="39"/>
        <v>6.2911712116024684E-2</v>
      </c>
      <c r="BA94" s="29">
        <f t="shared" si="39"/>
        <v>5.456484109936946E-2</v>
      </c>
      <c r="BB94" s="29">
        <f t="shared" si="39"/>
        <v>4.7317113630030182E-2</v>
      </c>
      <c r="BC94" s="29">
        <f t="shared" si="39"/>
        <v>4.1023433593653451E-2</v>
      </c>
      <c r="BD94" s="29">
        <f t="shared" si="39"/>
        <v>3.5557996953391645E-2</v>
      </c>
      <c r="BE94" s="29">
        <f t="shared" si="39"/>
        <v>3.0811916343122907E-2</v>
      </c>
      <c r="BF94" s="29">
        <f t="shared" si="39"/>
        <v>2.6689809871930786E-2</v>
      </c>
      <c r="BG94" s="29">
        <f t="shared" si="39"/>
        <v>2.3109259187517828E-2</v>
      </c>
      <c r="BH94" s="29">
        <f t="shared" si="39"/>
        <v>1.999858007752911E-2</v>
      </c>
      <c r="BI94" s="29">
        <f>BI$17*BI$56*BI93/(1-(BJ17/BI17))</f>
        <v>0.12450946091204854</v>
      </c>
    </row>
    <row r="95" spans="1:66" s="23" customFormat="1" ht="39" customHeight="1" x14ac:dyDescent="0.2">
      <c r="A95" s="57" t="s">
        <v>62</v>
      </c>
      <c r="B95" s="191">
        <f>SUM(B94:BI94)*10*B52+B53-C53</f>
        <v>400.0615382190756</v>
      </c>
      <c r="C95" s="84">
        <v>554.63052163112798</v>
      </c>
      <c r="D95" s="183">
        <f>+B95-C95</f>
        <v>-154.56898341205238</v>
      </c>
      <c r="I95" s="33"/>
    </row>
    <row r="96" spans="1:66" s="94" customFormat="1" ht="21.75" customHeight="1" x14ac:dyDescent="0.2">
      <c r="A96" s="131" t="s">
        <v>61</v>
      </c>
      <c r="B96" s="93"/>
    </row>
    <row r="97" spans="1:61" s="386" customFormat="1" ht="18" customHeight="1" x14ac:dyDescent="0.2">
      <c r="A97" s="169" t="s">
        <v>191</v>
      </c>
      <c r="B97" s="385">
        <f>+Controls!B29</f>
        <v>0.17464278549877818</v>
      </c>
      <c r="C97" s="385">
        <f>+Controls!C29</f>
        <v>0.19951187573456713</v>
      </c>
      <c r="D97" s="385">
        <f>+Controls!D29</f>
        <v>0.19621702705844843</v>
      </c>
      <c r="E97" s="385">
        <f>+Controls!E29</f>
        <v>0.19444764809439508</v>
      </c>
      <c r="F97" s="385">
        <f>+Controls!F29</f>
        <v>0.19311769687881469</v>
      </c>
      <c r="G97" s="385">
        <f>+Controls!G29</f>
        <v>0.19342037928561981</v>
      </c>
      <c r="H97" s="385">
        <f>+Controls!H29</f>
        <v>0.19499881757129625</v>
      </c>
      <c r="I97" s="385">
        <f>+Controls!I29</f>
        <v>0.19675155944103084</v>
      </c>
      <c r="J97" s="385">
        <f>+Controls!J29</f>
        <v>0.1986775404241552</v>
      </c>
      <c r="K97" s="385">
        <f>+Controls!K29</f>
        <v>0.20517684580955442</v>
      </c>
      <c r="L97" s="385">
        <f>+Controls!L29</f>
        <v>0.21074492696069239</v>
      </c>
      <c r="M97" s="385">
        <f>+Controls!M29</f>
        <v>0.2203362818132277</v>
      </c>
      <c r="N97" s="385">
        <f>+Controls!N29</f>
        <v>0.2203362818132277</v>
      </c>
      <c r="O97" s="385">
        <f>+Controls!O29</f>
        <v>0.2203362818132277</v>
      </c>
      <c r="P97" s="385">
        <f>+Controls!P29</f>
        <v>0.2203362818132277</v>
      </c>
      <c r="Q97" s="385">
        <f>+Controls!Q29</f>
        <v>0.2203362818132277</v>
      </c>
      <c r="R97" s="385">
        <f>+Controls!R29</f>
        <v>0.2203362818132277</v>
      </c>
      <c r="S97" s="385">
        <f>+Controls!S29</f>
        <v>0.2203362818132277</v>
      </c>
      <c r="T97" s="385">
        <f>+Controls!T29</f>
        <v>0.2203362818132277</v>
      </c>
      <c r="U97" s="385">
        <f>+Controls!U29</f>
        <v>0.2203362818132277</v>
      </c>
      <c r="V97" s="385">
        <f>+Controls!V29</f>
        <v>0.2203362818132277</v>
      </c>
      <c r="W97" s="385">
        <f>+Controls!W29</f>
        <v>0.2203362818132277</v>
      </c>
      <c r="X97" s="385">
        <f>+Controls!X29</f>
        <v>0.2203362818132277</v>
      </c>
      <c r="Y97" s="385">
        <f>+Controls!Y29</f>
        <v>0.2203362818132277</v>
      </c>
      <c r="Z97" s="385">
        <f>+Controls!Z29</f>
        <v>0.2203362818132277</v>
      </c>
      <c r="AA97" s="385">
        <f>+Controls!AA29</f>
        <v>0.2203362818132277</v>
      </c>
      <c r="AB97" s="385">
        <f>+Controls!AB29</f>
        <v>0.2203362818132277</v>
      </c>
      <c r="AC97" s="385">
        <f>+Controls!AC29</f>
        <v>0.2203362818132277</v>
      </c>
      <c r="AD97" s="385">
        <f>+Controls!AD29</f>
        <v>0.2203362818132277</v>
      </c>
      <c r="AE97" s="385">
        <f>+Controls!AE29</f>
        <v>0.2203362818132277</v>
      </c>
      <c r="AF97" s="385">
        <f>+Controls!AF29</f>
        <v>0.2203362818132277</v>
      </c>
      <c r="AG97" s="385">
        <f>+Controls!AG29</f>
        <v>0.2203362818132277</v>
      </c>
      <c r="AH97" s="385">
        <f>+Controls!AH29</f>
        <v>0.2203362818132277</v>
      </c>
      <c r="AI97" s="385">
        <f>+Controls!AI29</f>
        <v>0.2203362818132277</v>
      </c>
      <c r="AJ97" s="385">
        <f>+Controls!AJ29</f>
        <v>0.2203362818132277</v>
      </c>
      <c r="AK97" s="385">
        <f>+Controls!AK29</f>
        <v>0.2203362818132277</v>
      </c>
      <c r="AL97" s="385">
        <f>+Controls!AL29</f>
        <v>0.2203362818132277</v>
      </c>
      <c r="AM97" s="385">
        <f>+Controls!AM29</f>
        <v>0.2203362818132277</v>
      </c>
      <c r="AN97" s="385">
        <f>+Controls!AN29</f>
        <v>0.2203362818132277</v>
      </c>
      <c r="AO97" s="385">
        <f>+Controls!AO29</f>
        <v>0.2203362818132277</v>
      </c>
      <c r="AP97" s="385">
        <f>+Controls!AP29</f>
        <v>0.2203362818132277</v>
      </c>
      <c r="AQ97" s="385">
        <f>+Controls!AQ29</f>
        <v>0.2203362818132277</v>
      </c>
      <c r="AR97" s="385">
        <f>+Controls!AR29</f>
        <v>0.2203362818132277</v>
      </c>
      <c r="AS97" s="385">
        <f>+Controls!AS29</f>
        <v>0.2203362818132277</v>
      </c>
      <c r="AT97" s="385">
        <f>+Controls!AT29</f>
        <v>0.2203362818132277</v>
      </c>
      <c r="AU97" s="385">
        <f>+Controls!AU29</f>
        <v>0.2203362818132277</v>
      </c>
      <c r="AV97" s="385">
        <f>+Controls!AV29</f>
        <v>0.2203362818132277</v>
      </c>
      <c r="AW97" s="385">
        <f>+Controls!AW29</f>
        <v>0.2203362818132277</v>
      </c>
      <c r="AX97" s="385">
        <f>+Controls!AX29</f>
        <v>0.2203362818132277</v>
      </c>
      <c r="AY97" s="385">
        <f>+Controls!AY29</f>
        <v>0.2203362818132277</v>
      </c>
      <c r="AZ97" s="385">
        <f>+Controls!AZ29</f>
        <v>0.2203362818132277</v>
      </c>
      <c r="BA97" s="385">
        <f>+Controls!BA29</f>
        <v>0.2203362818132277</v>
      </c>
      <c r="BB97" s="385">
        <f>+Controls!BB29</f>
        <v>0.2203362818132277</v>
      </c>
      <c r="BC97" s="385">
        <f>+Controls!BC29</f>
        <v>0.2203362818132277</v>
      </c>
      <c r="BD97" s="385">
        <f>+Controls!BD29</f>
        <v>0.2203362818132277</v>
      </c>
      <c r="BE97" s="385">
        <f>+Controls!BE29</f>
        <v>0.2203362818132277</v>
      </c>
      <c r="BF97" s="385">
        <f>+Controls!BF29</f>
        <v>0.2203362818132277</v>
      </c>
      <c r="BG97" s="385">
        <f>+Controls!BG29</f>
        <v>0.2203362818132277</v>
      </c>
      <c r="BH97" s="385">
        <f>+Controls!BH29</f>
        <v>0.2203362818132277</v>
      </c>
      <c r="BI97" s="385">
        <f>+Controls!BI29</f>
        <v>0.2203362818132277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0">+B$36*1000*B103^($B$38-1)</f>
        <v>1.0000000000000024E-3</v>
      </c>
      <c r="C101" s="463">
        <f t="shared" si="40"/>
        <v>9.9999999999999959E-4</v>
      </c>
      <c r="D101" s="463">
        <f t="shared" si="40"/>
        <v>1.0000000000000013E-3</v>
      </c>
      <c r="E101" s="463">
        <f t="shared" si="40"/>
        <v>1.0000000000000237E-3</v>
      </c>
      <c r="F101" s="463">
        <f t="shared" si="40"/>
        <v>1.0000000000003008E-3</v>
      </c>
      <c r="G101" s="463">
        <f t="shared" si="40"/>
        <v>1.0000000000020112E-3</v>
      </c>
      <c r="H101" s="463">
        <f t="shared" si="40"/>
        <v>1.0000000000091724E-3</v>
      </c>
      <c r="I101" s="463">
        <f t="shared" si="40"/>
        <v>1.0000000000319864E-3</v>
      </c>
      <c r="J101" s="463">
        <f t="shared" si="40"/>
        <v>1.0000000000922246E-3</v>
      </c>
      <c r="K101" s="463">
        <f t="shared" si="40"/>
        <v>1.0000000002275584E-3</v>
      </c>
      <c r="L101" s="463">
        <f t="shared" si="40"/>
        <v>1.0000000005053195E-3</v>
      </c>
      <c r="M101" s="463">
        <f t="shared" si="40"/>
        <v>1.0000000010417338E-3</v>
      </c>
      <c r="N101" s="463">
        <f t="shared" si="40"/>
        <v>1.0000000019921495E-3</v>
      </c>
      <c r="O101" s="463">
        <f t="shared" si="40"/>
        <v>1.0000000035927901E-3</v>
      </c>
      <c r="P101" s="463">
        <f t="shared" si="40"/>
        <v>1.0000000062096888E-3</v>
      </c>
      <c r="Q101" s="463">
        <f t="shared" si="40"/>
        <v>1.0000000104204638E-3</v>
      </c>
      <c r="R101" s="463">
        <f t="shared" si="40"/>
        <v>1.0000000170144597E-3</v>
      </c>
      <c r="S101" s="463">
        <f t="shared" si="40"/>
        <v>1.0000000272142187E-3</v>
      </c>
      <c r="T101" s="463">
        <f t="shared" si="40"/>
        <v>1.0000000427819874E-3</v>
      </c>
      <c r="U101" s="463">
        <f t="shared" si="40"/>
        <v>1.000000065604339E-3</v>
      </c>
      <c r="V101" s="463">
        <f t="shared" si="40"/>
        <v>1.000000097088636E-3</v>
      </c>
      <c r="W101" s="463">
        <f t="shared" si="40"/>
        <v>1.0000001421883785E-3</v>
      </c>
      <c r="X101" s="463">
        <f t="shared" si="40"/>
        <v>1.0000002055977515E-3</v>
      </c>
      <c r="Y101" s="463">
        <f t="shared" si="40"/>
        <v>1.0000002932497468E-3</v>
      </c>
      <c r="Z101" s="463">
        <f t="shared" si="40"/>
        <v>1.0000004131003599E-3</v>
      </c>
      <c r="AA101" s="463">
        <f t="shared" si="40"/>
        <v>1.0000005755955608E-3</v>
      </c>
      <c r="AB101" s="463">
        <f t="shared" si="40"/>
        <v>594.76450197381143</v>
      </c>
      <c r="AC101" s="463">
        <f t="shared" si="40"/>
        <v>573.84627687512091</v>
      </c>
      <c r="AD101" s="463">
        <f t="shared" si="40"/>
        <v>553.97396303136497</v>
      </c>
      <c r="AE101" s="463">
        <f t="shared" si="40"/>
        <v>535.09526487979667</v>
      </c>
      <c r="AF101" s="463">
        <f t="shared" si="40"/>
        <v>517.16050163580678</v>
      </c>
      <c r="AG101" s="463">
        <f t="shared" si="40"/>
        <v>500.12247655401643</v>
      </c>
      <c r="AH101" s="463">
        <f t="shared" ref="AH101:BI101" si="41">+AH$36*1000*AH103^($B$38-1)</f>
        <v>483.93635272631559</v>
      </c>
      <c r="AI101" s="463">
        <f t="shared" si="41"/>
        <v>468.55953508999983</v>
      </c>
      <c r="AJ101" s="463">
        <f t="shared" si="41"/>
        <v>453.95155833549984</v>
      </c>
      <c r="AK101" s="463">
        <f t="shared" si="41"/>
        <v>440.07398041872483</v>
      </c>
      <c r="AL101" s="463">
        <f t="shared" si="41"/>
        <v>426.89028139778856</v>
      </c>
      <c r="AM101" s="463">
        <f t="shared" si="41"/>
        <v>414.36576732789911</v>
      </c>
      <c r="AN101" s="463">
        <f t="shared" si="41"/>
        <v>402.46747896150413</v>
      </c>
      <c r="AO101" s="463">
        <f t="shared" si="41"/>
        <v>391.16410501342892</v>
      </c>
      <c r="AP101" s="463">
        <f t="shared" si="41"/>
        <v>380.42589976275741</v>
      </c>
      <c r="AQ101" s="463">
        <f t="shared" si="41"/>
        <v>370.22460477461954</v>
      </c>
      <c r="AR101" s="463">
        <f t="shared" si="41"/>
        <v>360.53337453588858</v>
      </c>
      <c r="AS101" s="463">
        <f t="shared" si="41"/>
        <v>351.32670580909416</v>
      </c>
      <c r="AT101" s="463">
        <f t="shared" si="41"/>
        <v>342.58037051863943</v>
      </c>
      <c r="AU101" s="463">
        <f t="shared" si="41"/>
        <v>334.27135199270748</v>
      </c>
      <c r="AV101" s="463">
        <f t="shared" si="41"/>
        <v>326.37778439307209</v>
      </c>
      <c r="AW101" s="463">
        <f t="shared" si="41"/>
        <v>318.87889517341847</v>
      </c>
      <c r="AX101" s="463">
        <f t="shared" si="41"/>
        <v>311.75495041474755</v>
      </c>
      <c r="AY101" s="463">
        <f t="shared" si="41"/>
        <v>304.98720289401018</v>
      </c>
      <c r="AZ101" s="463">
        <f t="shared" si="41"/>
        <v>298.55784274930966</v>
      </c>
      <c r="BA101" s="463">
        <f t="shared" si="41"/>
        <v>292.44995061184414</v>
      </c>
      <c r="BB101" s="463">
        <f t="shared" si="41"/>
        <v>286.64745308125197</v>
      </c>
      <c r="BC101" s="463">
        <f t="shared" si="41"/>
        <v>281.13508042718939</v>
      </c>
      <c r="BD101" s="463">
        <f t="shared" si="41"/>
        <v>275.89832640582989</v>
      </c>
      <c r="BE101" s="463">
        <f t="shared" si="41"/>
        <v>137.94916320291495</v>
      </c>
      <c r="BF101" s="463">
        <f t="shared" si="41"/>
        <v>68.974581601457473</v>
      </c>
      <c r="BG101" s="463">
        <f t="shared" si="41"/>
        <v>34.487290800728736</v>
      </c>
      <c r="BH101" s="463">
        <f t="shared" si="41"/>
        <v>17.243645400364368</v>
      </c>
      <c r="BI101" s="463">
        <f t="shared" si="41"/>
        <v>8.6218227001821841</v>
      </c>
    </row>
    <row r="102" spans="1:61" s="467" customFormat="1" ht="18" customHeight="1" x14ac:dyDescent="0.2">
      <c r="A102" s="612" t="s">
        <v>955</v>
      </c>
      <c r="B102" s="465">
        <f>+B119*(1-MIN(B103,1))</f>
        <v>1.2435466666162149</v>
      </c>
      <c r="C102" s="465">
        <f>+C119*(1-MIN(C103,1))</f>
        <v>0.88056397828851396</v>
      </c>
      <c r="D102" s="465">
        <f t="shared" ref="D102:BI102" si="42">+D119*(1-MIN(D103,1))</f>
        <v>0.78487216872798093</v>
      </c>
      <c r="E102" s="465">
        <f t="shared" si="42"/>
        <v>0.69669523858310478</v>
      </c>
      <c r="F102" s="465">
        <f t="shared" si="42"/>
        <v>0.63773965785851561</v>
      </c>
      <c r="G102" s="465">
        <f t="shared" si="42"/>
        <v>0.59210975688709544</v>
      </c>
      <c r="H102" s="465">
        <f t="shared" si="42"/>
        <v>0.55039969365744013</v>
      </c>
      <c r="I102" s="465">
        <f t="shared" si="42"/>
        <v>0.52054770135412154</v>
      </c>
      <c r="J102" s="465">
        <f t="shared" si="42"/>
        <v>0.49410251269869415</v>
      </c>
      <c r="K102" s="465">
        <f t="shared" si="42"/>
        <v>0.46978788953534301</v>
      </c>
      <c r="L102" s="465">
        <f t="shared" si="42"/>
        <v>0.45546058751248247</v>
      </c>
      <c r="M102" s="465">
        <f t="shared" si="42"/>
        <v>0.43362075831590657</v>
      </c>
      <c r="N102" s="465">
        <f t="shared" si="42"/>
        <v>0.41304468742561667</v>
      </c>
      <c r="O102" s="465">
        <f t="shared" si="42"/>
        <v>0.39510347811751312</v>
      </c>
      <c r="P102" s="465">
        <f t="shared" si="42"/>
        <v>0.38479422051331114</v>
      </c>
      <c r="Q102" s="465">
        <f t="shared" si="42"/>
        <v>0.37411418243505939</v>
      </c>
      <c r="R102" s="465">
        <f t="shared" si="42"/>
        <v>0.36860867152778309</v>
      </c>
      <c r="S102" s="465">
        <f t="shared" si="42"/>
        <v>0.36286400820363757</v>
      </c>
      <c r="T102" s="465">
        <f t="shared" si="42"/>
        <v>0.348905549049564</v>
      </c>
      <c r="U102" s="465">
        <f t="shared" si="42"/>
        <v>0.32037071850546539</v>
      </c>
      <c r="V102" s="465">
        <f t="shared" si="42"/>
        <v>0.31560485837161184</v>
      </c>
      <c r="W102" s="465">
        <f t="shared" si="42"/>
        <v>0.31050292754383363</v>
      </c>
      <c r="X102" s="465">
        <f t="shared" si="42"/>
        <v>0.2988617269881183</v>
      </c>
      <c r="Y102" s="465">
        <f t="shared" si="42"/>
        <v>0.29052585201204506</v>
      </c>
      <c r="Z102" s="465">
        <f t="shared" si="42"/>
        <v>0.28631670957321209</v>
      </c>
      <c r="AA102" s="465">
        <f t="shared" si="42"/>
        <v>0.28389090521864663</v>
      </c>
      <c r="AB102" s="465">
        <f t="shared" si="42"/>
        <v>0</v>
      </c>
      <c r="AC102" s="465">
        <f t="shared" si="42"/>
        <v>0</v>
      </c>
      <c r="AD102" s="465">
        <f t="shared" si="42"/>
        <v>0</v>
      </c>
      <c r="AE102" s="465">
        <f t="shared" si="42"/>
        <v>0</v>
      </c>
      <c r="AF102" s="465">
        <f t="shared" si="42"/>
        <v>0</v>
      </c>
      <c r="AG102" s="465">
        <f t="shared" si="42"/>
        <v>0</v>
      </c>
      <c r="AH102" s="465">
        <f t="shared" si="42"/>
        <v>0</v>
      </c>
      <c r="AI102" s="465">
        <f t="shared" si="42"/>
        <v>0</v>
      </c>
      <c r="AJ102" s="465">
        <f t="shared" si="42"/>
        <v>0</v>
      </c>
      <c r="AK102" s="465">
        <f t="shared" si="42"/>
        <v>0</v>
      </c>
      <c r="AL102" s="465">
        <f t="shared" si="42"/>
        <v>0</v>
      </c>
      <c r="AM102" s="465">
        <f t="shared" si="42"/>
        <v>0</v>
      </c>
      <c r="AN102" s="465">
        <f t="shared" si="42"/>
        <v>0</v>
      </c>
      <c r="AO102" s="465">
        <f t="shared" si="42"/>
        <v>0</v>
      </c>
      <c r="AP102" s="465">
        <f t="shared" si="42"/>
        <v>0</v>
      </c>
      <c r="AQ102" s="465">
        <f t="shared" si="42"/>
        <v>0</v>
      </c>
      <c r="AR102" s="465">
        <f t="shared" si="42"/>
        <v>0</v>
      </c>
      <c r="AS102" s="465">
        <f t="shared" si="42"/>
        <v>0</v>
      </c>
      <c r="AT102" s="465">
        <f t="shared" si="42"/>
        <v>0</v>
      </c>
      <c r="AU102" s="465">
        <f t="shared" si="42"/>
        <v>0</v>
      </c>
      <c r="AV102" s="465">
        <f t="shared" si="42"/>
        <v>0</v>
      </c>
      <c r="AW102" s="465">
        <f t="shared" si="42"/>
        <v>0</v>
      </c>
      <c r="AX102" s="465">
        <f t="shared" si="42"/>
        <v>0</v>
      </c>
      <c r="AY102" s="465">
        <f t="shared" si="42"/>
        <v>0</v>
      </c>
      <c r="AZ102" s="465">
        <f t="shared" si="42"/>
        <v>0</v>
      </c>
      <c r="BA102" s="465">
        <f t="shared" si="42"/>
        <v>0</v>
      </c>
      <c r="BB102" s="465">
        <f t="shared" si="42"/>
        <v>0</v>
      </c>
      <c r="BC102" s="465">
        <f t="shared" si="42"/>
        <v>0</v>
      </c>
      <c r="BD102" s="465">
        <f t="shared" si="42"/>
        <v>0</v>
      </c>
      <c r="BE102" s="465">
        <f t="shared" si="42"/>
        <v>0</v>
      </c>
      <c r="BF102" s="465">
        <f t="shared" si="42"/>
        <v>0</v>
      </c>
      <c r="BG102" s="465">
        <f t="shared" si="42"/>
        <v>0</v>
      </c>
      <c r="BH102" s="465">
        <f t="shared" si="42"/>
        <v>0</v>
      </c>
      <c r="BI102" s="465">
        <f t="shared" si="42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3.3862811311759976E-4</v>
      </c>
      <c r="C103" s="468">
        <f>+IF($B$98&gt;0,C109,IF($B$99&gt;0,C114,C122))</f>
        <v>3.474019474595326E-4</v>
      </c>
      <c r="D103" s="468">
        <f t="shared" ref="D103:BI103" si="43">+IF($B$98&gt;0,D109,IF($B$99&gt;0,D114,D122))</f>
        <v>3.5635427292863116E-4</v>
      </c>
      <c r="E103" s="468">
        <f t="shared" si="43"/>
        <v>3.6548514450551842E-4</v>
      </c>
      <c r="F103" s="468">
        <f t="shared" si="43"/>
        <v>3.7479432816651346E-4</v>
      </c>
      <c r="G103" s="468">
        <f t="shared" si="43"/>
        <v>3.8428128274087123E-4</v>
      </c>
      <c r="H103" s="468">
        <f t="shared" si="43"/>
        <v>3.9394514175066219E-4</v>
      </c>
      <c r="I103" s="468">
        <f t="shared" si="43"/>
        <v>4.0378469535954959E-4</v>
      </c>
      <c r="J103" s="468">
        <f t="shared" si="43"/>
        <v>4.1379837257024928E-4</v>
      </c>
      <c r="K103" s="468">
        <f t="shared" si="43"/>
        <v>4.2398422382301679E-4</v>
      </c>
      <c r="L103" s="468">
        <f t="shared" si="43"/>
        <v>4.3433990416375754E-4</v>
      </c>
      <c r="M103" s="468">
        <f t="shared" si="43"/>
        <v>4.4486265715983466E-4</v>
      </c>
      <c r="N103" s="468">
        <f t="shared" si="43"/>
        <v>4.5554929974549212E-4</v>
      </c>
      <c r="O103" s="468">
        <f t="shared" si="43"/>
        <v>4.6639620821751425E-4</v>
      </c>
      <c r="P103" s="468">
        <f t="shared" si="43"/>
        <v>4.7739930558155175E-4</v>
      </c>
      <c r="Q103" s="468">
        <f t="shared" si="43"/>
        <v>4.8855405047362591E-4</v>
      </c>
      <c r="R103" s="468">
        <f t="shared" si="43"/>
        <v>4.9985542784862838E-4</v>
      </c>
      <c r="S103" s="468">
        <f t="shared" si="43"/>
        <v>5.1129794174272587E-4</v>
      </c>
      <c r="T103" s="468">
        <f t="shared" si="43"/>
        <v>5.2287561024550214E-4</v>
      </c>
      <c r="U103" s="468">
        <f t="shared" si="43"/>
        <v>5.3458196277551579E-4</v>
      </c>
      <c r="V103" s="468">
        <f t="shared" si="43"/>
        <v>5.4641003994822615E-4</v>
      </c>
      <c r="W103" s="468">
        <f t="shared" si="43"/>
        <v>5.5835239772080651E-4</v>
      </c>
      <c r="X103" s="468">
        <f t="shared" si="43"/>
        <v>5.7040111226513881E-4</v>
      </c>
      <c r="Y103" s="468">
        <f t="shared" si="43"/>
        <v>5.8254778961747903E-4</v>
      </c>
      <c r="Z103" s="468">
        <f t="shared" si="43"/>
        <v>5.9478357850208899E-4</v>
      </c>
      <c r="AA103" s="468">
        <f t="shared" si="43"/>
        <v>6.0709918653820496E-4</v>
      </c>
      <c r="AB103" s="468">
        <f t="shared" si="43"/>
        <v>1</v>
      </c>
      <c r="AC103" s="468">
        <f t="shared" si="43"/>
        <v>1</v>
      </c>
      <c r="AD103" s="468">
        <f t="shared" si="43"/>
        <v>1</v>
      </c>
      <c r="AE103" s="468">
        <f t="shared" si="43"/>
        <v>1</v>
      </c>
      <c r="AF103" s="468">
        <f t="shared" si="43"/>
        <v>1</v>
      </c>
      <c r="AG103" s="468">
        <f t="shared" si="43"/>
        <v>1</v>
      </c>
      <c r="AH103" s="468">
        <f t="shared" si="43"/>
        <v>1</v>
      </c>
      <c r="AI103" s="468">
        <f t="shared" si="43"/>
        <v>1</v>
      </c>
      <c r="AJ103" s="468">
        <f t="shared" si="43"/>
        <v>1</v>
      </c>
      <c r="AK103" s="468">
        <f t="shared" si="43"/>
        <v>1</v>
      </c>
      <c r="AL103" s="468">
        <f t="shared" si="43"/>
        <v>1</v>
      </c>
      <c r="AM103" s="468">
        <f t="shared" si="43"/>
        <v>1</v>
      </c>
      <c r="AN103" s="468">
        <f t="shared" si="43"/>
        <v>1</v>
      </c>
      <c r="AO103" s="468">
        <f t="shared" si="43"/>
        <v>1</v>
      </c>
      <c r="AP103" s="468">
        <f t="shared" si="43"/>
        <v>1</v>
      </c>
      <c r="AQ103" s="468">
        <f t="shared" si="43"/>
        <v>1</v>
      </c>
      <c r="AR103" s="468">
        <f t="shared" si="43"/>
        <v>1</v>
      </c>
      <c r="AS103" s="468">
        <f t="shared" si="43"/>
        <v>1</v>
      </c>
      <c r="AT103" s="468">
        <f t="shared" si="43"/>
        <v>1</v>
      </c>
      <c r="AU103" s="468">
        <f t="shared" si="43"/>
        <v>1</v>
      </c>
      <c r="AV103" s="468">
        <f t="shared" si="43"/>
        <v>1</v>
      </c>
      <c r="AW103" s="468">
        <f t="shared" si="43"/>
        <v>1</v>
      </c>
      <c r="AX103" s="468">
        <f t="shared" si="43"/>
        <v>1</v>
      </c>
      <c r="AY103" s="468">
        <f t="shared" si="43"/>
        <v>1</v>
      </c>
      <c r="AZ103" s="468">
        <f t="shared" si="43"/>
        <v>1</v>
      </c>
      <c r="BA103" s="468">
        <f t="shared" si="43"/>
        <v>1</v>
      </c>
      <c r="BB103" s="468">
        <f t="shared" si="43"/>
        <v>1</v>
      </c>
      <c r="BC103" s="468">
        <f t="shared" si="43"/>
        <v>1</v>
      </c>
      <c r="BD103" s="468">
        <f t="shared" si="43"/>
        <v>1</v>
      </c>
      <c r="BE103" s="468">
        <f t="shared" si="43"/>
        <v>1</v>
      </c>
      <c r="BF103" s="468">
        <f t="shared" si="43"/>
        <v>1</v>
      </c>
      <c r="BG103" s="468">
        <f t="shared" si="43"/>
        <v>1</v>
      </c>
      <c r="BH103" s="468">
        <f t="shared" si="43"/>
        <v>1</v>
      </c>
      <c r="BI103" s="468">
        <f t="shared" si="43"/>
        <v>1</v>
      </c>
    </row>
    <row r="104" spans="1:61" s="23" customFormat="1" ht="18" customHeight="1" x14ac:dyDescent="0.2">
      <c r="A104" s="132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4">+MIN(B107+B108,B36*1000)</f>
        <v>1E-3</v>
      </c>
      <c r="C106" s="373">
        <f t="shared" si="44"/>
        <v>1E-3</v>
      </c>
      <c r="D106" s="373">
        <f t="shared" si="44"/>
        <v>1.0000000000000005E-3</v>
      </c>
      <c r="E106" s="373">
        <f t="shared" si="44"/>
        <v>1.000000000000023E-3</v>
      </c>
      <c r="F106" s="373">
        <f t="shared" si="44"/>
        <v>1.0000000000003001E-3</v>
      </c>
      <c r="G106" s="373">
        <f t="shared" si="44"/>
        <v>1.0000000000020112E-3</v>
      </c>
      <c r="H106" s="373">
        <f t="shared" si="44"/>
        <v>1.0000000000091702E-3</v>
      </c>
      <c r="I106" s="373">
        <f t="shared" si="44"/>
        <v>1.0000000000319844E-3</v>
      </c>
      <c r="J106" s="373">
        <f t="shared" si="44"/>
        <v>1.0000000000922251E-3</v>
      </c>
      <c r="K106" s="373">
        <f t="shared" si="44"/>
        <v>1.0000000002275561E-3</v>
      </c>
      <c r="L106" s="373">
        <f t="shared" si="44"/>
        <v>1.0000000005053185E-3</v>
      </c>
      <c r="M106" s="450">
        <f t="shared" si="44"/>
        <v>1.0000000010417327E-3</v>
      </c>
      <c r="N106" s="373">
        <f t="shared" si="44"/>
        <v>1.0000000019921491E-3</v>
      </c>
      <c r="O106" s="373">
        <f t="shared" si="44"/>
        <v>1.0000000035927906E-3</v>
      </c>
      <c r="P106" s="373">
        <f t="shared" si="44"/>
        <v>1.0000000062096877E-3</v>
      </c>
      <c r="Q106" s="373">
        <f t="shared" si="44"/>
        <v>1.0000000104204644E-3</v>
      </c>
      <c r="R106" s="373">
        <f t="shared" si="44"/>
        <v>1.0000000170144582E-3</v>
      </c>
      <c r="S106" s="373">
        <f t="shared" si="44"/>
        <v>1.0000000272142174E-3</v>
      </c>
      <c r="T106" s="373">
        <f t="shared" si="44"/>
        <v>1.0000000427819878E-3</v>
      </c>
      <c r="U106" s="373">
        <f t="shared" si="44"/>
        <v>1.0000000656043364E-3</v>
      </c>
      <c r="V106" s="373">
        <f t="shared" si="44"/>
        <v>1.0000000970886349E-3</v>
      </c>
      <c r="W106" s="373">
        <f t="shared" si="44"/>
        <v>1.0000001421883765E-3</v>
      </c>
      <c r="X106" s="373">
        <f t="shared" si="44"/>
        <v>1.0000002055977509E-3</v>
      </c>
      <c r="Y106" s="373">
        <f t="shared" si="44"/>
        <v>1.0000002932497453E-3</v>
      </c>
      <c r="Z106" s="373">
        <f t="shared" si="44"/>
        <v>1.0000004131003601E-3</v>
      </c>
      <c r="AA106" s="373">
        <f t="shared" si="44"/>
        <v>1.0000005755955613E-3</v>
      </c>
      <c r="AB106" s="373">
        <f t="shared" si="44"/>
        <v>594.76450197381143</v>
      </c>
      <c r="AC106" s="373">
        <f t="shared" si="44"/>
        <v>573.84627687512091</v>
      </c>
      <c r="AD106" s="373">
        <f t="shared" si="44"/>
        <v>553.97396303136497</v>
      </c>
      <c r="AE106" s="373">
        <f t="shared" si="44"/>
        <v>535.09526487979667</v>
      </c>
      <c r="AF106" s="373">
        <f t="shared" si="44"/>
        <v>517.16050163580678</v>
      </c>
      <c r="AG106" s="373">
        <f t="shared" si="44"/>
        <v>500.12247655401643</v>
      </c>
      <c r="AH106" s="373">
        <f t="shared" si="44"/>
        <v>483.93635272631559</v>
      </c>
      <c r="AI106" s="373">
        <f t="shared" si="44"/>
        <v>468.55953508999983</v>
      </c>
      <c r="AJ106" s="373">
        <f t="shared" si="44"/>
        <v>453.95155833549984</v>
      </c>
      <c r="AK106" s="373">
        <f t="shared" si="44"/>
        <v>440.07398041872483</v>
      </c>
      <c r="AL106" s="373">
        <f t="shared" si="44"/>
        <v>426.89028139778856</v>
      </c>
      <c r="AM106" s="373">
        <f t="shared" si="44"/>
        <v>414.36576732789911</v>
      </c>
      <c r="AN106" s="373">
        <f t="shared" si="44"/>
        <v>402.46747896150413</v>
      </c>
      <c r="AO106" s="373">
        <f t="shared" si="44"/>
        <v>391.16410501342892</v>
      </c>
      <c r="AP106" s="373">
        <f t="shared" si="44"/>
        <v>380.42589976275741</v>
      </c>
      <c r="AQ106" s="373">
        <f t="shared" si="44"/>
        <v>370.22460477461954</v>
      </c>
      <c r="AR106" s="373">
        <f t="shared" si="44"/>
        <v>360.53337453588858</v>
      </c>
      <c r="AS106" s="373">
        <f t="shared" si="44"/>
        <v>351.32670580909416</v>
      </c>
      <c r="AT106" s="373">
        <f t="shared" si="44"/>
        <v>342.58037051863943</v>
      </c>
      <c r="AU106" s="373">
        <f t="shared" si="44"/>
        <v>334.27135199270748</v>
      </c>
      <c r="AV106" s="373">
        <f t="shared" si="44"/>
        <v>326.37778439307209</v>
      </c>
      <c r="AW106" s="373">
        <f t="shared" si="44"/>
        <v>318.87889517341847</v>
      </c>
      <c r="AX106" s="373">
        <f t="shared" si="44"/>
        <v>311.75495041474755</v>
      </c>
      <c r="AY106" s="373">
        <f t="shared" si="44"/>
        <v>304.98720289401018</v>
      </c>
      <c r="AZ106" s="373">
        <f t="shared" si="44"/>
        <v>298.55784274930966</v>
      </c>
      <c r="BA106" s="373">
        <f t="shared" si="44"/>
        <v>292.44995061184414</v>
      </c>
      <c r="BB106" s="373">
        <f t="shared" si="44"/>
        <v>286.64745308125197</v>
      </c>
      <c r="BC106" s="373">
        <f t="shared" si="44"/>
        <v>281.13508042718939</v>
      </c>
      <c r="BD106" s="373">
        <f t="shared" si="44"/>
        <v>275.89832640582989</v>
      </c>
      <c r="BE106" s="373">
        <f t="shared" si="44"/>
        <v>137.94916320291495</v>
      </c>
      <c r="BF106" s="373">
        <f t="shared" si="44"/>
        <v>68.974581601457473</v>
      </c>
      <c r="BG106" s="373">
        <f t="shared" si="44"/>
        <v>34.487290800728736</v>
      </c>
      <c r="BH106" s="373">
        <f t="shared" si="44"/>
        <v>17.243645400364368</v>
      </c>
      <c r="BI106" s="373">
        <f t="shared" si="44"/>
        <v>8.6218227001821841</v>
      </c>
    </row>
    <row r="107" spans="1:61" s="23" customFormat="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s="23" customFormat="1" ht="18" customHeight="1" x14ac:dyDescent="0.2">
      <c r="A108" s="372" t="s">
        <v>213</v>
      </c>
      <c r="B108" s="373">
        <f>+Controls!B12</f>
        <v>1E-3</v>
      </c>
      <c r="C108" s="373">
        <f>+Controls!C12</f>
        <v>1E-3</v>
      </c>
      <c r="D108" s="373">
        <f>+Controls!D12</f>
        <v>1E-3</v>
      </c>
      <c r="E108" s="373">
        <f>+Controls!E12</f>
        <v>1E-3</v>
      </c>
      <c r="F108" s="373">
        <f>+Controls!F12</f>
        <v>1E-3</v>
      </c>
      <c r="G108" s="373">
        <f>+Controls!G12</f>
        <v>1E-3</v>
      </c>
      <c r="H108" s="373">
        <f>+Controls!H12</f>
        <v>1E-3</v>
      </c>
      <c r="I108" s="373">
        <f>+Controls!I12</f>
        <v>1E-3</v>
      </c>
      <c r="J108" s="373">
        <f>+Controls!J12</f>
        <v>1E-3</v>
      </c>
      <c r="K108" s="373">
        <f>+Controls!K12</f>
        <v>1E-3</v>
      </c>
      <c r="L108" s="373">
        <f>+Controls!L12</f>
        <v>1E-3</v>
      </c>
      <c r="M108" s="373">
        <f>+Controls!M12</f>
        <v>1E-3</v>
      </c>
      <c r="N108" s="373">
        <f>+Controls!N12</f>
        <v>1E-3</v>
      </c>
      <c r="O108" s="373">
        <f>+Controls!O12</f>
        <v>1E-3</v>
      </c>
      <c r="P108" s="373">
        <f>+Controls!P12</f>
        <v>1E-3</v>
      </c>
      <c r="Q108" s="373">
        <f>+Controls!Q12</f>
        <v>1E-3</v>
      </c>
      <c r="R108" s="373">
        <f>+Controls!R12</f>
        <v>1E-3</v>
      </c>
      <c r="S108" s="373">
        <f>+Controls!S12</f>
        <v>1E-3</v>
      </c>
      <c r="T108" s="373">
        <f>+Controls!T12</f>
        <v>1E-3</v>
      </c>
      <c r="U108" s="373">
        <f>+Controls!U12</f>
        <v>1E-3</v>
      </c>
      <c r="V108" s="373">
        <f>+Controls!V12</f>
        <v>1E-3</v>
      </c>
      <c r="W108" s="373">
        <f>+Controls!W12</f>
        <v>1E-3</v>
      </c>
      <c r="X108" s="373">
        <f>+Controls!X12</f>
        <v>1E-3</v>
      </c>
      <c r="Y108" s="373">
        <f>+Controls!Y12</f>
        <v>1E-3</v>
      </c>
      <c r="Z108" s="373">
        <f>+Controls!Z12</f>
        <v>1E-3</v>
      </c>
      <c r="AA108" s="373">
        <f>+Controls!AA12</f>
        <v>1E-3</v>
      </c>
      <c r="AB108" s="373">
        <f>+Controls!AB12</f>
        <v>1200</v>
      </c>
      <c r="AC108" s="373">
        <f>+Controls!AC12</f>
        <v>1200</v>
      </c>
      <c r="AD108" s="373">
        <f>+Controls!AD12</f>
        <v>1200</v>
      </c>
      <c r="AE108" s="373">
        <f>+Controls!AE12</f>
        <v>1200</v>
      </c>
      <c r="AF108" s="373">
        <f>+Controls!AF12</f>
        <v>1200</v>
      </c>
      <c r="AG108" s="373">
        <f>+Controls!AG12</f>
        <v>1200</v>
      </c>
      <c r="AH108" s="373">
        <f>+Controls!AH12</f>
        <v>1200</v>
      </c>
      <c r="AI108" s="373">
        <f>+Controls!AI12</f>
        <v>1200</v>
      </c>
      <c r="AJ108" s="373">
        <f>+Controls!AJ12</f>
        <v>1200</v>
      </c>
      <c r="AK108" s="373">
        <f>+Controls!AK12</f>
        <v>1200</v>
      </c>
      <c r="AL108" s="373">
        <f>+Controls!AL12</f>
        <v>1200</v>
      </c>
      <c r="AM108" s="373">
        <f>+Controls!AM12</f>
        <v>1200</v>
      </c>
      <c r="AN108" s="373">
        <f>+Controls!AN12</f>
        <v>1200</v>
      </c>
      <c r="AO108" s="373">
        <f>+Controls!AO12</f>
        <v>1200</v>
      </c>
      <c r="AP108" s="373">
        <f>+Controls!AP12</f>
        <v>1200</v>
      </c>
      <c r="AQ108" s="373">
        <f>+Controls!AQ12</f>
        <v>1200</v>
      </c>
      <c r="AR108" s="373">
        <f>+Controls!AR12</f>
        <v>1200</v>
      </c>
      <c r="AS108" s="373">
        <f>+Controls!AS12</f>
        <v>1200</v>
      </c>
      <c r="AT108" s="373">
        <f>+Controls!AT12</f>
        <v>1200</v>
      </c>
      <c r="AU108" s="373">
        <f>+Controls!AU12</f>
        <v>1200</v>
      </c>
      <c r="AV108" s="373">
        <f>+Controls!AV12</f>
        <v>1200</v>
      </c>
      <c r="AW108" s="373">
        <f>+Controls!AW12</f>
        <v>1200</v>
      </c>
      <c r="AX108" s="373">
        <f>+Controls!AX12</f>
        <v>1200</v>
      </c>
      <c r="AY108" s="373">
        <f>+Controls!AY12</f>
        <v>1200</v>
      </c>
      <c r="AZ108" s="373">
        <f>+Controls!AZ12</f>
        <v>1200</v>
      </c>
      <c r="BA108" s="373">
        <f>+Controls!BA12</f>
        <v>1200</v>
      </c>
      <c r="BB108" s="373">
        <f>+Controls!BB12</f>
        <v>1200</v>
      </c>
      <c r="BC108" s="373">
        <f>+Controls!BC12</f>
        <v>1200</v>
      </c>
      <c r="BD108" s="373">
        <f>+Controls!BD12</f>
        <v>1200</v>
      </c>
      <c r="BE108" s="373">
        <f>+Controls!BE12</f>
        <v>1200</v>
      </c>
      <c r="BF108" s="373">
        <f>+Controls!BF12</f>
        <v>1200</v>
      </c>
      <c r="BG108" s="373">
        <f>+Controls!BG12</f>
        <v>1200</v>
      </c>
      <c r="BH108" s="373">
        <f>+Controls!BH12</f>
        <v>1200</v>
      </c>
      <c r="BI108" s="373">
        <f>+Controls!BI12</f>
        <v>1200</v>
      </c>
    </row>
    <row r="109" spans="1:61" ht="15" x14ac:dyDescent="0.2">
      <c r="A109" s="372" t="s">
        <v>193</v>
      </c>
      <c r="B109" s="375">
        <f>+(B106/(1000*B$36))^(1/($B$38-1))</f>
        <v>3.3862811311759976E-4</v>
      </c>
      <c r="C109" s="375">
        <f t="shared" ref="C109" si="45">+(C106/(1000*C$36))^(1/($B$38-1))</f>
        <v>3.474019474595326E-4</v>
      </c>
      <c r="D109" s="375">
        <f t="shared" ref="D109:BI109" si="46">+(D106/(1000*D$36))^(1/($B$38-1))</f>
        <v>3.5635427292863116E-4</v>
      </c>
      <c r="E109" s="375">
        <f t="shared" si="46"/>
        <v>3.6548514450551842E-4</v>
      </c>
      <c r="F109" s="375">
        <f t="shared" si="46"/>
        <v>3.7479432816651346E-4</v>
      </c>
      <c r="G109" s="375">
        <f t="shared" si="46"/>
        <v>3.8428128274087123E-4</v>
      </c>
      <c r="H109" s="375">
        <f t="shared" si="46"/>
        <v>3.9394514175066219E-4</v>
      </c>
      <c r="I109" s="375">
        <f t="shared" si="46"/>
        <v>4.0378469535954959E-4</v>
      </c>
      <c r="J109" s="375">
        <f t="shared" si="46"/>
        <v>4.1379837257024928E-4</v>
      </c>
      <c r="K109" s="375">
        <f t="shared" si="46"/>
        <v>4.2398422382301679E-4</v>
      </c>
      <c r="L109" s="375">
        <f t="shared" si="46"/>
        <v>4.3433990416375754E-4</v>
      </c>
      <c r="M109" s="375">
        <f t="shared" si="46"/>
        <v>4.4486265715983466E-4</v>
      </c>
      <c r="N109" s="375">
        <f t="shared" si="46"/>
        <v>4.5554929974549212E-4</v>
      </c>
      <c r="O109" s="375">
        <f t="shared" si="46"/>
        <v>4.6639620821751425E-4</v>
      </c>
      <c r="P109" s="375">
        <f t="shared" si="46"/>
        <v>4.7739930558155175E-4</v>
      </c>
      <c r="Q109" s="375">
        <f t="shared" si="46"/>
        <v>4.8855405047362591E-4</v>
      </c>
      <c r="R109" s="375">
        <f t="shared" si="46"/>
        <v>4.9985542784862838E-4</v>
      </c>
      <c r="S109" s="375">
        <f t="shared" si="46"/>
        <v>5.1129794174272587E-4</v>
      </c>
      <c r="T109" s="375">
        <f t="shared" si="46"/>
        <v>5.2287561024550214E-4</v>
      </c>
      <c r="U109" s="375">
        <f t="shared" si="46"/>
        <v>5.3458196277551579E-4</v>
      </c>
      <c r="V109" s="375">
        <f t="shared" si="46"/>
        <v>5.4641003994822615E-4</v>
      </c>
      <c r="W109" s="375">
        <f t="shared" si="46"/>
        <v>5.5835239772080651E-4</v>
      </c>
      <c r="X109" s="375">
        <f t="shared" si="46"/>
        <v>5.7040111226513881E-4</v>
      </c>
      <c r="Y109" s="375">
        <f t="shared" si="46"/>
        <v>5.8254778961747903E-4</v>
      </c>
      <c r="Z109" s="375">
        <f t="shared" si="46"/>
        <v>5.9478357850208899E-4</v>
      </c>
      <c r="AA109" s="375">
        <f t="shared" si="46"/>
        <v>6.0709918653820496E-4</v>
      </c>
      <c r="AB109" s="375">
        <f t="shared" si="46"/>
        <v>1</v>
      </c>
      <c r="AC109" s="375">
        <f t="shared" si="46"/>
        <v>1</v>
      </c>
      <c r="AD109" s="375">
        <f t="shared" si="46"/>
        <v>1</v>
      </c>
      <c r="AE109" s="375">
        <f t="shared" si="46"/>
        <v>1</v>
      </c>
      <c r="AF109" s="375">
        <f t="shared" si="46"/>
        <v>1</v>
      </c>
      <c r="AG109" s="375">
        <f t="shared" si="46"/>
        <v>1</v>
      </c>
      <c r="AH109" s="375">
        <f t="shared" si="46"/>
        <v>1</v>
      </c>
      <c r="AI109" s="375">
        <f t="shared" si="46"/>
        <v>1</v>
      </c>
      <c r="AJ109" s="375">
        <f t="shared" si="46"/>
        <v>1</v>
      </c>
      <c r="AK109" s="375">
        <f t="shared" si="46"/>
        <v>1</v>
      </c>
      <c r="AL109" s="375">
        <f t="shared" si="46"/>
        <v>1</v>
      </c>
      <c r="AM109" s="375">
        <f t="shared" si="46"/>
        <v>1</v>
      </c>
      <c r="AN109" s="375">
        <f t="shared" si="46"/>
        <v>1</v>
      </c>
      <c r="AO109" s="375">
        <f t="shared" si="46"/>
        <v>1</v>
      </c>
      <c r="AP109" s="375">
        <f t="shared" si="46"/>
        <v>1</v>
      </c>
      <c r="AQ109" s="375">
        <f t="shared" si="46"/>
        <v>1</v>
      </c>
      <c r="AR109" s="375">
        <f t="shared" si="46"/>
        <v>1</v>
      </c>
      <c r="AS109" s="375">
        <f t="shared" si="46"/>
        <v>1</v>
      </c>
      <c r="AT109" s="375">
        <f t="shared" si="46"/>
        <v>1</v>
      </c>
      <c r="AU109" s="375">
        <f t="shared" si="46"/>
        <v>1</v>
      </c>
      <c r="AV109" s="375">
        <f t="shared" si="46"/>
        <v>1</v>
      </c>
      <c r="AW109" s="375">
        <f t="shared" si="46"/>
        <v>1</v>
      </c>
      <c r="AX109" s="375">
        <f t="shared" si="46"/>
        <v>1</v>
      </c>
      <c r="AY109" s="375">
        <f t="shared" si="46"/>
        <v>1</v>
      </c>
      <c r="AZ109" s="375">
        <f t="shared" si="46"/>
        <v>1</v>
      </c>
      <c r="BA109" s="375">
        <f t="shared" si="46"/>
        <v>1</v>
      </c>
      <c r="BB109" s="375">
        <f t="shared" si="46"/>
        <v>1</v>
      </c>
      <c r="BC109" s="375">
        <f t="shared" si="46"/>
        <v>1</v>
      </c>
      <c r="BD109" s="375">
        <f t="shared" si="46"/>
        <v>1</v>
      </c>
      <c r="BE109" s="375">
        <f t="shared" si="46"/>
        <v>1</v>
      </c>
      <c r="BF109" s="375">
        <f t="shared" si="46"/>
        <v>1</v>
      </c>
      <c r="BG109" s="375">
        <f t="shared" si="46"/>
        <v>1</v>
      </c>
      <c r="BH109" s="375">
        <f t="shared" si="46"/>
        <v>1</v>
      </c>
      <c r="BI109" s="375">
        <f t="shared" si="46"/>
        <v>1</v>
      </c>
    </row>
    <row r="110" spans="1:61" ht="15" x14ac:dyDescent="0.2">
      <c r="A110" s="38"/>
      <c r="B110" s="41"/>
    </row>
    <row r="111" spans="1:61" ht="19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1.2439679091220597</v>
      </c>
      <c r="C112" s="455">
        <f>+C40*C61</f>
        <v>0.88086999423997159</v>
      </c>
      <c r="D112" s="455">
        <f t="shared" ref="D112:BI112" si="47">+D40*D61</f>
        <v>0.78515196098417595</v>
      </c>
      <c r="E112" s="455">
        <f t="shared" si="47"/>
        <v>0.69694996344120619</v>
      </c>
      <c r="F112" s="455">
        <f t="shared" si="47"/>
        <v>0.63797876868250847</v>
      </c>
      <c r="G112" s="455">
        <f t="shared" si="47"/>
        <v>0.59233738105570288</v>
      </c>
      <c r="H112" s="455">
        <f t="shared" si="47"/>
        <v>0.5506166063944965</v>
      </c>
      <c r="I112" s="455">
        <f t="shared" si="47"/>
        <v>0.52075797545459646</v>
      </c>
      <c r="J112" s="455">
        <f t="shared" si="47"/>
        <v>0.49430705615408072</v>
      </c>
      <c r="K112" s="455">
        <f t="shared" si="47"/>
        <v>0.46998715667517271</v>
      </c>
      <c r="L112" s="455">
        <f t="shared" si="47"/>
        <v>0.45565849818091375</v>
      </c>
      <c r="M112" s="455">
        <f t="shared" si="47"/>
        <v>0.43381374585159854</v>
      </c>
      <c r="N112" s="455">
        <f t="shared" si="47"/>
        <v>0.41323293539996991</v>
      </c>
      <c r="O112" s="455">
        <f t="shared" si="47"/>
        <v>0.39528783886671504</v>
      </c>
      <c r="P112" s="455">
        <f t="shared" si="47"/>
        <v>0.38497800874735127</v>
      </c>
      <c r="Q112" s="455">
        <f t="shared" si="47"/>
        <v>0.37429704677334086</v>
      </c>
      <c r="R112" s="455">
        <f t="shared" si="47"/>
        <v>0.36879301471794251</v>
      </c>
      <c r="S112" s="455">
        <f t="shared" si="47"/>
        <v>0.36304963473462787</v>
      </c>
      <c r="T112" s="455">
        <f t="shared" si="47"/>
        <v>0.34908807869173941</v>
      </c>
      <c r="U112" s="455">
        <f t="shared" si="47"/>
        <v>0.32054207451681271</v>
      </c>
      <c r="V112" s="455">
        <f t="shared" si="47"/>
        <v>0.31577740231462531</v>
      </c>
      <c r="W112" s="455">
        <f t="shared" si="47"/>
        <v>0.31067639445359208</v>
      </c>
      <c r="X112" s="455">
        <f t="shared" si="47"/>
        <v>0.29903229534198456</v>
      </c>
      <c r="Y112" s="455">
        <f t="shared" si="47"/>
        <v>0.2906951958558433</v>
      </c>
      <c r="Z112" s="455">
        <f t="shared" si="47"/>
        <v>0.28648710740014627</v>
      </c>
      <c r="AA112" s="455">
        <f t="shared" si="47"/>
        <v>0.28406335985333891</v>
      </c>
      <c r="AB112" s="455">
        <f t="shared" si="47"/>
        <v>0.28038323503690077</v>
      </c>
      <c r="AC112" s="455">
        <f t="shared" si="47"/>
        <v>0.28001284221204714</v>
      </c>
      <c r="AD112" s="455">
        <f t="shared" si="47"/>
        <v>0.27693615463221471</v>
      </c>
      <c r="AE112" s="455">
        <f t="shared" si="47"/>
        <v>0.2729547879101023</v>
      </c>
      <c r="AF112" s="455">
        <f t="shared" si="47"/>
        <v>0.25016940772810864</v>
      </c>
      <c r="AG112" s="455">
        <f t="shared" si="47"/>
        <v>0.25928601377171556</v>
      </c>
      <c r="AH112" s="455">
        <f t="shared" si="47"/>
        <v>0.2613488005684319</v>
      </c>
      <c r="AI112" s="455">
        <f t="shared" si="47"/>
        <v>1.2135261995926117</v>
      </c>
      <c r="AJ112" s="455">
        <f t="shared" si="47"/>
        <v>1.7665000823865706</v>
      </c>
      <c r="AK112" s="455">
        <f t="shared" si="47"/>
        <v>2.0663774439230318</v>
      </c>
      <c r="AL112" s="455">
        <f t="shared" si="47"/>
        <v>2.2334130675114556</v>
      </c>
      <c r="AM112" s="455">
        <f t="shared" si="47"/>
        <v>2.3324047118035645</v>
      </c>
      <c r="AN112" s="455">
        <f t="shared" si="47"/>
        <v>2.3958247502737766</v>
      </c>
      <c r="AO112" s="455">
        <f t="shared" si="47"/>
        <v>2.4403708589225386</v>
      </c>
      <c r="AP112" s="455">
        <f t="shared" si="47"/>
        <v>2.4748105779609895</v>
      </c>
      <c r="AQ112" s="455">
        <f t="shared" si="47"/>
        <v>2.5038072251467263</v>
      </c>
      <c r="AR112" s="455">
        <f t="shared" si="47"/>
        <v>2.5298613483114596</v>
      </c>
      <c r="AS112" s="455">
        <f t="shared" si="47"/>
        <v>2.5543219541053594</v>
      </c>
      <c r="AT112" s="455">
        <f t="shared" si="47"/>
        <v>2.5779212718541396</v>
      </c>
      <c r="AU112" s="455">
        <f t="shared" si="47"/>
        <v>2.6010599605669396</v>
      </c>
      <c r="AV112" s="455">
        <f t="shared" si="47"/>
        <v>2.6239599379987215</v>
      </c>
      <c r="AW112" s="455">
        <f t="shared" si="47"/>
        <v>2.6467464951490629</v>
      </c>
      <c r="AX112" s="455">
        <f t="shared" si="47"/>
        <v>2.6694924903511437</v>
      </c>
      <c r="AY112" s="455">
        <f t="shared" si="47"/>
        <v>2.6922421654545339</v>
      </c>
      <c r="AZ112" s="455">
        <f t="shared" si="47"/>
        <v>2.7150239979061084</v>
      </c>
      <c r="BA112" s="455">
        <f t="shared" si="47"/>
        <v>2.7378576492047122</v>
      </c>
      <c r="BB112" s="455">
        <f t="shared" si="47"/>
        <v>2.7607577326392314</v>
      </c>
      <c r="BC112" s="455">
        <f t="shared" si="47"/>
        <v>2.7837358662400238</v>
      </c>
      <c r="BD112" s="455">
        <f t="shared" si="47"/>
        <v>2.8068018004276944</v>
      </c>
      <c r="BE112" s="455">
        <f t="shared" si="47"/>
        <v>2.8299640456543824</v>
      </c>
      <c r="BF112" s="455">
        <f t="shared" si="47"/>
        <v>2.8533783364182281</v>
      </c>
      <c r="BG112" s="455">
        <f t="shared" si="47"/>
        <v>2.87690330186848</v>
      </c>
      <c r="BH112" s="455">
        <f t="shared" si="47"/>
        <v>2.9005060959767226</v>
      </c>
      <c r="BI112" s="455">
        <f t="shared" si="47"/>
        <v>2.9241917708137066</v>
      </c>
    </row>
    <row r="113" spans="1:61" ht="15" x14ac:dyDescent="0.2">
      <c r="A113" s="382" t="s">
        <v>949</v>
      </c>
      <c r="B113" s="383">
        <f>+Controls!B71</f>
        <v>1.1460506191660516</v>
      </c>
      <c r="C113" s="383">
        <f>+Controls!C71</f>
        <v>1.0537535277990626</v>
      </c>
      <c r="D113" s="383">
        <f>+Controls!D71</f>
        <v>0.90645464756908634</v>
      </c>
      <c r="E113" s="383">
        <f>+Controls!E71</f>
        <v>0.80990096886794261</v>
      </c>
      <c r="F113" s="383">
        <f>+Controls!F71</f>
        <v>0.58226444480058026</v>
      </c>
      <c r="G113" s="383">
        <f>+Controls!G71</f>
        <v>0.40998682211510207</v>
      </c>
      <c r="H113" s="383">
        <f>+Controls!H71</f>
        <v>0.33306218981574859</v>
      </c>
      <c r="I113" s="383">
        <f>+Controls!I71</f>
        <v>0.27609264941330897</v>
      </c>
      <c r="J113" s="383">
        <f>+Controls!J71</f>
        <v>0.23395859042414713</v>
      </c>
      <c r="K113" s="383">
        <f>+Controls!K71</f>
        <v>0.20276610477240878</v>
      </c>
      <c r="L113" s="383">
        <f>+Controls!L71</f>
        <v>0.1805944284501283</v>
      </c>
      <c r="M113" s="383">
        <f>+Controls!M71</f>
        <v>0.16298647167624078</v>
      </c>
      <c r="N113" s="383">
        <f>+Controls!N71</f>
        <v>0.1470952906878073</v>
      </c>
      <c r="O113" s="383">
        <f>+Controls!O71</f>
        <v>0.13275349984574608</v>
      </c>
      <c r="P113" s="383">
        <f>+Controls!P71</f>
        <v>0.11981003361078582</v>
      </c>
      <c r="Q113" s="383">
        <f>+Controls!Q71</f>
        <v>0.10812855533373419</v>
      </c>
      <c r="R113" s="383">
        <f>+Controls!R71</f>
        <v>9.7586021188695096E-2</v>
      </c>
      <c r="S113" s="383">
        <f>+Controls!S71</f>
        <v>8.8071384122797317E-2</v>
      </c>
      <c r="T113" s="383">
        <f>+Controls!T71</f>
        <v>7.9484424170824575E-2</v>
      </c>
      <c r="U113" s="383">
        <f>+Controls!U71</f>
        <v>7.1734692814169179E-2</v>
      </c>
      <c r="V113" s="383">
        <f>+Controls!V71</f>
        <v>6.474056026478768E-2</v>
      </c>
      <c r="W113" s="383">
        <f>+Controls!W71</f>
        <v>6.1503532251548296E-2</v>
      </c>
      <c r="X113" s="383">
        <f>+Controls!X71</f>
        <v>5.8428355638970877E-2</v>
      </c>
      <c r="Y113" s="383">
        <f>+Controls!Y71</f>
        <v>5.5506937857022334E-2</v>
      </c>
      <c r="Z113" s="383">
        <f>+Controls!Z71</f>
        <v>5.2731590964171217E-2</v>
      </c>
      <c r="AA113" s="383">
        <f>+Controls!AA71</f>
        <v>5.0095011415962655E-2</v>
      </c>
      <c r="AB113" s="383">
        <f>+Controls!AB71</f>
        <v>4.7590260845164517E-2</v>
      </c>
      <c r="AC113" s="383">
        <f>+Controls!AC71</f>
        <v>4.5210747802906286E-2</v>
      </c>
      <c r="AD113" s="383">
        <f>+Controls!AD71</f>
        <v>4.2950210412760967E-2</v>
      </c>
      <c r="AE113" s="383">
        <f>+Controls!AE71</f>
        <v>4.0802699892122915E-2</v>
      </c>
      <c r="AF113" s="383">
        <f>+Controls!AF71</f>
        <v>3.8762564897516769E-2</v>
      </c>
      <c r="AG113" s="383">
        <f>+Controls!AG71</f>
        <v>3.6824436652640929E-2</v>
      </c>
      <c r="AH113" s="383">
        <f>+Controls!AH71</f>
        <v>3.4983214820008879E-2</v>
      </c>
      <c r="AI113" s="383">
        <f>+Controls!AI71</f>
        <v>3.3234054079008431E-2</v>
      </c>
      <c r="AJ113" s="383">
        <f>+Controls!AJ71</f>
        <v>3.1572351375058011E-2</v>
      </c>
      <c r="AK113" s="383">
        <f>+Controls!AK71</f>
        <v>2.9993733806305108E-2</v>
      </c>
      <c r="AL113" s="383">
        <f>+Controls!AL71</f>
        <v>2.8494047115989851E-2</v>
      </c>
      <c r="AM113" s="383">
        <f>+Controls!AM71</f>
        <v>2.7069344760190357E-2</v>
      </c>
      <c r="AN113" s="383">
        <f>+Controls!AN71</f>
        <v>2.5715877522180838E-2</v>
      </c>
      <c r="AO113" s="383">
        <f>+Controls!AO71</f>
        <v>2.4430083646071795E-2</v>
      </c>
      <c r="AP113" s="383">
        <f>+Controls!AP71</f>
        <v>2.3208579463768204E-2</v>
      </c>
      <c r="AQ113" s="383">
        <f>+Controls!AQ71</f>
        <v>2.2048150490579795E-2</v>
      </c>
      <c r="AR113" s="383">
        <f>+Controls!AR71</f>
        <v>2.0945742966050805E-2</v>
      </c>
      <c r="AS113" s="383">
        <f>+Controls!AS71</f>
        <v>1.9898455817748264E-2</v>
      </c>
      <c r="AT113" s="383">
        <f>+Controls!AT71</f>
        <v>1.890353302686085E-2</v>
      </c>
      <c r="AU113" s="383">
        <f>+Controls!AU71</f>
        <v>1.7958356375517806E-2</v>
      </c>
      <c r="AV113" s="383">
        <f>+Controls!AV71</f>
        <v>1.7060438556741914E-2</v>
      </c>
      <c r="AW113" s="383">
        <f>+Controls!AW71</f>
        <v>1.6207416628904816E-2</v>
      </c>
      <c r="AX113" s="383">
        <f>+Controls!AX71</f>
        <v>1.5397045797459574E-2</v>
      </c>
      <c r="AY113" s="383">
        <f>+Controls!AY71</f>
        <v>1.4627193507586594E-2</v>
      </c>
      <c r="AZ113" s="383">
        <f>+Controls!AZ71</f>
        <v>1.3895833832207265E-2</v>
      </c>
      <c r="BA113" s="383">
        <f>+Controls!BA71</f>
        <v>1.32010421405969E-2</v>
      </c>
      <c r="BB113" s="383">
        <f>+Controls!BB71</f>
        <v>1.2540990033567054E-2</v>
      </c>
      <c r="BC113" s="383">
        <f>+Controls!BC71</f>
        <v>1.1913940531888701E-2</v>
      </c>
      <c r="BD113" s="383">
        <f>+Controls!BD71</f>
        <v>1.1318243505294265E-2</v>
      </c>
      <c r="BE113" s="383">
        <f>+Controls!BE71</f>
        <v>1.0752331330029551E-2</v>
      </c>
      <c r="BF113" s="383">
        <f>+Controls!BF71</f>
        <v>1.0214714763528072E-2</v>
      </c>
      <c r="BG113" s="383">
        <f>+Controls!BG71</f>
        <v>9.7039790253516684E-3</v>
      </c>
      <c r="BH113" s="383">
        <f>+Controls!BH71</f>
        <v>9.2187800740840854E-3</v>
      </c>
      <c r="BI113" s="383">
        <f>+Controls!BI71</f>
        <v>8.7578410703798813E-3</v>
      </c>
    </row>
    <row r="114" spans="1:61" s="23" customFormat="1" ht="18" customHeight="1" x14ac:dyDescent="0.2">
      <c r="A114" s="382" t="s">
        <v>951</v>
      </c>
      <c r="B114" s="383">
        <f>IF(1-(B113/B112)&lt;0,0,1-(B113/B112))</f>
        <v>7.8713678414030874E-2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8">IF(1-(F113/F112)&lt;0,0,1-(F113/F112))</f>
        <v>8.732943260319459E-2</v>
      </c>
      <c r="G114" s="383">
        <f t="shared" si="48"/>
        <v>0.30784914944183261</v>
      </c>
      <c r="H114" s="383">
        <f t="shared" si="48"/>
        <v>0.39511052527696233</v>
      </c>
      <c r="I114" s="383">
        <f t="shared" si="48"/>
        <v>0.46982540368720527</v>
      </c>
      <c r="J114" s="383">
        <f t="shared" si="48"/>
        <v>0.52669380800580812</v>
      </c>
      <c r="K114" s="383">
        <f t="shared" si="48"/>
        <v>0.56857096647739103</v>
      </c>
      <c r="L114" s="383">
        <f t="shared" si="48"/>
        <v>0.60366276680650111</v>
      </c>
      <c r="M114" s="383">
        <f t="shared" si="48"/>
        <v>0.62429389747369579</v>
      </c>
      <c r="N114" s="383">
        <f t="shared" si="48"/>
        <v>0.64403783414448035</v>
      </c>
      <c r="O114" s="383">
        <f t="shared" si="48"/>
        <v>0.66415991894324755</v>
      </c>
      <c r="P114" s="383">
        <f t="shared" si="48"/>
        <v>0.6887873309942405</v>
      </c>
      <c r="Q114" s="383">
        <f t="shared" si="48"/>
        <v>0.71111565996615389</v>
      </c>
      <c r="R114" s="383">
        <f t="shared" si="48"/>
        <v>0.7353908092230812</v>
      </c>
      <c r="S114" s="383">
        <f t="shared" si="48"/>
        <v>0.75741227728496863</v>
      </c>
      <c r="T114" s="383">
        <f t="shared" si="48"/>
        <v>0.77230839715665878</v>
      </c>
      <c r="U114" s="383">
        <f t="shared" si="48"/>
        <v>0.77620818445658801</v>
      </c>
      <c r="V114" s="383">
        <f t="shared" si="48"/>
        <v>0.79498038874775678</v>
      </c>
      <c r="W114" s="383">
        <f t="shared" si="48"/>
        <v>0.80203345555197791</v>
      </c>
      <c r="X114" s="383">
        <f t="shared" si="48"/>
        <v>0.8046085437957462</v>
      </c>
      <c r="Y114" s="383">
        <f t="shared" si="48"/>
        <v>0.80905450572169624</v>
      </c>
      <c r="Z114" s="383">
        <f t="shared" si="48"/>
        <v>0.81593729839116558</v>
      </c>
      <c r="AA114" s="383">
        <f t="shared" si="48"/>
        <v>0.82364845842199941</v>
      </c>
      <c r="AB114" s="383">
        <f t="shared" si="48"/>
        <v>0.83026709553835754</v>
      </c>
      <c r="AC114" s="383">
        <f t="shared" si="48"/>
        <v>0.83854044891030655</v>
      </c>
      <c r="AD114" s="383">
        <f t="shared" si="48"/>
        <v>0.84490934211966284</v>
      </c>
      <c r="AE114" s="383">
        <f t="shared" si="48"/>
        <v>0.85051480428487192</v>
      </c>
      <c r="AF114" s="383">
        <f t="shared" si="48"/>
        <v>0.84505473611047977</v>
      </c>
      <c r="AG114" s="383">
        <f t="shared" si="48"/>
        <v>0.85797754334307275</v>
      </c>
      <c r="AH114" s="383">
        <f t="shared" si="48"/>
        <v>0.86614357998230473</v>
      </c>
      <c r="AI114" s="383">
        <f t="shared" si="48"/>
        <v>0.97261364930549887</v>
      </c>
      <c r="AJ114" s="383">
        <f t="shared" si="48"/>
        <v>0.98212717242990266</v>
      </c>
      <c r="AK114" s="383">
        <f t="shared" si="48"/>
        <v>0.98548487165570209</v>
      </c>
      <c r="AL114" s="383">
        <f t="shared" si="48"/>
        <v>0.98724192692767809</v>
      </c>
      <c r="AM114" s="383">
        <f t="shared" si="48"/>
        <v>0.98839423337502241</v>
      </c>
      <c r="AN114" s="383">
        <f t="shared" si="48"/>
        <v>0.9892663778854266</v>
      </c>
      <c r="AO114" s="383">
        <f t="shared" si="48"/>
        <v>0.98998919219316606</v>
      </c>
      <c r="AP114" s="383">
        <f t="shared" si="48"/>
        <v>0.990622078444933</v>
      </c>
      <c r="AQ114" s="383">
        <f t="shared" si="48"/>
        <v>0.99119415014497059</v>
      </c>
      <c r="AR114" s="383">
        <f t="shared" si="48"/>
        <v>0.99172059647457322</v>
      </c>
      <c r="AS114" s="383">
        <f t="shared" si="48"/>
        <v>0.9922098873300732</v>
      </c>
      <c r="AT114" s="383">
        <f t="shared" si="48"/>
        <v>0.99266714106700993</v>
      </c>
      <c r="AU114" s="383">
        <f t="shared" si="48"/>
        <v>0.99309575455861332</v>
      </c>
      <c r="AV114" s="383">
        <f t="shared" si="48"/>
        <v>0.99349820921055909</v>
      </c>
      <c r="AW114" s="383">
        <f t="shared" si="48"/>
        <v>0.99387647564335702</v>
      </c>
      <c r="AX114" s="383">
        <f t="shared" si="48"/>
        <v>0.99423221984961108</v>
      </c>
      <c r="AY114" s="383">
        <f t="shared" si="48"/>
        <v>0.99456691017796417</v>
      </c>
      <c r="AZ114" s="383">
        <f t="shared" si="48"/>
        <v>0.99488187439856002</v>
      </c>
      <c r="BA114" s="383">
        <f t="shared" si="48"/>
        <v>0.99517833144304213</v>
      </c>
      <c r="BB114" s="383">
        <f t="shared" si="48"/>
        <v>0.99545741015761713</v>
      </c>
      <c r="BC114" s="383">
        <f t="shared" si="48"/>
        <v>0.99572016128527996</v>
      </c>
      <c r="BD114" s="383">
        <f t="shared" si="48"/>
        <v>0.99596756582400314</v>
      </c>
      <c r="BE114" s="383">
        <f t="shared" si="48"/>
        <v>0.99620054136498992</v>
      </c>
      <c r="BF114" s="383">
        <f t="shared" si="48"/>
        <v>0.99642013306361943</v>
      </c>
      <c r="BG114" s="383">
        <f t="shared" si="48"/>
        <v>0.99662693597694119</v>
      </c>
      <c r="BH114" s="383">
        <f t="shared" si="48"/>
        <v>0.99682166498913016</v>
      </c>
      <c r="BI114" s="383">
        <f t="shared" si="48"/>
        <v>0.99700503874000612</v>
      </c>
    </row>
    <row r="115" spans="1:61" s="103" customFormat="1" ht="18" customHeight="1" x14ac:dyDescent="0.2">
      <c r="A115" s="382" t="s">
        <v>952</v>
      </c>
      <c r="B115" s="384">
        <f t="shared" ref="B115:C115" si="49">+B$36*1000*B114^($B$38-1)</f>
        <v>18.171423723718135</v>
      </c>
      <c r="C115" s="384">
        <f t="shared" si="49"/>
        <v>0</v>
      </c>
      <c r="D115" s="384">
        <f t="shared" ref="D115:BI115" si="50">+D$36*1000*D114^($B$38-1)</f>
        <v>0</v>
      </c>
      <c r="E115" s="384">
        <f t="shared" si="50"/>
        <v>0</v>
      </c>
      <c r="F115" s="384">
        <f t="shared" si="50"/>
        <v>18.249952197475036</v>
      </c>
      <c r="G115" s="384">
        <f t="shared" si="50"/>
        <v>168.51544335918743</v>
      </c>
      <c r="H115" s="384">
        <f t="shared" si="50"/>
        <v>252.52776200643439</v>
      </c>
      <c r="I115" s="384">
        <f t="shared" si="50"/>
        <v>329.92555437338922</v>
      </c>
      <c r="J115" s="384">
        <f t="shared" si="50"/>
        <v>387.77962106691155</v>
      </c>
      <c r="K115" s="384">
        <f t="shared" si="50"/>
        <v>425.97387805448631</v>
      </c>
      <c r="L115" s="384">
        <f t="shared" si="50"/>
        <v>454.29335662211474</v>
      </c>
      <c r="M115" s="384">
        <f t="shared" si="50"/>
        <v>462.26780646037912</v>
      </c>
      <c r="N115" s="384">
        <f t="shared" si="50"/>
        <v>468.4646190903556</v>
      </c>
      <c r="O115" s="384">
        <f t="shared" si="50"/>
        <v>474.60441648165619</v>
      </c>
      <c r="P115" s="384">
        <f t="shared" si="50"/>
        <v>485.92144292442123</v>
      </c>
      <c r="Q115" s="384">
        <f t="shared" si="50"/>
        <v>493.68476866267042</v>
      </c>
      <c r="R115" s="384">
        <f t="shared" si="50"/>
        <v>503.28364920577303</v>
      </c>
      <c r="S115" s="384">
        <f t="shared" si="50"/>
        <v>509.54781635672805</v>
      </c>
      <c r="T115" s="384">
        <f t="shared" si="50"/>
        <v>506.88132276768528</v>
      </c>
      <c r="U115" s="384">
        <f t="shared" si="50"/>
        <v>491.5130783055377</v>
      </c>
      <c r="V115" s="384">
        <f t="shared" si="50"/>
        <v>493.29644133257887</v>
      </c>
      <c r="W115" s="384">
        <f t="shared" si="50"/>
        <v>482.07148149797331</v>
      </c>
      <c r="X115" s="384">
        <f t="shared" si="50"/>
        <v>466.58179153761057</v>
      </c>
      <c r="Y115" s="384">
        <f t="shared" si="50"/>
        <v>453.69430434339699</v>
      </c>
      <c r="Z115" s="384">
        <f t="shared" si="50"/>
        <v>443.74783732824284</v>
      </c>
      <c r="AA115" s="384">
        <f t="shared" si="50"/>
        <v>434.97898959078918</v>
      </c>
      <c r="AB115" s="384">
        <f t="shared" si="50"/>
        <v>425.5368046156492</v>
      </c>
      <c r="AC115" s="384">
        <f t="shared" si="50"/>
        <v>417.96392435686437</v>
      </c>
      <c r="AD115" s="384">
        <f t="shared" si="50"/>
        <v>409.0228354339439</v>
      </c>
      <c r="AE115" s="384">
        <f t="shared" si="50"/>
        <v>399.81445097531684</v>
      </c>
      <c r="AF115" s="384">
        <f t="shared" si="50"/>
        <v>381.96015439450696</v>
      </c>
      <c r="AG115" s="384">
        <f t="shared" si="50"/>
        <v>379.60596706455573</v>
      </c>
      <c r="AH115" s="384">
        <f t="shared" si="50"/>
        <v>373.63714954273598</v>
      </c>
      <c r="AI115" s="384">
        <f t="shared" si="50"/>
        <v>445.71518281391246</v>
      </c>
      <c r="AJ115" s="384">
        <f t="shared" si="50"/>
        <v>439.45197388234072</v>
      </c>
      <c r="AK115" s="384">
        <f t="shared" si="50"/>
        <v>428.64288823138986</v>
      </c>
      <c r="AL115" s="384">
        <f t="shared" si="50"/>
        <v>417.13701745315922</v>
      </c>
      <c r="AM115" s="384">
        <f t="shared" si="50"/>
        <v>405.74972522668895</v>
      </c>
      <c r="AN115" s="384">
        <f t="shared" si="50"/>
        <v>394.72500737673914</v>
      </c>
      <c r="AO115" s="384">
        <f t="shared" si="50"/>
        <v>384.14378501614709</v>
      </c>
      <c r="AP115" s="384">
        <f t="shared" si="50"/>
        <v>374.02831605681473</v>
      </c>
      <c r="AQ115" s="384">
        <f t="shared" si="50"/>
        <v>364.37703082602781</v>
      </c>
      <c r="AR115" s="384">
        <f t="shared" si="50"/>
        <v>355.1781761578697</v>
      </c>
      <c r="AS115" s="384">
        <f t="shared" si="50"/>
        <v>346.4156902845196</v>
      </c>
      <c r="AT115" s="384">
        <f t="shared" si="50"/>
        <v>338.07187165804453</v>
      </c>
      <c r="AU115" s="384">
        <f t="shared" si="50"/>
        <v>330.12862531895883</v>
      </c>
      <c r="AV115" s="384">
        <f t="shared" si="50"/>
        <v>322.56805046059327</v>
      </c>
      <c r="AW115" s="384">
        <f t="shared" si="50"/>
        <v>315.37271503570349</v>
      </c>
      <c r="AX115" s="384">
        <f t="shared" si="50"/>
        <v>308.52577935843306</v>
      </c>
      <c r="AY115" s="384">
        <f t="shared" si="50"/>
        <v>302.01104606638535</v>
      </c>
      <c r="AZ115" s="384">
        <f t="shared" si="50"/>
        <v>295.81297386973313</v>
      </c>
      <c r="BA115" s="384">
        <f t="shared" si="50"/>
        <v>289.91667336499421</v>
      </c>
      <c r="BB115" s="384">
        <f t="shared" si="50"/>
        <v>284.30789392088241</v>
      </c>
      <c r="BC115" s="384">
        <f t="shared" si="50"/>
        <v>278.97300612497935</v>
      </c>
      <c r="BD115" s="384">
        <f t="shared" si="50"/>
        <v>273.89898206358106</v>
      </c>
      <c r="BE115" s="384">
        <f t="shared" si="50"/>
        <v>137.00715953696536</v>
      </c>
      <c r="BF115" s="384">
        <f t="shared" si="50"/>
        <v>68.530762506967463</v>
      </c>
      <c r="BG115" s="384">
        <f t="shared" si="50"/>
        <v>34.278183267088622</v>
      </c>
      <c r="BH115" s="384">
        <f t="shared" si="50"/>
        <v>17.145119897864692</v>
      </c>
      <c r="BI115" s="384">
        <f t="shared" si="50"/>
        <v>8.575398748244627</v>
      </c>
    </row>
    <row r="116" spans="1:61" s="379" customFormat="1" ht="18" customHeight="1" x14ac:dyDescent="0.2">
      <c r="A116" s="382" t="s">
        <v>969</v>
      </c>
      <c r="B116" s="383">
        <f t="shared" ref="B116:AG116" si="51">+B112*(1-B103)</f>
        <v>1.2435466666162149</v>
      </c>
      <c r="C116" s="383">
        <f t="shared" si="51"/>
        <v>0.88056397828851396</v>
      </c>
      <c r="D116" s="383">
        <f t="shared" si="51"/>
        <v>0.78487216872798093</v>
      </c>
      <c r="E116" s="383">
        <f t="shared" si="51"/>
        <v>0.69669523858310478</v>
      </c>
      <c r="F116" s="383">
        <f t="shared" si="51"/>
        <v>0.63773965785851561</v>
      </c>
      <c r="G116" s="383">
        <f t="shared" si="51"/>
        <v>0.59210975688709544</v>
      </c>
      <c r="H116" s="383">
        <f t="shared" si="51"/>
        <v>0.55039969365744013</v>
      </c>
      <c r="I116" s="383">
        <f t="shared" si="51"/>
        <v>0.52054770135412154</v>
      </c>
      <c r="J116" s="383">
        <f t="shared" si="51"/>
        <v>0.49410251269869415</v>
      </c>
      <c r="K116" s="383">
        <f t="shared" si="51"/>
        <v>0.46978788953534301</v>
      </c>
      <c r="L116" s="383">
        <f t="shared" si="51"/>
        <v>0.45546058751248247</v>
      </c>
      <c r="M116" s="383">
        <f t="shared" si="51"/>
        <v>0.43362075831590657</v>
      </c>
      <c r="N116" s="383">
        <f t="shared" si="51"/>
        <v>0.41304468742561667</v>
      </c>
      <c r="O116" s="383">
        <f t="shared" si="51"/>
        <v>0.39510347811751312</v>
      </c>
      <c r="P116" s="383">
        <f t="shared" si="51"/>
        <v>0.38479422051331114</v>
      </c>
      <c r="Q116" s="383">
        <f t="shared" si="51"/>
        <v>0.37411418243505939</v>
      </c>
      <c r="R116" s="383">
        <f t="shared" si="51"/>
        <v>0.36860867152778309</v>
      </c>
      <c r="S116" s="383">
        <f t="shared" si="51"/>
        <v>0.36286400820363757</v>
      </c>
      <c r="T116" s="383">
        <f t="shared" si="51"/>
        <v>0.348905549049564</v>
      </c>
      <c r="U116" s="383">
        <f t="shared" si="51"/>
        <v>0.32037071850546539</v>
      </c>
      <c r="V116" s="383">
        <f t="shared" si="51"/>
        <v>0.31560485837161184</v>
      </c>
      <c r="W116" s="383">
        <f t="shared" si="51"/>
        <v>0.31050292754383363</v>
      </c>
      <c r="X116" s="383">
        <f t="shared" si="51"/>
        <v>0.2988617269881183</v>
      </c>
      <c r="Y116" s="383">
        <f t="shared" si="51"/>
        <v>0.29052585201204506</v>
      </c>
      <c r="Z116" s="383">
        <f t="shared" si="51"/>
        <v>0.28631670957321209</v>
      </c>
      <c r="AA116" s="383">
        <f t="shared" si="51"/>
        <v>0.28389090521864663</v>
      </c>
      <c r="AB116" s="383">
        <f t="shared" si="51"/>
        <v>0</v>
      </c>
      <c r="AC116" s="383">
        <f t="shared" si="51"/>
        <v>0</v>
      </c>
      <c r="AD116" s="383">
        <f t="shared" si="51"/>
        <v>0</v>
      </c>
      <c r="AE116" s="383">
        <f t="shared" si="51"/>
        <v>0</v>
      </c>
      <c r="AF116" s="383">
        <f t="shared" si="51"/>
        <v>0</v>
      </c>
      <c r="AG116" s="383">
        <f t="shared" si="51"/>
        <v>0</v>
      </c>
      <c r="AH116" s="383">
        <f t="shared" ref="AH116:BI116" si="52">+AH112*(1-AH103)</f>
        <v>0</v>
      </c>
      <c r="AI116" s="383">
        <f t="shared" si="52"/>
        <v>0</v>
      </c>
      <c r="AJ116" s="383">
        <f t="shared" si="52"/>
        <v>0</v>
      </c>
      <c r="AK116" s="383">
        <f t="shared" si="52"/>
        <v>0</v>
      </c>
      <c r="AL116" s="383">
        <f t="shared" si="52"/>
        <v>0</v>
      </c>
      <c r="AM116" s="383">
        <f t="shared" si="52"/>
        <v>0</v>
      </c>
      <c r="AN116" s="383">
        <f t="shared" si="52"/>
        <v>0</v>
      </c>
      <c r="AO116" s="383">
        <f t="shared" si="52"/>
        <v>0</v>
      </c>
      <c r="AP116" s="383">
        <f t="shared" si="52"/>
        <v>0</v>
      </c>
      <c r="AQ116" s="383">
        <f t="shared" si="52"/>
        <v>0</v>
      </c>
      <c r="AR116" s="383">
        <f t="shared" si="52"/>
        <v>0</v>
      </c>
      <c r="AS116" s="383">
        <f t="shared" si="52"/>
        <v>0</v>
      </c>
      <c r="AT116" s="383">
        <f t="shared" si="52"/>
        <v>0</v>
      </c>
      <c r="AU116" s="383">
        <f t="shared" si="52"/>
        <v>0</v>
      </c>
      <c r="AV116" s="383">
        <f t="shared" si="52"/>
        <v>0</v>
      </c>
      <c r="AW116" s="383">
        <f t="shared" si="52"/>
        <v>0</v>
      </c>
      <c r="AX116" s="383">
        <f t="shared" si="52"/>
        <v>0</v>
      </c>
      <c r="AY116" s="383">
        <f t="shared" si="52"/>
        <v>0</v>
      </c>
      <c r="AZ116" s="383">
        <f t="shared" si="52"/>
        <v>0</v>
      </c>
      <c r="BA116" s="383">
        <f t="shared" si="52"/>
        <v>0</v>
      </c>
      <c r="BB116" s="383">
        <f t="shared" si="52"/>
        <v>0</v>
      </c>
      <c r="BC116" s="383">
        <f t="shared" si="52"/>
        <v>0</v>
      </c>
      <c r="BD116" s="383">
        <f t="shared" si="52"/>
        <v>0</v>
      </c>
      <c r="BE116" s="383">
        <f t="shared" si="52"/>
        <v>0</v>
      </c>
      <c r="BF116" s="383">
        <f t="shared" si="52"/>
        <v>0</v>
      </c>
      <c r="BG116" s="383">
        <f t="shared" si="52"/>
        <v>0</v>
      </c>
      <c r="BH116" s="383">
        <f t="shared" si="52"/>
        <v>0</v>
      </c>
      <c r="BI116" s="383">
        <f t="shared" si="52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1.2439679091220597</v>
      </c>
      <c r="C119" s="405">
        <f t="shared" ref="C119:BI120" si="53">+C112</f>
        <v>0.88086999423997159</v>
      </c>
      <c r="D119" s="405">
        <f t="shared" si="53"/>
        <v>0.78515196098417595</v>
      </c>
      <c r="E119" s="405">
        <f t="shared" si="53"/>
        <v>0.69694996344120619</v>
      </c>
      <c r="F119" s="405">
        <f t="shared" si="53"/>
        <v>0.63797876868250847</v>
      </c>
      <c r="G119" s="405">
        <f t="shared" si="53"/>
        <v>0.59233738105570288</v>
      </c>
      <c r="H119" s="405">
        <f t="shared" si="53"/>
        <v>0.5506166063944965</v>
      </c>
      <c r="I119" s="405">
        <f t="shared" si="53"/>
        <v>0.52075797545459646</v>
      </c>
      <c r="J119" s="405">
        <f t="shared" si="53"/>
        <v>0.49430705615408072</v>
      </c>
      <c r="K119" s="405">
        <f t="shared" si="53"/>
        <v>0.46998715667517271</v>
      </c>
      <c r="L119" s="405">
        <f t="shared" si="53"/>
        <v>0.45565849818091375</v>
      </c>
      <c r="M119" s="405">
        <f t="shared" si="53"/>
        <v>0.43381374585159854</v>
      </c>
      <c r="N119" s="405">
        <f t="shared" si="53"/>
        <v>0.41323293539996991</v>
      </c>
      <c r="O119" s="405">
        <f t="shared" si="53"/>
        <v>0.39528783886671504</v>
      </c>
      <c r="P119" s="405">
        <f t="shared" si="53"/>
        <v>0.38497800874735127</v>
      </c>
      <c r="Q119" s="405">
        <f t="shared" si="53"/>
        <v>0.37429704677334086</v>
      </c>
      <c r="R119" s="405">
        <f t="shared" si="53"/>
        <v>0.36879301471794251</v>
      </c>
      <c r="S119" s="405">
        <f t="shared" si="53"/>
        <v>0.36304963473462787</v>
      </c>
      <c r="T119" s="405">
        <f t="shared" si="53"/>
        <v>0.34908807869173941</v>
      </c>
      <c r="U119" s="405">
        <f t="shared" si="53"/>
        <v>0.32054207451681271</v>
      </c>
      <c r="V119" s="405">
        <f t="shared" si="53"/>
        <v>0.31577740231462531</v>
      </c>
      <c r="W119" s="405">
        <f t="shared" si="53"/>
        <v>0.31067639445359208</v>
      </c>
      <c r="X119" s="405">
        <f t="shared" si="53"/>
        <v>0.29903229534198456</v>
      </c>
      <c r="Y119" s="405">
        <f t="shared" si="53"/>
        <v>0.2906951958558433</v>
      </c>
      <c r="Z119" s="405">
        <f t="shared" si="53"/>
        <v>0.28648710740014627</v>
      </c>
      <c r="AA119" s="405">
        <f t="shared" si="53"/>
        <v>0.28406335985333891</v>
      </c>
      <c r="AB119" s="405">
        <f t="shared" si="53"/>
        <v>0.28038323503690077</v>
      </c>
      <c r="AC119" s="405">
        <f t="shared" si="53"/>
        <v>0.28001284221204714</v>
      </c>
      <c r="AD119" s="405">
        <f t="shared" si="53"/>
        <v>0.27693615463221471</v>
      </c>
      <c r="AE119" s="405">
        <f t="shared" si="53"/>
        <v>0.2729547879101023</v>
      </c>
      <c r="AF119" s="405">
        <f t="shared" si="53"/>
        <v>0.25016940772810864</v>
      </c>
      <c r="AG119" s="405">
        <f t="shared" si="53"/>
        <v>0.25928601377171556</v>
      </c>
      <c r="AH119" s="405">
        <f t="shared" si="53"/>
        <v>0.2613488005684319</v>
      </c>
      <c r="AI119" s="405">
        <f t="shared" si="53"/>
        <v>1.2135261995926117</v>
      </c>
      <c r="AJ119" s="405">
        <f t="shared" si="53"/>
        <v>1.7665000823865706</v>
      </c>
      <c r="AK119" s="405">
        <f t="shared" si="53"/>
        <v>2.0663774439230318</v>
      </c>
      <c r="AL119" s="405">
        <f t="shared" si="53"/>
        <v>2.2334130675114556</v>
      </c>
      <c r="AM119" s="405">
        <f t="shared" si="53"/>
        <v>2.3324047118035645</v>
      </c>
      <c r="AN119" s="405">
        <f t="shared" si="53"/>
        <v>2.3958247502737766</v>
      </c>
      <c r="AO119" s="405">
        <f t="shared" si="53"/>
        <v>2.4403708589225386</v>
      </c>
      <c r="AP119" s="405">
        <f t="shared" si="53"/>
        <v>2.4748105779609895</v>
      </c>
      <c r="AQ119" s="405">
        <f t="shared" si="53"/>
        <v>2.5038072251467263</v>
      </c>
      <c r="AR119" s="405">
        <f t="shared" si="53"/>
        <v>2.5298613483114596</v>
      </c>
      <c r="AS119" s="405">
        <f t="shared" si="53"/>
        <v>2.5543219541053594</v>
      </c>
      <c r="AT119" s="405">
        <f t="shared" si="53"/>
        <v>2.5779212718541396</v>
      </c>
      <c r="AU119" s="405">
        <f t="shared" si="53"/>
        <v>2.6010599605669396</v>
      </c>
      <c r="AV119" s="405">
        <f t="shared" si="53"/>
        <v>2.6239599379987215</v>
      </c>
      <c r="AW119" s="405">
        <f t="shared" si="53"/>
        <v>2.6467464951490629</v>
      </c>
      <c r="AX119" s="405">
        <f t="shared" si="53"/>
        <v>2.6694924903511437</v>
      </c>
      <c r="AY119" s="405">
        <f t="shared" si="53"/>
        <v>2.6922421654545339</v>
      </c>
      <c r="AZ119" s="405">
        <f t="shared" si="53"/>
        <v>2.7150239979061084</v>
      </c>
      <c r="BA119" s="405">
        <f t="shared" si="53"/>
        <v>2.7378576492047122</v>
      </c>
      <c r="BB119" s="405">
        <f t="shared" si="53"/>
        <v>2.7607577326392314</v>
      </c>
      <c r="BC119" s="405">
        <f t="shared" si="53"/>
        <v>2.7837358662400238</v>
      </c>
      <c r="BD119" s="405">
        <f t="shared" si="53"/>
        <v>2.8068018004276944</v>
      </c>
      <c r="BE119" s="405">
        <f t="shared" si="53"/>
        <v>2.8299640456543824</v>
      </c>
      <c r="BF119" s="405">
        <f t="shared" si="53"/>
        <v>2.8533783364182281</v>
      </c>
      <c r="BG119" s="405">
        <f t="shared" si="53"/>
        <v>2.87690330186848</v>
      </c>
      <c r="BH119" s="405">
        <f t="shared" si="53"/>
        <v>2.9005060959767226</v>
      </c>
      <c r="BI119" s="405">
        <f t="shared" si="53"/>
        <v>2.9241917708137066</v>
      </c>
    </row>
    <row r="120" spans="1:61" s="401" customFormat="1" ht="18" customHeight="1" x14ac:dyDescent="0.2">
      <c r="A120" s="403" t="s">
        <v>949</v>
      </c>
      <c r="B120" s="405">
        <f>+B113</f>
        <v>1.1460506191660516</v>
      </c>
      <c r="C120" s="405">
        <f t="shared" si="53"/>
        <v>1.0537535277990626</v>
      </c>
      <c r="D120" s="405">
        <f t="shared" si="53"/>
        <v>0.90645464756908634</v>
      </c>
      <c r="E120" s="405">
        <f t="shared" si="53"/>
        <v>0.80990096886794261</v>
      </c>
      <c r="F120" s="405">
        <f t="shared" si="53"/>
        <v>0.58226444480058026</v>
      </c>
      <c r="G120" s="405">
        <f t="shared" si="53"/>
        <v>0.40998682211510207</v>
      </c>
      <c r="H120" s="405">
        <f t="shared" si="53"/>
        <v>0.33306218981574859</v>
      </c>
      <c r="I120" s="405">
        <f t="shared" si="53"/>
        <v>0.27609264941330897</v>
      </c>
      <c r="J120" s="405">
        <f t="shared" si="53"/>
        <v>0.23395859042414713</v>
      </c>
      <c r="K120" s="405">
        <f t="shared" si="53"/>
        <v>0.20276610477240878</v>
      </c>
      <c r="L120" s="405">
        <f t="shared" si="53"/>
        <v>0.1805944284501283</v>
      </c>
      <c r="M120" s="405">
        <f t="shared" si="53"/>
        <v>0.16298647167624078</v>
      </c>
      <c r="N120" s="405">
        <f t="shared" si="53"/>
        <v>0.1470952906878073</v>
      </c>
      <c r="O120" s="405">
        <f t="shared" si="53"/>
        <v>0.13275349984574608</v>
      </c>
      <c r="P120" s="405">
        <f t="shared" si="53"/>
        <v>0.11981003361078582</v>
      </c>
      <c r="Q120" s="405">
        <f t="shared" si="53"/>
        <v>0.10812855533373419</v>
      </c>
      <c r="R120" s="405">
        <f t="shared" si="53"/>
        <v>9.7586021188695096E-2</v>
      </c>
      <c r="S120" s="405">
        <f t="shared" si="53"/>
        <v>8.8071384122797317E-2</v>
      </c>
      <c r="T120" s="405">
        <f t="shared" si="53"/>
        <v>7.9484424170824575E-2</v>
      </c>
      <c r="U120" s="405">
        <f t="shared" si="53"/>
        <v>7.1734692814169179E-2</v>
      </c>
      <c r="V120" s="405">
        <f t="shared" si="53"/>
        <v>6.474056026478768E-2</v>
      </c>
      <c r="W120" s="405">
        <f t="shared" si="53"/>
        <v>6.1503532251548296E-2</v>
      </c>
      <c r="X120" s="405">
        <f t="shared" si="53"/>
        <v>5.8428355638970877E-2</v>
      </c>
      <c r="Y120" s="405">
        <f t="shared" si="53"/>
        <v>5.5506937857022334E-2</v>
      </c>
      <c r="Z120" s="405">
        <f t="shared" si="53"/>
        <v>5.2731590964171217E-2</v>
      </c>
      <c r="AA120" s="405">
        <f t="shared" si="53"/>
        <v>5.0095011415962655E-2</v>
      </c>
      <c r="AB120" s="405">
        <f t="shared" si="53"/>
        <v>4.7590260845164517E-2</v>
      </c>
      <c r="AC120" s="405">
        <f t="shared" si="53"/>
        <v>4.5210747802906286E-2</v>
      </c>
      <c r="AD120" s="405">
        <f t="shared" si="53"/>
        <v>4.2950210412760967E-2</v>
      </c>
      <c r="AE120" s="405">
        <f t="shared" si="53"/>
        <v>4.0802699892122915E-2</v>
      </c>
      <c r="AF120" s="405">
        <f t="shared" si="53"/>
        <v>3.8762564897516769E-2</v>
      </c>
      <c r="AG120" s="405">
        <f t="shared" si="53"/>
        <v>3.6824436652640929E-2</v>
      </c>
      <c r="AH120" s="405">
        <f t="shared" si="53"/>
        <v>3.4983214820008879E-2</v>
      </c>
      <c r="AI120" s="405">
        <f t="shared" si="53"/>
        <v>3.3234054079008431E-2</v>
      </c>
      <c r="AJ120" s="405">
        <f t="shared" si="53"/>
        <v>3.1572351375058011E-2</v>
      </c>
      <c r="AK120" s="405">
        <f t="shared" si="53"/>
        <v>2.9993733806305108E-2</v>
      </c>
      <c r="AL120" s="405">
        <f t="shared" si="53"/>
        <v>2.8494047115989851E-2</v>
      </c>
      <c r="AM120" s="405">
        <f t="shared" si="53"/>
        <v>2.7069344760190357E-2</v>
      </c>
      <c r="AN120" s="405">
        <f t="shared" si="53"/>
        <v>2.5715877522180838E-2</v>
      </c>
      <c r="AO120" s="405">
        <f t="shared" si="53"/>
        <v>2.4430083646071795E-2</v>
      </c>
      <c r="AP120" s="405">
        <f t="shared" si="53"/>
        <v>2.3208579463768204E-2</v>
      </c>
      <c r="AQ120" s="405">
        <f t="shared" si="53"/>
        <v>2.2048150490579795E-2</v>
      </c>
      <c r="AR120" s="405">
        <f t="shared" si="53"/>
        <v>2.0945742966050805E-2</v>
      </c>
      <c r="AS120" s="405">
        <f t="shared" si="53"/>
        <v>1.9898455817748264E-2</v>
      </c>
      <c r="AT120" s="405">
        <f t="shared" si="53"/>
        <v>1.890353302686085E-2</v>
      </c>
      <c r="AU120" s="405">
        <f t="shared" si="53"/>
        <v>1.7958356375517806E-2</v>
      </c>
      <c r="AV120" s="405">
        <f t="shared" si="53"/>
        <v>1.7060438556741914E-2</v>
      </c>
      <c r="AW120" s="405">
        <f t="shared" si="53"/>
        <v>1.6207416628904816E-2</v>
      </c>
      <c r="AX120" s="405">
        <f t="shared" si="53"/>
        <v>1.5397045797459574E-2</v>
      </c>
      <c r="AY120" s="405">
        <f t="shared" si="53"/>
        <v>1.4627193507586594E-2</v>
      </c>
      <c r="AZ120" s="405">
        <f t="shared" si="53"/>
        <v>1.3895833832207265E-2</v>
      </c>
      <c r="BA120" s="405">
        <f t="shared" si="53"/>
        <v>1.32010421405969E-2</v>
      </c>
      <c r="BB120" s="405">
        <f t="shared" si="53"/>
        <v>1.2540990033567054E-2</v>
      </c>
      <c r="BC120" s="405">
        <f t="shared" si="53"/>
        <v>1.1913940531888701E-2</v>
      </c>
      <c r="BD120" s="405">
        <f t="shared" si="53"/>
        <v>1.1318243505294265E-2</v>
      </c>
      <c r="BE120" s="405">
        <f t="shared" si="53"/>
        <v>1.0752331330029551E-2</v>
      </c>
      <c r="BF120" s="405">
        <f t="shared" si="53"/>
        <v>1.0214714763528072E-2</v>
      </c>
      <c r="BG120" s="405">
        <f t="shared" si="53"/>
        <v>9.7039790253516684E-3</v>
      </c>
      <c r="BH120" s="405">
        <f t="shared" si="53"/>
        <v>9.2187800740840854E-3</v>
      </c>
      <c r="BI120" s="405">
        <f t="shared" si="53"/>
        <v>8.7578410703798813E-3</v>
      </c>
    </row>
    <row r="121" spans="1:61" s="402" customFormat="1" ht="18" customHeight="1" x14ac:dyDescent="0.2">
      <c r="A121" s="404" t="s">
        <v>965</v>
      </c>
      <c r="B121" s="405">
        <f>+B119*(1-B122)</f>
        <v>1.2439679091220597</v>
      </c>
      <c r="C121" s="405">
        <f t="shared" ref="C121:BI121" si="54">+C119*(1-C122)</f>
        <v>0.82983986567046175</v>
      </c>
      <c r="D121" s="405">
        <f t="shared" si="54"/>
        <v>0.67346369593886857</v>
      </c>
      <c r="E121" s="405">
        <f t="shared" si="54"/>
        <v>0.53546042495483259</v>
      </c>
      <c r="F121" s="405">
        <f t="shared" si="54"/>
        <v>0.40812866154537641</v>
      </c>
      <c r="G121" s="405">
        <f t="shared" si="54"/>
        <v>0.32312342969616986</v>
      </c>
      <c r="H121" s="405">
        <f t="shared" si="54"/>
        <v>0.27136943054113494</v>
      </c>
      <c r="I121" s="405">
        <f t="shared" si="54"/>
        <v>0.25816428050298418</v>
      </c>
      <c r="J121" s="405">
        <f t="shared" si="54"/>
        <v>0.22812397076849961</v>
      </c>
      <c r="K121" s="405">
        <f t="shared" si="54"/>
        <v>0.2049054143722239</v>
      </c>
      <c r="L121" s="405">
        <f t="shared" si="54"/>
        <v>0.19031514529102381</v>
      </c>
      <c r="M121" s="405">
        <f t="shared" si="54"/>
        <v>0.17507000990769925</v>
      </c>
      <c r="N121" s="405">
        <f t="shared" si="54"/>
        <v>0.1617762269069799</v>
      </c>
      <c r="O121" s="405">
        <f t="shared" si="54"/>
        <v>0.15049785287058223</v>
      </c>
      <c r="P121" s="405">
        <f t="shared" si="54"/>
        <v>0.14308198455720261</v>
      </c>
      <c r="Q121" s="405">
        <f t="shared" si="54"/>
        <v>0.13618282770763965</v>
      </c>
      <c r="R121" s="405">
        <f t="shared" si="54"/>
        <v>0.13173878787551679</v>
      </c>
      <c r="S121" s="405">
        <f t="shared" si="54"/>
        <v>0.12772153893342791</v>
      </c>
      <c r="T121" s="405">
        <f t="shared" si="54"/>
        <v>0.12104471951231628</v>
      </c>
      <c r="U121" s="405">
        <f t="shared" si="54"/>
        <v>0.10964913939859136</v>
      </c>
      <c r="V121" s="405">
        <f t="shared" si="54"/>
        <v>0.10667458169157405</v>
      </c>
      <c r="W121" s="405">
        <f t="shared" si="54"/>
        <v>0.11240686516900066</v>
      </c>
      <c r="X121" s="405">
        <f t="shared" si="54"/>
        <v>0.11515972439614473</v>
      </c>
      <c r="Y121" s="405">
        <f t="shared" si="54"/>
        <v>0.11852139997882892</v>
      </c>
      <c r="Z121" s="405">
        <f t="shared" si="54"/>
        <v>0.12309132732896011</v>
      </c>
      <c r="AA121" s="405">
        <f t="shared" si="54"/>
        <v>0.12809705346013267</v>
      </c>
      <c r="AB121" s="405">
        <f t="shared" si="54"/>
        <v>0.1322277266228474</v>
      </c>
      <c r="AC121" s="405">
        <f t="shared" si="54"/>
        <v>0.13766152895397896</v>
      </c>
      <c r="AD121" s="405">
        <f t="shared" si="54"/>
        <v>0.14152769100124316</v>
      </c>
      <c r="AE121" s="405">
        <f t="shared" si="54"/>
        <v>0.14463260660440586</v>
      </c>
      <c r="AF121" s="405">
        <f t="shared" si="54"/>
        <v>0.13712481041288227</v>
      </c>
      <c r="AG121" s="405">
        <f t="shared" si="54"/>
        <v>0.14670720795933606</v>
      </c>
      <c r="AH121" s="405">
        <f t="shared" si="54"/>
        <v>0.15235166683505882</v>
      </c>
      <c r="AI121" s="405">
        <f t="shared" si="54"/>
        <v>0.72755144382850567</v>
      </c>
      <c r="AJ121" s="405">
        <f t="shared" si="54"/>
        <v>1.0874540702030371</v>
      </c>
      <c r="AK121" s="405">
        <f t="shared" si="54"/>
        <v>1.3041837056788375</v>
      </c>
      <c r="AL121" s="405">
        <f t="shared" si="54"/>
        <v>1.4432030745306281</v>
      </c>
      <c r="AM121" s="405">
        <f t="shared" si="54"/>
        <v>1.5411046265415806</v>
      </c>
      <c r="AN121" s="405">
        <f t="shared" si="54"/>
        <v>1.616710750789617</v>
      </c>
      <c r="AO121" s="405">
        <f t="shared" si="54"/>
        <v>1.6799497146082862</v>
      </c>
      <c r="AP121" s="405">
        <f t="shared" si="54"/>
        <v>1.7361659297758398</v>
      </c>
      <c r="AQ121" s="405">
        <f t="shared" si="54"/>
        <v>1.7882705915785024</v>
      </c>
      <c r="AR121" s="405">
        <f t="shared" si="54"/>
        <v>1.8378602745902823</v>
      </c>
      <c r="AS121" s="405">
        <f t="shared" si="54"/>
        <v>1.8858146761091212</v>
      </c>
      <c r="AT121" s="405">
        <f t="shared" si="54"/>
        <v>1.93262087735941</v>
      </c>
      <c r="AU121" s="405">
        <f t="shared" si="54"/>
        <v>1.9785506073297108</v>
      </c>
      <c r="AV121" s="405">
        <f t="shared" si="54"/>
        <v>2.0237574928263222</v>
      </c>
      <c r="AW121" s="405">
        <f t="shared" si="54"/>
        <v>2.0683304809372154</v>
      </c>
      <c r="AX121" s="405">
        <f t="shared" si="54"/>
        <v>2.1123231880040709</v>
      </c>
      <c r="AY121" s="405">
        <f t="shared" si="54"/>
        <v>2.1557700135014564</v>
      </c>
      <c r="AZ121" s="405">
        <f t="shared" si="54"/>
        <v>2.1986949779792568</v>
      </c>
      <c r="BA121" s="405">
        <f t="shared" si="54"/>
        <v>2.2411165632599328</v>
      </c>
      <c r="BB121" s="405">
        <f t="shared" si="54"/>
        <v>2.2830503577351062</v>
      </c>
      <c r="BC121" s="405">
        <f t="shared" si="54"/>
        <v>2.3245104975344395</v>
      </c>
      <c r="BD121" s="405">
        <f t="shared" si="54"/>
        <v>2.3655104475558231</v>
      </c>
      <c r="BE121" s="405">
        <f t="shared" si="54"/>
        <v>2.2132090905526534</v>
      </c>
      <c r="BF121" s="405">
        <f t="shared" si="54"/>
        <v>1.9913746016163418</v>
      </c>
      <c r="BG121" s="405">
        <f t="shared" si="54"/>
        <v>1.6721639098847834</v>
      </c>
      <c r="BH121" s="405">
        <f t="shared" si="54"/>
        <v>1.2168255759480078</v>
      </c>
      <c r="BI121" s="405">
        <f t="shared" si="54"/>
        <v>0.57125740093336064</v>
      </c>
    </row>
    <row r="122" spans="1:61" s="401" customFormat="1" ht="18" customHeight="1" x14ac:dyDescent="0.2">
      <c r="A122" s="403" t="s">
        <v>951</v>
      </c>
      <c r="B122" s="406">
        <f t="shared" ref="B122:L122" si="55">+(B123/(1000*B$36))^(1/($B$38-1))</f>
        <v>0</v>
      </c>
      <c r="C122" s="406">
        <f t="shared" si="55"/>
        <v>5.7931509647504195E-2</v>
      </c>
      <c r="D122" s="406">
        <f t="shared" si="55"/>
        <v>0.14225050766644948</v>
      </c>
      <c r="E122" s="406">
        <f t="shared" si="55"/>
        <v>0.2317089417567588</v>
      </c>
      <c r="F122" s="406">
        <f t="shared" si="55"/>
        <v>0.36027861493227442</v>
      </c>
      <c r="G122" s="406">
        <f t="shared" si="55"/>
        <v>0.45449427972909989</v>
      </c>
      <c r="H122" s="406">
        <f t="shared" si="55"/>
        <v>0.50715356676564027</v>
      </c>
      <c r="I122" s="406">
        <f t="shared" si="55"/>
        <v>0.50425285320379531</v>
      </c>
      <c r="J122" s="406">
        <f t="shared" si="55"/>
        <v>0.5384974421700528</v>
      </c>
      <c r="K122" s="406">
        <f t="shared" si="55"/>
        <v>0.56401911953980821</v>
      </c>
      <c r="L122" s="406">
        <f t="shared" si="55"/>
        <v>0.58232942861638137</v>
      </c>
      <c r="M122" s="406">
        <f t="shared" ref="M122:BI122" si="56">+(M123/(1000*M$36))^(1/($B$38-1))</f>
        <v>0.59643968965522776</v>
      </c>
      <c r="N122" s="406">
        <f t="shared" si="56"/>
        <v>0.60851081061485091</v>
      </c>
      <c r="O122" s="406">
        <f t="shared" si="56"/>
        <v>0.61927021761646506</v>
      </c>
      <c r="P122" s="406">
        <f t="shared" si="56"/>
        <v>0.62833725224262682</v>
      </c>
      <c r="Q122" s="406">
        <f t="shared" si="56"/>
        <v>0.63616376650145878</v>
      </c>
      <c r="R122" s="406">
        <f t="shared" si="56"/>
        <v>0.6427839394510434</v>
      </c>
      <c r="S122" s="406">
        <f t="shared" si="56"/>
        <v>0.64819813404636439</v>
      </c>
      <c r="T122" s="406">
        <f t="shared" si="56"/>
        <v>0.65325450251423722</v>
      </c>
      <c r="U122" s="406">
        <f t="shared" si="56"/>
        <v>0.6579259070314647</v>
      </c>
      <c r="V122" s="406">
        <f t="shared" si="56"/>
        <v>0.66218424463037207</v>
      </c>
      <c r="W122" s="406">
        <f t="shared" si="56"/>
        <v>0.63818665603256297</v>
      </c>
      <c r="X122" s="406">
        <f t="shared" si="56"/>
        <v>0.61489201604648169</v>
      </c>
      <c r="Y122" s="406">
        <f t="shared" si="56"/>
        <v>0.59228290777256576</v>
      </c>
      <c r="Z122" s="406">
        <f t="shared" si="56"/>
        <v>0.57034252449959544</v>
      </c>
      <c r="AA122" s="406">
        <f t="shared" si="56"/>
        <v>0.54905464215353639</v>
      </c>
      <c r="AB122" s="406">
        <f t="shared" si="56"/>
        <v>0.52840359158619044</v>
      </c>
      <c r="AC122" s="406">
        <f t="shared" si="56"/>
        <v>0.50837423074427734</v>
      </c>
      <c r="AD122" s="406">
        <f t="shared" si="56"/>
        <v>0.48895191677230038</v>
      </c>
      <c r="AE122" s="406">
        <f t="shared" si="56"/>
        <v>0.4701224781151645</v>
      </c>
      <c r="AF122" s="406">
        <f t="shared" si="56"/>
        <v>0.45187218669872903</v>
      </c>
      <c r="AG122" s="406">
        <f t="shared" si="56"/>
        <v>0.43418773027803115</v>
      </c>
      <c r="AH122" s="406">
        <f t="shared" si="56"/>
        <v>0.41705618505348047</v>
      </c>
      <c r="AI122" s="406">
        <f t="shared" si="56"/>
        <v>0.40046498866464592</v>
      </c>
      <c r="AJ122" s="406">
        <f t="shared" si="56"/>
        <v>0.38440191367901394</v>
      </c>
      <c r="AK122" s="406">
        <f t="shared" si="56"/>
        <v>0.36885504169904426</v>
      </c>
      <c r="AL122" s="406">
        <f t="shared" si="56"/>
        <v>0.35381273821474785</v>
      </c>
      <c r="AM122" s="406">
        <f t="shared" si="56"/>
        <v>0.33926362833065105</v>
      </c>
      <c r="AN122" s="406">
        <f t="shared" si="56"/>
        <v>0.32519657349525605</v>
      </c>
      <c r="AO122" s="406">
        <f t="shared" si="56"/>
        <v>0.3116006493578562</v>
      </c>
      <c r="AP122" s="406">
        <f t="shared" si="56"/>
        <v>0.29846512487178845</v>
      </c>
      <c r="AQ122" s="406">
        <f t="shared" si="56"/>
        <v>0.28577944275493994</v>
      </c>
      <c r="AR122" s="406">
        <f t="shared" si="56"/>
        <v>0.27353320140767756</v>
      </c>
      <c r="AS122" s="406">
        <f t="shared" si="56"/>
        <v>0.26171613837550878</v>
      </c>
      <c r="AT122" s="406">
        <f t="shared" si="56"/>
        <v>0.25031811542894972</v>
      </c>
      <c r="AU122" s="406">
        <f t="shared" si="56"/>
        <v>0.23932910531656623</v>
      </c>
      <c r="AV122" s="406">
        <f t="shared" si="56"/>
        <v>0.2287391802293178</v>
      </c>
      <c r="AW122" s="406">
        <f t="shared" si="56"/>
        <v>0.21853850199554964</v>
      </c>
      <c r="AX122" s="406">
        <f t="shared" si="56"/>
        <v>0.20871731400667204</v>
      </c>
      <c r="AY122" s="406">
        <f t="shared" si="56"/>
        <v>0.19926593485415689</v>
      </c>
      <c r="AZ122" s="406">
        <f t="shared" si="56"/>
        <v>0.19017475363939945</v>
      </c>
      <c r="BA122" s="406">
        <f t="shared" si="56"/>
        <v>0.18143422689966071</v>
      </c>
      <c r="BB122" s="406">
        <f t="shared" si="56"/>
        <v>0.17303487707610113</v>
      </c>
      <c r="BC122" s="406">
        <f t="shared" si="56"/>
        <v>0.1649672924341983</v>
      </c>
      <c r="BD122" s="406">
        <f t="shared" si="56"/>
        <v>0.15722212833290483</v>
      </c>
      <c r="BE122" s="406">
        <f t="shared" si="56"/>
        <v>0.21793738194264398</v>
      </c>
      <c r="BF122" s="406">
        <f t="shared" si="56"/>
        <v>0.30209934792031018</v>
      </c>
      <c r="BG122" s="406">
        <f t="shared" si="56"/>
        <v>0.41876256014626817</v>
      </c>
      <c r="BH122" s="406">
        <f t="shared" si="56"/>
        <v>0.58047818701851361</v>
      </c>
      <c r="BI122" s="406">
        <f t="shared" si="56"/>
        <v>0.80464434424750519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9.9942147064251596</v>
      </c>
      <c r="D123" s="400">
        <f>+Global!D118*D46</f>
        <v>48.096041961936649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1.2439679091220597</v>
      </c>
      <c r="C124" s="405">
        <f t="shared" ref="C124:BI124" si="57">+C119*(1-C122)</f>
        <v>0.82983986567046175</v>
      </c>
      <c r="D124" s="405">
        <f t="shared" si="57"/>
        <v>0.67346369593886857</v>
      </c>
      <c r="E124" s="405">
        <f t="shared" si="57"/>
        <v>0.53546042495483259</v>
      </c>
      <c r="F124" s="405">
        <f t="shared" si="57"/>
        <v>0.40812866154537641</v>
      </c>
      <c r="G124" s="405">
        <f t="shared" si="57"/>
        <v>0.32312342969616986</v>
      </c>
      <c r="H124" s="405">
        <f t="shared" si="57"/>
        <v>0.27136943054113494</v>
      </c>
      <c r="I124" s="405">
        <f t="shared" si="57"/>
        <v>0.25816428050298418</v>
      </c>
      <c r="J124" s="405">
        <f t="shared" si="57"/>
        <v>0.22812397076849961</v>
      </c>
      <c r="K124" s="405">
        <f t="shared" si="57"/>
        <v>0.2049054143722239</v>
      </c>
      <c r="L124" s="405">
        <f t="shared" si="57"/>
        <v>0.19031514529102381</v>
      </c>
      <c r="M124" s="405">
        <f t="shared" si="57"/>
        <v>0.17507000990769925</v>
      </c>
      <c r="N124" s="405">
        <f t="shared" si="57"/>
        <v>0.1617762269069799</v>
      </c>
      <c r="O124" s="405">
        <f t="shared" si="57"/>
        <v>0.15049785287058223</v>
      </c>
      <c r="P124" s="405">
        <f t="shared" si="57"/>
        <v>0.14308198455720261</v>
      </c>
      <c r="Q124" s="405">
        <f t="shared" si="57"/>
        <v>0.13618282770763965</v>
      </c>
      <c r="R124" s="405">
        <f t="shared" si="57"/>
        <v>0.13173878787551679</v>
      </c>
      <c r="S124" s="405">
        <f t="shared" si="57"/>
        <v>0.12772153893342791</v>
      </c>
      <c r="T124" s="405">
        <f t="shared" si="57"/>
        <v>0.12104471951231628</v>
      </c>
      <c r="U124" s="405">
        <f t="shared" si="57"/>
        <v>0.10964913939859136</v>
      </c>
      <c r="V124" s="405">
        <f t="shared" si="57"/>
        <v>0.10667458169157405</v>
      </c>
      <c r="W124" s="405">
        <f t="shared" si="57"/>
        <v>0.11240686516900066</v>
      </c>
      <c r="X124" s="405">
        <f t="shared" si="57"/>
        <v>0.11515972439614473</v>
      </c>
      <c r="Y124" s="405">
        <f t="shared" si="57"/>
        <v>0.11852139997882892</v>
      </c>
      <c r="Z124" s="405">
        <f t="shared" si="57"/>
        <v>0.12309132732896011</v>
      </c>
      <c r="AA124" s="405">
        <f t="shared" si="57"/>
        <v>0.12809705346013267</v>
      </c>
      <c r="AB124" s="405">
        <f t="shared" si="57"/>
        <v>0.1322277266228474</v>
      </c>
      <c r="AC124" s="405">
        <f t="shared" si="57"/>
        <v>0.13766152895397896</v>
      </c>
      <c r="AD124" s="405">
        <f t="shared" si="57"/>
        <v>0.14152769100124316</v>
      </c>
      <c r="AE124" s="405">
        <f t="shared" si="57"/>
        <v>0.14463260660440586</v>
      </c>
      <c r="AF124" s="405">
        <f t="shared" si="57"/>
        <v>0.13712481041288227</v>
      </c>
      <c r="AG124" s="405">
        <f t="shared" si="57"/>
        <v>0.14670720795933606</v>
      </c>
      <c r="AH124" s="405">
        <f t="shared" si="57"/>
        <v>0.15235166683505882</v>
      </c>
      <c r="AI124" s="405">
        <f t="shared" si="57"/>
        <v>0.72755144382850567</v>
      </c>
      <c r="AJ124" s="405">
        <f t="shared" si="57"/>
        <v>1.0874540702030371</v>
      </c>
      <c r="AK124" s="405">
        <f t="shared" si="57"/>
        <v>1.3041837056788375</v>
      </c>
      <c r="AL124" s="405">
        <f t="shared" si="57"/>
        <v>1.4432030745306281</v>
      </c>
      <c r="AM124" s="405">
        <f t="shared" si="57"/>
        <v>1.5411046265415806</v>
      </c>
      <c r="AN124" s="405">
        <f t="shared" si="57"/>
        <v>1.616710750789617</v>
      </c>
      <c r="AO124" s="405">
        <f t="shared" si="57"/>
        <v>1.6799497146082862</v>
      </c>
      <c r="AP124" s="405">
        <f t="shared" si="57"/>
        <v>1.7361659297758398</v>
      </c>
      <c r="AQ124" s="405">
        <f t="shared" si="57"/>
        <v>1.7882705915785024</v>
      </c>
      <c r="AR124" s="405">
        <f t="shared" si="57"/>
        <v>1.8378602745902823</v>
      </c>
      <c r="AS124" s="405">
        <f t="shared" si="57"/>
        <v>1.8858146761091212</v>
      </c>
      <c r="AT124" s="405">
        <f t="shared" si="57"/>
        <v>1.93262087735941</v>
      </c>
      <c r="AU124" s="405">
        <f t="shared" si="57"/>
        <v>1.9785506073297108</v>
      </c>
      <c r="AV124" s="405">
        <f t="shared" si="57"/>
        <v>2.0237574928263222</v>
      </c>
      <c r="AW124" s="405">
        <f t="shared" si="57"/>
        <v>2.0683304809372154</v>
      </c>
      <c r="AX124" s="405">
        <f t="shared" si="57"/>
        <v>2.1123231880040709</v>
      </c>
      <c r="AY124" s="405">
        <f t="shared" si="57"/>
        <v>2.1557700135014564</v>
      </c>
      <c r="AZ124" s="405">
        <f t="shared" si="57"/>
        <v>2.1986949779792568</v>
      </c>
      <c r="BA124" s="405">
        <f t="shared" si="57"/>
        <v>2.2411165632599328</v>
      </c>
      <c r="BB124" s="405">
        <f t="shared" si="57"/>
        <v>2.2830503577351062</v>
      </c>
      <c r="BC124" s="405">
        <f t="shared" si="57"/>
        <v>2.3245104975344395</v>
      </c>
      <c r="BD124" s="405">
        <f t="shared" si="57"/>
        <v>2.3655104475558231</v>
      </c>
      <c r="BE124" s="405">
        <f t="shared" si="57"/>
        <v>2.2132090905526534</v>
      </c>
      <c r="BF124" s="405">
        <f t="shared" si="57"/>
        <v>1.9913746016163418</v>
      </c>
      <c r="BG124" s="405">
        <f t="shared" si="57"/>
        <v>1.6721639098847834</v>
      </c>
      <c r="BH124" s="405">
        <f t="shared" si="57"/>
        <v>1.2168255759480078</v>
      </c>
      <c r="BI124" s="405">
        <f t="shared" si="57"/>
        <v>0.57125740093336064</v>
      </c>
    </row>
    <row r="126" spans="1:61" s="23" customFormat="1" ht="26.25" customHeight="1" x14ac:dyDescent="0.2">
      <c r="A126" s="51" t="s">
        <v>165</v>
      </c>
    </row>
    <row r="127" spans="1:61" s="23" customFormat="1" ht="18" customHeight="1" x14ac:dyDescent="0.2">
      <c r="A127" s="23" t="s">
        <v>7</v>
      </c>
    </row>
    <row r="128" spans="1:61" s="23" customFormat="1" ht="18" customHeight="1" x14ac:dyDescent="0.2">
      <c r="A128" s="23" t="s">
        <v>8</v>
      </c>
      <c r="C128" s="23">
        <f t="shared" ref="C128:BI128" si="58">+$B$7*C61/C74</f>
        <v>0.13272805920931541</v>
      </c>
      <c r="D128" s="23">
        <f t="shared" si="58"/>
        <v>0.10984250649794544</v>
      </c>
      <c r="E128" s="23">
        <f t="shared" si="58"/>
        <v>0.10332663797737547</v>
      </c>
      <c r="F128" s="23">
        <f t="shared" si="58"/>
        <v>0.1040278026084728</v>
      </c>
      <c r="G128" s="23">
        <f t="shared" si="58"/>
        <v>0.10533822679854833</v>
      </c>
      <c r="H128" s="23">
        <f t="shared" si="58"/>
        <v>0.10501394701677924</v>
      </c>
      <c r="I128" s="23">
        <f t="shared" si="58"/>
        <v>0.10541686147565571</v>
      </c>
      <c r="J128" s="23">
        <f t="shared" si="58"/>
        <v>0.10467866132602435</v>
      </c>
      <c r="K128" s="23">
        <f t="shared" si="58"/>
        <v>0.10338308738706042</v>
      </c>
      <c r="L128" s="23">
        <f t="shared" si="58"/>
        <v>0.10220872584958761</v>
      </c>
      <c r="M128" s="23">
        <f t="shared" si="58"/>
        <v>9.7776321267924654E-2</v>
      </c>
      <c r="N128" s="23">
        <f t="shared" si="58"/>
        <v>9.3222374264086638E-2</v>
      </c>
      <c r="O128" s="23">
        <f t="shared" si="58"/>
        <v>9.1824788620960648E-2</v>
      </c>
      <c r="P128" s="23">
        <f t="shared" si="58"/>
        <v>9.2709853289947408E-2</v>
      </c>
      <c r="Q128" s="23">
        <f t="shared" si="58"/>
        <v>9.2572619178806451E-2</v>
      </c>
      <c r="R128" s="23">
        <f t="shared" si="58"/>
        <v>9.3549256809205034E-2</v>
      </c>
      <c r="S128" s="23">
        <f t="shared" si="58"/>
        <v>9.3579859513480607E-2</v>
      </c>
      <c r="T128" s="23">
        <f t="shared" si="58"/>
        <v>9.1231895073096189E-2</v>
      </c>
      <c r="U128" s="23">
        <f t="shared" si="58"/>
        <v>8.6194674318825173E-2</v>
      </c>
      <c r="V128" s="23">
        <f t="shared" si="58"/>
        <v>9.0521810883645332E-2</v>
      </c>
      <c r="W128" s="23">
        <f t="shared" si="58"/>
        <v>9.1845556773158504E-2</v>
      </c>
      <c r="X128" s="23">
        <f t="shared" si="58"/>
        <v>9.0169522507919958E-2</v>
      </c>
      <c r="Y128" s="23">
        <f t="shared" si="58"/>
        <v>9.0395497198126784E-2</v>
      </c>
      <c r="Z128" s="23">
        <f t="shared" si="58"/>
        <v>9.1631345624120258E-2</v>
      </c>
      <c r="AA128" s="23">
        <f t="shared" si="58"/>
        <v>9.2550088569205088E-2</v>
      </c>
      <c r="AB128" s="23">
        <f t="shared" si="58"/>
        <v>9.2406971420280024E-2</v>
      </c>
      <c r="AC128" s="23">
        <f t="shared" si="58"/>
        <v>9.3569547638144679E-2</v>
      </c>
      <c r="AD128" s="23">
        <f t="shared" si="58"/>
        <v>9.297401501288427E-2</v>
      </c>
      <c r="AE128" s="23">
        <f t="shared" si="58"/>
        <v>9.2383693794776775E-2</v>
      </c>
      <c r="AF128" s="23">
        <f t="shared" si="58"/>
        <v>8.5701944110249409E-2</v>
      </c>
      <c r="AG128" s="23">
        <f t="shared" si="58"/>
        <v>9.4360030690792934E-2</v>
      </c>
      <c r="AH128" s="23">
        <f t="shared" si="58"/>
        <v>9.4810285928948412E-2</v>
      </c>
      <c r="AI128" s="23">
        <f t="shared" si="58"/>
        <v>0.43737684914598851</v>
      </c>
      <c r="AJ128" s="23">
        <f t="shared" si="58"/>
        <v>0.18633939816137243</v>
      </c>
      <c r="AK128" s="23">
        <f t="shared" si="58"/>
        <v>0.13218601706815702</v>
      </c>
      <c r="AL128" s="23">
        <f t="shared" si="58"/>
        <v>0.11272957894222359</v>
      </c>
      <c r="AM128" s="23">
        <f t="shared" si="58"/>
        <v>0.10413096583919187</v>
      </c>
      <c r="AN128" s="23">
        <f t="shared" si="58"/>
        <v>9.9945075402236766E-2</v>
      </c>
      <c r="AO128" s="23">
        <f t="shared" si="58"/>
        <v>9.7802199620895813E-2</v>
      </c>
      <c r="AP128" s="23">
        <f t="shared" si="58"/>
        <v>9.6672156194451034E-2</v>
      </c>
      <c r="AQ128" s="23">
        <f t="shared" si="58"/>
        <v>9.6063414042901585E-2</v>
      </c>
      <c r="AR128" s="23">
        <f t="shared" si="58"/>
        <v>9.5729040836796939E-2</v>
      </c>
      <c r="AS128" s="23">
        <f t="shared" si="58"/>
        <v>9.554138533983228E-2</v>
      </c>
      <c r="AT128" s="23">
        <f t="shared" si="58"/>
        <v>9.5433376192900293E-2</v>
      </c>
      <c r="AU128" s="23">
        <f t="shared" si="58"/>
        <v>9.5369416384094005E-2</v>
      </c>
      <c r="AV128" s="23">
        <f t="shared" si="58"/>
        <v>9.5330471148632093E-2</v>
      </c>
      <c r="AW128" s="23">
        <f t="shared" si="58"/>
        <v>9.5306285811440433E-2</v>
      </c>
      <c r="AX128" s="23">
        <f t="shared" si="58"/>
        <v>9.5291282624809293E-2</v>
      </c>
      <c r="AY128" s="23">
        <f t="shared" si="58"/>
        <v>9.5282384777366877E-2</v>
      </c>
      <c r="AZ128" s="23">
        <f t="shared" si="58"/>
        <v>9.5277858416218275E-2</v>
      </c>
      <c r="BA128" s="23">
        <f t="shared" si="58"/>
        <v>9.527669495495443E-2</v>
      </c>
      <c r="BB128" s="23">
        <f t="shared" si="58"/>
        <v>9.527828090167767E-2</v>
      </c>
      <c r="BC128" s="23">
        <f t="shared" si="58"/>
        <v>9.5282220952282046E-2</v>
      </c>
      <c r="BD128" s="23">
        <f t="shared" si="58"/>
        <v>9.5288242883880506E-2</v>
      </c>
      <c r="BE128" s="23">
        <f t="shared" si="58"/>
        <v>9.5296146156849962E-2</v>
      </c>
      <c r="BF128" s="23">
        <f t="shared" si="58"/>
        <v>9.5294231459969903E-2</v>
      </c>
      <c r="BG128" s="23">
        <f t="shared" si="58"/>
        <v>9.5294116222232397E-2</v>
      </c>
      <c r="BH128" s="23">
        <f t="shared" si="58"/>
        <v>9.5298696486468604E-2</v>
      </c>
      <c r="BI128" s="23">
        <f t="shared" si="58"/>
        <v>9.530786904155919E-2</v>
      </c>
    </row>
    <row r="129" spans="1:61" s="23" customFormat="1" ht="18" customHeight="1" x14ac:dyDescent="0.2">
      <c r="A129" s="23" t="s">
        <v>11</v>
      </c>
      <c r="C129" s="23">
        <f>+$B$14+LN(D56/C56)/10+$B$18*LN(D88/C88)/10</f>
        <v>1.7097034880419394E-2</v>
      </c>
      <c r="D129" s="23">
        <f t="shared" ref="D129:BH129" si="59">+$B$14+LN(E56/D56)/10+$B$18*LN(E88/D88)/10</f>
        <v>1.5216157946066951E-2</v>
      </c>
      <c r="E129" s="23">
        <f t="shared" si="59"/>
        <v>1.8760266114939802E-2</v>
      </c>
      <c r="F129" s="23">
        <f t="shared" si="59"/>
        <v>2.0027488845796162E-2</v>
      </c>
      <c r="G129" s="23">
        <f t="shared" si="59"/>
        <v>1.9277501003160041E-2</v>
      </c>
      <c r="H129" s="23">
        <f t="shared" si="59"/>
        <v>2.0705899443411883E-2</v>
      </c>
      <c r="I129" s="23">
        <f t="shared" si="59"/>
        <v>2.0245831194911898E-2</v>
      </c>
      <c r="J129" s="23">
        <f t="shared" si="59"/>
        <v>1.8907471082794967E-2</v>
      </c>
      <c r="K129" s="23">
        <f t="shared" si="59"/>
        <v>2.0444399299420341E-2</v>
      </c>
      <c r="L129" s="23">
        <f t="shared" si="59"/>
        <v>1.5491309306391161E-2</v>
      </c>
      <c r="M129" s="23">
        <f t="shared" si="59"/>
        <v>1.6793407540244637E-2</v>
      </c>
      <c r="N129" s="23">
        <f t="shared" si="59"/>
        <v>1.6904189079306308E-2</v>
      </c>
      <c r="O129" s="23">
        <f t="shared" si="59"/>
        <v>1.9125723278371368E-2</v>
      </c>
      <c r="P129" s="23">
        <f t="shared" si="59"/>
        <v>1.8319162690220291E-2</v>
      </c>
      <c r="Q129" s="23">
        <f t="shared" si="59"/>
        <v>1.9975427511389171E-2</v>
      </c>
      <c r="R129" s="23">
        <f t="shared" si="59"/>
        <v>1.9450738283382708E-2</v>
      </c>
      <c r="S129" s="23">
        <f t="shared" si="59"/>
        <v>1.564937629260393E-2</v>
      </c>
      <c r="T129" s="23">
        <f t="shared" si="59"/>
        <v>8.348982670477692E-3</v>
      </c>
      <c r="U129" s="23">
        <f t="shared" si="59"/>
        <v>1.8603703734543679E-2</v>
      </c>
      <c r="V129" s="23">
        <f t="shared" si="59"/>
        <v>1.8183528669162747E-2</v>
      </c>
      <c r="W129" s="23">
        <f t="shared" si="59"/>
        <v>1.4615543732906942E-2</v>
      </c>
      <c r="X129" s="23">
        <f t="shared" si="59"/>
        <v>1.5916103336559843E-2</v>
      </c>
      <c r="Y129" s="23">
        <f t="shared" si="59"/>
        <v>1.7776295602611791E-2</v>
      </c>
      <c r="Z129" s="23">
        <f t="shared" si="59"/>
        <v>1.8469834441347886E-2</v>
      </c>
      <c r="AA129" s="23">
        <f t="shared" si="59"/>
        <v>1.7272908782505526E-2</v>
      </c>
      <c r="AB129" s="23">
        <f t="shared" si="59"/>
        <v>1.9429739773846471E-2</v>
      </c>
      <c r="AC129" s="23">
        <f t="shared" si="59"/>
        <v>1.7837873475825904E-2</v>
      </c>
      <c r="AD129" s="23">
        <f t="shared" si="59"/>
        <v>1.7108514069364436E-2</v>
      </c>
      <c r="AE129" s="23">
        <f t="shared" si="59"/>
        <v>6.3206071986488203E-3</v>
      </c>
      <c r="AF129" s="23">
        <f t="shared" si="59"/>
        <v>2.4969857333743357E-2</v>
      </c>
      <c r="AG129" s="23">
        <f t="shared" si="59"/>
        <v>2.0563218266039206E-2</v>
      </c>
      <c r="AH129" s="23">
        <f t="shared" si="59"/>
        <v>0.24947295096048111</v>
      </c>
      <c r="AI129" s="23">
        <f t="shared" si="59"/>
        <v>7.5421899711134208E-2</v>
      </c>
      <c r="AJ129" s="23">
        <f t="shared" si="59"/>
        <v>4.2558289923536691E-2</v>
      </c>
      <c r="AK129" s="23">
        <f t="shared" si="59"/>
        <v>3.0760389985247851E-2</v>
      </c>
      <c r="AL129" s="23">
        <f t="shared" si="59"/>
        <v>2.560413698230362E-2</v>
      </c>
      <c r="AM129" s="23">
        <f t="shared" si="59"/>
        <v>2.3101601572391179E-2</v>
      </c>
      <c r="AN129" s="23">
        <f t="shared" si="59"/>
        <v>2.1813234507678129E-2</v>
      </c>
      <c r="AO129" s="23">
        <f t="shared" si="59"/>
        <v>2.1123174738183849E-2</v>
      </c>
      <c r="AP129" s="23">
        <f t="shared" si="59"/>
        <v>2.0740495621291426E-2</v>
      </c>
      <c r="AQ129" s="23">
        <f t="shared" si="59"/>
        <v>2.0519828129060037E-2</v>
      </c>
      <c r="AR129" s="23">
        <f t="shared" si="59"/>
        <v>2.0386198361154365E-2</v>
      </c>
      <c r="AS129" s="23">
        <f t="shared" si="59"/>
        <v>2.0300218986993704E-2</v>
      </c>
      <c r="AT129" s="23">
        <f t="shared" si="59"/>
        <v>2.0240948782121994E-2</v>
      </c>
      <c r="AU129" s="23">
        <f t="shared" si="59"/>
        <v>2.0197144744807251E-2</v>
      </c>
      <c r="AV129" s="23">
        <f t="shared" si="59"/>
        <v>2.0162706156313003E-2</v>
      </c>
      <c r="AW129" s="23">
        <f t="shared" si="59"/>
        <v>2.0134274740176195E-2</v>
      </c>
      <c r="AX129" s="23">
        <f t="shared" si="59"/>
        <v>2.0109962324717214E-2</v>
      </c>
      <c r="AY129" s="23">
        <f t="shared" si="59"/>
        <v>2.0088673590076135E-2</v>
      </c>
      <c r="AZ129" s="23">
        <f t="shared" si="59"/>
        <v>2.0069744525861577E-2</v>
      </c>
      <c r="BA129" s="23">
        <f t="shared" si="59"/>
        <v>2.0052748888304991E-2</v>
      </c>
      <c r="BB129" s="23">
        <f t="shared" si="59"/>
        <v>2.0037394228030206E-2</v>
      </c>
      <c r="BC129" s="23">
        <f t="shared" si="59"/>
        <v>2.0023465745467595E-2</v>
      </c>
      <c r="BD129" s="23">
        <f t="shared" si="59"/>
        <v>2.0049952023950435E-2</v>
      </c>
      <c r="BE129" s="23">
        <f t="shared" si="59"/>
        <v>2.0024506547542648E-2</v>
      </c>
      <c r="BF129" s="23">
        <f t="shared" si="59"/>
        <v>2.0003303138960541E-2</v>
      </c>
      <c r="BG129" s="23">
        <f t="shared" si="59"/>
        <v>1.9986469150878785E-2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 x14ac:dyDescent="0.2">
      <c r="A130" s="23" t="s">
        <v>12</v>
      </c>
      <c r="C130" s="23">
        <f>+$B$14+LN(C56/B56)/10+$B$18*LN(C88/B88)/10</f>
        <v>1.1966702580035871E-2</v>
      </c>
      <c r="D130" s="23">
        <f t="shared" ref="D130:BH130" si="60">+$B$14+LN(D56/C56)/10+$B$18*LN(D88/C88)/10</f>
        <v>1.7097034880419394E-2</v>
      </c>
      <c r="E130" s="23">
        <f t="shared" si="60"/>
        <v>1.5216157946066951E-2</v>
      </c>
      <c r="F130" s="23">
        <f t="shared" si="60"/>
        <v>1.8760266114939802E-2</v>
      </c>
      <c r="G130" s="23">
        <f t="shared" si="60"/>
        <v>2.0027488845796162E-2</v>
      </c>
      <c r="H130" s="23">
        <f t="shared" si="60"/>
        <v>1.9277501003160041E-2</v>
      </c>
      <c r="I130" s="23">
        <f t="shared" si="60"/>
        <v>2.0705899443411883E-2</v>
      </c>
      <c r="J130" s="23">
        <f t="shared" si="60"/>
        <v>2.0245831194911898E-2</v>
      </c>
      <c r="K130" s="23">
        <f t="shared" si="60"/>
        <v>1.8907471082794967E-2</v>
      </c>
      <c r="L130" s="23">
        <f t="shared" si="60"/>
        <v>2.0444399299420341E-2</v>
      </c>
      <c r="M130" s="23">
        <f t="shared" si="60"/>
        <v>1.5491309306391161E-2</v>
      </c>
      <c r="N130" s="23">
        <f t="shared" si="60"/>
        <v>1.6793407540244637E-2</v>
      </c>
      <c r="O130" s="23">
        <f t="shared" si="60"/>
        <v>1.6904189079306308E-2</v>
      </c>
      <c r="P130" s="23">
        <f t="shared" si="60"/>
        <v>1.9125723278371368E-2</v>
      </c>
      <c r="Q130" s="23">
        <f t="shared" si="60"/>
        <v>1.8319162690220291E-2</v>
      </c>
      <c r="R130" s="23">
        <f t="shared" si="60"/>
        <v>1.9975427511389171E-2</v>
      </c>
      <c r="S130" s="23">
        <f t="shared" si="60"/>
        <v>1.9450738283382708E-2</v>
      </c>
      <c r="T130" s="23">
        <f t="shared" si="60"/>
        <v>1.564937629260393E-2</v>
      </c>
      <c r="U130" s="23">
        <f t="shared" si="60"/>
        <v>8.348982670477692E-3</v>
      </c>
      <c r="V130" s="23">
        <f t="shared" si="60"/>
        <v>1.8603703734543679E-2</v>
      </c>
      <c r="W130" s="23">
        <f t="shared" si="60"/>
        <v>1.8183528669162747E-2</v>
      </c>
      <c r="X130" s="23">
        <f t="shared" si="60"/>
        <v>1.4615543732906942E-2</v>
      </c>
      <c r="Y130" s="23">
        <f t="shared" si="60"/>
        <v>1.5916103336559843E-2</v>
      </c>
      <c r="Z130" s="23">
        <f t="shared" si="60"/>
        <v>1.7776295602611791E-2</v>
      </c>
      <c r="AA130" s="23">
        <f t="shared" si="60"/>
        <v>1.8469834441347886E-2</v>
      </c>
      <c r="AB130" s="23">
        <f t="shared" si="60"/>
        <v>1.7272908782505526E-2</v>
      </c>
      <c r="AC130" s="23">
        <f t="shared" si="60"/>
        <v>1.9429739773846471E-2</v>
      </c>
      <c r="AD130" s="23">
        <f t="shared" si="60"/>
        <v>1.7837873475825904E-2</v>
      </c>
      <c r="AE130" s="23">
        <f t="shared" si="60"/>
        <v>1.7108514069364436E-2</v>
      </c>
      <c r="AF130" s="23">
        <f t="shared" si="60"/>
        <v>6.3206071986488203E-3</v>
      </c>
      <c r="AG130" s="23">
        <f t="shared" si="60"/>
        <v>2.4969857333743357E-2</v>
      </c>
      <c r="AH130" s="23">
        <f t="shared" si="60"/>
        <v>2.0563218266039206E-2</v>
      </c>
      <c r="AI130" s="23">
        <f t="shared" si="60"/>
        <v>0.24947295096048111</v>
      </c>
      <c r="AJ130" s="23">
        <f t="shared" si="60"/>
        <v>7.5421899711134208E-2</v>
      </c>
      <c r="AK130" s="23">
        <f t="shared" si="60"/>
        <v>4.2558289923536691E-2</v>
      </c>
      <c r="AL130" s="23">
        <f t="shared" si="60"/>
        <v>3.0760389985247851E-2</v>
      </c>
      <c r="AM130" s="23">
        <f t="shared" si="60"/>
        <v>2.560413698230362E-2</v>
      </c>
      <c r="AN130" s="23">
        <f t="shared" si="60"/>
        <v>2.3101601572391179E-2</v>
      </c>
      <c r="AO130" s="23">
        <f t="shared" si="60"/>
        <v>2.1813234507678129E-2</v>
      </c>
      <c r="AP130" s="23">
        <f t="shared" si="60"/>
        <v>2.1123174738183849E-2</v>
      </c>
      <c r="AQ130" s="23">
        <f t="shared" si="60"/>
        <v>2.0740495621291426E-2</v>
      </c>
      <c r="AR130" s="23">
        <f t="shared" si="60"/>
        <v>2.0519828129060037E-2</v>
      </c>
      <c r="AS130" s="23">
        <f t="shared" si="60"/>
        <v>2.0386198361154365E-2</v>
      </c>
      <c r="AT130" s="23">
        <f t="shared" si="60"/>
        <v>2.0300218986993704E-2</v>
      </c>
      <c r="AU130" s="23">
        <f t="shared" si="60"/>
        <v>2.0240948782121994E-2</v>
      </c>
      <c r="AV130" s="23">
        <f t="shared" si="60"/>
        <v>2.0197144744807251E-2</v>
      </c>
      <c r="AW130" s="23">
        <f t="shared" si="60"/>
        <v>2.0162706156313003E-2</v>
      </c>
      <c r="AX130" s="23">
        <f t="shared" si="60"/>
        <v>2.0134274740176195E-2</v>
      </c>
      <c r="AY130" s="23">
        <f t="shared" si="60"/>
        <v>2.0109962324717214E-2</v>
      </c>
      <c r="AZ130" s="23">
        <f t="shared" si="60"/>
        <v>2.0088673590076135E-2</v>
      </c>
      <c r="BA130" s="23">
        <f t="shared" si="60"/>
        <v>2.0069744525861577E-2</v>
      </c>
      <c r="BB130" s="23">
        <f t="shared" si="60"/>
        <v>2.0052748888304991E-2</v>
      </c>
      <c r="BC130" s="23">
        <f t="shared" si="60"/>
        <v>2.0037394228030206E-2</v>
      </c>
      <c r="BD130" s="23">
        <f t="shared" si="60"/>
        <v>2.0023465745467595E-2</v>
      </c>
      <c r="BE130" s="23">
        <f t="shared" si="60"/>
        <v>2.0049952023950435E-2</v>
      </c>
      <c r="BF130" s="23">
        <f t="shared" si="60"/>
        <v>2.0024506547542648E-2</v>
      </c>
      <c r="BG130" s="23">
        <f t="shared" si="60"/>
        <v>2.0003303138960541E-2</v>
      </c>
      <c r="BH130" s="23">
        <f t="shared" si="60"/>
        <v>1.9986469150878785E-2</v>
      </c>
      <c r="BI130" s="23">
        <f>+$B$14/100+LN(BI56/BH56)/10+$B$18*LN(BI88/BH88)/10</f>
        <v>1.4999999999999999E-4</v>
      </c>
    </row>
    <row r="131" spans="1:61" s="23" customFormat="1" ht="18" customHeight="1" x14ac:dyDescent="0.2">
      <c r="A131" s="23" t="s">
        <v>88</v>
      </c>
      <c r="C131" s="23">
        <f t="shared" ref="C131:BB131" si="61">+AVERAGE(C129:C130)</f>
        <v>1.4531868730227632E-2</v>
      </c>
      <c r="D131" s="23">
        <f t="shared" si="61"/>
        <v>1.6156596413243171E-2</v>
      </c>
      <c r="E131" s="23">
        <f t="shared" si="61"/>
        <v>1.6988212030503377E-2</v>
      </c>
      <c r="F131" s="23">
        <f t="shared" si="61"/>
        <v>1.9393877480367982E-2</v>
      </c>
      <c r="G131" s="23">
        <f t="shared" si="61"/>
        <v>1.9652494924478101E-2</v>
      </c>
      <c r="H131" s="23">
        <f t="shared" si="61"/>
        <v>1.999170022328596E-2</v>
      </c>
      <c r="I131" s="23">
        <f t="shared" si="61"/>
        <v>2.0475865319161891E-2</v>
      </c>
      <c r="J131" s="23">
        <f t="shared" si="61"/>
        <v>1.9576651138853433E-2</v>
      </c>
      <c r="K131" s="23">
        <f t="shared" si="61"/>
        <v>1.9675935191107656E-2</v>
      </c>
      <c r="L131" s="23">
        <f t="shared" si="61"/>
        <v>1.7967854302905751E-2</v>
      </c>
      <c r="M131" s="23">
        <f t="shared" si="61"/>
        <v>1.6142358423317897E-2</v>
      </c>
      <c r="N131" s="23">
        <f t="shared" si="61"/>
        <v>1.6848798309775474E-2</v>
      </c>
      <c r="O131" s="23">
        <f t="shared" si="61"/>
        <v>1.8014956178838838E-2</v>
      </c>
      <c r="P131" s="23">
        <f t="shared" si="61"/>
        <v>1.8722442984295831E-2</v>
      </c>
      <c r="Q131" s="23">
        <f t="shared" si="61"/>
        <v>1.9147295100804731E-2</v>
      </c>
      <c r="R131" s="23">
        <f t="shared" si="61"/>
        <v>1.971308289738594E-2</v>
      </c>
      <c r="S131" s="23">
        <f t="shared" si="61"/>
        <v>1.7550057287993318E-2</v>
      </c>
      <c r="T131" s="23">
        <f t="shared" si="61"/>
        <v>1.1999179481540811E-2</v>
      </c>
      <c r="U131" s="23">
        <f t="shared" si="61"/>
        <v>1.3476343202510685E-2</v>
      </c>
      <c r="V131" s="23">
        <f t="shared" si="61"/>
        <v>1.8393616201853213E-2</v>
      </c>
      <c r="W131" s="23">
        <f t="shared" si="61"/>
        <v>1.6399536201034844E-2</v>
      </c>
      <c r="X131" s="23">
        <f t="shared" si="61"/>
        <v>1.5265823534733393E-2</v>
      </c>
      <c r="Y131" s="23">
        <f t="shared" si="61"/>
        <v>1.6846199469585817E-2</v>
      </c>
      <c r="Z131" s="23">
        <f t="shared" si="61"/>
        <v>1.8123065021979839E-2</v>
      </c>
      <c r="AA131" s="23">
        <f t="shared" si="61"/>
        <v>1.7871371611926708E-2</v>
      </c>
      <c r="AB131" s="23">
        <f t="shared" si="61"/>
        <v>1.8351324278175998E-2</v>
      </c>
      <c r="AC131" s="23">
        <f t="shared" si="61"/>
        <v>1.8633806624836186E-2</v>
      </c>
      <c r="AD131" s="23">
        <f t="shared" si="61"/>
        <v>1.747319377259517E-2</v>
      </c>
      <c r="AE131" s="23">
        <f t="shared" si="61"/>
        <v>1.1714560634006627E-2</v>
      </c>
      <c r="AF131" s="23">
        <f t="shared" si="61"/>
        <v>1.5645232266196088E-2</v>
      </c>
      <c r="AG131" s="23">
        <f t="shared" si="61"/>
        <v>2.2766537799891282E-2</v>
      </c>
      <c r="AH131" s="23">
        <f t="shared" si="61"/>
        <v>0.13501808461326015</v>
      </c>
      <c r="AI131" s="23">
        <f t="shared" si="61"/>
        <v>0.16244742533580767</v>
      </c>
      <c r="AJ131" s="23">
        <f t="shared" si="61"/>
        <v>5.8990094817335449E-2</v>
      </c>
      <c r="AK131" s="23">
        <f t="shared" si="61"/>
        <v>3.6659339954392273E-2</v>
      </c>
      <c r="AL131" s="23">
        <f t="shared" si="61"/>
        <v>2.8182263483775734E-2</v>
      </c>
      <c r="AM131" s="23">
        <f t="shared" si="61"/>
        <v>2.4352869277347401E-2</v>
      </c>
      <c r="AN131" s="23">
        <f t="shared" si="61"/>
        <v>2.2457418040034656E-2</v>
      </c>
      <c r="AO131" s="23">
        <f t="shared" si="61"/>
        <v>2.1468204622930989E-2</v>
      </c>
      <c r="AP131" s="23">
        <f t="shared" si="61"/>
        <v>2.0931835179737637E-2</v>
      </c>
      <c r="AQ131" s="23">
        <f t="shared" si="61"/>
        <v>2.0630161875175732E-2</v>
      </c>
      <c r="AR131" s="23">
        <f t="shared" si="61"/>
        <v>2.0453013245107201E-2</v>
      </c>
      <c r="AS131" s="23">
        <f t="shared" si="61"/>
        <v>2.0343208674074034E-2</v>
      </c>
      <c r="AT131" s="23">
        <f t="shared" si="61"/>
        <v>2.0270583884557849E-2</v>
      </c>
      <c r="AU131" s="23">
        <f t="shared" si="61"/>
        <v>2.0219046763464622E-2</v>
      </c>
      <c r="AV131" s="23">
        <f t="shared" si="61"/>
        <v>2.0179925450560125E-2</v>
      </c>
      <c r="AW131" s="23">
        <f t="shared" si="61"/>
        <v>2.0148490448244599E-2</v>
      </c>
      <c r="AX131" s="23">
        <f t="shared" si="61"/>
        <v>2.0122118532446706E-2</v>
      </c>
      <c r="AY131" s="23">
        <f t="shared" si="61"/>
        <v>2.0099317957396674E-2</v>
      </c>
      <c r="AZ131" s="23">
        <f t="shared" si="61"/>
        <v>2.0079209057968856E-2</v>
      </c>
      <c r="BA131" s="23">
        <f t="shared" si="61"/>
        <v>2.0061246707083286E-2</v>
      </c>
      <c r="BB131" s="23">
        <f t="shared" si="61"/>
        <v>2.00450715581676E-2</v>
      </c>
      <c r="BC131" s="23">
        <f>+AVERAGE(BC129:BC130)</f>
        <v>2.00304299867489E-2</v>
      </c>
      <c r="BD131" s="23">
        <f>+AVERAGE(BD129:BD130)</f>
        <v>2.0036708884709015E-2</v>
      </c>
      <c r="BE131" s="23">
        <f>+AVERAGE(BE129:BE130)</f>
        <v>2.0037229285746541E-2</v>
      </c>
      <c r="BF131" s="23">
        <f>+AVERAGE(BF129:BF130)</f>
        <v>2.0013904843251593E-2</v>
      </c>
      <c r="BG131" s="23">
        <f>+AVERAGE(BG129:BG130)</f>
        <v>1.9994886144919663E-2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 x14ac:dyDescent="0.2">
      <c r="A132" s="23" t="s">
        <v>13</v>
      </c>
      <c r="B132" s="23">
        <f t="shared" ref="B132:BI132" si="62">+B88^-$B$18</f>
        <v>8.6118675395869503E-3</v>
      </c>
      <c r="C132" s="23">
        <f t="shared" si="62"/>
        <v>9.271371520729807E-3</v>
      </c>
      <c r="D132" s="23">
        <f t="shared" si="62"/>
        <v>9.2956018426592311E-3</v>
      </c>
      <c r="E132" s="23">
        <f t="shared" si="62"/>
        <v>9.3656100688398712E-3</v>
      </c>
      <c r="F132" s="23">
        <f t="shared" si="62"/>
        <v>9.0198834477791291E-3</v>
      </c>
      <c r="G132" s="23">
        <f t="shared" si="62"/>
        <v>8.4456439055972145E-3</v>
      </c>
      <c r="H132" s="23">
        <f t="shared" si="62"/>
        <v>7.9015251906972925E-3</v>
      </c>
      <c r="I132" s="23">
        <f t="shared" si="62"/>
        <v>7.287618608746666E-3</v>
      </c>
      <c r="J132" s="23">
        <f t="shared" si="62"/>
        <v>6.7524036237527358E-3</v>
      </c>
      <c r="K132" s="23">
        <f t="shared" si="62"/>
        <v>6.3407930143000888E-3</v>
      </c>
      <c r="L132" s="23">
        <f t="shared" si="62"/>
        <v>5.9467774598617905E-3</v>
      </c>
      <c r="M132" s="23">
        <f t="shared" si="62"/>
        <v>5.9437223723783966E-3</v>
      </c>
      <c r="N132" s="23">
        <f t="shared" si="62"/>
        <v>5.863816939714832E-3</v>
      </c>
      <c r="O132" s="23">
        <f t="shared" si="62"/>
        <v>5.7785805814820996E-3</v>
      </c>
      <c r="P132" s="23">
        <f t="shared" si="62"/>
        <v>5.5694709553151386E-3</v>
      </c>
      <c r="Q132" s="23">
        <f t="shared" si="62"/>
        <v>5.4113990516386637E-3</v>
      </c>
      <c r="R132" s="23">
        <f t="shared" si="62"/>
        <v>5.1714474058381791E-3</v>
      </c>
      <c r="S132" s="23">
        <f t="shared" si="62"/>
        <v>4.9681346696456167E-3</v>
      </c>
      <c r="T132" s="23">
        <f t="shared" si="62"/>
        <v>4.957739602131913E-3</v>
      </c>
      <c r="U132" s="23">
        <f t="shared" si="62"/>
        <v>5.322053938514852E-3</v>
      </c>
      <c r="V132" s="23">
        <f t="shared" si="62"/>
        <v>5.1611609982819802E-3</v>
      </c>
      <c r="W132" s="23">
        <f t="shared" si="62"/>
        <v>5.0309337939301053E-3</v>
      </c>
      <c r="X132" s="23">
        <f t="shared" si="62"/>
        <v>5.0821251925934697E-3</v>
      </c>
      <c r="Y132" s="23">
        <f t="shared" si="62"/>
        <v>5.0675011707732266E-3</v>
      </c>
      <c r="Z132" s="23">
        <f t="shared" si="62"/>
        <v>4.9597940564190092E-3</v>
      </c>
      <c r="AA132" s="23">
        <f t="shared" si="62"/>
        <v>4.8208256940753163E-3</v>
      </c>
      <c r="AB132" s="23">
        <f t="shared" si="62"/>
        <v>4.74217303108248E-3</v>
      </c>
      <c r="AC132" s="23">
        <f t="shared" si="62"/>
        <v>4.5652689269658989E-3</v>
      </c>
      <c r="AD132" s="23">
        <f t="shared" si="62"/>
        <v>4.4654859009498312E-3</v>
      </c>
      <c r="AE132" s="23">
        <f t="shared" si="62"/>
        <v>4.3998578639413578E-3</v>
      </c>
      <c r="AF132" s="23">
        <f t="shared" si="62"/>
        <v>4.8138916752639973E-3</v>
      </c>
      <c r="AG132" s="23">
        <f t="shared" si="62"/>
        <v>4.357102463085594E-3</v>
      </c>
      <c r="AH132" s="23">
        <f t="shared" si="62"/>
        <v>4.1213265145339786E-3</v>
      </c>
      <c r="AI132" s="23">
        <f t="shared" si="62"/>
        <v>3.9512447840728634E-4</v>
      </c>
      <c r="AJ132" s="23">
        <f t="shared" si="62"/>
        <v>2.1593595376162512E-4</v>
      </c>
      <c r="AK132" s="23">
        <f t="shared" si="62"/>
        <v>1.6392335222899828E-4</v>
      </c>
      <c r="AL132" s="23">
        <f t="shared" si="62"/>
        <v>1.4002137006271164E-4</v>
      </c>
      <c r="AM132" s="23">
        <f t="shared" si="62"/>
        <v>1.2593346153897834E-4</v>
      </c>
      <c r="AN132" s="23">
        <f t="shared" si="62"/>
        <v>1.1613318380112479E-4</v>
      </c>
      <c r="AO132" s="23">
        <f t="shared" si="62"/>
        <v>1.0848428498493775E-4</v>
      </c>
      <c r="AP132" s="23">
        <f t="shared" si="62"/>
        <v>1.0204088601577959E-4</v>
      </c>
      <c r="AQ132" s="23">
        <f t="shared" si="62"/>
        <v>9.6348191063722264E-5</v>
      </c>
      <c r="AR132" s="23">
        <f t="shared" si="62"/>
        <v>9.117405197290942E-5</v>
      </c>
      <c r="AS132" s="23">
        <f t="shared" si="62"/>
        <v>8.6393146966336735E-5</v>
      </c>
      <c r="AT132" s="23">
        <f t="shared" si="62"/>
        <v>8.1933354374733364E-5</v>
      </c>
      <c r="AU132" s="23">
        <f t="shared" si="62"/>
        <v>7.7749854327305599E-5</v>
      </c>
      <c r="AV132" s="23">
        <f t="shared" si="62"/>
        <v>7.3812288604856597E-5</v>
      </c>
      <c r="AW132" s="23">
        <f t="shared" si="62"/>
        <v>7.0098273766838875E-5</v>
      </c>
      <c r="AX132" s="23">
        <f t="shared" si="62"/>
        <v>6.6590066917543634E-5</v>
      </c>
      <c r="AY132" s="23">
        <f t="shared" si="62"/>
        <v>6.3272816503635727E-5</v>
      </c>
      <c r="AZ132" s="23">
        <f t="shared" si="62"/>
        <v>6.0133618542350032E-5</v>
      </c>
      <c r="BA132" s="23">
        <f t="shared" si="62"/>
        <v>5.7160986794328767E-5</v>
      </c>
      <c r="BB132" s="23">
        <f t="shared" si="62"/>
        <v>5.4344538870289035E-5</v>
      </c>
      <c r="BC132" s="23">
        <f t="shared" si="62"/>
        <v>5.1674797429389977E-5</v>
      </c>
      <c r="BD132" s="23">
        <f t="shared" si="62"/>
        <v>4.914305468270731E-5</v>
      </c>
      <c r="BE132" s="23">
        <f t="shared" si="62"/>
        <v>4.672297472237507E-5</v>
      </c>
      <c r="BF132" s="23">
        <f t="shared" si="62"/>
        <v>4.4433377934859209E-5</v>
      </c>
      <c r="BG132" s="23">
        <f t="shared" si="62"/>
        <v>4.2264940428827613E-5</v>
      </c>
      <c r="BH132" s="23">
        <f t="shared" si="62"/>
        <v>4.0209095224613189E-5</v>
      </c>
      <c r="BI132" s="23">
        <f t="shared" si="62"/>
        <v>4.0209095224613189E-5</v>
      </c>
    </row>
    <row r="133" spans="1:61" s="23" customFormat="1" ht="18" customHeight="1" x14ac:dyDescent="0.2">
      <c r="A133" s="23" t="s">
        <v>14</v>
      </c>
      <c r="B133" s="23">
        <f t="shared" ref="B133:AG133" si="63">+B17*B132/$B132</f>
        <v>1</v>
      </c>
      <c r="C133" s="23">
        <f t="shared" si="63"/>
        <v>0.92765442522334951</v>
      </c>
      <c r="D133" s="23">
        <f t="shared" si="63"/>
        <v>0.80141843288173709</v>
      </c>
      <c r="E133" s="23">
        <f t="shared" si="63"/>
        <v>0.6957568062507703</v>
      </c>
      <c r="F133" s="23">
        <f t="shared" si="63"/>
        <v>0.57738021052583322</v>
      </c>
      <c r="G133" s="23">
        <f t="shared" si="63"/>
        <v>0.46583628382712572</v>
      </c>
      <c r="H133" s="23">
        <f t="shared" si="63"/>
        <v>0.37553554750133478</v>
      </c>
      <c r="I133" s="23">
        <f t="shared" si="63"/>
        <v>0.29844570787813268</v>
      </c>
      <c r="J133" s="23">
        <f t="shared" si="63"/>
        <v>0.23827455826068236</v>
      </c>
      <c r="K133" s="23">
        <f t="shared" si="63"/>
        <v>0.19279795934681229</v>
      </c>
      <c r="L133" s="23">
        <f t="shared" si="63"/>
        <v>0.15580454430845295</v>
      </c>
      <c r="M133" s="23">
        <f t="shared" si="63"/>
        <v>0.1341827001559098</v>
      </c>
      <c r="N133" s="23">
        <f t="shared" si="63"/>
        <v>0.11406646761134349</v>
      </c>
      <c r="O133" s="23">
        <f t="shared" si="63"/>
        <v>9.685863406429239E-2</v>
      </c>
      <c r="P133" s="23">
        <f t="shared" si="63"/>
        <v>8.0439745393036124E-2</v>
      </c>
      <c r="Q133" s="23">
        <f t="shared" si="63"/>
        <v>6.7345081457995212E-2</v>
      </c>
      <c r="R133" s="23">
        <f t="shared" si="63"/>
        <v>5.5455932330389049E-2</v>
      </c>
      <c r="S133" s="23">
        <f t="shared" si="63"/>
        <v>4.5905934849112096E-2</v>
      </c>
      <c r="T133" s="23">
        <f t="shared" si="63"/>
        <v>3.9472875630268731E-2</v>
      </c>
      <c r="U133" s="23">
        <f t="shared" si="63"/>
        <v>3.6511855432135185E-2</v>
      </c>
      <c r="V133" s="23">
        <f t="shared" si="63"/>
        <v>3.0509958411340594E-2</v>
      </c>
      <c r="W133" s="23">
        <f t="shared" si="63"/>
        <v>2.5626092446819484E-2</v>
      </c>
      <c r="X133" s="23">
        <f t="shared" si="63"/>
        <v>2.230584721379076E-2</v>
      </c>
      <c r="Y133" s="23">
        <f t="shared" si="63"/>
        <v>1.9164910662459098E-2</v>
      </c>
      <c r="Z133" s="23">
        <f t="shared" si="63"/>
        <v>1.6162783765946029E-2</v>
      </c>
      <c r="AA133" s="23">
        <f t="shared" si="63"/>
        <v>1.3536722481958302E-2</v>
      </c>
      <c r="AB133" s="23">
        <f t="shared" si="63"/>
        <v>1.147384741958382E-2</v>
      </c>
      <c r="AC133" s="23">
        <f t="shared" si="63"/>
        <v>9.5178228471810723E-3</v>
      </c>
      <c r="AD133" s="23">
        <f t="shared" si="63"/>
        <v>8.0219426246194211E-3</v>
      </c>
      <c r="AE133" s="23">
        <f t="shared" si="63"/>
        <v>6.8106577001112011E-3</v>
      </c>
      <c r="AF133" s="23">
        <f t="shared" si="63"/>
        <v>6.4207579370903168E-3</v>
      </c>
      <c r="AG133" s="23">
        <f t="shared" si="63"/>
        <v>5.0075735238471458E-3</v>
      </c>
      <c r="AH133" s="23">
        <f t="shared" ref="AH133:BI133" si="64">+AH17*AH132/$B132</f>
        <v>4.081371825313959E-3</v>
      </c>
      <c r="AI133" s="23">
        <f t="shared" si="64"/>
        <v>3.3716512922307593E-4</v>
      </c>
      <c r="AJ133" s="23">
        <f t="shared" si="64"/>
        <v>1.587717578951378E-4</v>
      </c>
      <c r="AK133" s="23">
        <f t="shared" si="64"/>
        <v>1.0385530806424404E-4</v>
      </c>
      <c r="AL133" s="23">
        <f t="shared" si="64"/>
        <v>7.6440192449676116E-5</v>
      </c>
      <c r="AM133" s="23">
        <f t="shared" si="64"/>
        <v>5.9239061223186995E-5</v>
      </c>
      <c r="AN133" s="23">
        <f t="shared" si="64"/>
        <v>4.7072030935003216E-5</v>
      </c>
      <c r="AO133" s="23">
        <f t="shared" si="64"/>
        <v>3.7888988599012752E-5</v>
      </c>
      <c r="AP133" s="23">
        <f t="shared" si="64"/>
        <v>3.0708597347171467E-5</v>
      </c>
      <c r="AQ133" s="23">
        <f t="shared" si="64"/>
        <v>2.4984398701320792E-5</v>
      </c>
      <c r="AR133" s="23">
        <f t="shared" si="64"/>
        <v>2.0372117401507668E-5</v>
      </c>
      <c r="AS133" s="23">
        <f t="shared" si="64"/>
        <v>1.663350547679987E-5</v>
      </c>
      <c r="AT133" s="23">
        <f t="shared" si="64"/>
        <v>1.3592670974296225E-5</v>
      </c>
      <c r="AU133" s="23">
        <f t="shared" si="64"/>
        <v>1.1114328544904433E-5</v>
      </c>
      <c r="AV133" s="23">
        <f t="shared" si="64"/>
        <v>9.09184232245146E-6</v>
      </c>
      <c r="AW133" s="23">
        <f t="shared" si="64"/>
        <v>7.4399518488108712E-6</v>
      </c>
      <c r="AX133" s="23">
        <f t="shared" si="64"/>
        <v>6.0899234055100502E-6</v>
      </c>
      <c r="AY133" s="23">
        <f t="shared" si="64"/>
        <v>4.9860786361460094E-6</v>
      </c>
      <c r="AZ133" s="23">
        <f t="shared" si="64"/>
        <v>4.0831832621790016E-6</v>
      </c>
      <c r="BA133" s="23">
        <f t="shared" si="64"/>
        <v>3.3444201334754758E-6</v>
      </c>
      <c r="BB133" s="23">
        <f t="shared" si="64"/>
        <v>2.7397857160241636E-6</v>
      </c>
      <c r="BC133" s="23">
        <f t="shared" si="64"/>
        <v>2.2448072146355544E-6</v>
      </c>
      <c r="BD133" s="23">
        <f t="shared" si="64"/>
        <v>1.8395093195532171E-6</v>
      </c>
      <c r="BE133" s="23">
        <f t="shared" si="64"/>
        <v>1.5069883917439521E-6</v>
      </c>
      <c r="BF133" s="23">
        <f t="shared" si="64"/>
        <v>1.2348901593305199E-6</v>
      </c>
      <c r="BG133" s="23">
        <f t="shared" si="64"/>
        <v>1.0121359198350116E-6</v>
      </c>
      <c r="BH133" s="23">
        <f t="shared" si="64"/>
        <v>8.2970260762650189E-7</v>
      </c>
      <c r="BI133" s="23">
        <f t="shared" si="64"/>
        <v>7.1492754906620591E-7</v>
      </c>
    </row>
    <row r="134" spans="1:61" s="23" customFormat="1" ht="18" customHeight="1" x14ac:dyDescent="0.2">
      <c r="A134" s="23" t="s">
        <v>15</v>
      </c>
      <c r="C134" s="23">
        <f>+(C133/B133)^-0.1-1</f>
        <v>7.5378679794486647E-3</v>
      </c>
      <c r="D134" s="23">
        <f t="shared" ref="D134:BI134" si="65">+(D133/C133)^-0.1-1</f>
        <v>1.4735114808744232E-2</v>
      </c>
      <c r="E134" s="23">
        <f t="shared" si="65"/>
        <v>1.4238720058637355E-2</v>
      </c>
      <c r="F134" s="23">
        <f t="shared" si="65"/>
        <v>1.8824914907590973E-2</v>
      </c>
      <c r="G134" s="23">
        <f t="shared" si="65"/>
        <v>2.1698740952551976E-2</v>
      </c>
      <c r="H134" s="23">
        <f t="shared" si="65"/>
        <v>2.1781948749938884E-2</v>
      </c>
      <c r="I134" s="23">
        <f t="shared" si="65"/>
        <v>2.324250337044842E-2</v>
      </c>
      <c r="J134" s="23">
        <f t="shared" si="65"/>
        <v>2.277185025870998E-2</v>
      </c>
      <c r="K134" s="23">
        <f t="shared" si="65"/>
        <v>2.1403928800471705E-2</v>
      </c>
      <c r="L134" s="23">
        <f t="shared" si="65"/>
        <v>2.1532601128471329E-2</v>
      </c>
      <c r="M134" s="23">
        <f t="shared" si="65"/>
        <v>1.5052159178880142E-2</v>
      </c>
      <c r="N134" s="23">
        <f t="shared" si="65"/>
        <v>1.6374717666289396E-2</v>
      </c>
      <c r="O134" s="23">
        <f t="shared" si="65"/>
        <v>1.6487319458760696E-2</v>
      </c>
      <c r="P134" s="23">
        <f t="shared" si="65"/>
        <v>1.8747990951629934E-2</v>
      </c>
      <c r="Q134" s="23">
        <f t="shared" si="65"/>
        <v>1.7926640251948678E-2</v>
      </c>
      <c r="R134" s="23">
        <f t="shared" si="65"/>
        <v>1.961399330274749E-2</v>
      </c>
      <c r="S134" s="23">
        <f t="shared" si="65"/>
        <v>1.9079153148440664E-2</v>
      </c>
      <c r="T134" s="23">
        <f t="shared" si="65"/>
        <v>1.521261809582497E-2</v>
      </c>
      <c r="U134" s="23">
        <f t="shared" si="65"/>
        <v>7.8281539178521875E-3</v>
      </c>
      <c r="V134" s="23">
        <f t="shared" si="65"/>
        <v>1.8120609330790183E-2</v>
      </c>
      <c r="W134" s="23">
        <f t="shared" si="65"/>
        <v>1.7597245457597666E-2</v>
      </c>
      <c r="X134" s="23">
        <f t="shared" si="65"/>
        <v>1.3972943387161152E-2</v>
      </c>
      <c r="Y134" s="23">
        <f t="shared" si="65"/>
        <v>1.5292533553356913E-2</v>
      </c>
      <c r="Z134" s="23">
        <f t="shared" si="65"/>
        <v>1.7182930577901434E-2</v>
      </c>
      <c r="AA134" s="23">
        <f t="shared" si="65"/>
        <v>1.7888631133442079E-2</v>
      </c>
      <c r="AB134" s="23">
        <f t="shared" si="65"/>
        <v>1.667102295159717E-2</v>
      </c>
      <c r="AC134" s="23">
        <f t="shared" si="65"/>
        <v>1.8866176959021264E-2</v>
      </c>
      <c r="AD134" s="23">
        <f t="shared" si="65"/>
        <v>1.7245568467970429E-2</v>
      </c>
      <c r="AE134" s="23">
        <f t="shared" si="65"/>
        <v>1.6503901347750816E-2</v>
      </c>
      <c r="AF134" s="23">
        <f t="shared" si="65"/>
        <v>5.9126636589399428E-3</v>
      </c>
      <c r="AG134" s="23">
        <f t="shared" si="65"/>
        <v>2.517001776699912E-2</v>
      </c>
      <c r="AH134" s="23">
        <f t="shared" si="65"/>
        <v>2.0662402526624657E-2</v>
      </c>
      <c r="AI134" s="23">
        <f t="shared" si="65"/>
        <v>0.28320590956551661</v>
      </c>
      <c r="AJ134" s="23">
        <f t="shared" si="65"/>
        <v>7.8218899037936884E-2</v>
      </c>
      <c r="AK134" s="23">
        <f t="shared" si="65"/>
        <v>4.3360654974174295E-2</v>
      </c>
      <c r="AL134" s="23">
        <f t="shared" si="65"/>
        <v>3.1123518563401342E-2</v>
      </c>
      <c r="AM134" s="23">
        <f t="shared" si="65"/>
        <v>2.5820468507609551E-2</v>
      </c>
      <c r="AN134" s="23">
        <f t="shared" si="65"/>
        <v>2.3256525977538356E-2</v>
      </c>
      <c r="AO134" s="23">
        <f t="shared" si="65"/>
        <v>2.1939044852600231E-2</v>
      </c>
      <c r="AP134" s="23">
        <f t="shared" si="65"/>
        <v>2.1234089089651853E-2</v>
      </c>
      <c r="AQ134" s="23">
        <f t="shared" si="65"/>
        <v>2.0843358897209674E-2</v>
      </c>
      <c r="AR134" s="23">
        <f t="shared" si="65"/>
        <v>2.0618116805958264E-2</v>
      </c>
      <c r="AS134" s="23">
        <f t="shared" si="65"/>
        <v>2.0481740956028283E-2</v>
      </c>
      <c r="AT134" s="23">
        <f t="shared" si="65"/>
        <v>2.0394004346422134E-2</v>
      </c>
      <c r="AU134" s="23">
        <f t="shared" si="65"/>
        <v>2.0333527176999544E-2</v>
      </c>
      <c r="AV134" s="23">
        <f t="shared" si="65"/>
        <v>2.0288833427992259E-2</v>
      </c>
      <c r="AW134" s="23">
        <f t="shared" si="65"/>
        <v>2.0253696725744952E-2</v>
      </c>
      <c r="AX134" s="23">
        <f t="shared" si="65"/>
        <v>2.0224689880683044E-2</v>
      </c>
      <c r="AY134" s="23">
        <f t="shared" si="65"/>
        <v>2.0199886055682903E-2</v>
      </c>
      <c r="AZ134" s="23">
        <f t="shared" si="65"/>
        <v>2.0178167522208801E-2</v>
      </c>
      <c r="BA134" s="23">
        <f t="shared" si="65"/>
        <v>2.0158856686933957E-2</v>
      </c>
      <c r="BB134" s="23">
        <f t="shared" si="65"/>
        <v>2.0141518584092077E-2</v>
      </c>
      <c r="BC134" s="23">
        <f t="shared" si="65"/>
        <v>2.0125854777898411E-2</v>
      </c>
      <c r="BD134" s="23">
        <f t="shared" si="65"/>
        <v>2.0111646071671707E-2</v>
      </c>
      <c r="BE134" s="23">
        <f t="shared" si="65"/>
        <v>2.0138665390632138E-2</v>
      </c>
      <c r="BF134" s="23">
        <f t="shared" si="65"/>
        <v>2.0112707806542174E-2</v>
      </c>
      <c r="BG134" s="23">
        <f t="shared" si="65"/>
        <v>2.0091078169310439E-2</v>
      </c>
      <c r="BH134" s="23">
        <f t="shared" si="65"/>
        <v>2.0073906112795914E-2</v>
      </c>
      <c r="BI134" s="23">
        <f t="shared" si="65"/>
        <v>1.4999999999999902E-2</v>
      </c>
    </row>
    <row r="135" spans="1:61" s="23" customFormat="1" ht="18" customHeight="1" x14ac:dyDescent="0.2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 x14ac:dyDescent="0.2">
      <c r="A136" s="23" t="s">
        <v>207</v>
      </c>
      <c r="C136" s="23">
        <f>+C134+C135</f>
        <v>1.1883582837053231E-2</v>
      </c>
      <c r="D136" s="23">
        <f t="shared" ref="D136:K136" si="67">+D134+D135</f>
        <v>1.7093154379703414E-2</v>
      </c>
      <c r="E136" s="23">
        <f t="shared" si="67"/>
        <v>1.5205188916429052E-2</v>
      </c>
      <c r="F136" s="23">
        <f t="shared" si="67"/>
        <v>1.8823874541382062E-2</v>
      </c>
      <c r="G136" s="23">
        <f t="shared" si="67"/>
        <v>2.0148167984016158E-2</v>
      </c>
      <c r="H136" s="23">
        <f t="shared" si="67"/>
        <v>1.9399950616797338E-2</v>
      </c>
      <c r="I136" s="23">
        <f t="shared" si="67"/>
        <v>2.0860505237306873E-2</v>
      </c>
      <c r="J136" s="23">
        <f t="shared" si="67"/>
        <v>2.0389852125568434E-2</v>
      </c>
      <c r="K136" s="23">
        <f t="shared" si="67"/>
        <v>1.9021930667330159E-2</v>
      </c>
    </row>
    <row r="137" spans="1:61" s="23" customFormat="1" ht="18" customHeight="1" x14ac:dyDescent="0.2">
      <c r="A137" s="23" t="s">
        <v>208</v>
      </c>
      <c r="C137" s="23">
        <f>+C136-C129</f>
        <v>-5.2134520433661635E-3</v>
      </c>
      <c r="D137" s="23">
        <f t="shared" ref="D137:K137" si="68">+D136-D129</f>
        <v>1.8769964336364624E-3</v>
      </c>
      <c r="E137" s="23">
        <f t="shared" si="68"/>
        <v>-3.5550771985107497E-3</v>
      </c>
      <c r="F137" s="23">
        <f t="shared" si="68"/>
        <v>-1.2036143044141003E-3</v>
      </c>
      <c r="G137" s="23">
        <f t="shared" si="68"/>
        <v>8.7066698085611766E-4</v>
      </c>
      <c r="H137" s="23">
        <f t="shared" si="68"/>
        <v>-1.3059488266145454E-3</v>
      </c>
      <c r="I137" s="23">
        <f t="shared" si="68"/>
        <v>6.146740423949755E-4</v>
      </c>
      <c r="J137" s="23">
        <f t="shared" si="68"/>
        <v>1.4823810427734667E-3</v>
      </c>
      <c r="K137" s="23">
        <f t="shared" si="68"/>
        <v>-1.4224686320901819E-3</v>
      </c>
    </row>
    <row r="138" spans="1:61" s="23" customFormat="1" ht="18" customHeight="1" x14ac:dyDescent="0.2">
      <c r="B138" s="23" t="s">
        <v>28</v>
      </c>
    </row>
    <row r="139" spans="1:61" s="23" customFormat="1" ht="18" customHeight="1" x14ac:dyDescent="0.2">
      <c r="A139" s="23" t="s">
        <v>209</v>
      </c>
      <c r="B139" s="23">
        <f t="shared" ref="B139:BI139" si="69">+$B$7*B68/B74-(1-(1-0.1)^10)/10</f>
        <v>0.11681693756413826</v>
      </c>
      <c r="C139" s="23">
        <f t="shared" si="69"/>
        <v>6.7356768680927118E-2</v>
      </c>
      <c r="D139" s="23">
        <f t="shared" si="69"/>
        <v>4.4528944737853737E-2</v>
      </c>
      <c r="E139" s="23">
        <f t="shared" si="69"/>
        <v>3.8000505794353406E-2</v>
      </c>
      <c r="F139" s="23">
        <f t="shared" si="69"/>
        <v>3.8664615314391679E-2</v>
      </c>
      <c r="G139" s="23">
        <f t="shared" si="69"/>
        <v>3.9919636632878466E-2</v>
      </c>
      <c r="H139" s="23">
        <f t="shared" si="69"/>
        <v>3.9592773018476454E-2</v>
      </c>
      <c r="I139" s="23">
        <f t="shared" si="69"/>
        <v>3.9940635843240715E-2</v>
      </c>
      <c r="J139" s="23">
        <f t="shared" si="69"/>
        <v>3.9139160750085417E-2</v>
      </c>
      <c r="K139" s="23">
        <f t="shared" si="69"/>
        <v>3.7872643277253815E-2</v>
      </c>
      <c r="L139" s="23">
        <f t="shared" si="69"/>
        <v>3.6674707196415107E-2</v>
      </c>
      <c r="M139" s="23">
        <f t="shared" si="69"/>
        <v>3.2201770393969584E-2</v>
      </c>
      <c r="N139" s="23">
        <f t="shared" si="69"/>
        <v>2.7622339660205469E-2</v>
      </c>
      <c r="O139" s="23">
        <f t="shared" si="69"/>
        <v>2.6212354011079936E-2</v>
      </c>
      <c r="P139" s="23">
        <f t="shared" si="69"/>
        <v>2.7093300553986219E-2</v>
      </c>
      <c r="Q139" s="23">
        <f t="shared" si="69"/>
        <v>2.6899368635728005E-2</v>
      </c>
      <c r="R139" s="23">
        <f t="shared" si="69"/>
        <v>2.7854601831159467E-2</v>
      </c>
      <c r="S139" s="23">
        <f t="shared" si="69"/>
        <v>2.7854980290695719E-2</v>
      </c>
      <c r="T139" s="23">
        <f t="shared" si="69"/>
        <v>2.5528195850013924E-2</v>
      </c>
      <c r="U139" s="23">
        <f t="shared" si="69"/>
        <v>2.0478846070564591E-2</v>
      </c>
      <c r="V139" s="23">
        <f t="shared" si="69"/>
        <v>2.4743242027682619E-2</v>
      </c>
      <c r="W139" s="23">
        <f t="shared" si="69"/>
        <v>2.6063475415400023E-2</v>
      </c>
      <c r="X139" s="23">
        <f t="shared" si="69"/>
        <v>2.4367688762301332E-2</v>
      </c>
      <c r="Y139" s="23">
        <f t="shared" si="69"/>
        <v>2.4565218464107572E-2</v>
      </c>
      <c r="Z139" s="23">
        <f t="shared" si="69"/>
        <v>2.575387672032288E-2</v>
      </c>
      <c r="AA139" s="23">
        <f t="shared" si="69"/>
        <v>2.6590244030477619E-2</v>
      </c>
      <c r="AB139" s="23">
        <f t="shared" si="69"/>
        <v>2.6146845539489483E-2</v>
      </c>
      <c r="AC139" s="23">
        <f t="shared" si="69"/>
        <v>2.7315654280812368E-2</v>
      </c>
      <c r="AD139" s="23">
        <f t="shared" si="69"/>
        <v>2.6737150114776134E-2</v>
      </c>
      <c r="AE139" s="23">
        <f t="shared" si="69"/>
        <v>2.6096616224844382E-2</v>
      </c>
      <c r="AF139" s="23">
        <f t="shared" si="69"/>
        <v>1.9474685505604758E-2</v>
      </c>
      <c r="AG139" s="23">
        <f t="shared" si="69"/>
        <v>2.8078371786623521E-2</v>
      </c>
      <c r="AH139" s="23">
        <f t="shared" si="69"/>
        <v>2.848587741523427E-2</v>
      </c>
      <c r="AI139" s="23">
        <f t="shared" si="69"/>
        <v>0.36614799225098738</v>
      </c>
      <c r="AJ139" s="23">
        <f t="shared" si="69"/>
        <v>0.11836148867705241</v>
      </c>
      <c r="AK139" s="23">
        <f t="shared" si="69"/>
        <v>6.4852956664259956E-2</v>
      </c>
      <c r="AL139" s="23">
        <f t="shared" si="69"/>
        <v>4.564758477416124E-2</v>
      </c>
      <c r="AM139" s="23">
        <f t="shared" si="69"/>
        <v>3.7160008264366273E-2</v>
      </c>
      <c r="AN139" s="23">
        <f t="shared" si="69"/>
        <v>3.302433152395863E-2</v>
      </c>
      <c r="AO139" s="23">
        <f t="shared" si="69"/>
        <v>3.0902239934687478E-2</v>
      </c>
      <c r="AP139" s="23">
        <f t="shared" si="69"/>
        <v>2.9777773935074275E-2</v>
      </c>
      <c r="AQ139" s="23">
        <f t="shared" si="69"/>
        <v>2.9166358164228634E-2</v>
      </c>
      <c r="AR139" s="23">
        <f t="shared" si="69"/>
        <v>2.8824613690271991E-2</v>
      </c>
      <c r="AS139" s="23">
        <f t="shared" si="69"/>
        <v>2.862675166705439E-2</v>
      </c>
      <c r="AT139" s="23">
        <f t="shared" si="69"/>
        <v>2.8506693188300014E-2</v>
      </c>
      <c r="AU139" s="23">
        <f t="shared" si="69"/>
        <v>2.8429377150736179E-2</v>
      </c>
      <c r="AV139" s="23">
        <f t="shared" si="69"/>
        <v>2.837606218892115E-2</v>
      </c>
      <c r="AW139" s="23">
        <f t="shared" si="69"/>
        <v>2.8336657125143064E-2</v>
      </c>
      <c r="AX139" s="23">
        <f t="shared" si="69"/>
        <v>2.8305677609798852E-2</v>
      </c>
      <c r="AY139" s="23">
        <f t="shared" si="69"/>
        <v>2.8280102077411773E-2</v>
      </c>
      <c r="AZ139" s="23">
        <f t="shared" si="69"/>
        <v>2.8258230908498119E-2</v>
      </c>
      <c r="BA139" s="23">
        <f t="shared" si="69"/>
        <v>2.8239077969506116E-2</v>
      </c>
      <c r="BB139" s="23">
        <f t="shared" si="69"/>
        <v>2.8222045436466045E-2</v>
      </c>
      <c r="BC139" s="23">
        <f t="shared" si="69"/>
        <v>2.8206749608835888E-2</v>
      </c>
      <c r="BD139" s="23">
        <f t="shared" si="69"/>
        <v>2.8192927298716058E-2</v>
      </c>
      <c r="BE139" s="23">
        <f t="shared" si="69"/>
        <v>2.8204746939008471E-2</v>
      </c>
      <c r="BF139" s="23">
        <f t="shared" si="69"/>
        <v>2.8192899750056163E-2</v>
      </c>
      <c r="BG139" s="23">
        <f t="shared" si="69"/>
        <v>2.817571508205742E-2</v>
      </c>
      <c r="BH139" s="23">
        <f t="shared" si="69"/>
        <v>2.8159450765836258E-2</v>
      </c>
      <c r="BI139" s="23">
        <f t="shared" si="69"/>
        <v>2.8145663385195793E-2</v>
      </c>
    </row>
    <row r="140" spans="1:61" s="23" customFormat="1" ht="18" customHeight="1" x14ac:dyDescent="0.2">
      <c r="A140" s="23" t="s">
        <v>94</v>
      </c>
      <c r="B140" s="23">
        <v>1</v>
      </c>
      <c r="C140" s="23">
        <f t="shared" ref="C140:AH140" si="70">+B140/(1+C131)^10</f>
        <v>0.86565145331577642</v>
      </c>
      <c r="D140" s="23">
        <f t="shared" si="70"/>
        <v>0.73745691975896943</v>
      </c>
      <c r="E140" s="23">
        <f t="shared" si="70"/>
        <v>0.62312828459463421</v>
      </c>
      <c r="F140" s="23">
        <f t="shared" si="70"/>
        <v>0.51422981829895342</v>
      </c>
      <c r="G140" s="23">
        <f t="shared" si="70"/>
        <v>0.42328745160229725</v>
      </c>
      <c r="H140" s="23">
        <f t="shared" si="70"/>
        <v>0.34727139784439531</v>
      </c>
      <c r="I140" s="23">
        <f t="shared" si="70"/>
        <v>0.28355782462610513</v>
      </c>
      <c r="J140" s="23">
        <f t="shared" si="70"/>
        <v>0.23358385552323249</v>
      </c>
      <c r="K140" s="23">
        <f t="shared" si="70"/>
        <v>0.1922299813509544</v>
      </c>
      <c r="L140" s="23">
        <f t="shared" si="70"/>
        <v>0.16087200865252133</v>
      </c>
      <c r="M140" s="23">
        <f t="shared" si="70"/>
        <v>0.13706763806752306</v>
      </c>
      <c r="N140" s="23">
        <f t="shared" si="70"/>
        <v>0.11597680273274112</v>
      </c>
      <c r="O140" s="23">
        <f t="shared" si="70"/>
        <v>9.7012913371607445E-2</v>
      </c>
      <c r="P140" s="23">
        <f t="shared" si="70"/>
        <v>8.058807965114094E-2</v>
      </c>
      <c r="Q140" s="23">
        <f t="shared" si="70"/>
        <v>6.6665516066195571E-2</v>
      </c>
      <c r="R140" s="23">
        <f t="shared" si="70"/>
        <v>5.4843016257546819E-2</v>
      </c>
      <c r="S140" s="23">
        <f t="shared" si="70"/>
        <v>4.6085414860044582E-2</v>
      </c>
      <c r="T140" s="23">
        <f t="shared" si="70"/>
        <v>4.0903634357925142E-2</v>
      </c>
      <c r="U140" s="23">
        <f t="shared" si="70"/>
        <v>3.5778797493760686E-2</v>
      </c>
      <c r="V140" s="23">
        <f t="shared" si="70"/>
        <v>2.9817350968950905E-2</v>
      </c>
      <c r="W140" s="23">
        <f t="shared" si="70"/>
        <v>2.5341042381697095E-2</v>
      </c>
      <c r="X140" s="23">
        <f t="shared" si="70"/>
        <v>2.1778441897755168E-2</v>
      </c>
      <c r="Y140" s="23">
        <f t="shared" si="70"/>
        <v>1.8427826217917435E-2</v>
      </c>
      <c r="Z140" s="23">
        <f t="shared" si="70"/>
        <v>1.5398249256076193E-2</v>
      </c>
      <c r="AA140" s="23">
        <f t="shared" si="70"/>
        <v>1.289859327529418E-2</v>
      </c>
      <c r="AB140" s="23">
        <f t="shared" si="70"/>
        <v>1.0753900742369208E-2</v>
      </c>
      <c r="AC140" s="23">
        <f t="shared" si="70"/>
        <v>8.9409809247910036E-3</v>
      </c>
      <c r="AD140" s="23">
        <f t="shared" si="70"/>
        <v>7.5189190049564708E-3</v>
      </c>
      <c r="AE140" s="23">
        <f t="shared" si="70"/>
        <v>6.6923000188187079E-3</v>
      </c>
      <c r="AF140" s="23">
        <f t="shared" si="70"/>
        <v>5.7300057900038972E-3</v>
      </c>
      <c r="AG140" s="23">
        <f t="shared" si="70"/>
        <v>4.5749879502216401E-3</v>
      </c>
      <c r="AH140" s="23">
        <f t="shared" si="70"/>
        <v>1.2893242204939691E-3</v>
      </c>
      <c r="AI140" s="23">
        <f t="shared" ref="AI140:BG140" si="71">+AH140/(1+AI131)^10</f>
        <v>2.8617318817901152E-4</v>
      </c>
      <c r="AJ140" s="23">
        <f t="shared" si="71"/>
        <v>1.6132807882042886E-4</v>
      </c>
      <c r="AK140" s="23">
        <f t="shared" si="71"/>
        <v>1.1255098837016198E-4</v>
      </c>
      <c r="AL140" s="23">
        <f t="shared" si="71"/>
        <v>8.5240940835949367E-5</v>
      </c>
      <c r="AM140" s="23">
        <f t="shared" si="71"/>
        <v>6.7011964833965014E-5</v>
      </c>
      <c r="AN140" s="23">
        <f t="shared" si="71"/>
        <v>5.3666101857615174E-5</v>
      </c>
      <c r="AO140" s="23">
        <f t="shared" si="71"/>
        <v>4.3396182031096938E-5</v>
      </c>
      <c r="AP140" s="23">
        <f t="shared" si="71"/>
        <v>3.5276383736297877E-5</v>
      </c>
      <c r="AQ140" s="23">
        <f t="shared" si="71"/>
        <v>2.8760741105828547E-5</v>
      </c>
      <c r="AR140" s="23">
        <f t="shared" si="71"/>
        <v>2.3489293176869773E-5</v>
      </c>
      <c r="AS140" s="23">
        <f t="shared" si="71"/>
        <v>1.9204684044160156E-5</v>
      </c>
      <c r="AT140" s="23">
        <f t="shared" si="71"/>
        <v>1.5712797466431328E-5</v>
      </c>
      <c r="AU140" s="23">
        <f t="shared" si="71"/>
        <v>1.2862317928976255E-5</v>
      </c>
      <c r="AV140" s="23">
        <f t="shared" si="71"/>
        <v>1.0532985966037691E-5</v>
      </c>
      <c r="AW140" s="23">
        <f t="shared" si="71"/>
        <v>8.6281481374047691E-6</v>
      </c>
      <c r="AX140" s="23">
        <f t="shared" si="71"/>
        <v>7.0696180609049623E-6</v>
      </c>
      <c r="AY140" s="23">
        <f t="shared" si="71"/>
        <v>5.7939051273570746E-6</v>
      </c>
      <c r="AZ140" s="23">
        <f t="shared" si="71"/>
        <v>4.7493307943390403E-6</v>
      </c>
      <c r="BA140" s="23">
        <f t="shared" si="71"/>
        <v>3.8937667677607297E-6</v>
      </c>
      <c r="BB140" s="23">
        <f t="shared" si="71"/>
        <v>3.19283382437808E-6</v>
      </c>
      <c r="BC140" s="23">
        <f t="shared" si="71"/>
        <v>2.61845452280602E-6</v>
      </c>
      <c r="BD140" s="23">
        <f t="shared" si="71"/>
        <v>2.1472718070642818E-6</v>
      </c>
      <c r="BE140" s="23">
        <f t="shared" si="71"/>
        <v>1.760867966245348E-6</v>
      </c>
      <c r="BF140" s="23">
        <f t="shared" si="71"/>
        <v>1.4443281366454862E-6</v>
      </c>
      <c r="BG140" s="23">
        <f t="shared" si="71"/>
        <v>1.1849115365469584E-6</v>
      </c>
      <c r="BH140" s="23">
        <f>+BG140</f>
        <v>1.1849115365469584E-6</v>
      </c>
      <c r="BI140" s="23">
        <f>+BH140</f>
        <v>1.1849115365469584E-6</v>
      </c>
    </row>
    <row r="141" spans="1:61" s="23" customFormat="1" ht="18" customHeight="1" x14ac:dyDescent="0.2">
      <c r="A141" s="23" t="s">
        <v>208</v>
      </c>
      <c r="B141" s="23">
        <f t="shared" ref="B141:K141" si="72">+B139-C131</f>
        <v>0.10228506883391063</v>
      </c>
      <c r="C141" s="23">
        <f t="shared" si="72"/>
        <v>5.1200172267683947E-2</v>
      </c>
      <c r="D141" s="23">
        <f t="shared" si="72"/>
        <v>2.7540732707350361E-2</v>
      </c>
      <c r="E141" s="23">
        <f t="shared" si="72"/>
        <v>1.8606628313985425E-2</v>
      </c>
      <c r="F141" s="23">
        <f t="shared" si="72"/>
        <v>1.9012120389913578E-2</v>
      </c>
      <c r="G141" s="23">
        <f t="shared" si="72"/>
        <v>1.9927936409592506E-2</v>
      </c>
      <c r="H141" s="23">
        <f t="shared" si="72"/>
        <v>1.9116907699314564E-2</v>
      </c>
      <c r="I141" s="23">
        <f t="shared" si="72"/>
        <v>2.0363984704387283E-2</v>
      </c>
      <c r="J141" s="23">
        <f t="shared" si="72"/>
        <v>1.9463225558977761E-2</v>
      </c>
      <c r="K141" s="23">
        <f t="shared" si="72"/>
        <v>1.9904788974348064E-2</v>
      </c>
    </row>
    <row r="142" spans="1:61" s="23" customFormat="1" ht="18" customHeight="1" x14ac:dyDescent="0.2">
      <c r="A142" s="23" t="s">
        <v>13</v>
      </c>
      <c r="C142" s="23">
        <f>+EXP(C128-0.1)</f>
        <v>1.0332695129034459</v>
      </c>
      <c r="D142" s="23">
        <f>+EXP(D128-0.1)</f>
        <v>1.0098911032721904</v>
      </c>
    </row>
    <row r="143" spans="1:61" s="23" customFormat="1" ht="18" customHeight="1" x14ac:dyDescent="0.2">
      <c r="A143" s="23" t="s">
        <v>149</v>
      </c>
    </row>
    <row r="144" spans="1:61" s="23" customFormat="1" ht="18" customHeight="1" x14ac:dyDescent="0.2">
      <c r="A144" s="23" t="s">
        <v>152</v>
      </c>
      <c r="B144" s="23">
        <f>+SUMPRODUCT(B140:U140*B84:U84)*10</f>
        <v>760.4820096570254</v>
      </c>
    </row>
    <row r="145" spans="1:66" s="23" customFormat="1" ht="18" customHeight="1" x14ac:dyDescent="0.2">
      <c r="A145" s="23" t="s">
        <v>150</v>
      </c>
      <c r="B145" s="23">
        <f>+SUMPRODUCT(B140:AE140*B84:AE84)*10</f>
        <v>787.70837466429407</v>
      </c>
    </row>
    <row r="146" spans="1:66" s="23" customFormat="1" ht="18" customHeight="1" x14ac:dyDescent="0.2">
      <c r="A146" s="23" t="s">
        <v>151</v>
      </c>
      <c r="B146" s="23">
        <f>+SUMPRODUCT(B140:BI140*B84:BI84)*10</f>
        <v>791.67000033065108</v>
      </c>
    </row>
    <row r="147" spans="1:66" s="23" customFormat="1" ht="18" customHeight="1" x14ac:dyDescent="0.2"/>
    <row r="148" spans="1:66" s="63" customFormat="1" ht="18" customHeight="1" x14ac:dyDescent="0.2">
      <c r="A148" s="23" t="s">
        <v>69</v>
      </c>
      <c r="B148" s="23">
        <v>1</v>
      </c>
      <c r="C148" s="23">
        <f t="shared" ref="C148:AH148" si="73">+B148/(1+B79)^10</f>
        <v>0.92765442522334962</v>
      </c>
      <c r="D148" s="23">
        <f t="shared" si="73"/>
        <v>0.80141843288173775</v>
      </c>
      <c r="E148" s="23">
        <f t="shared" si="73"/>
        <v>0.69575680625077041</v>
      </c>
      <c r="F148" s="23">
        <f t="shared" si="73"/>
        <v>0.57738021052583299</v>
      </c>
      <c r="G148" s="23">
        <f t="shared" si="73"/>
        <v>0.4658362838271255</v>
      </c>
      <c r="H148" s="23">
        <f t="shared" si="73"/>
        <v>0.375535547501335</v>
      </c>
      <c r="I148" s="23">
        <f t="shared" si="73"/>
        <v>0.29844570787813263</v>
      </c>
      <c r="J148" s="23">
        <f t="shared" si="73"/>
        <v>0.2382745582606825</v>
      </c>
      <c r="K148" s="23">
        <f t="shared" si="73"/>
        <v>0.19279795934681251</v>
      </c>
      <c r="L148" s="23">
        <f t="shared" si="73"/>
        <v>0.15580454430845314</v>
      </c>
      <c r="M148" s="23">
        <f t="shared" si="73"/>
        <v>0.13418270015591</v>
      </c>
      <c r="N148" s="23">
        <f t="shared" si="73"/>
        <v>0.11406646761134359</v>
      </c>
      <c r="O148" s="23">
        <f t="shared" si="73"/>
        <v>9.685863406429232E-2</v>
      </c>
      <c r="P148" s="23">
        <f t="shared" si="73"/>
        <v>8.0439745393036097E-2</v>
      </c>
      <c r="Q148" s="23">
        <f t="shared" si="73"/>
        <v>6.7345081457995212E-2</v>
      </c>
      <c r="R148" s="23">
        <f t="shared" si="73"/>
        <v>5.5455932330389049E-2</v>
      </c>
      <c r="S148" s="23">
        <f t="shared" si="73"/>
        <v>4.5905934849112082E-2</v>
      </c>
      <c r="T148" s="23">
        <f t="shared" si="73"/>
        <v>3.9472875630268668E-2</v>
      </c>
      <c r="U148" s="23">
        <f t="shared" si="73"/>
        <v>3.6511855432135081E-2</v>
      </c>
      <c r="V148" s="23">
        <f t="shared" si="73"/>
        <v>3.0509958411340476E-2</v>
      </c>
      <c r="W148" s="23">
        <f t="shared" si="73"/>
        <v>2.5626092446819404E-2</v>
      </c>
      <c r="X148" s="23">
        <f t="shared" si="73"/>
        <v>2.2305847213790704E-2</v>
      </c>
      <c r="Y148" s="23">
        <f t="shared" si="73"/>
        <v>1.9164910662459029E-2</v>
      </c>
      <c r="Z148" s="23">
        <f t="shared" si="73"/>
        <v>1.6162783765945987E-2</v>
      </c>
      <c r="AA148" s="23">
        <f t="shared" si="73"/>
        <v>1.3536722481958256E-2</v>
      </c>
      <c r="AB148" s="23">
        <f t="shared" si="73"/>
        <v>1.1473847419583792E-2</v>
      </c>
      <c r="AC148" s="23">
        <f t="shared" si="73"/>
        <v>9.5178228471810532E-3</v>
      </c>
      <c r="AD148" s="23">
        <f t="shared" si="73"/>
        <v>8.0219426246194107E-3</v>
      </c>
      <c r="AE148" s="23">
        <f t="shared" si="73"/>
        <v>6.8106577001111881E-3</v>
      </c>
      <c r="AF148" s="23">
        <f t="shared" si="73"/>
        <v>6.4207579370903056E-3</v>
      </c>
      <c r="AG148" s="23">
        <f t="shared" si="73"/>
        <v>5.0075735238471388E-3</v>
      </c>
      <c r="AH148" s="23">
        <f t="shared" si="73"/>
        <v>4.081371825313952E-3</v>
      </c>
      <c r="AI148" s="23">
        <f t="shared" ref="AI148:BI148" si="74">+AH148/(1+AH79)^10</f>
        <v>3.3716512922307571E-4</v>
      </c>
      <c r="AJ148" s="23">
        <f t="shared" si="74"/>
        <v>1.5877175789513783E-4</v>
      </c>
      <c r="AK148" s="23">
        <f t="shared" si="74"/>
        <v>1.0385530806424402E-4</v>
      </c>
      <c r="AL148" s="23">
        <f t="shared" si="74"/>
        <v>7.6440192449676143E-5</v>
      </c>
      <c r="AM148" s="23">
        <f t="shared" si="74"/>
        <v>5.9239061223187083E-5</v>
      </c>
      <c r="AN148" s="23">
        <f t="shared" si="74"/>
        <v>4.7072030935003249E-5</v>
      </c>
      <c r="AO148" s="23">
        <f t="shared" si="74"/>
        <v>3.7888988599012772E-5</v>
      </c>
      <c r="AP148" s="23">
        <f t="shared" si="74"/>
        <v>3.0708597347171447E-5</v>
      </c>
      <c r="AQ148" s="23">
        <f t="shared" si="74"/>
        <v>2.4984398701320741E-5</v>
      </c>
      <c r="AR148" s="23">
        <f t="shared" si="74"/>
        <v>2.037211740150759E-5</v>
      </c>
      <c r="AS148" s="23">
        <f t="shared" si="74"/>
        <v>1.6633505476799813E-5</v>
      </c>
      <c r="AT148" s="23">
        <f t="shared" si="74"/>
        <v>1.3592670974296192E-5</v>
      </c>
      <c r="AU148" s="23">
        <f t="shared" si="74"/>
        <v>1.1114328544904401E-5</v>
      </c>
      <c r="AV148" s="23">
        <f t="shared" si="74"/>
        <v>9.0918423224514278E-6</v>
      </c>
      <c r="AW148" s="23">
        <f t="shared" si="74"/>
        <v>7.4399518488108457E-6</v>
      </c>
      <c r="AX148" s="23">
        <f t="shared" si="74"/>
        <v>6.089923405510035E-6</v>
      </c>
      <c r="AY148" s="23">
        <f t="shared" si="74"/>
        <v>4.9860786361459942E-6</v>
      </c>
      <c r="AZ148" s="23">
        <f t="shared" si="74"/>
        <v>4.0831832621789888E-6</v>
      </c>
      <c r="BA148" s="23">
        <f t="shared" si="74"/>
        <v>3.3444201334754644E-6</v>
      </c>
      <c r="BB148" s="23">
        <f t="shared" si="74"/>
        <v>2.739785716024156E-6</v>
      </c>
      <c r="BC148" s="23">
        <f t="shared" si="74"/>
        <v>2.244807214635546E-6</v>
      </c>
      <c r="BD148" s="23">
        <f t="shared" si="74"/>
        <v>1.8395093195532107E-6</v>
      </c>
      <c r="BE148" s="23">
        <f t="shared" si="74"/>
        <v>1.5069883917439472E-6</v>
      </c>
      <c r="BF148" s="23">
        <f t="shared" si="74"/>
        <v>1.2348901593305157E-6</v>
      </c>
      <c r="BG148" s="23">
        <f t="shared" si="74"/>
        <v>1.0121359198350087E-6</v>
      </c>
      <c r="BH148" s="23">
        <f t="shared" si="74"/>
        <v>8.2970260762650083E-7</v>
      </c>
      <c r="BI148" s="23">
        <f t="shared" si="74"/>
        <v>7.1492754906620496E-7</v>
      </c>
      <c r="BJ148" s="23"/>
      <c r="BK148" s="23"/>
      <c r="BL148" s="23"/>
      <c r="BM148" s="23"/>
      <c r="BN148" s="23"/>
    </row>
    <row r="149" spans="1:66" s="23" customFormat="1" ht="18" customHeight="1" x14ac:dyDescent="0.2"/>
    <row r="150" spans="1:66" s="23" customFormat="1" ht="18" customHeight="1" x14ac:dyDescent="0.2">
      <c r="A150" s="23" t="s">
        <v>149</v>
      </c>
    </row>
    <row r="151" spans="1:66" s="23" customFormat="1" ht="18" customHeight="1" x14ac:dyDescent="0.2">
      <c r="A151" s="23" t="s">
        <v>152</v>
      </c>
      <c r="B151" s="23">
        <f>+SUMPRODUCT(B148:U148*B84:U84)*10</f>
        <v>801.86025275113604</v>
      </c>
    </row>
    <row r="152" spans="1:66" s="23" customFormat="1" ht="18" customHeight="1" x14ac:dyDescent="0.2">
      <c r="A152" s="23" t="s">
        <v>150</v>
      </c>
      <c r="B152" s="23">
        <f>+SUMPRODUCT(B148:AE148*B84:AE84)*10</f>
        <v>830.06335346697415</v>
      </c>
    </row>
    <row r="153" spans="1:66" s="23" customFormat="1" ht="18" customHeight="1" x14ac:dyDescent="0.2">
      <c r="A153" s="23" t="s">
        <v>151</v>
      </c>
      <c r="B153" s="23">
        <f>+SUMPRODUCT(B148:BI148*B84:BI84)*10</f>
        <v>834.69728268321876</v>
      </c>
    </row>
    <row r="155" spans="1:66" s="23" customFormat="1" ht="18" customHeight="1" x14ac:dyDescent="0.2">
      <c r="A155" s="21" t="s">
        <v>228</v>
      </c>
      <c r="B155" s="29">
        <f>+B63*B61</f>
        <v>1.1666573772329346E-2</v>
      </c>
      <c r="C155" s="29">
        <f t="shared" ref="C155:BI155" si="75">+C63*C61</f>
        <v>2.6150833133980558E-2</v>
      </c>
      <c r="D155" s="29">
        <f t="shared" si="75"/>
        <v>2.439621969625623E-2</v>
      </c>
      <c r="E155" s="29">
        <f t="shared" si="75"/>
        <v>2.7806493439856306E-2</v>
      </c>
      <c r="F155" s="29">
        <f t="shared" si="75"/>
        <v>3.3686055868676776E-2</v>
      </c>
      <c r="G155" s="29">
        <f t="shared" si="75"/>
        <v>4.2467713510461087E-2</v>
      </c>
      <c r="H155" s="29">
        <f t="shared" si="75"/>
        <v>4.3964223456735965E-2</v>
      </c>
      <c r="I155" s="29">
        <f t="shared" si="75"/>
        <v>5.387648632133657E-2</v>
      </c>
      <c r="J155" s="29">
        <f t="shared" si="75"/>
        <v>6.6194634427490948E-2</v>
      </c>
      <c r="K155" s="29">
        <f t="shared" si="75"/>
        <v>6.3884093557721996E-2</v>
      </c>
      <c r="L155" s="29">
        <f t="shared" si="75"/>
        <v>7.1472447376793605E-2</v>
      </c>
      <c r="M155" s="29">
        <f t="shared" si="75"/>
        <v>8.3705366320147273E-2</v>
      </c>
      <c r="N155" s="29">
        <f t="shared" si="75"/>
        <v>9.4153175925827726E-2</v>
      </c>
      <c r="O155" s="29">
        <f t="shared" si="75"/>
        <v>9.9539990742715329E-2</v>
      </c>
      <c r="P155" s="29">
        <f t="shared" si="75"/>
        <v>0.10235739883023263</v>
      </c>
      <c r="Q155" s="29">
        <f t="shared" si="75"/>
        <v>0.11731463560777915</v>
      </c>
      <c r="R155" s="29">
        <f t="shared" si="75"/>
        <v>0.12495639333709595</v>
      </c>
      <c r="S155" s="29">
        <f t="shared" si="75"/>
        <v>0.13583446570782676</v>
      </c>
      <c r="T155" s="29">
        <f t="shared" si="75"/>
        <v>0.13512309307485199</v>
      </c>
      <c r="U155" s="29">
        <f t="shared" si="75"/>
        <v>0.13999661913310985</v>
      </c>
      <c r="V155" s="29">
        <f t="shared" si="75"/>
        <v>0.15154931332364324</v>
      </c>
      <c r="W155" s="29">
        <f t="shared" si="75"/>
        <v>0.15370944325301134</v>
      </c>
      <c r="X155" s="29">
        <f t="shared" si="75"/>
        <v>0.16130602912418207</v>
      </c>
      <c r="Y155" s="29">
        <f t="shared" si="75"/>
        <v>0.16916888390308552</v>
      </c>
      <c r="Z155" s="29">
        <f t="shared" si="75"/>
        <v>0.18195213466233046</v>
      </c>
      <c r="AA155" s="29">
        <f t="shared" si="75"/>
        <v>0.20533473395201071</v>
      </c>
      <c r="AB155" s="29">
        <f t="shared" si="75"/>
        <v>0.22652200336969619</v>
      </c>
      <c r="AC155" s="29">
        <f t="shared" si="75"/>
        <v>0.23254040243936397</v>
      </c>
      <c r="AD155" s="29">
        <f t="shared" si="75"/>
        <v>0.238634397247699</v>
      </c>
      <c r="AE155" s="29">
        <f t="shared" si="75"/>
        <v>0.26178294048596235</v>
      </c>
      <c r="AF155" s="29">
        <f t="shared" si="75"/>
        <v>0.25704927422528617</v>
      </c>
      <c r="AG155" s="29">
        <f t="shared" si="75"/>
        <v>0.26248262137141143</v>
      </c>
      <c r="AH155" s="29">
        <f t="shared" si="75"/>
        <v>0.28576371772625242</v>
      </c>
      <c r="AI155" s="29">
        <f t="shared" si="75"/>
        <v>1.550549399807631</v>
      </c>
      <c r="AJ155" s="29">
        <f t="shared" si="75"/>
        <v>2.5917766478629503</v>
      </c>
      <c r="AK155" s="29">
        <f t="shared" si="75"/>
        <v>3.4512760168080163</v>
      </c>
      <c r="AL155" s="29">
        <f t="shared" si="75"/>
        <v>4.0196182327172432</v>
      </c>
      <c r="AM155" s="29">
        <f t="shared" si="75"/>
        <v>4.4340354072527468</v>
      </c>
      <c r="AN155" s="29">
        <f t="shared" si="75"/>
        <v>4.7690398532061407</v>
      </c>
      <c r="AO155" s="29">
        <f t="shared" si="75"/>
        <v>5.0647905376010254</v>
      </c>
      <c r="AP155" s="29">
        <f t="shared" si="75"/>
        <v>5.3434414771064516</v>
      </c>
      <c r="AQ155" s="29">
        <f t="shared" si="75"/>
        <v>5.6174722514738145</v>
      </c>
      <c r="AR155" s="29">
        <f t="shared" si="75"/>
        <v>5.8940772024393215</v>
      </c>
      <c r="AS155" s="29">
        <f t="shared" si="75"/>
        <v>6.1775400018336466</v>
      </c>
      <c r="AT155" s="29">
        <f t="shared" si="75"/>
        <v>6.4705384593761206</v>
      </c>
      <c r="AU155" s="29">
        <f t="shared" si="75"/>
        <v>6.7748678320642997</v>
      </c>
      <c r="AV155" s="29">
        <f t="shared" si="75"/>
        <v>7.0918438719612498</v>
      </c>
      <c r="AW155" s="29">
        <f t="shared" si="75"/>
        <v>7.422528244622371</v>
      </c>
      <c r="AX155" s="29">
        <f t="shared" si="75"/>
        <v>7.7678550714219554</v>
      </c>
      <c r="AY155" s="29">
        <f t="shared" si="75"/>
        <v>8.1287023414896016</v>
      </c>
      <c r="AZ155" s="29">
        <f t="shared" si="75"/>
        <v>8.5059325703403079</v>
      </c>
      <c r="BA155" s="29">
        <f t="shared" si="75"/>
        <v>8.9004163117055253</v>
      </c>
      <c r="BB155" s="29">
        <f t="shared" si="75"/>
        <v>9.3130461239188591</v>
      </c>
      <c r="BC155" s="29">
        <f t="shared" si="75"/>
        <v>9.7447452395921523</v>
      </c>
      <c r="BD155" s="29">
        <f t="shared" si="75"/>
        <v>10.196473314424244</v>
      </c>
      <c r="BE155" s="29">
        <f t="shared" si="75"/>
        <v>10.669230584471796</v>
      </c>
      <c r="BF155" s="29">
        <f t="shared" si="75"/>
        <v>11.164640687316584</v>
      </c>
      <c r="BG155" s="29">
        <f t="shared" si="75"/>
        <v>11.683409661543216</v>
      </c>
      <c r="BH155" s="29">
        <f t="shared" si="75"/>
        <v>12.226374545166241</v>
      </c>
      <c r="BI155" s="29">
        <f t="shared" si="75"/>
        <v>12.794664977368399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60" activePane="bottomRight" state="frozen"/>
      <selection pane="topRight" activeCell="B1" sqref="B1"/>
      <selection pane="bottomLeft" activeCell="A5" sqref="A5"/>
      <selection pane="bottomRight" activeCell="F64" sqref="F64"/>
    </sheetView>
  </sheetViews>
  <sheetFormatPr baseColWidth="10" defaultColWidth="11.6640625" defaultRowHeight="18" customHeight="1" x14ac:dyDescent="0.2"/>
  <cols>
    <col min="1" max="1" width="61.6640625" style="21" customWidth="1"/>
    <col min="2" max="2" width="17" style="29" customWidth="1"/>
    <col min="3" max="3" width="17" style="23" customWidth="1"/>
    <col min="4" max="16384" width="11.6640625" style="23"/>
  </cols>
  <sheetData>
    <row r="1" spans="1:61" ht="18" customHeight="1" x14ac:dyDescent="0.2">
      <c r="A1" s="21" t="s">
        <v>51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+Parameters!H35</f>
        <v>0.3</v>
      </c>
    </row>
    <row r="8" spans="1:61" ht="18" customHeight="1" x14ac:dyDescent="0.2">
      <c r="A8" s="21" t="s">
        <v>108</v>
      </c>
      <c r="B8" s="31">
        <f>+Parameters!H36</f>
        <v>0.1</v>
      </c>
    </row>
    <row r="9" spans="1:61" ht="18" customHeight="1" x14ac:dyDescent="0.2">
      <c r="A9" s="23" t="s">
        <v>49</v>
      </c>
      <c r="B9" s="29">
        <f>Parameters!H37</f>
        <v>3.8702837853585201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 x14ac:dyDescent="0.2">
      <c r="A11" s="23" t="s">
        <v>38</v>
      </c>
      <c r="B11" s="29">
        <f>+Parameters!H39</f>
        <v>7.1334854586257519</v>
      </c>
    </row>
    <row r="12" spans="1:61" ht="18" customHeight="1" x14ac:dyDescent="0.2">
      <c r="A12" s="23" t="s">
        <v>162</v>
      </c>
      <c r="B12" s="29">
        <f>+Parameters!H40</f>
        <v>9.062435156822831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+Parameters!H43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+Parameters!H45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2.527175064401485E-3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 x14ac:dyDescent="0.2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59.71671809568987</v>
      </c>
      <c r="AP20" s="37">
        <f t="shared" si="6"/>
        <v>61.232342700416595</v>
      </c>
      <c r="AQ20" s="37">
        <f t="shared" si="6"/>
        <v>62.774614687609159</v>
      </c>
      <c r="AR20" s="37">
        <f t="shared" si="6"/>
        <v>64.344779149344561</v>
      </c>
      <c r="AS20" s="37">
        <f t="shared" si="6"/>
        <v>65.944069124198492</v>
      </c>
      <c r="AT20" s="37">
        <f t="shared" si="6"/>
        <v>67.57370752783649</v>
      </c>
      <c r="AU20" s="37">
        <f t="shared" si="6"/>
        <v>69.234909100689848</v>
      </c>
      <c r="AV20" s="37">
        <f t="shared" si="6"/>
        <v>70.928882353748804</v>
      </c>
      <c r="AW20" s="37">
        <f t="shared" si="6"/>
        <v>72.656831497773098</v>
      </c>
      <c r="AX20" s="37">
        <f t="shared" si="6"/>
        <v>74.419958344762023</v>
      </c>
      <c r="AY20" s="37">
        <f t="shared" si="6"/>
        <v>76.219464173448543</v>
      </c>
      <c r="AZ20" s="37">
        <f t="shared" si="6"/>
        <v>78.056551552980949</v>
      </c>
      <c r="BA20" s="37">
        <f t="shared" si="6"/>
        <v>79.932426120912197</v>
      </c>
      <c r="BB20" s="37">
        <f t="shared" si="6"/>
        <v>81.848298313201141</v>
      </c>
      <c r="BC20" s="37">
        <f t="shared" si="6"/>
        <v>83.805385045202911</v>
      </c>
      <c r="BD20" s="37">
        <f t="shared" si="6"/>
        <v>85.804911343638594</v>
      </c>
      <c r="BE20" s="37">
        <f t="shared" si="6"/>
        <v>87.848111930331129</v>
      </c>
      <c r="BF20" s="37">
        <f t="shared" si="6"/>
        <v>89.936232759112443</v>
      </c>
      <c r="BG20" s="37">
        <f t="shared" si="6"/>
        <v>92.070532507778509</v>
      </c>
      <c r="BH20" s="37">
        <f t="shared" si="6"/>
        <v>94.252284027318325</v>
      </c>
      <c r="BI20" s="37">
        <f t="shared" si="6"/>
        <v>96.48277575089574</v>
      </c>
    </row>
    <row r="21" spans="1:103" ht="18" customHeight="1" x14ac:dyDescent="0.2">
      <c r="A21" s="21" t="s">
        <v>190</v>
      </c>
      <c r="B21" s="29">
        <f>+Parameters!H40</f>
        <v>9.062435156822831</v>
      </c>
    </row>
    <row r="22" spans="1:103" ht="18" customHeight="1" x14ac:dyDescent="0.2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+Parameters!H51</f>
        <v>0</v>
      </c>
    </row>
    <row r="25" spans="1:103" ht="18" customHeight="1" x14ac:dyDescent="0.2">
      <c r="A25" s="21" t="s">
        <v>182</v>
      </c>
      <c r="B25" s="29">
        <f>+Parameters!H52</f>
        <v>0.16172343907608619</v>
      </c>
    </row>
    <row r="26" spans="1:103" ht="18" customHeight="1" x14ac:dyDescent="0.2">
      <c r="A26" s="21" t="s">
        <v>47</v>
      </c>
      <c r="B26" s="29">
        <f>+Parameters!H53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+Parameters!H54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+Parameters!H55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3.0162289140860405E-3</v>
      </c>
      <c r="AB31" s="23">
        <f t="shared" si="7"/>
        <v>2.8063753925261655E-3</v>
      </c>
      <c r="AC31" s="23">
        <f t="shared" si="7"/>
        <v>2.6153687378578034E-3</v>
      </c>
      <c r="AD31" s="23">
        <f t="shared" si="7"/>
        <v>2.4410908886455334E-3</v>
      </c>
      <c r="AE31" s="23">
        <f t="shared" si="7"/>
        <v>2.2817154393092102E-3</v>
      </c>
      <c r="AF31" s="23">
        <f t="shared" si="7"/>
        <v>2.1356603466994866E-3</v>
      </c>
      <c r="AG31" s="23">
        <f t="shared" si="7"/>
        <v>2.0015492900364701E-3</v>
      </c>
      <c r="AH31" s="23">
        <f t="shared" si="7"/>
        <v>1.8781799477383667E-3</v>
      </c>
      <c r="AI31" s="23">
        <f t="shared" si="7"/>
        <v>1.7644978312274353E-3</v>
      </c>
      <c r="AJ31" s="23">
        <f t="shared" si="7"/>
        <v>1.6595746048330812E-3</v>
      </c>
      <c r="AK31" s="23">
        <f t="shared" si="7"/>
        <v>1.5625900440851507E-3</v>
      </c>
      <c r="AL31" s="23">
        <f t="shared" si="7"/>
        <v>1.472816957995123E-3</v>
      </c>
      <c r="AM31" s="23">
        <f t="shared" si="7"/>
        <v>1.3896085362371318E-3</v>
      </c>
      <c r="AN31" s="23">
        <f t="shared" si="7"/>
        <v>1.312387688344118E-3</v>
      </c>
      <c r="AO31" s="23">
        <f t="shared" si="7"/>
        <v>1.2406380258054581E-3</v>
      </c>
      <c r="AP31" s="23">
        <f t="shared" si="7"/>
        <v>1.1738962043440239E-3</v>
      </c>
      <c r="AQ31" s="23">
        <f t="shared" si="7"/>
        <v>1.1117453965075626E-3</v>
      </c>
      <c r="AR31" s="23">
        <f t="shared" si="7"/>
        <v>1.0538097069732607E-3</v>
      </c>
      <c r="AS31" s="23">
        <f t="shared" si="7"/>
        <v>9.9974937689809051E-4</v>
      </c>
      <c r="AT31" s="23">
        <f t="shared" si="7"/>
        <v>9.4925665100041633E-4</v>
      </c>
      <c r="AU31" s="23">
        <f t="shared" si="7"/>
        <v>9.0205220318968153E-4</v>
      </c>
      <c r="AV31" s="23">
        <f t="shared" si="7"/>
        <v>8.578820345319407E-4</v>
      </c>
      <c r="AW31" s="23">
        <f t="shared" si="7"/>
        <v>8.1651477198184743E-4</v>
      </c>
      <c r="AX31" s="23">
        <f t="shared" si="7"/>
        <v>7.7773930828206183E-4</v>
      </c>
      <c r="AY31" s="23">
        <f t="shared" si="7"/>
        <v>7.4136273324759705E-4</v>
      </c>
      <c r="AZ31" s="23">
        <f t="shared" si="7"/>
        <v>7.0720851472734676E-4</v>
      </c>
      <c r="BA31" s="23">
        <f t="shared" si="7"/>
        <v>6.7511489419647011E-4</v>
      </c>
      <c r="BB31" s="23">
        <f t="shared" si="7"/>
        <v>6.4493346744439318E-4</v>
      </c>
      <c r="BC31" s="23">
        <f t="shared" si="7"/>
        <v>6.1652792539513017E-4</v>
      </c>
      <c r="BD31" s="23">
        <f t="shared" si="7"/>
        <v>5.8977293389965262E-4</v>
      </c>
      <c r="BE31" s="23">
        <f t="shared" si="7"/>
        <v>2.874599594951687E-4</v>
      </c>
      <c r="BF31" s="23">
        <f t="shared" si="7"/>
        <v>1.4011734329449796E-4</v>
      </c>
      <c r="BG31" s="23">
        <f t="shared" si="7"/>
        <v>6.8300870567258737E-5</v>
      </c>
      <c r="BH31" s="23">
        <f t="shared" si="7"/>
        <v>3.3294953600552428E-5</v>
      </c>
      <c r="BI31" s="23">
        <f t="shared" si="7"/>
        <v>1.6231050743460063E-5</v>
      </c>
    </row>
    <row r="32" spans="1:103" s="33" customFormat="1" ht="18" customHeight="1" x14ac:dyDescent="0.2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0.61678368628822255</v>
      </c>
      <c r="AB36" s="23">
        <f>+IF(AB4&gt;$B$37,AA36*Parameters!$B$105,$B$33*$B$32+(AA36-$B$33*$B$32)*(1-$B$34))</f>
        <v>0.59476450197381148</v>
      </c>
      <c r="AC36" s="23">
        <f>+IF(AC4&gt;$B$37,AB36*Parameters!$B$105,$B$33*$B$32+(AB36-$B$33*$B$32)*(1-$B$34))</f>
        <v>0.57384627687512091</v>
      </c>
      <c r="AD36" s="23">
        <f>+IF(AD4&gt;$B$37,AC36*Parameters!$B$105,$B$33*$B$32+(AC36-$B$33*$B$32)*(1-$B$34))</f>
        <v>0.55397396303136492</v>
      </c>
      <c r="AE36" s="23">
        <f>+IF(AE4&gt;$B$37,AD36*Parameters!$B$105,$B$33*$B$32+(AD36-$B$33*$B$32)*(1-$B$34))</f>
        <v>0.53509526487979664</v>
      </c>
      <c r="AF36" s="23">
        <f>+IF(AF4&gt;$B$37,AE36*Parameters!$B$105,$B$33*$B$32+(AE36-$B$33*$B$32)*(1-$B$34))</f>
        <v>0.51716050163580674</v>
      </c>
      <c r="AG36" s="23">
        <f>+IF(AG4&gt;$B$37,AF36*Parameters!$B$105,$B$33*$B$32+(AF36-$B$33*$B$32)*(1-$B$34))</f>
        <v>0.50012247655401643</v>
      </c>
      <c r="AH36" s="23">
        <f>+IF(AH4&gt;$B$37,AG36*Parameters!$B$105,$B$33*$B$32+(AG36-$B$33*$B$32)*(1-$B$34))</f>
        <v>0.48393635272631558</v>
      </c>
      <c r="AI36" s="23">
        <f>+IF(AI4&gt;$B$37,AH36*Parameters!$B$105,$B$33*$B$32+(AH36-$B$33*$B$32)*(1-$B$34))</f>
        <v>0.46855953508999981</v>
      </c>
      <c r="AJ36" s="23">
        <f>+IF(AJ4&gt;$B$37,AI36*Parameters!$B$105,$B$33*$B$32+(AI36-$B$33*$B$32)*(1-$B$34))</f>
        <v>0.45395155833549983</v>
      </c>
      <c r="AK36" s="23">
        <f>+IF(AK4&gt;$B$37,AJ36*Parameters!$B$105,$B$33*$B$32+(AJ36-$B$33*$B$32)*(1-$B$34))</f>
        <v>0.44007398041872481</v>
      </c>
      <c r="AL36" s="23">
        <f>+IF(AL4&gt;$B$37,AK36*Parameters!$B$105,$B$33*$B$32+(AK36-$B$33*$B$32)*(1-$B$34))</f>
        <v>0.42689028139778856</v>
      </c>
      <c r="AM36" s="23">
        <f>+IF(AM4&gt;$B$37,AL36*Parameters!$B$105,$B$33*$B$32+(AL36-$B$33*$B$32)*(1-$B$34))</f>
        <v>0.41436576732789909</v>
      </c>
      <c r="AN36" s="23">
        <f>+IF(AN4&gt;$B$37,AM36*Parameters!$B$105,$B$33*$B$32+(AM36-$B$33*$B$32)*(1-$B$34))</f>
        <v>0.40246747896150414</v>
      </c>
      <c r="AO36" s="23">
        <f>+IF(AO4&gt;$B$37,AN36*Parameters!$B$105,$B$33*$B$32+(AN36-$B$33*$B$32)*(1-$B$34))</f>
        <v>0.39116410501342891</v>
      </c>
      <c r="AP36" s="23">
        <f>+IF(AP4&gt;$B$37,AO36*Parameters!$B$105,$B$33*$B$32+(AO36-$B$33*$B$32)*(1-$B$34))</f>
        <v>0.38042589976275742</v>
      </c>
      <c r="AQ36" s="23">
        <f>+IF(AQ4&gt;$B$37,AP36*Parameters!$B$105,$B$33*$B$32+(AP36-$B$33*$B$32)*(1-$B$34))</f>
        <v>0.37022460477461955</v>
      </c>
      <c r="AR36" s="23">
        <f>+IF(AR4&gt;$B$37,AQ36*Parameters!$B$105,$B$33*$B$32+(AQ36-$B$33*$B$32)*(1-$B$34))</f>
        <v>0.36053337453588857</v>
      </c>
      <c r="AS36" s="23">
        <f>+IF(AS4&gt;$B$37,AR36*Parameters!$B$105,$B$33*$B$32+(AR36-$B$33*$B$32)*(1-$B$34))</f>
        <v>0.35132670580909414</v>
      </c>
      <c r="AT36" s="23">
        <f>+IF(AT4&gt;$B$37,AS36*Parameters!$B$105,$B$33*$B$32+(AS36-$B$33*$B$32)*(1-$B$34))</f>
        <v>0.34258037051863943</v>
      </c>
      <c r="AU36" s="23">
        <f>+IF(AU4&gt;$B$37,AT36*Parameters!$B$105,$B$33*$B$32+(AT36-$B$33*$B$32)*(1-$B$34))</f>
        <v>0.33427135199270747</v>
      </c>
      <c r="AV36" s="23">
        <f>+IF(AV4&gt;$B$37,AU36*Parameters!$B$105,$B$33*$B$32+(AU36-$B$33*$B$32)*(1-$B$34))</f>
        <v>0.32637778439307208</v>
      </c>
      <c r="AW36" s="23">
        <f>+IF(AW4&gt;$B$37,AV36*Parameters!$B$105,$B$33*$B$32+(AV36-$B$33*$B$32)*(1-$B$34))</f>
        <v>0.3188788951734185</v>
      </c>
      <c r="AX36" s="23">
        <f>+IF(AX4&gt;$B$37,AW36*Parameters!$B$105,$B$33*$B$32+(AW36-$B$33*$B$32)*(1-$B$34))</f>
        <v>0.31175495041474754</v>
      </c>
      <c r="AY36" s="23">
        <f>+IF(AY4&gt;$B$37,AX36*Parameters!$B$105,$B$33*$B$32+(AX36-$B$33*$B$32)*(1-$B$34))</f>
        <v>0.30498720289401016</v>
      </c>
      <c r="AZ36" s="23">
        <f>+IF(AZ4&gt;$B$37,AY36*Parameters!$B$105,$B$33*$B$32+(AY36-$B$33*$B$32)*(1-$B$34))</f>
        <v>0.29855784274930963</v>
      </c>
      <c r="BA36" s="23">
        <f>+IF(BA4&gt;$B$37,AZ36*Parameters!$B$105,$B$33*$B$32+(AZ36-$B$33*$B$32)*(1-$B$34))</f>
        <v>0.29244995061184414</v>
      </c>
      <c r="BB36" s="23">
        <f>+IF(BB4&gt;$B$37,BA36*Parameters!$B$105,$B$33*$B$32+(BA36-$B$33*$B$32)*(1-$B$34))</f>
        <v>0.28664745308125195</v>
      </c>
      <c r="BC36" s="23">
        <f>+IF(BC4&gt;$B$37,BB36*Parameters!$B$105,$B$33*$B$32+(BB36-$B$33*$B$32)*(1-$B$34))</f>
        <v>0.28113508042718938</v>
      </c>
      <c r="BD36" s="23">
        <f>+IF(BD4&gt;$B$37,BC36*Parameters!$B$105,$B$33*$B$32+(BC36-$B$33*$B$32)*(1-$B$34))</f>
        <v>0.2758983264058299</v>
      </c>
      <c r="BE36" s="23">
        <f>+IF(BE4&gt;$B$37,BD36*Parameters!$B$105,$B$33*$B$32+(BD36-$B$33*$B$32)*(1-$B$34))</f>
        <v>0.13794916320291495</v>
      </c>
      <c r="BF36" s="23">
        <f>+IF(BF4&gt;$B$37,BE36*Parameters!$B$105,$B$33*$B$32+(BE36-$B$33*$B$32)*(1-$B$34))</f>
        <v>6.8974581601457474E-2</v>
      </c>
      <c r="BG36" s="23">
        <f>+IF(BG4&gt;$B$37,BF36*Parameters!$B$105,$B$33*$B$32+(BF36-$B$33*$B$32)*(1-$B$34))</f>
        <v>3.4487290800728737E-2</v>
      </c>
      <c r="BH36" s="23">
        <f>+IF(BH4&gt;$B$37,BG36*Parameters!$B$105,$B$33*$B$32+(BG36-$B$33*$B$32)*(1-$B$34))</f>
        <v>1.7243645400364369E-2</v>
      </c>
      <c r="BI36" s="23">
        <f>+IF(BI4&gt;$B$37,BH36*Parameters!$B$105,$B$33*$B$32+(BH36-$B$33*$B$32)*(1-$B$34))</f>
        <v>8.6218227001821843E-3</v>
      </c>
    </row>
    <row r="37" spans="1:61 16384:16384" s="33" customFormat="1" ht="18" customHeight="1" x14ac:dyDescent="0.2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 x14ac:dyDescent="0.2">
      <c r="A41" s="21" t="s">
        <v>92</v>
      </c>
      <c r="B41" s="29">
        <f>+Parameters!H69</f>
        <v>9.559142074854636E-2</v>
      </c>
    </row>
    <row r="42" spans="1:61 16384:16384" s="45" customFormat="1" ht="18" customHeight="1" x14ac:dyDescent="0.2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 x14ac:dyDescent="0.2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 x14ac:dyDescent="0.2">
      <c r="A44" s="21" t="s">
        <v>23</v>
      </c>
      <c r="B44" s="29">
        <f>+Parameters!H70</f>
        <v>0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+Parameters!D133</f>
        <v>5.3038910337227215E-4</v>
      </c>
      <c r="C48" s="219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1.292090798941902E-2</v>
      </c>
      <c r="D50" s="44">
        <f>100*$B$49*(Global!C135*$B$48+Global!C135^2*$C$48)*(C61/$B61)^(1/$C$49)</f>
        <v>1.5145714865374776E-2</v>
      </c>
      <c r="E50" s="44">
        <f>100*$B$49*(Global!D135*$B$48+Global!D135^2*$C$48)*(D61/$B61)^(1/$C$49)</f>
        <v>1.7652543997530756E-2</v>
      </c>
      <c r="F50" s="44">
        <f>100*$B$49*(Global!E135*$B$48+Global!E135^2*$C$48)*(E61/$B61)^(1/$C$49)</f>
        <v>2.0118898029568871E-2</v>
      </c>
      <c r="G50" s="44">
        <f>100*$B$49*(Global!F135*$B$48+Global!F135^2*$C$48)*(F61/$B61)^(1/$C$49)</f>
        <v>2.286163390911862E-2</v>
      </c>
      <c r="H50" s="44">
        <f>100*$B$49*(Global!G135*$B$48+Global!G135^2*$C$48)*(G61/$B61)^(1/$C$49)</f>
        <v>2.603615773613694E-2</v>
      </c>
      <c r="I50" s="44">
        <f>100*$B$49*(Global!H135*$B$48+Global!H135^2*$C$48)*(H61/$B61)^(1/$C$49)</f>
        <v>2.8990567838672442E-2</v>
      </c>
      <c r="J50" s="44">
        <f>100*$B$49*(Global!I135*$B$48+Global!I135^2*$C$48)*(I61/$B61)^(1/$C$49)</f>
        <v>3.2141674478933041E-2</v>
      </c>
      <c r="K50" s="44">
        <f>100*$B$49*(Global!J135*$B$48+Global!J135^2*$C$48)*(J61/$B61)^(1/$C$49)</f>
        <v>3.5447953759098552E-2</v>
      </c>
      <c r="L50" s="44">
        <f>100*$B$49*(Global!K135*$B$48+Global!K135^2*$C$48)*(K61/$B61)^(1/$C$49)</f>
        <v>3.8245781028870877E-2</v>
      </c>
      <c r="M50" s="44">
        <f>100*$B$49*(Global!L135*$B$48+Global!L135^2*$C$48)*(L61/$B61)^(1/$C$49)</f>
        <v>4.1367212143770739E-2</v>
      </c>
      <c r="N50" s="44">
        <f>100*$B$49*(Global!M135*$B$48+Global!M135^2*$C$48)*(M61/$B61)^(1/$C$49)</f>
        <v>4.3949374604310268E-2</v>
      </c>
      <c r="O50" s="44">
        <f>100*$B$49*(Global!N135*$B$48+Global!N135^2*$C$48)*(N61/$B61)^(1/$C$49)</f>
        <v>4.6723200027725821E-2</v>
      </c>
      <c r="P50" s="44">
        <f>100*$B$49*(Global!O135*$B$48+Global!O135^2*$C$48)*(O61/$B61)^(1/$C$49)</f>
        <v>4.9625434110328569E-2</v>
      </c>
      <c r="Q50" s="44">
        <f>100*$B$49*(Global!P135*$B$48+Global!P135^2*$C$48)*(P61/$B61)^(1/$C$49)</f>
        <v>5.2376775232433892E-2</v>
      </c>
      <c r="R50" s="44">
        <f>100*$B$49*(Global!Q135*$B$48+Global!Q135^2*$C$48)*(Q61/$B61)^(1/$C$49)</f>
        <v>5.5433189529692235E-2</v>
      </c>
      <c r="S50" s="44">
        <f>100*$B$49*(Global!R135*$B$48+Global!R135^2*$C$48)*(R61/$B61)^(1/$C$49)</f>
        <v>5.8346208279287118E-2</v>
      </c>
      <c r="T50" s="44">
        <f>100*$B$49*(Global!S135*$B$48+Global!S135^2*$C$48)*(S61/$B61)^(1/$C$49)</f>
        <v>6.1315632736639952E-2</v>
      </c>
      <c r="U50" s="44">
        <f>100*$B$49*(Global!T135*$B$48+Global!T135^2*$C$48)*(T61/$B61)^(1/$C$49)</f>
        <v>6.3542994046415613E-2</v>
      </c>
      <c r="V50" s="44">
        <f>100*$B$49*(Global!U135*$B$48+Global!U135^2*$C$48)*(U61/$B61)^(1/$C$49)</f>
        <v>6.524570793235733E-2</v>
      </c>
      <c r="W50" s="44">
        <f>100*$B$49*(Global!V135*$B$48+Global!V135^2*$C$48)*(V61/$B61)^(1/$C$49)</f>
        <v>6.870107578248856E-2</v>
      </c>
      <c r="X50" s="44">
        <f>100*$B$49*(Global!W135*$B$48+Global!W135^2*$C$48)*(W61/$B61)^(1/$C$49)</f>
        <v>7.1200196045364275E-2</v>
      </c>
      <c r="Y50" s="44">
        <f>100*$B$49*(Global!X135*$B$48+Global!X135^2*$C$48)*(X61/$B61)^(1/$C$49)</f>
        <v>7.4019357523492091E-2</v>
      </c>
      <c r="Z50" s="44">
        <f>100*$B$49*(Global!Y135*$B$48+Global!Y135^2*$C$48)*(Y61/$B61)^(1/$C$49)</f>
        <v>7.7021894875135402E-2</v>
      </c>
      <c r="AA50" s="44">
        <f>100*$B$49*(Global!Z135*$B$48+Global!Z135^2*$C$48)*(Z61/$B61)^(1/$C$49)</f>
        <v>7.983250209777476E-2</v>
      </c>
      <c r="AB50" s="44">
        <f>100*$B$49*(Global!AA135*$B$48+Global!AA135^2*$C$48)*(AA61/$B61)^(1/$C$49)</f>
        <v>8.3264789237534012E-2</v>
      </c>
      <c r="AC50" s="44">
        <f>100*$B$49*(Global!AB135*$B$48+Global!AB135^2*$C$48)*(AB61/$B61)^(1/$C$49)</f>
        <v>8.6776021029660727E-2</v>
      </c>
      <c r="AD50" s="44">
        <f>100*$B$49*(Global!AC135*$B$48+Global!AC135^2*$C$48)*(AC61/$B61)^(1/$C$49)</f>
        <v>9.0239379073502379E-2</v>
      </c>
      <c r="AE50" s="44">
        <f>100*$B$49*(Global!AD135*$B$48+Global!AD135^2*$C$48)*(AD61/$B61)^(1/$C$49)</f>
        <v>9.3280577522210362E-2</v>
      </c>
      <c r="AF50" s="44">
        <f>100*$B$49*(Global!AE135*$B$48+Global!AE135^2*$C$48)*(AE61/$B61)^(1/$C$49)</f>
        <v>9.6357008040811945E-2</v>
      </c>
      <c r="AG50" s="44">
        <f>100*$B$49*(Global!AF135*$B$48+Global!AF135^2*$C$48)*(AF61/$B61)^(1/$C$49)</f>
        <v>9.8507205717398558E-2</v>
      </c>
      <c r="AH50" s="44">
        <f>100*$B$49*(Global!AG135*$B$48+Global!AG135^2*$C$48)*(AG61/$B61)^(1/$C$49)</f>
        <v>0.101892678984629</v>
      </c>
      <c r="AI50" s="44">
        <f>100*$B$49*(Global!AH135*$B$48+Global!AH135^2*$C$48)*(AH61/$B61)^(1/$C$49)</f>
        <v>0.10496367196804418</v>
      </c>
      <c r="AJ50" s="44">
        <f>100*$B$49*(Global!AI135*$B$48+Global!AI135^2*$C$48)*(AI61/$B61)^(1/$C$49)</f>
        <v>0.1570003944567383</v>
      </c>
      <c r="AK50" s="44">
        <f>100*$B$49*(Global!AJ135*$B$48+Global!AJ135^2*$C$48)*(AJ61/$B61)^(1/$C$49)</f>
        <v>0.17259542998354432</v>
      </c>
      <c r="AL50" s="44">
        <f>100*$B$49*(Global!AK135*$B$48+Global!AK135^2*$C$48)*(AK61/$B61)^(1/$C$49)</f>
        <v>0.18050088708436568</v>
      </c>
      <c r="AM50" s="44">
        <f>100*$B$49*(Global!AL135*$B$48+Global!AL135^2*$C$48)*(AL61/$B61)^(1/$C$49)</f>
        <v>0.18531763458439629</v>
      </c>
      <c r="AN50" s="44">
        <f>100*$B$49*(Global!AM135*$B$48+Global!AM135^2*$C$48)*(AM61/$B61)^(1/$C$49)</f>
        <v>0.18873805694087065</v>
      </c>
      <c r="AO50" s="44">
        <f>100*$B$49*(Global!AN135*$B$48+Global!AN135^2*$C$48)*(AN61/$B61)^(1/$C$49)</f>
        <v>0.19148659222755521</v>
      </c>
      <c r="AP50" s="44">
        <f>100*$B$49*(Global!AO135*$B$48+Global!AO135^2*$C$48)*(AO61/$B61)^(1/$C$49)</f>
        <v>0.19390856286532573</v>
      </c>
      <c r="AQ50" s="44">
        <f>100*$B$49*(Global!AP135*$B$48+Global!AP135^2*$C$48)*(AP61/$B61)^(1/$C$49)</f>
        <v>0.19617880913987551</v>
      </c>
      <c r="AR50" s="44">
        <f>100*$B$49*(Global!AQ135*$B$48+Global!AQ135^2*$C$48)*(AQ61/$B61)^(1/$C$49)</f>
        <v>0.19838895655535307</v>
      </c>
      <c r="AS50" s="44">
        <f>100*$B$49*(Global!AR135*$B$48+Global!AR135^2*$C$48)*(AR61/$B61)^(1/$C$49)</f>
        <v>0.20058807695182959</v>
      </c>
      <c r="AT50" s="44">
        <f>100*$B$49*(Global!AS135*$B$48+Global!AS135^2*$C$48)*(AS61/$B61)^(1/$C$49)</f>
        <v>0.20280290448274002</v>
      </c>
      <c r="AU50" s="44">
        <f>100*$B$49*(Global!AT135*$B$48+Global!AT135^2*$C$48)*(AT61/$B61)^(1/$C$49)</f>
        <v>0.20504826970655499</v>
      </c>
      <c r="AV50" s="44">
        <f>100*$B$49*(Global!AU135*$B$48+Global!AU135^2*$C$48)*(AU61/$B61)^(1/$C$49)</f>
        <v>0.20733259990421191</v>
      </c>
      <c r="AW50" s="44">
        <f>100*$B$49*(Global!AV135*$B$48+Global!AV135^2*$C$48)*(AV61/$B61)^(1/$C$49)</f>
        <v>0.20966085349546124</v>
      </c>
      <c r="AX50" s="44">
        <f>100*$B$49*(Global!AW135*$B$48+Global!AW135^2*$C$48)*(AW61/$B61)^(1/$C$49)</f>
        <v>0.21203609668988702</v>
      </c>
      <c r="AY50" s="44">
        <f>100*$B$49*(Global!AX135*$B$48+Global!AX135^2*$C$48)*(AX61/$B61)^(1/$C$49)</f>
        <v>0.21446035463269794</v>
      </c>
      <c r="AZ50" s="44">
        <f>100*$B$49*(Global!AY135*$B$48+Global!AY135^2*$C$48)*(AY61/$B61)^(1/$C$49)</f>
        <v>0.21693507271411569</v>
      </c>
      <c r="BA50" s="44">
        <f>100*$B$49*(Global!AZ135*$B$48+Global!AZ135^2*$C$48)*(AZ61/$B61)^(1/$C$49)</f>
        <v>0.21946136769113553</v>
      </c>
      <c r="BB50" s="44">
        <f>100*$B$49*(Global!BA135*$B$48+Global!BA135^2*$C$48)*(BA61/$B61)^(1/$C$49)</f>
        <v>0.22204016520918909</v>
      </c>
      <c r="BC50" s="44">
        <f>100*$B$49*(Global!BB135*$B$48+Global!BB135^2*$C$48)*(BB61/$B61)^(1/$C$49)</f>
        <v>0.22467227579359608</v>
      </c>
      <c r="BD50" s="44">
        <f>100*$B$49*(Global!BC135*$B$48+Global!BC135^2*$C$48)*(BC61/$B61)^(1/$C$49)</f>
        <v>0.22735843743005618</v>
      </c>
      <c r="BE50" s="44">
        <f>100*$B$49*(Global!BD135*$B$48+Global!BD135^2*$C$48)*(BD61/$B61)^(1/$C$49)</f>
        <v>0.23009933993930226</v>
      </c>
      <c r="BF50" s="44">
        <f>100*$B$49*(Global!BE135*$B$48+Global!BE135^2*$C$48)*(BE61/$B61)^(1/$C$49)</f>
        <v>0.23289563937819241</v>
      </c>
      <c r="BG50" s="44">
        <f>100*$B$49*(Global!BF135*$B$48+Global!BF135^2*$C$48)*(BF61/$B61)^(1/$C$49)</f>
        <v>0.23575122363402215</v>
      </c>
      <c r="BH50" s="44">
        <f>100*$B$49*(Global!BG135*$B$48+Global!BG135^2*$C$48)*(BG61/$B61)^(1/$C$49)</f>
        <v>0.23866346829990132</v>
      </c>
      <c r="BI50" s="44">
        <f>100*$B$49*(Global!BH135*$B$48+Global!BH135^2*$C$48)*(BH61/$B61)^(1/$C$49)</f>
        <v>0.24163210491502507</v>
      </c>
      <c r="BJ50" s="44">
        <f>100*$B$49*(Global!BI135*$B$48+Global!BI135^2*$C$48)*(BI61/$B61)^(1/$C$49)</f>
        <v>0.24465768786217801</v>
      </c>
      <c r="BK50" s="44">
        <f>100*$B$49*(Global!BJ80*$B$48+Global!BJ80^2*$C$48)*(BJ61/$B61)^(1/$C$49)</f>
        <v>0.24568023577769491</v>
      </c>
      <c r="BL50" s="44">
        <f>100*$B$49*(Global!BK80*$B$48+Global!BK80^2*$C$48)*(BK61/$B61)^(1/$C$49)</f>
        <v>0.24672928274534914</v>
      </c>
      <c r="BM50" s="44">
        <f>100*$B$49*(Global!BL80*$B$48+Global!BL80^2*$C$48)*(BL61/$B61)^(1/$C$49)</f>
        <v>0.24780422361043319</v>
      </c>
      <c r="BN50" s="44">
        <f>100*$B$49*(Global!BM80*$B$48+Global!BM80^2*$C$48)*(BM61/$B61)^(1/$C$49)</f>
        <v>0.2489044684707408</v>
      </c>
      <c r="BO50" s="44">
        <f>100*$B$49*(Global!BN80*$B$48+Global!BN80^2*$C$48)*(BN61/$B61)^(1/$C$49)</f>
        <v>0.25002944225305079</v>
      </c>
      <c r="BP50" s="44">
        <f>100*$B$49*(Global!BO80*$B$48+Global!BO80^2*$C$48)*(BO61/$B61)^(1/$C$49)</f>
        <v>0.25117858430298395</v>
      </c>
      <c r="BQ50" s="44">
        <f>100*$B$49*(Global!BP80*$B$48+Global!BP80^2*$C$48)*(BP61/$B61)^(1/$C$49)</f>
        <v>0.25235134798775011</v>
      </c>
      <c r="BR50" s="44">
        <f>100*$B$49*(Global!BQ80*$B$48+Global!BQ80^2*$C$48)*(BQ61/$B61)^(1/$C$49)</f>
        <v>0.25354720031131672</v>
      </c>
      <c r="BS50" s="44">
        <f>100*$B$49*(Global!BR80*$B$48+Global!BR80^2*$C$48)*(BR61/$B61)^(1/$C$49)</f>
        <v>0.25476562154155535</v>
      </c>
      <c r="BT50" s="44">
        <f>100*$B$49*(Global!BS80*$B$48+Global!BS80^2*$C$48)*(BS61/$B61)^(1/$C$49)</f>
        <v>0.25600610484893566</v>
      </c>
      <c r="BU50" s="44">
        <f>100*$B$49*(Global!BT80*$B$48+Global!BT80^2*$C$48)*(BT61/$B61)^(1/$C$49)</f>
        <v>0.25726815595635538</v>
      </c>
      <c r="BV50" s="44">
        <f>100*$B$49*(Global!BU80*$B$48+Global!BU80^2*$C$48)*(BU61/$B61)^(1/$C$49)</f>
        <v>0.25855129279971323</v>
      </c>
      <c r="BW50" s="44">
        <f>100*$B$49*(Global!BV80*$B$48+Global!BV80^2*$C$48)*(BV61/$B61)^(1/$C$49)</f>
        <v>0.25985504519884361</v>
      </c>
      <c r="BX50" s="44">
        <f>100*$B$49*(Global!BW80*$B$48+Global!BW80^2*$C$48)*(BW61/$B61)^(1/$C$49)</f>
        <v>0.26117895453845108</v>
      </c>
      <c r="BY50" s="44">
        <f>100*$B$49*(Global!BX80*$B$48+Global!BX80^2*$C$48)*(BX61/$B61)^(1/$C$49)</f>
        <v>0.26252257345869323</v>
      </c>
      <c r="BZ50" s="44">
        <f>100*$B$49*(Global!BY80*$B$48+Global!BY80^2*$C$48)*(BY61/$B61)^(1/$C$49)</f>
        <v>0.26388546555507825</v>
      </c>
      <c r="CA50" s="44">
        <f>100*$B$49*(Global!BZ80*$B$48+Global!BZ80^2*$C$48)*(BZ61/$B61)^(1/$C$49)</f>
        <v>0.26526720508735291</v>
      </c>
      <c r="CB50" s="44">
        <f>100*$B$49*(Global!CA80*$B$48+Global!CA80^2*$C$48)*(CA61/$B61)^(1/$C$49)</f>
        <v>0.2666673766970738</v>
      </c>
      <c r="CC50" s="44">
        <f>100*$B$49*(Global!CB80*$B$48+Global!CB80^2*$C$48)*(CB61/$B61)^(1/$C$49)</f>
        <v>0.26808557513356074</v>
      </c>
      <c r="CD50" s="44">
        <f>100*$B$49*(Global!CC80*$B$48+Global!CC80^2*$C$48)*(CC61/$B61)^(1/$C$49)</f>
        <v>0.26952140498794952</v>
      </c>
      <c r="CE50" s="44">
        <f>100*$B$49*(Global!CD80*$B$48+Global!CD80^2*$C$48)*(CD61/$B61)^(1/$C$49)</f>
        <v>0.27097448043506789</v>
      </c>
      <c r="CF50" s="44">
        <f>100*$B$49*(Global!CE80*$B$48+Global!CE80^2*$C$48)*(CE61/$B61)^(1/$C$49)</f>
        <v>0.27244442498286903</v>
      </c>
      <c r="CG50" s="44">
        <f>100*$B$49*(Global!CF80*$B$48+Global!CF80^2*$C$48)*(CF61/$B61)^(1/$C$49)</f>
        <v>0.27393087122917192</v>
      </c>
      <c r="CH50" s="44">
        <f>100*$B$49*(Global!CG80*$B$48+Global!CG80^2*$C$48)*(CG61/$B61)^(1/$C$49)</f>
        <v>0.27543346062546042</v>
      </c>
      <c r="CI50" s="44">
        <f>100*$B$49*(Global!CH80*$B$48+Global!CH80^2*$C$48)*(CH61/$B61)^(1/$C$49)</f>
        <v>0.27695184324750877</v>
      </c>
      <c r="CJ50" s="44">
        <f>100*$B$49*(Global!CI80*$B$48+Global!CI80^2*$C$48)*(CI61/$B61)^(1/$C$49)</f>
        <v>0.27848567757260612</v>
      </c>
      <c r="CK50" s="44">
        <f>100*$B$49*(Global!CJ80*$B$48+Global!CJ80^2*$C$48)*(CJ61/$B61)^(1/$C$49)</f>
        <v>0.28003463026316333</v>
      </c>
      <c r="CL50" s="44">
        <f>100*$B$49*(Global!CK80*$B$48+Global!CK80^2*$C$48)*(CK61/$B61)^(1/$C$49)</f>
        <v>0.28159837595649201</v>
      </c>
      <c r="CM50" s="44">
        <f>100*$B$49*(Global!CL80*$B$48+Global!CL80^2*$C$48)*(CL61/$B61)^(1/$C$49)</f>
        <v>0.28317659706055498</v>
      </c>
      <c r="CN50" s="44">
        <f>100*$B$49*(Global!CM80*$B$48+Global!CM80^2*$C$48)*(CM61/$B61)^(1/$C$49)</f>
        <v>0.28476898355549407</v>
      </c>
      <c r="CO50" s="44">
        <f>100*$B$49*(Global!CN80*$B$48+Global!CN80^2*$C$48)*(CN61/$B61)^(1/$C$49)</f>
        <v>0.2863752328007485</v>
      </c>
      <c r="CP50" s="44">
        <f>100*$B$49*(Global!CO80*$B$48+Global!CO80^2*$C$48)*(CO61/$B61)^(1/$C$49)</f>
        <v>0.28799504934758402</v>
      </c>
      <c r="CQ50" s="44">
        <f>100*$B$49*(Global!CP80*$B$48+Global!CP80^2*$C$48)*(CP61/$B61)^(1/$C$49)</f>
        <v>0.28962814475686005</v>
      </c>
      <c r="CR50" s="44">
        <f>100*$B$49*(Global!CQ80*$B$48+Global!CQ80^2*$C$48)*(CQ61/$B61)^(1/$C$49)</f>
        <v>0.29127423742186787</v>
      </c>
      <c r="CS50" s="44">
        <f>100*$B$49*(Global!CR80*$B$48+Global!CR80^2*$C$48)*(CR61/$B61)^(1/$C$49)</f>
        <v>0.29293305239607897</v>
      </c>
      <c r="CT50" s="44">
        <f>100*$B$49*(Global!CS80*$B$48+Global!CS80^2*$C$48)*(CS61/$B61)^(1/$C$49)</f>
        <v>0.29460432122564911</v>
      </c>
      <c r="CU50" s="44">
        <f>100*$B$49*(Global!CT80*$B$48+Global!CT80^2*$C$48)*(CT61/$B61)^(1/$C$49)</f>
        <v>0.29628778178652887</v>
      </c>
      <c r="CV50" s="44">
        <f>100*$B$49*(Global!CU80*$B$48+Global!CU80^2*$C$48)*(CU61/$B61)^(1/$C$49)</f>
        <v>0.29798317812603647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35">
        <f>+Data!B236/1000</f>
        <v>0.13012404001006636</v>
      </c>
      <c r="C52" s="114">
        <f>+B95-B92</f>
        <v>34.895299154753957</v>
      </c>
    </row>
    <row r="53" spans="1:105" ht="18" customHeight="1" x14ac:dyDescent="0.2">
      <c r="A53" s="21" t="s">
        <v>121</v>
      </c>
      <c r="B53" s="135">
        <f>+Data!O171</f>
        <v>-554.97225490153255</v>
      </c>
      <c r="C53" s="114">
        <f>+Data!Q171</f>
        <v>-329.12911021178326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5" x14ac:dyDescent="0.2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5" x14ac:dyDescent="0.2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4.0558065344852867</v>
      </c>
      <c r="C61" s="682">
        <v>4.1987070874691526</v>
      </c>
      <c r="D61" s="682">
        <v>4.2365200584661897</v>
      </c>
      <c r="E61" s="682">
        <v>4.2170651230790295</v>
      </c>
      <c r="F61" s="682">
        <v>4.2627520970717185</v>
      </c>
      <c r="G61" s="682">
        <v>4.3749050883958454</v>
      </c>
      <c r="H61" s="682">
        <v>4.5120089699238086</v>
      </c>
      <c r="I61" s="682">
        <v>4.5562820983330843</v>
      </c>
      <c r="J61" s="682">
        <v>4.4984022574161466</v>
      </c>
      <c r="K61" s="682">
        <v>4.483380744658648</v>
      </c>
      <c r="L61" s="682">
        <v>4.6073304206374281</v>
      </c>
      <c r="M61" s="682">
        <v>4.6251194812453642</v>
      </c>
      <c r="N61" s="682">
        <v>4.6270602969758876</v>
      </c>
      <c r="O61" s="682">
        <v>4.69809147946183</v>
      </c>
      <c r="P61" s="682">
        <v>4.8007971946326302</v>
      </c>
      <c r="Q61" s="682">
        <v>4.8873988171026994</v>
      </c>
      <c r="R61" s="682">
        <v>4.9544710410065242</v>
      </c>
      <c r="S61" s="682">
        <v>5.0279938757633724</v>
      </c>
      <c r="T61" s="682">
        <v>4.9664366997851097</v>
      </c>
      <c r="U61" s="682">
        <v>4.6836857198550312</v>
      </c>
      <c r="V61" s="682">
        <v>4.8756193162527293</v>
      </c>
      <c r="W61" s="682">
        <v>4.8767801779930027</v>
      </c>
      <c r="X61" s="682">
        <v>4.943823762219175</v>
      </c>
      <c r="Y61" s="682">
        <v>5.0429523812147572</v>
      </c>
      <c r="Z61" s="682">
        <v>5.0578898842435018</v>
      </c>
      <c r="AA61" s="682">
        <v>5.1368246640691746</v>
      </c>
      <c r="AB61" s="682">
        <v>5.1755474222770976</v>
      </c>
      <c r="AC61" s="682">
        <v>5.262255011564986</v>
      </c>
      <c r="AD61" s="682">
        <v>5.2961118879409872</v>
      </c>
      <c r="AE61" s="682">
        <v>5.2748125570819049</v>
      </c>
      <c r="AF61" s="682">
        <v>5.0560598086151805</v>
      </c>
      <c r="AG61" s="682">
        <v>5.1854605705756303</v>
      </c>
      <c r="AH61" s="682">
        <v>5.2349680780370038</v>
      </c>
      <c r="AI61" s="45">
        <f t="shared" ref="B61:BI61" si="11">AI20*AI74^$B7*(AI56/1000)^(1-$B7)</f>
        <v>23.02077801957584</v>
      </c>
      <c r="AJ61" s="45">
        <f t="shared" si="11"/>
        <v>33.588435996500429</v>
      </c>
      <c r="AK61" s="45">
        <f t="shared" si="11"/>
        <v>40.102607469006585</v>
      </c>
      <c r="AL61" s="45">
        <f t="shared" si="11"/>
        <v>44.436677387432752</v>
      </c>
      <c r="AM61" s="45">
        <f t="shared" si="11"/>
        <v>47.640702203146738</v>
      </c>
      <c r="AN61" s="45">
        <f t="shared" si="11"/>
        <v>50.2591611675889</v>
      </c>
      <c r="AO61" s="45">
        <f t="shared" si="11"/>
        <v>52.581937447404655</v>
      </c>
      <c r="AP61" s="45">
        <f t="shared" si="11"/>
        <v>54.766963620214582</v>
      </c>
      <c r="AQ61" s="45">
        <f t="shared" si="11"/>
        <v>56.90180200126342</v>
      </c>
      <c r="AR61" s="45">
        <f t="shared" si="11"/>
        <v>59.03582099656996</v>
      </c>
      <c r="AS61" s="45">
        <f t="shared" si="11"/>
        <v>61.197461391732453</v>
      </c>
      <c r="AT61" s="45">
        <f t="shared" si="11"/>
        <v>63.403646788078397</v>
      </c>
      <c r="AU61" s="45">
        <f t="shared" si="11"/>
        <v>65.664957030477154</v>
      </c>
      <c r="AV61" s="45">
        <f t="shared" si="11"/>
        <v>67.988485973944293</v>
      </c>
      <c r="AW61" s="45">
        <f t="shared" si="11"/>
        <v>70.37942451914806</v>
      </c>
      <c r="AX61" s="45">
        <f t="shared" si="11"/>
        <v>72.84193926206504</v>
      </c>
      <c r="AY61" s="45">
        <f t="shared" si="11"/>
        <v>75.379661170290802</v>
      </c>
      <c r="AZ61" s="45">
        <f t="shared" si="11"/>
        <v>77.99595816663583</v>
      </c>
      <c r="BA61" s="45">
        <f t="shared" si="11"/>
        <v>80.694087938152109</v>
      </c>
      <c r="BB61" s="45">
        <f t="shared" si="11"/>
        <v>83.477284365995317</v>
      </c>
      <c r="BC61" s="45">
        <f t="shared" si="11"/>
        <v>86.348807186586029</v>
      </c>
      <c r="BD61" s="45">
        <f t="shared" si="11"/>
        <v>89.311971306368974</v>
      </c>
      <c r="BE61" s="45">
        <f t="shared" si="11"/>
        <v>92.370164878261775</v>
      </c>
      <c r="BF61" s="45">
        <f t="shared" si="11"/>
        <v>95.532139863532535</v>
      </c>
      <c r="BG61" s="45">
        <f t="shared" si="11"/>
        <v>98.796445224788854</v>
      </c>
      <c r="BH61" s="45">
        <f t="shared" si="11"/>
        <v>102.16529145852434</v>
      </c>
      <c r="BI61" s="45">
        <f t="shared" si="11"/>
        <v>105.64231283704024</v>
      </c>
      <c r="BJ61" s="45">
        <f>+BI61</f>
        <v>105.64231283704024</v>
      </c>
      <c r="BK61" s="45">
        <f t="shared" ref="BK61:CV61" si="12">+BJ61</f>
        <v>105.64231283704024</v>
      </c>
      <c r="BL61" s="45">
        <f t="shared" si="12"/>
        <v>105.64231283704024</v>
      </c>
      <c r="BM61" s="45">
        <f t="shared" si="12"/>
        <v>105.64231283704024</v>
      </c>
      <c r="BN61" s="45">
        <f t="shared" si="12"/>
        <v>105.64231283704024</v>
      </c>
      <c r="BO61" s="45">
        <f t="shared" si="12"/>
        <v>105.64231283704024</v>
      </c>
      <c r="BP61" s="45">
        <f t="shared" si="12"/>
        <v>105.64231283704024</v>
      </c>
      <c r="BQ61" s="45">
        <f t="shared" si="12"/>
        <v>105.64231283704024</v>
      </c>
      <c r="BR61" s="45">
        <f t="shared" si="12"/>
        <v>105.64231283704024</v>
      </c>
      <c r="BS61" s="45">
        <f t="shared" si="12"/>
        <v>105.64231283704024</v>
      </c>
      <c r="BT61" s="45">
        <f t="shared" si="12"/>
        <v>105.64231283704024</v>
      </c>
      <c r="BU61" s="45">
        <f t="shared" si="12"/>
        <v>105.64231283704024</v>
      </c>
      <c r="BV61" s="45">
        <f t="shared" si="12"/>
        <v>105.64231283704024</v>
      </c>
      <c r="BW61" s="45">
        <f t="shared" si="12"/>
        <v>105.64231283704024</v>
      </c>
      <c r="BX61" s="45">
        <f t="shared" si="12"/>
        <v>105.64231283704024</v>
      </c>
      <c r="BY61" s="45">
        <f t="shared" si="12"/>
        <v>105.64231283704024</v>
      </c>
      <c r="BZ61" s="45">
        <f t="shared" si="12"/>
        <v>105.64231283704024</v>
      </c>
      <c r="CA61" s="45">
        <f t="shared" si="12"/>
        <v>105.64231283704024</v>
      </c>
      <c r="CB61" s="45">
        <f t="shared" si="12"/>
        <v>105.64231283704024</v>
      </c>
      <c r="CC61" s="45">
        <f t="shared" si="12"/>
        <v>105.64231283704024</v>
      </c>
      <c r="CD61" s="45">
        <f t="shared" si="12"/>
        <v>105.64231283704024</v>
      </c>
      <c r="CE61" s="45">
        <f t="shared" si="12"/>
        <v>105.64231283704024</v>
      </c>
      <c r="CF61" s="45">
        <f t="shared" si="12"/>
        <v>105.64231283704024</v>
      </c>
      <c r="CG61" s="45">
        <f t="shared" si="12"/>
        <v>105.64231283704024</v>
      </c>
      <c r="CH61" s="45">
        <f t="shared" si="12"/>
        <v>105.64231283704024</v>
      </c>
      <c r="CI61" s="45">
        <f t="shared" si="12"/>
        <v>105.64231283704024</v>
      </c>
      <c r="CJ61" s="45">
        <f t="shared" si="12"/>
        <v>105.64231283704024</v>
      </c>
      <c r="CK61" s="45">
        <f t="shared" si="12"/>
        <v>105.64231283704024</v>
      </c>
      <c r="CL61" s="45">
        <f t="shared" si="12"/>
        <v>105.64231283704024</v>
      </c>
      <c r="CM61" s="45">
        <f t="shared" si="12"/>
        <v>105.64231283704024</v>
      </c>
      <c r="CN61" s="45">
        <f t="shared" si="12"/>
        <v>105.64231283704024</v>
      </c>
      <c r="CO61" s="45">
        <f t="shared" si="12"/>
        <v>105.64231283704024</v>
      </c>
      <c r="CP61" s="45">
        <f t="shared" si="12"/>
        <v>105.64231283704024</v>
      </c>
      <c r="CQ61" s="45">
        <f t="shared" si="12"/>
        <v>105.64231283704024</v>
      </c>
      <c r="CR61" s="45">
        <f t="shared" si="12"/>
        <v>105.64231283704024</v>
      </c>
      <c r="CS61" s="45">
        <f t="shared" si="12"/>
        <v>105.64231283704024</v>
      </c>
      <c r="CT61" s="45">
        <f t="shared" si="12"/>
        <v>105.64231283704024</v>
      </c>
      <c r="CU61" s="45">
        <f t="shared" si="12"/>
        <v>105.64231283704024</v>
      </c>
      <c r="CV61" s="45">
        <f t="shared" si="12"/>
        <v>105.64231283704024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8.3837430817043082E-4</v>
      </c>
      <c r="C62" s="63">
        <f>($B24*C81+$B25*C81^$B$26+$B$29*(C81/$B$27)^$B$28)*Parameters!$B$116*0.01</f>
        <v>7.2597651801255107E-4</v>
      </c>
      <c r="D62" s="63">
        <f>($B24*D81+$B25*D81^$B$26+$B$29*(D81/$B$27)^$B$28)*Parameters!$B$116*0.01</f>
        <v>3.8829797722168293E-4</v>
      </c>
      <c r="E62" s="63">
        <f>($B24*E81+$B25*E81^$B$26+$B$29*(E81/$B$27)^$B$28)*Parameters!$B$116*0.01</f>
        <v>4.043085976902155E-4</v>
      </c>
      <c r="F62" s="63">
        <f>($B24*F81+$B25*F81^$B$26+$B$29*(F81/$B$27)^$B$28)*Parameters!$B$116*0.01</f>
        <v>5.4403764905195393E-4</v>
      </c>
      <c r="G62" s="63">
        <f>($B24*G81+$B25*G81^$B$26+$B$29*(G81/$B$27)^$B$28)*Parameters!$B$116*0.01</f>
        <v>8.1524785638255055E-4</v>
      </c>
      <c r="H62" s="63">
        <f>($B24*H81+$B25*H81^$B$26+$B$29*(H81/$B$27)^$B$28)*Parameters!$B$116*0.01</f>
        <v>5.8220438067391027E-4</v>
      </c>
      <c r="I62" s="63">
        <f>($B24*I81+$B25*I81^$B$26+$B$29*(I81/$B$27)^$B$28)*Parameters!$B$116*0.01</f>
        <v>8.6182420683646318E-4</v>
      </c>
      <c r="J62" s="63">
        <f>($B24*J81+$B25*J81^$B$26+$B$29*(J81/$B$27)^$B$28)*Parameters!$B$116*0.01</f>
        <v>1.2240847103668964E-3</v>
      </c>
      <c r="K62" s="63">
        <f>($B24*K81+$B25*K81^$B$26+$B$29*(K81/$B$27)^$B$28)*Parameters!$B$116*0.01</f>
        <v>6.8328153009646422E-4</v>
      </c>
      <c r="L62" s="63">
        <f>($B24*L81+$B25*L81^$B$26+$B$29*(L81/$B$27)^$B$28)*Parameters!$B$116*0.01</f>
        <v>7.0446730061543149E-4</v>
      </c>
      <c r="M62" s="63">
        <f>($B24*M81+$B25*M81^$B$26+$B$29*(M81/$B$27)^$B$28)*Parameters!$B$116*0.01</f>
        <v>1.0350300100869518E-3</v>
      </c>
      <c r="N62" s="63">
        <f>($B24*N81+$B25*N81^$B$26+$B$29*(N81/$B$27)^$B$28)*Parameters!$B$116*0.01</f>
        <v>1.3099598565162981E-3</v>
      </c>
      <c r="O62" s="63">
        <f>($B24*O81+$B25*O81^$B$26+$B$29*(O81/$B$27)^$B$28)*Parameters!$B$116*0.01</f>
        <v>1.2810113609216789E-3</v>
      </c>
      <c r="P62" s="63">
        <f>($B24*P81+$B25*P81^$B$26+$B$29*(P81/$B$27)^$B$28)*Parameters!$B$116*0.01</f>
        <v>1.0350300100869518E-3</v>
      </c>
      <c r="Q62" s="63">
        <f>($B24*Q81+$B25*Q81^$B$26+$B$29*(Q81/$B$27)^$B$28)*Parameters!$B$116*0.01</f>
        <v>1.4289883076762974E-3</v>
      </c>
      <c r="R62" s="63">
        <f>($B24*R81+$B25*R81^$B$26+$B$29*(R81/$B$27)^$B$28)*Parameters!$B$116*0.01</f>
        <v>1.3392317989890698E-3</v>
      </c>
      <c r="S62" s="63">
        <f>($B24*S81+$B25*S81^$B$26+$B$29*(S81/$B$27)^$B$28)*Parameters!$B$116*0.01</f>
        <v>1.3987460245690698E-3</v>
      </c>
      <c r="T62" s="63">
        <f>($B24*T81+$B25*T81^$B$26+$B$29*(T81/$B$27)^$B$28)*Parameters!$B$116*0.01</f>
        <v>1.0610674837782017E-3</v>
      </c>
      <c r="U62" s="63">
        <f>($B24*U81+$B25*U81^$B$26+$B$29*(U81/$B$27)^$B$28)*Parameters!$B$116*0.01</f>
        <v>1.3688271883399935E-3</v>
      </c>
      <c r="V62" s="63">
        <f>($B24*V81+$B25*V81^$B$26+$B$29*(V81/$B$27)^$B$28)*Parameters!$B$116*0.01</f>
        <v>1.5850514263847208E-3</v>
      </c>
      <c r="W62" s="63">
        <f>($B24*W81+$B25*W81^$B$26+$B$29*(W81/$B$27)^$B$28)*Parameters!$B$116*0.01</f>
        <v>1.2523863122052114E-3</v>
      </c>
      <c r="X62" s="63">
        <f>($B24*X81+$B25*X81^$B$26+$B$29*(X81/$B$27)^$B$28)*Parameters!$B$116*0.01</f>
        <v>1.3688271883399935E-3</v>
      </c>
      <c r="Y62" s="63">
        <f>($B24*Y81+$B25*Y81^$B$26+$B$29*(Y81/$B$27)^$B$28)*Parameters!$B$116*0.01</f>
        <v>1.4595540376616779E-3</v>
      </c>
      <c r="Z62" s="63">
        <f>($B24*Z81+$B25*Z81^$B$26+$B$29*(Z81/$B$27)^$B$28)*Parameters!$B$116*0.01</f>
        <v>1.6497408020151553E-3</v>
      </c>
      <c r="AA62" s="63">
        <f>($B24*AA81+$B25*AA81^$B$26+$B$29*(AA81/$B$27)^$B$28)*Parameters!$B$116*0.01</f>
        <v>2.2138321575125436E-3</v>
      </c>
      <c r="AB62" s="63">
        <f>($B24*AB81+$B25*AB81^$B$26+$B$29*(AB81/$B$27)^$B$28)*Parameters!$B$116*0.01</f>
        <v>2.6496768258225962E-3</v>
      </c>
      <c r="AC62" s="63">
        <f>($B24*AC81+$B25*AC81^$B$26+$B$29*(AC81/$B$27)^$B$28)*Parameters!$B$116*0.01</f>
        <v>2.2901656207564565E-3</v>
      </c>
      <c r="AD62" s="63">
        <f>($B24*AD81+$B25*AD81^$B$26+$B$29*(AD81/$B$27)^$B$28)*Parameters!$B$116*0.01</f>
        <v>2.0286588197704256E-3</v>
      </c>
      <c r="AE62" s="63">
        <f>($B24*AE81+$B25*AE81^$B$26+$B$29*(AE81/$B$27)^$B$28)*Parameters!$B$116*0.01</f>
        <v>2.5269287355638467E-3</v>
      </c>
      <c r="AF62" s="63">
        <f>($B24*AF81+$B25*AF81^$B$26+$B$29*(AF81/$B$27)^$B$28)*Parameters!$B$116*0.01</f>
        <v>2.6496768258225962E-3</v>
      </c>
      <c r="AG62" s="63">
        <f>($B24*AG81+$B25*AG81^$B$26+$B$29*(AG81/$B$27)^$B$28)*Parameters!$B$116*0.01</f>
        <v>2.0286588197704256E-3</v>
      </c>
      <c r="AH62" s="63">
        <f>($B24*AH81+$B25*AH81^$B$26+$B$29*(AH81/$B$27)^$B$28)*Parameters!$B$116*0.01</f>
        <v>2.1761505962078157E-3</v>
      </c>
      <c r="AI62" s="63">
        <f>($B24*AI81+$B25*AI81^$B$26+$B$29*(AI81/$B$27)^$B$28)*Parameters!$B$116*0.01</f>
        <v>3.3534972326817233E-3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8.3837430817043082E-4</v>
      </c>
      <c r="C63" s="63">
        <f t="shared" si="13"/>
        <v>8.5518559790674132E-4</v>
      </c>
      <c r="D63" s="63">
        <f t="shared" si="13"/>
        <v>5.3975512587543068E-4</v>
      </c>
      <c r="E63" s="63">
        <f t="shared" si="13"/>
        <v>5.8083403766552306E-4</v>
      </c>
      <c r="F63" s="63">
        <f t="shared" si="13"/>
        <v>7.4522662934764267E-4</v>
      </c>
      <c r="G63" s="63">
        <f t="shared" si="13"/>
        <v>1.0438641954737368E-3</v>
      </c>
      <c r="H63" s="63">
        <f t="shared" si="13"/>
        <v>8.4256595803527967E-4</v>
      </c>
      <c r="I63" s="63">
        <f t="shared" si="13"/>
        <v>1.1517298852231875E-3</v>
      </c>
      <c r="J63" s="63">
        <f t="shared" si="13"/>
        <v>1.5455014551562269E-3</v>
      </c>
      <c r="K63" s="63">
        <f t="shared" si="13"/>
        <v>1.0377610676874497E-3</v>
      </c>
      <c r="L63" s="63">
        <f t="shared" si="13"/>
        <v>1.0869251109041403E-3</v>
      </c>
      <c r="M63" s="63">
        <f t="shared" si="13"/>
        <v>1.4487021315246593E-3</v>
      </c>
      <c r="N63" s="63">
        <f t="shared" si="13"/>
        <v>1.7494536025594008E-3</v>
      </c>
      <c r="O63" s="63">
        <f t="shared" si="13"/>
        <v>1.7482433611989371E-3</v>
      </c>
      <c r="P63" s="63">
        <f t="shared" si="13"/>
        <v>1.5312843511902374E-3</v>
      </c>
      <c r="Q63" s="63">
        <f t="shared" si="13"/>
        <v>1.9527560600006363E-3</v>
      </c>
      <c r="R63" s="63">
        <f t="shared" si="13"/>
        <v>1.893563694285992E-3</v>
      </c>
      <c r="S63" s="63">
        <f t="shared" si="13"/>
        <v>1.982208107361941E-3</v>
      </c>
      <c r="T63" s="63">
        <f t="shared" si="13"/>
        <v>1.6742238111446012E-3</v>
      </c>
      <c r="U63" s="63">
        <f t="shared" si="13"/>
        <v>2.0042571288041498E-3</v>
      </c>
      <c r="V63" s="63">
        <f t="shared" si="13"/>
        <v>2.2375085057082938E-3</v>
      </c>
      <c r="W63" s="63">
        <f t="shared" si="13"/>
        <v>1.939397070030097E-3</v>
      </c>
      <c r="X63" s="63">
        <f t="shared" si="13"/>
        <v>2.0808291487936365E-3</v>
      </c>
      <c r="Y63" s="63">
        <f t="shared" si="13"/>
        <v>2.1997476128965987E-3</v>
      </c>
      <c r="Z63" s="63">
        <f t="shared" si="13"/>
        <v>2.419959750766509E-3</v>
      </c>
      <c r="AA63" s="63">
        <f t="shared" si="13"/>
        <v>3.0121571784902912E-3</v>
      </c>
      <c r="AB63" s="63">
        <f t="shared" si="13"/>
        <v>3.4823247181979362E-3</v>
      </c>
      <c r="AC63" s="63">
        <f t="shared" si="13"/>
        <v>3.1579258310530638E-3</v>
      </c>
      <c r="AD63" s="63">
        <f t="shared" si="13"/>
        <v>2.9310526105054495E-3</v>
      </c>
      <c r="AE63" s="63">
        <f t="shared" si="13"/>
        <v>3.4597345107859503E-3</v>
      </c>
      <c r="AF63" s="63">
        <f t="shared" si="13"/>
        <v>3.6132469062307155E-3</v>
      </c>
      <c r="AG63" s="63">
        <f t="shared" si="13"/>
        <v>3.0137308769444112E-3</v>
      </c>
      <c r="AH63" s="63">
        <f t="shared" si="13"/>
        <v>3.1950773860541055E-3</v>
      </c>
      <c r="AI63" s="63">
        <f t="shared" si="13"/>
        <v>4.4031339523621649E-3</v>
      </c>
      <c r="AJ63" s="63">
        <f t="shared" si="13"/>
        <v>1.570003944567383E-3</v>
      </c>
      <c r="AK63" s="63">
        <f t="shared" si="13"/>
        <v>1.7259542998354432E-3</v>
      </c>
      <c r="AL63" s="63">
        <f t="shared" si="13"/>
        <v>1.8050088708436568E-3</v>
      </c>
      <c r="AM63" s="63">
        <f t="shared" si="13"/>
        <v>1.8531763458439628E-3</v>
      </c>
      <c r="AN63" s="63">
        <f t="shared" si="13"/>
        <v>1.8873805694087065E-3</v>
      </c>
      <c r="AO63" s="63">
        <f t="shared" si="13"/>
        <v>1.9148659222755521E-3</v>
      </c>
      <c r="AP63" s="63">
        <f t="shared" si="13"/>
        <v>1.9390856286532574E-3</v>
      </c>
      <c r="AQ63" s="63">
        <f t="shared" si="13"/>
        <v>1.9617880913987552E-3</v>
      </c>
      <c r="AR63" s="63">
        <f t="shared" si="13"/>
        <v>1.9838895655535306E-3</v>
      </c>
      <c r="AS63" s="63">
        <f t="shared" si="13"/>
        <v>2.0058807695182961E-3</v>
      </c>
      <c r="AT63" s="63">
        <f t="shared" si="13"/>
        <v>2.0280290448274002E-3</v>
      </c>
      <c r="AU63" s="63">
        <f t="shared" si="13"/>
        <v>2.05048269706555E-3</v>
      </c>
      <c r="AV63" s="63">
        <f t="shared" si="13"/>
        <v>2.073325999042119E-3</v>
      </c>
      <c r="AW63" s="63">
        <f t="shared" si="13"/>
        <v>2.0966085349546125E-3</v>
      </c>
      <c r="AX63" s="63">
        <f t="shared" si="13"/>
        <v>2.12036096689887E-3</v>
      </c>
      <c r="AY63" s="63">
        <f t="shared" si="13"/>
        <v>2.1446035463269794E-3</v>
      </c>
      <c r="AZ63" s="63">
        <f t="shared" si="13"/>
        <v>2.1693507271411568E-3</v>
      </c>
      <c r="BA63" s="63">
        <f t="shared" si="13"/>
        <v>2.1946136769113553E-3</v>
      </c>
      <c r="BB63" s="63">
        <f t="shared" si="13"/>
        <v>2.2204016520918908E-3</v>
      </c>
      <c r="BC63" s="63">
        <f t="shared" si="13"/>
        <v>2.246722757935961E-3</v>
      </c>
      <c r="BD63" s="63">
        <f t="shared" si="13"/>
        <v>2.2735843743005618E-3</v>
      </c>
      <c r="BE63" s="63">
        <f t="shared" si="13"/>
        <v>2.3009933993930224E-3</v>
      </c>
      <c r="BF63" s="63">
        <f t="shared" si="13"/>
        <v>2.3289563937819243E-3</v>
      </c>
      <c r="BG63" s="63">
        <f t="shared" si="13"/>
        <v>2.3575122363402217E-3</v>
      </c>
      <c r="BH63" s="63">
        <f t="shared" si="13"/>
        <v>2.3866346829990131E-3</v>
      </c>
      <c r="BI63" s="63">
        <f t="shared" si="13"/>
        <v>2.4163210491502506E-3</v>
      </c>
      <c r="BJ63" s="63">
        <f t="shared" si="13"/>
        <v>2.4465768786217802E-3</v>
      </c>
      <c r="BK63" s="63">
        <f t="shared" si="13"/>
        <v>2.4568023577769492E-3</v>
      </c>
      <c r="BL63" s="63">
        <f t="shared" si="13"/>
        <v>2.4672928274534914E-3</v>
      </c>
      <c r="BM63" s="63">
        <f t="shared" si="13"/>
        <v>2.478042236104332E-3</v>
      </c>
      <c r="BN63" s="63">
        <f t="shared" ref="BN63:CV63" si="14">+BN62+BN50/100</f>
        <v>2.4890446847074081E-3</v>
      </c>
      <c r="BO63" s="63">
        <f t="shared" si="14"/>
        <v>2.5002944225305081E-3</v>
      </c>
      <c r="BP63" s="63">
        <f t="shared" si="14"/>
        <v>2.5117858430298394E-3</v>
      </c>
      <c r="BQ63" s="63">
        <f t="shared" si="14"/>
        <v>2.5235134798775012E-3</v>
      </c>
      <c r="BR63" s="63">
        <f t="shared" si="14"/>
        <v>2.5354720031131673E-3</v>
      </c>
      <c r="BS63" s="63">
        <f t="shared" si="14"/>
        <v>2.5476562154155536E-3</v>
      </c>
      <c r="BT63" s="63">
        <f t="shared" si="14"/>
        <v>2.5600610484893564E-3</v>
      </c>
      <c r="BU63" s="63">
        <f t="shared" si="14"/>
        <v>2.5726815595635538E-3</v>
      </c>
      <c r="BV63" s="63">
        <f t="shared" si="14"/>
        <v>2.5855129279971321E-3</v>
      </c>
      <c r="BW63" s="63">
        <f t="shared" si="14"/>
        <v>2.5985504519884361E-3</v>
      </c>
      <c r="BX63" s="63">
        <f t="shared" si="14"/>
        <v>2.6117895453845108E-3</v>
      </c>
      <c r="BY63" s="63">
        <f t="shared" si="14"/>
        <v>2.6252257345869322E-3</v>
      </c>
      <c r="BZ63" s="63">
        <f t="shared" si="14"/>
        <v>2.6388546555507824E-3</v>
      </c>
      <c r="CA63" s="63">
        <f t="shared" si="14"/>
        <v>2.6526720508735289E-3</v>
      </c>
      <c r="CB63" s="63">
        <f t="shared" si="14"/>
        <v>2.6666737669707378E-3</v>
      </c>
      <c r="CC63" s="63">
        <f t="shared" si="14"/>
        <v>2.6808557513356072E-3</v>
      </c>
      <c r="CD63" s="63">
        <f t="shared" si="14"/>
        <v>2.6952140498794951E-3</v>
      </c>
      <c r="CE63" s="63">
        <f t="shared" si="14"/>
        <v>2.709744804350679E-3</v>
      </c>
      <c r="CF63" s="63">
        <f t="shared" si="14"/>
        <v>2.7244442498286902E-3</v>
      </c>
      <c r="CG63" s="63">
        <f t="shared" si="14"/>
        <v>2.7393087122917193E-3</v>
      </c>
      <c r="CH63" s="63">
        <f t="shared" si="14"/>
        <v>2.7543346062546045E-3</v>
      </c>
      <c r="CI63" s="63">
        <f t="shared" si="14"/>
        <v>2.7695184324750878E-3</v>
      </c>
      <c r="CJ63" s="63">
        <f t="shared" si="14"/>
        <v>2.7848567757260611E-3</v>
      </c>
      <c r="CK63" s="63">
        <f t="shared" si="14"/>
        <v>2.8003463026316333E-3</v>
      </c>
      <c r="CL63" s="63">
        <f t="shared" si="14"/>
        <v>2.8159837595649203E-3</v>
      </c>
      <c r="CM63" s="63">
        <f t="shared" si="14"/>
        <v>2.8317659706055499E-3</v>
      </c>
      <c r="CN63" s="63">
        <f t="shared" si="14"/>
        <v>2.8476898355549408E-3</v>
      </c>
      <c r="CO63" s="63">
        <f t="shared" si="14"/>
        <v>2.8637523280074851E-3</v>
      </c>
      <c r="CP63" s="63">
        <f t="shared" si="14"/>
        <v>2.8799504934758401E-3</v>
      </c>
      <c r="CQ63" s="63">
        <f t="shared" si="14"/>
        <v>2.8962814475686004E-3</v>
      </c>
      <c r="CR63" s="63">
        <f t="shared" si="14"/>
        <v>2.9127423742186785E-3</v>
      </c>
      <c r="CS63" s="63">
        <f t="shared" si="14"/>
        <v>2.9293305239607896E-3</v>
      </c>
      <c r="CT63" s="63">
        <f t="shared" si="14"/>
        <v>2.9460432122564912E-3</v>
      </c>
      <c r="CU63" s="63">
        <f t="shared" si="14"/>
        <v>2.9628778178652886E-3</v>
      </c>
      <c r="CV63" s="63">
        <f t="shared" si="14"/>
        <v>2.9798317812603646E-3</v>
      </c>
    </row>
    <row r="64" spans="1:105" s="143" customFormat="1" ht="18" customHeight="1" x14ac:dyDescent="0.2">
      <c r="A64" s="559" t="s">
        <v>1133</v>
      </c>
      <c r="B64" s="143">
        <f>+B61-B65</f>
        <v>3.3974356746382384E-3</v>
      </c>
      <c r="C64" s="143">
        <f>+C63*C61/(1+C63^Parameters!$B$125)</f>
        <v>3.5906738310325795E-3</v>
      </c>
      <c r="D64" s="143">
        <f>+D63*D61/(1+D63^Parameters!$B$125)</f>
        <v>2.2866834174312053E-3</v>
      </c>
      <c r="E64" s="143">
        <f>+E63*E61/(1+E63^Parameters!$B$125)</f>
        <v>2.4494149625364486E-3</v>
      </c>
      <c r="F64" s="143">
        <f>+F63*F61/(1+F63^Parameters!$B$125)</f>
        <v>3.176716377045352E-3</v>
      </c>
      <c r="G64" s="143">
        <f>+G63*G61/(1+G63^Parameters!$B$125)</f>
        <v>4.5668067803722864E-3</v>
      </c>
      <c r="H64" s="143">
        <f>+H63*H61/(1+H63^Parameters!$B$125)</f>
        <v>3.8016651604076291E-3</v>
      </c>
      <c r="I64" s="143">
        <f>+I63*I61/(1+I63^Parameters!$B$125)</f>
        <v>5.2476062581576274E-3</v>
      </c>
      <c r="J64" s="143">
        <f>+J63*J61/(1+J63^Parameters!$B$125)</f>
        <v>6.95228723471471E-3</v>
      </c>
      <c r="K64" s="143">
        <f>+K63*K61/(1+K63^Parameters!$B$125)</f>
        <v>4.6526779884263122E-3</v>
      </c>
      <c r="L64" s="143">
        <f>+L63*L61/(1+L63^Parameters!$B$125)</f>
        <v>5.0078231284233559E-3</v>
      </c>
      <c r="M64" s="143">
        <f>+M63*M61/(1+M63^Parameters!$B$125)</f>
        <v>6.7004204510363857E-3</v>
      </c>
      <c r="N64" s="143">
        <f>+N63*N61/(1+N63^Parameters!$B$125)</f>
        <v>8.0948273058040372E-3</v>
      </c>
      <c r="O64" s="143">
        <f>+O63*O61/(1+O63^Parameters!$B$125)</f>
        <v>8.2134072392744378E-3</v>
      </c>
      <c r="P64" s="143">
        <f>+P63*P61/(1+P63^Parameters!$B$125)</f>
        <v>7.351385617378939E-3</v>
      </c>
      <c r="Q64" s="143">
        <f>+Q63*Q61/(1+Q63^Parameters!$B$125)</f>
        <v>9.5438976577372388E-3</v>
      </c>
      <c r="R64" s="143">
        <f>+R63*R61/(1+R63^Parameters!$B$125)</f>
        <v>9.3816064876412787E-3</v>
      </c>
      <c r="S64" s="143">
        <f>+S63*S61/(1+S63^Parameters!$B$125)</f>
        <v>9.9665302243043454E-3</v>
      </c>
      <c r="T64" s="143">
        <f>+T63*T61/(1+T63^Parameters!$B$125)</f>
        <v>8.3149265793226422E-3</v>
      </c>
      <c r="U64" s="143">
        <f>+U63*U61/(1+U63^Parameters!$B$125)</f>
        <v>9.387310493097642E-3</v>
      </c>
      <c r="V64" s="143">
        <f>+V63*V61/(1+V63^Parameters!$B$125)</f>
        <v>1.0909239690711137E-2</v>
      </c>
      <c r="W64" s="143">
        <f>+W63*W61/(1+W63^Parameters!$B$125)</f>
        <v>9.4580131883804843E-3</v>
      </c>
      <c r="X64" s="143">
        <f>+X63*X61/(1+X63^Parameters!$B$125)</f>
        <v>1.0287252590924278E-2</v>
      </c>
      <c r="Y64" s="143">
        <f>+Y63*Y61/(1+Y63^Parameters!$B$125)</f>
        <v>1.109322246252838E-2</v>
      </c>
      <c r="Z64" s="143">
        <f>+Z63*Z61/(1+Z63^Parameters!$B$125)</f>
        <v>1.2239889943678351E-2</v>
      </c>
      <c r="AA64" s="143">
        <f>+AA63*AA61/(1+AA63^Parameters!$B$125)</f>
        <v>1.5472923286521943E-2</v>
      </c>
      <c r="AB64" s="143">
        <f>+AB63*AB61/(1+AB63^Parameters!$B$125)</f>
        <v>1.802293671880115E-2</v>
      </c>
      <c r="AC64" s="143">
        <f>+AC63*AC61/(1+AC63^Parameters!$B$125)</f>
        <v>1.6617811030609508E-2</v>
      </c>
      <c r="AD64" s="143">
        <f>+AD63*AD61/(1+AD63^Parameters!$B$125)</f>
        <v>1.5523182574678376E-2</v>
      </c>
      <c r="AE64" s="143">
        <f>+AE63*AE61/(1+AE63^Parameters!$B$125)</f>
        <v>1.8249451041663353E-2</v>
      </c>
      <c r="AF64" s="143">
        <f>+AF63*AF61/(1+AF63^Parameters!$B$125)</f>
        <v>1.8268792461196264E-2</v>
      </c>
      <c r="AG64" s="143">
        <f>+AG63*AG61/(1+AG63^Parameters!$B$125)</f>
        <v>1.562758263272156E-2</v>
      </c>
      <c r="AH64" s="143">
        <f>+AH63*AH61/(1+AH63^Parameters!$B$125)</f>
        <v>1.6726128122851156E-2</v>
      </c>
      <c r="AI64" s="143">
        <f>+AI63*AI61/(1+AI63^Parameters!$B$125)</f>
        <v>0.10136356930778702</v>
      </c>
      <c r="AJ64" s="143">
        <f>+AJ63*AJ61/(1+AJ63^Parameters!$B$125)</f>
        <v>5.2733977006354751E-2</v>
      </c>
      <c r="AK64" s="143">
        <f>+AK63*AK61/(1+AK63^Parameters!$B$125)</f>
        <v>6.921526779574487E-2</v>
      </c>
      <c r="AL64" s="143">
        <f>+AL63*AL61/(1+AL63^Parameters!$B$125)</f>
        <v>8.0208596875133847E-2</v>
      </c>
      <c r="AM64" s="143">
        <f>+AM63*AM61/(1+AM63^Parameters!$B$125)</f>
        <v>8.8286622422267896E-2</v>
      </c>
      <c r="AN64" s="143">
        <f>+AN63*AN61/(1+AN63^Parameters!$B$125)</f>
        <v>9.4858164222487884E-2</v>
      </c>
      <c r="AO64" s="143">
        <f>+AO63*AO61/(1+AO63^Parameters!$B$125)</f>
        <v>0.1006873601452599</v>
      </c>
      <c r="AP64" s="143">
        <f>+AP63*AP61/(1+AP63^Parameters!$B$125)</f>
        <v>0.10619783208093388</v>
      </c>
      <c r="AQ64" s="143">
        <f>+AQ63*AQ61/(1+AQ63^Parameters!$B$125)</f>
        <v>0.11162927754520843</v>
      </c>
      <c r="AR64" s="143">
        <f>+AR63*AR61/(1+AR63^Parameters!$B$125)</f>
        <v>0.11712054926898118</v>
      </c>
      <c r="AS64" s="143">
        <f>+AS63*AS61/(1+AS63^Parameters!$B$125)</f>
        <v>0.12275481094901451</v>
      </c>
      <c r="AT64" s="143">
        <f>+AT63*AT61/(1+AT63^Parameters!$B$125)</f>
        <v>0.12858443723420049</v>
      </c>
      <c r="AU64" s="143">
        <f>+AU63*AU61/(1+AU63^Parameters!$B$125)</f>
        <v>0.13464485819454625</v>
      </c>
      <c r="AV64" s="143">
        <f>+AV63*AV61/(1+AV63^Parameters!$B$125)</f>
        <v>0.14096229560528914</v>
      </c>
      <c r="AW64" s="143">
        <f>+AW63*AW61/(1+AW63^Parameters!$B$125)</f>
        <v>0.14755810213203974</v>
      </c>
      <c r="AX64" s="143">
        <f>+AX63*AX61/(1+AX63^Parameters!$B$125)</f>
        <v>0.154451204764501</v>
      </c>
      <c r="AY64" s="143">
        <f>+AY63*AY61/(1+AY63^Parameters!$B$125)</f>
        <v>0.16165948866673177</v>
      </c>
      <c r="AZ64" s="143">
        <f>+AZ63*AZ61/(1+AZ63^Parameters!$B$125)</f>
        <v>0.16920058856286269</v>
      </c>
      <c r="BA64" s="143">
        <f>+BA63*BA61/(1+BA63^Parameters!$B$125)</f>
        <v>0.17709234903495624</v>
      </c>
      <c r="BB64" s="143">
        <f>+BB63*BB61/(1+BB63^Parameters!$B$125)</f>
        <v>0.18535310011840056</v>
      </c>
      <c r="BC64" s="143">
        <f>+BC63*BC61/(1+BC63^Parameters!$B$125)</f>
        <v>0.1940018302267271</v>
      </c>
      <c r="BD64" s="143">
        <f>+BD63*BD61/(1+BD63^Parameters!$B$125)</f>
        <v>0.20305830240014064</v>
      </c>
      <c r="BE64" s="143">
        <f>+BE63*BE61/(1+BE63^Parameters!$B$125)</f>
        <v>0.21254313968572552</v>
      </c>
      <c r="BF64" s="143">
        <f>+BF63*BF61/(1+BF63^Parameters!$B$125)</f>
        <v>0.22249018794684314</v>
      </c>
      <c r="BG64" s="143">
        <f>+BG63*BG61/(1+BG63^Parameters!$B$125)</f>
        <v>0.23291382852435619</v>
      </c>
      <c r="BH64" s="143">
        <f>+BH63*BH61/(1+BH63^Parameters!$B$125)</f>
        <v>0.24383122799361701</v>
      </c>
      <c r="BI64" s="143">
        <f>+BI63*BI61/(1+BI63^Parameters!$B$125)</f>
        <v>0.25526574418905607</v>
      </c>
      <c r="BJ64" s="143">
        <f>+BJ63*BJ61/(1+BJ63^Parameters!$B$125)</f>
        <v>0.25846203999123152</v>
      </c>
      <c r="BK64" s="143">
        <f>+BK63*BK61/(1+BK63^Parameters!$B$125)</f>
        <v>0.25954228325905054</v>
      </c>
      <c r="BL64" s="143">
        <f>+BL63*BL61/(1+BL63^Parameters!$B$125)</f>
        <v>0.26065052073842726</v>
      </c>
      <c r="BM64" s="143">
        <f>+BM63*BM61/(1+BM63^Parameters!$B$125)</f>
        <v>0.26178611312993255</v>
      </c>
      <c r="BN64" s="143">
        <f>+BN63*BN61/(1+BN63^Parameters!$B$125)</f>
        <v>0.26294843724723221</v>
      </c>
      <c r="BO64" s="143">
        <f>+BO63*BO61/(1+BO63^Parameters!$B$125)</f>
        <v>0.2641368855696748</v>
      </c>
      <c r="BP64" s="143">
        <f>+BP63*BP61/(1+BP63^Parameters!$B$125)</f>
        <v>0.26535086580900713</v>
      </c>
      <c r="BQ64" s="143">
        <f>+BQ63*BQ61/(1+BQ63^Parameters!$B$125)</f>
        <v>0.26658980048970704</v>
      </c>
      <c r="BR64" s="143">
        <f>+BR63*BR61/(1+BR63^Parameters!$B$125)</f>
        <v>0.26785312654243826</v>
      </c>
      <c r="BS64" s="143">
        <f>+BS63*BS61/(1+BS63^Parameters!$B$125)</f>
        <v>0.26914029491015989</v>
      </c>
      <c r="BT64" s="143">
        <f>+BT63*BT61/(1+BT63^Parameters!$B$125)</f>
        <v>0.27045077016643382</v>
      </c>
      <c r="BU64" s="143">
        <f>+BU63*BU61/(1+BU63^Parameters!$B$125)</f>
        <v>0.27178403014549751</v>
      </c>
      <c r="BV64" s="143">
        <f>+BV63*BV61/(1+BV63^Parameters!$B$125)</f>
        <v>0.27313956558368491</v>
      </c>
      <c r="BW64" s="143">
        <f>+BW63*BW61/(1+BW63^Parameters!$B$125)</f>
        <v>0.27451687977179468</v>
      </c>
      <c r="BX64" s="143">
        <f>+BX63*BX61/(1+BX63^Parameters!$B$125)</f>
        <v>0.27591548821802159</v>
      </c>
      <c r="BY64" s="143">
        <f>+BY63*BY61/(1+BY63^Parameters!$B$125)</f>
        <v>0.27733491832108148</v>
      </c>
      <c r="BZ64" s="143">
        <f>+BZ63*BZ61/(1+BZ63^Parameters!$B$125)</f>
        <v>0.27877470905317581</v>
      </c>
      <c r="CA64" s="143">
        <f>+CA63*CA61/(1+CA63^Parameters!$B$125)</f>
        <v>0.28023441065245447</v>
      </c>
      <c r="CB64" s="143">
        <f>+CB63*CB61/(1+CB63^Parameters!$B$125)</f>
        <v>0.28171358432465121</v>
      </c>
      <c r="CC64" s="143">
        <f>+CC63*CC61/(1+CC63^Parameters!$B$125)</f>
        <v>0.28321180195357476</v>
      </c>
      <c r="CD64" s="143">
        <f>+CD63*CD61/(1+CD63^Parameters!$B$125)</f>
        <v>0.28472864582015578</v>
      </c>
      <c r="CE64" s="143">
        <f>+CE63*CE61/(1+CE63^Parameters!$B$125)</f>
        <v>0.28626370832975884</v>
      </c>
      <c r="CF64" s="143">
        <f>+CF63*CF61/(1+CF63^Parameters!$B$125)</f>
        <v>0.28781659174747792</v>
      </c>
      <c r="CG64" s="143">
        <f>+CG63*CG61/(1+CG63^Parameters!$B$125)</f>
        <v>0.28938690794115168</v>
      </c>
      <c r="CH64" s="143">
        <f>+CH63*CH61/(1+CH63^Parameters!$B$125)</f>
        <v>0.29097427813183496</v>
      </c>
      <c r="CI64" s="143">
        <f>+CI63*CI61/(1+CI63^Parameters!$B$125)</f>
        <v>0.29257833265148253</v>
      </c>
      <c r="CJ64" s="143">
        <f>+CJ63*CJ61/(1+CJ63^Parameters!$B$125)</f>
        <v>0.29419871070760373</v>
      </c>
      <c r="CK64" s="143">
        <f>+CK63*CK61/(1+CK63^Parameters!$B$125)</f>
        <v>0.29583506015465993</v>
      </c>
      <c r="CL64" s="143">
        <f>+CL63*CL61/(1+CL63^Parameters!$B$125)</f>
        <v>0.297487037271982</v>
      </c>
      <c r="CM64" s="143">
        <f>+CM63*CM61/(1+CM63^Parameters!$B$125)</f>
        <v>0.29915430654799641</v>
      </c>
      <c r="CN64" s="143">
        <f>+CN63*CN61/(1+CN63^Parameters!$B$125)</f>
        <v>0.30083654047055475</v>
      </c>
      <c r="CO64" s="143">
        <f>+CO63*CO61/(1+CO63^Parameters!$B$125)</f>
        <v>0.30253341932316902</v>
      </c>
      <c r="CP64" s="143">
        <f>+CP63*CP61/(1+CP63^Parameters!$B$125)</f>
        <v>0.30424463098696308</v>
      </c>
      <c r="CQ64" s="143">
        <f>+CQ63*CQ61/(1+CQ63^Parameters!$B$125)</f>
        <v>0.30596987074815785</v>
      </c>
      <c r="CR64" s="143">
        <f>+CR63*CR61/(1+CR63^Parameters!$B$125)</f>
        <v>0.30770884111091296</v>
      </c>
      <c r="CS64" s="143">
        <f>+CS63*CS61/(1+CS63^Parameters!$B$125)</f>
        <v>0.3094612516153567</v>
      </c>
      <c r="CT64" s="143">
        <f>+CT63*CT61/(1+CT63^Parameters!$B$125)</f>
        <v>0.31122681866063917</v>
      </c>
      <c r="CU64" s="143">
        <f>+CU63*CU61/(1+CU63^Parameters!$B$125)</f>
        <v>0.31300526533285195</v>
      </c>
      <c r="CV64" s="143">
        <f>+CV63*CV61/(1+CV63^Parameters!$B$125)</f>
        <v>0.31479632123766227</v>
      </c>
    </row>
    <row r="65" spans="1:237" s="45" customFormat="1" ht="18" customHeight="1" x14ac:dyDescent="0.2">
      <c r="A65" s="555" t="s">
        <v>21</v>
      </c>
      <c r="B65" s="45">
        <f>+B61/(1+B63)</f>
        <v>4.0524090988106485</v>
      </c>
      <c r="C65" s="45">
        <f t="shared" ref="C65:BN65" si="15">+C61-C64</f>
        <v>4.1951164136381198</v>
      </c>
      <c r="D65" s="45">
        <f t="shared" si="15"/>
        <v>4.2342333750487589</v>
      </c>
      <c r="E65" s="45">
        <f t="shared" si="15"/>
        <v>4.2146157081164928</v>
      </c>
      <c r="F65" s="45">
        <f t="shared" si="15"/>
        <v>4.259575380694673</v>
      </c>
      <c r="G65" s="45">
        <f t="shared" si="15"/>
        <v>4.3703382816154734</v>
      </c>
      <c r="H65" s="45">
        <f t="shared" si="15"/>
        <v>4.5082073047634008</v>
      </c>
      <c r="I65" s="45">
        <f t="shared" si="15"/>
        <v>4.5510344920749271</v>
      </c>
      <c r="J65" s="45">
        <f t="shared" si="15"/>
        <v>4.4914499701814323</v>
      </c>
      <c r="K65" s="45">
        <f t="shared" si="15"/>
        <v>4.4787280666702216</v>
      </c>
      <c r="L65" s="45">
        <f t="shared" si="15"/>
        <v>4.602322597509005</v>
      </c>
      <c r="M65" s="45">
        <f t="shared" si="15"/>
        <v>4.6184190607943281</v>
      </c>
      <c r="N65" s="45">
        <f t="shared" si="15"/>
        <v>4.6189654696700835</v>
      </c>
      <c r="O65" s="45">
        <f t="shared" si="15"/>
        <v>4.6898780722225553</v>
      </c>
      <c r="P65" s="45">
        <f t="shared" si="15"/>
        <v>4.7934458090152514</v>
      </c>
      <c r="Q65" s="45">
        <f t="shared" si="15"/>
        <v>4.8778549194449621</v>
      </c>
      <c r="R65" s="45">
        <f t="shared" si="15"/>
        <v>4.9450894345188834</v>
      </c>
      <c r="S65" s="45">
        <f t="shared" si="15"/>
        <v>5.0180273455390685</v>
      </c>
      <c r="T65" s="45">
        <f t="shared" si="15"/>
        <v>4.9581217732057867</v>
      </c>
      <c r="U65" s="45">
        <f t="shared" si="15"/>
        <v>4.674298409361934</v>
      </c>
      <c r="V65" s="45">
        <f t="shared" si="15"/>
        <v>4.8647100765620177</v>
      </c>
      <c r="W65" s="45">
        <f t="shared" si="15"/>
        <v>4.8673221648046221</v>
      </c>
      <c r="X65" s="45">
        <f t="shared" si="15"/>
        <v>4.9335365096282509</v>
      </c>
      <c r="Y65" s="45">
        <f t="shared" si="15"/>
        <v>5.031859158752229</v>
      </c>
      <c r="Z65" s="45">
        <f t="shared" si="15"/>
        <v>5.0456499942998239</v>
      </c>
      <c r="AA65" s="45">
        <f t="shared" si="15"/>
        <v>5.1213517407826528</v>
      </c>
      <c r="AB65" s="45">
        <f t="shared" si="15"/>
        <v>5.1575244855582962</v>
      </c>
      <c r="AC65" s="45">
        <f t="shared" si="15"/>
        <v>5.2456372005343761</v>
      </c>
      <c r="AD65" s="45">
        <f t="shared" si="15"/>
        <v>5.2805887053663092</v>
      </c>
      <c r="AE65" s="45">
        <f t="shared" si="15"/>
        <v>5.2565631060402414</v>
      </c>
      <c r="AF65" s="45">
        <f t="shared" si="15"/>
        <v>5.0377910161539843</v>
      </c>
      <c r="AG65" s="45">
        <f t="shared" si="15"/>
        <v>5.1698329879429084</v>
      </c>
      <c r="AH65" s="45">
        <f t="shared" si="15"/>
        <v>5.2182419499141526</v>
      </c>
      <c r="AI65" s="45">
        <f t="shared" si="15"/>
        <v>22.919414450268054</v>
      </c>
      <c r="AJ65" s="45">
        <f t="shared" si="15"/>
        <v>33.535702019494074</v>
      </c>
      <c r="AK65" s="45">
        <f t="shared" si="15"/>
        <v>40.033392201210837</v>
      </c>
      <c r="AL65" s="45">
        <f t="shared" si="15"/>
        <v>44.356468790557621</v>
      </c>
      <c r="AM65" s="45">
        <f t="shared" si="15"/>
        <v>47.552415580724471</v>
      </c>
      <c r="AN65" s="45">
        <f t="shared" si="15"/>
        <v>50.164303003366413</v>
      </c>
      <c r="AO65" s="45">
        <f t="shared" si="15"/>
        <v>52.481250087259397</v>
      </c>
      <c r="AP65" s="45">
        <f t="shared" si="15"/>
        <v>54.660765788133645</v>
      </c>
      <c r="AQ65" s="45">
        <f t="shared" si="15"/>
        <v>56.790172723718214</v>
      </c>
      <c r="AR65" s="45">
        <f t="shared" si="15"/>
        <v>58.918700447300978</v>
      </c>
      <c r="AS65" s="45">
        <f t="shared" si="15"/>
        <v>61.074706580783442</v>
      </c>
      <c r="AT65" s="45">
        <f t="shared" si="15"/>
        <v>63.275062350844195</v>
      </c>
      <c r="AU65" s="45">
        <f t="shared" si="15"/>
        <v>65.530312172282606</v>
      </c>
      <c r="AV65" s="45">
        <f t="shared" si="15"/>
        <v>67.847523678339002</v>
      </c>
      <c r="AW65" s="45">
        <f t="shared" si="15"/>
        <v>70.231866417016022</v>
      </c>
      <c r="AX65" s="45">
        <f t="shared" si="15"/>
        <v>72.687488057300541</v>
      </c>
      <c r="AY65" s="45">
        <f t="shared" si="15"/>
        <v>75.218001681624074</v>
      </c>
      <c r="AZ65" s="45">
        <f t="shared" si="15"/>
        <v>77.826757578072971</v>
      </c>
      <c r="BA65" s="45">
        <f t="shared" si="15"/>
        <v>80.516995589117158</v>
      </c>
      <c r="BB65" s="45">
        <f t="shared" si="15"/>
        <v>83.291931265876912</v>
      </c>
      <c r="BC65" s="45">
        <f t="shared" si="15"/>
        <v>86.154805356359304</v>
      </c>
      <c r="BD65" s="45">
        <f t="shared" si="15"/>
        <v>89.108913003968837</v>
      </c>
      <c r="BE65" s="45">
        <f t="shared" si="15"/>
        <v>92.157621738576054</v>
      </c>
      <c r="BF65" s="45">
        <f t="shared" si="15"/>
        <v>95.309649675585689</v>
      </c>
      <c r="BG65" s="45">
        <f t="shared" si="15"/>
        <v>98.563531396264494</v>
      </c>
      <c r="BH65" s="45">
        <f t="shared" si="15"/>
        <v>101.92146023053073</v>
      </c>
      <c r="BI65" s="45">
        <f t="shared" si="15"/>
        <v>105.38704709285118</v>
      </c>
      <c r="BJ65" s="45">
        <f t="shared" si="15"/>
        <v>105.38385079704901</v>
      </c>
      <c r="BK65" s="45">
        <f t="shared" si="15"/>
        <v>105.38277055378119</v>
      </c>
      <c r="BL65" s="45">
        <f t="shared" si="15"/>
        <v>105.38166231630181</v>
      </c>
      <c r="BM65" s="45">
        <f t="shared" si="15"/>
        <v>105.38052672391031</v>
      </c>
      <c r="BN65" s="45">
        <f t="shared" si="15"/>
        <v>105.379364399793</v>
      </c>
      <c r="BO65" s="45">
        <f t="shared" ref="BO65:CV65" si="16">+BO61-BO64</f>
        <v>105.37817595147057</v>
      </c>
      <c r="BP65" s="45">
        <f t="shared" si="16"/>
        <v>105.37696197123122</v>
      </c>
      <c r="BQ65" s="45">
        <f t="shared" si="16"/>
        <v>105.37572303655053</v>
      </c>
      <c r="BR65" s="45">
        <f t="shared" si="16"/>
        <v>105.3744597104978</v>
      </c>
      <c r="BS65" s="45">
        <f t="shared" si="16"/>
        <v>105.37317254213008</v>
      </c>
      <c r="BT65" s="45">
        <f t="shared" si="16"/>
        <v>105.3718620668738</v>
      </c>
      <c r="BU65" s="45">
        <f t="shared" si="16"/>
        <v>105.37052880689474</v>
      </c>
      <c r="BV65" s="45">
        <f t="shared" si="16"/>
        <v>105.36917327145655</v>
      </c>
      <c r="BW65" s="45">
        <f t="shared" si="16"/>
        <v>105.36779595726844</v>
      </c>
      <c r="BX65" s="45">
        <f t="shared" si="16"/>
        <v>105.36639734882222</v>
      </c>
      <c r="BY65" s="45">
        <f t="shared" si="16"/>
        <v>105.36497791871915</v>
      </c>
      <c r="BZ65" s="45">
        <f t="shared" si="16"/>
        <v>105.36353812798706</v>
      </c>
      <c r="CA65" s="45">
        <f t="shared" si="16"/>
        <v>105.36207842638778</v>
      </c>
      <c r="CB65" s="45">
        <f t="shared" si="16"/>
        <v>105.36059925271559</v>
      </c>
      <c r="CC65" s="45">
        <f t="shared" si="16"/>
        <v>105.35910103508667</v>
      </c>
      <c r="CD65" s="45">
        <f t="shared" si="16"/>
        <v>105.35758419122008</v>
      </c>
      <c r="CE65" s="45">
        <f t="shared" si="16"/>
        <v>105.35604912871048</v>
      </c>
      <c r="CF65" s="45">
        <f t="shared" si="16"/>
        <v>105.35449624529276</v>
      </c>
      <c r="CG65" s="45">
        <f t="shared" si="16"/>
        <v>105.35292592909909</v>
      </c>
      <c r="CH65" s="45">
        <f t="shared" si="16"/>
        <v>105.3513385589084</v>
      </c>
      <c r="CI65" s="45">
        <f t="shared" si="16"/>
        <v>105.34973450438875</v>
      </c>
      <c r="CJ65" s="45">
        <f t="shared" si="16"/>
        <v>105.34811412633263</v>
      </c>
      <c r="CK65" s="45">
        <f t="shared" si="16"/>
        <v>105.34647777688558</v>
      </c>
      <c r="CL65" s="45">
        <f t="shared" si="16"/>
        <v>105.34482579976826</v>
      </c>
      <c r="CM65" s="45">
        <f t="shared" si="16"/>
        <v>105.34315853049225</v>
      </c>
      <c r="CN65" s="45">
        <f t="shared" si="16"/>
        <v>105.34147629656968</v>
      </c>
      <c r="CO65" s="45">
        <f t="shared" si="16"/>
        <v>105.33977941771707</v>
      </c>
      <c r="CP65" s="45">
        <f t="shared" si="16"/>
        <v>105.33806820605328</v>
      </c>
      <c r="CQ65" s="45">
        <f t="shared" si="16"/>
        <v>105.33634296629208</v>
      </c>
      <c r="CR65" s="45">
        <f t="shared" si="16"/>
        <v>105.33460399592933</v>
      </c>
      <c r="CS65" s="45">
        <f t="shared" si="16"/>
        <v>105.33285158542488</v>
      </c>
      <c r="CT65" s="45">
        <f t="shared" si="16"/>
        <v>105.33108601837959</v>
      </c>
      <c r="CU65" s="45">
        <f t="shared" si="16"/>
        <v>105.32930757170739</v>
      </c>
      <c r="CV65" s="45">
        <f t="shared" si="16"/>
        <v>105.32751651580257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9.3645941720022528E-12</v>
      </c>
      <c r="E66" s="33">
        <f t="shared" si="17"/>
        <v>8.2964136746302469E-12</v>
      </c>
      <c r="F66" s="33">
        <f t="shared" si="17"/>
        <v>7.4387549774239963E-12</v>
      </c>
      <c r="G66" s="33">
        <f t="shared" si="17"/>
        <v>6.7419985762234713E-12</v>
      </c>
      <c r="H66" s="33">
        <f t="shared" si="17"/>
        <v>6.1699039094218158E-12</v>
      </c>
      <c r="I66" s="33">
        <f t="shared" si="17"/>
        <v>5.695602512861643E-12</v>
      </c>
      <c r="J66" s="33">
        <f t="shared" si="17"/>
        <v>5.2988949793182462E-12</v>
      </c>
      <c r="K66" s="33">
        <f t="shared" si="17"/>
        <v>4.9643973838616758E-12</v>
      </c>
      <c r="L66" s="33">
        <f t="shared" si="17"/>
        <v>4.6802506522179705E-12</v>
      </c>
      <c r="M66" s="33">
        <f t="shared" si="17"/>
        <v>4.4372089776433462E-12</v>
      </c>
      <c r="N66" s="33">
        <f t="shared" si="17"/>
        <v>4.2279872989632019E-12</v>
      </c>
      <c r="O66" s="33">
        <f t="shared" si="17"/>
        <v>4.0467883301363318E-12</v>
      </c>
      <c r="P66" s="33">
        <f t="shared" si="17"/>
        <v>3.8889556804715852E-12</v>
      </c>
      <c r="Q66" s="33">
        <f t="shared" si="17"/>
        <v>3.7507166242390214E-12</v>
      </c>
      <c r="R66" s="33">
        <f t="shared" si="17"/>
        <v>3.6289893556773811E-12</v>
      </c>
      <c r="S66" s="33">
        <f t="shared" si="17"/>
        <v>3.5212371424363481E-12</v>
      </c>
      <c r="T66" s="33">
        <f t="shared" si="17"/>
        <v>3.4253569388056102E-12</v>
      </c>
      <c r="U66" s="33">
        <f t="shared" si="17"/>
        <v>3.3395935668881095E-12</v>
      </c>
      <c r="V66" s="33">
        <f t="shared" si="17"/>
        <v>3.2624730474002683E-12</v>
      </c>
      <c r="W66" s="33">
        <f t="shared" si="17"/>
        <v>3.1927504215962438E-12</v>
      </c>
      <c r="X66" s="33">
        <f t="shared" si="17"/>
        <v>3.129368553694809E-12</v>
      </c>
      <c r="Y66" s="33">
        <f t="shared" si="17"/>
        <v>3.0714254228597818E-12</v>
      </c>
      <c r="Z66" s="33">
        <f t="shared" si="17"/>
        <v>3.01814795622215E-12</v>
      </c>
      <c r="AA66" s="33">
        <f t="shared" si="17"/>
        <v>2.9688709589196778E-12</v>
      </c>
      <c r="AB66" s="33">
        <f t="shared" si="17"/>
        <v>2.8063753925261655E-3</v>
      </c>
      <c r="AC66" s="33">
        <f t="shared" si="17"/>
        <v>2.6153687378578034E-3</v>
      </c>
      <c r="AD66" s="33">
        <f t="shared" si="17"/>
        <v>2.4410908886455334E-3</v>
      </c>
      <c r="AE66" s="33">
        <f t="shared" si="17"/>
        <v>2.2817154393092102E-3</v>
      </c>
      <c r="AF66" s="33">
        <f t="shared" si="17"/>
        <v>2.1356603466994866E-3</v>
      </c>
      <c r="AG66" s="33">
        <f t="shared" si="17"/>
        <v>2.0015492900364701E-3</v>
      </c>
      <c r="AH66" s="33">
        <f t="shared" ref="AH66:BI66" si="18">(AH31*(AH103)^$B38)</f>
        <v>1.8781799477383667E-3</v>
      </c>
      <c r="AI66" s="33">
        <f t="shared" si="18"/>
        <v>1.7644978312274353E-3</v>
      </c>
      <c r="AJ66" s="33">
        <f t="shared" si="18"/>
        <v>1.6595746048330812E-3</v>
      </c>
      <c r="AK66" s="33">
        <f t="shared" si="18"/>
        <v>1.5625900440851507E-3</v>
      </c>
      <c r="AL66" s="33">
        <f t="shared" si="18"/>
        <v>1.472816957995123E-3</v>
      </c>
      <c r="AM66" s="33">
        <f t="shared" si="18"/>
        <v>1.3896085362371318E-3</v>
      </c>
      <c r="AN66" s="33">
        <f t="shared" si="18"/>
        <v>1.312387688344118E-3</v>
      </c>
      <c r="AO66" s="33">
        <f t="shared" si="18"/>
        <v>1.2406380258054581E-3</v>
      </c>
      <c r="AP66" s="33">
        <f t="shared" si="18"/>
        <v>1.1738962043440239E-3</v>
      </c>
      <c r="AQ66" s="33">
        <f t="shared" si="18"/>
        <v>1.1117453965075626E-3</v>
      </c>
      <c r="AR66" s="33">
        <f t="shared" si="18"/>
        <v>1.0538097069732607E-3</v>
      </c>
      <c r="AS66" s="33">
        <f t="shared" si="18"/>
        <v>9.9974937689809051E-4</v>
      </c>
      <c r="AT66" s="33">
        <f t="shared" si="18"/>
        <v>9.4925665100041633E-4</v>
      </c>
      <c r="AU66" s="33">
        <f t="shared" si="18"/>
        <v>9.0205220318968153E-4</v>
      </c>
      <c r="AV66" s="33">
        <f t="shared" si="18"/>
        <v>8.578820345319407E-4</v>
      </c>
      <c r="AW66" s="33">
        <f t="shared" si="18"/>
        <v>8.1651477198184743E-4</v>
      </c>
      <c r="AX66" s="33">
        <f t="shared" si="18"/>
        <v>7.7773930828206183E-4</v>
      </c>
      <c r="AY66" s="33">
        <f t="shared" si="18"/>
        <v>7.4136273324759705E-4</v>
      </c>
      <c r="AZ66" s="33">
        <f t="shared" si="18"/>
        <v>7.0720851472734676E-4</v>
      </c>
      <c r="BA66" s="33">
        <f t="shared" si="18"/>
        <v>6.7511489419647011E-4</v>
      </c>
      <c r="BB66" s="33">
        <f t="shared" si="18"/>
        <v>6.4493346744439318E-4</v>
      </c>
      <c r="BC66" s="33">
        <f t="shared" si="18"/>
        <v>6.1652792539513017E-4</v>
      </c>
      <c r="BD66" s="33">
        <f t="shared" si="18"/>
        <v>5.8977293389965262E-4</v>
      </c>
      <c r="BE66" s="33">
        <f t="shared" si="18"/>
        <v>2.874599594951687E-4</v>
      </c>
      <c r="BF66" s="33">
        <f t="shared" si="18"/>
        <v>1.4011734329449796E-4</v>
      </c>
      <c r="BG66" s="33">
        <f t="shared" si="18"/>
        <v>6.8300870567258737E-5</v>
      </c>
      <c r="BH66" s="33">
        <f t="shared" si="18"/>
        <v>3.3294953600552428E-5</v>
      </c>
      <c r="BI66" s="33">
        <f t="shared" si="18"/>
        <v>1.6231050743460063E-5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4.6887937165076348E-11</v>
      </c>
      <c r="C67" s="23">
        <f>+C61*C66</f>
        <v>4.4977976399194375E-11</v>
      </c>
      <c r="D67" s="23">
        <f t="shared" ref="D67:BI67" si="19">+D61*D66</f>
        <v>3.9673291049083124E-11</v>
      </c>
      <c r="E67" s="23">
        <f t="shared" si="19"/>
        <v>3.4986516753919144E-11</v>
      </c>
      <c r="F67" s="23">
        <f t="shared" si="19"/>
        <v>3.1709568379616825E-11</v>
      </c>
      <c r="G67" s="23">
        <f t="shared" si="19"/>
        <v>2.9495603877077611E-11</v>
      </c>
      <c r="H67" s="23">
        <f t="shared" si="19"/>
        <v>2.7838661782879207E-11</v>
      </c>
      <c r="I67" s="23">
        <f t="shared" si="19"/>
        <v>2.5950771768572434E-11</v>
      </c>
      <c r="J67" s="23">
        <f t="shared" si="19"/>
        <v>2.3836561136776286E-11</v>
      </c>
      <c r="K67" s="23">
        <f t="shared" si="19"/>
        <v>2.2257283639639204E-11</v>
      </c>
      <c r="L67" s="23">
        <f t="shared" si="19"/>
        <v>2.156346120617202E-11</v>
      </c>
      <c r="M67" s="23">
        <f t="shared" si="19"/>
        <v>2.0522621684855065E-11</v>
      </c>
      <c r="N67" s="23">
        <f t="shared" si="19"/>
        <v>1.9563152167150954E-11</v>
      </c>
      <c r="O67" s="23">
        <f t="shared" si="19"/>
        <v>1.9012181772999067E-11</v>
      </c>
      <c r="P67" s="23">
        <f t="shared" si="19"/>
        <v>1.8670087520858617E-11</v>
      </c>
      <c r="Q67" s="23">
        <f t="shared" si="19"/>
        <v>1.8331247992593224E-11</v>
      </c>
      <c r="R67" s="23">
        <f t="shared" si="19"/>
        <v>1.797972267082451E-11</v>
      </c>
      <c r="S67" s="23">
        <f t="shared" si="19"/>
        <v>1.7704758787280478E-11</v>
      </c>
      <c r="T67" s="23">
        <f t="shared" si="19"/>
        <v>1.7011818410747762E-11</v>
      </c>
      <c r="U67" s="23">
        <f t="shared" si="19"/>
        <v>1.5641606699353565E-11</v>
      </c>
      <c r="V67" s="23">
        <f t="shared" si="19"/>
        <v>1.5906576608658653E-11</v>
      </c>
      <c r="W67" s="23">
        <f t="shared" si="19"/>
        <v>1.5570341969319365E-11</v>
      </c>
      <c r="X67" s="23">
        <f t="shared" si="19"/>
        <v>1.5471046616497848E-11</v>
      </c>
      <c r="Y67" s="23">
        <f t="shared" si="19"/>
        <v>1.5489052149934278E-11</v>
      </c>
      <c r="Z67" s="23">
        <f t="shared" si="19"/>
        <v>1.5265460016926211E-11</v>
      </c>
      <c r="AA67" s="23">
        <f t="shared" si="19"/>
        <v>1.5250569566217302E-11</v>
      </c>
      <c r="AB67" s="23">
        <f t="shared" si="19"/>
        <v>1.4524528928730674E-2</v>
      </c>
      <c r="AC67" s="23">
        <f t="shared" si="19"/>
        <v>1.3762737247882618E-2</v>
      </c>
      <c r="AD67" s="23">
        <f t="shared" si="19"/>
        <v>1.2928290474900038E-2</v>
      </c>
      <c r="AE67" s="23">
        <f t="shared" si="19"/>
        <v>1.2035621250955877E-2</v>
      </c>
      <c r="AF67" s="23">
        <f t="shared" si="19"/>
        <v>1.0798026443800436E-2</v>
      </c>
      <c r="AG67" s="23">
        <f t="shared" si="19"/>
        <v>1.0378954923547762E-2</v>
      </c>
      <c r="AH67" s="23">
        <f t="shared" si="19"/>
        <v>9.8322120712195579E-3</v>
      </c>
      <c r="AI67" s="23">
        <f t="shared" si="19"/>
        <v>4.0620112888709779E-2</v>
      </c>
      <c r="AJ67" s="23">
        <f t="shared" si="19"/>
        <v>5.574251539585344E-2</v>
      </c>
      <c r="AK67" s="23">
        <f t="shared" si="19"/>
        <v>6.2663935172924498E-2</v>
      </c>
      <c r="AL67" s="23">
        <f t="shared" si="19"/>
        <v>6.5447092013169381E-2</v>
      </c>
      <c r="AM67" s="23">
        <f t="shared" si="19"/>
        <v>6.6201926453823834E-2</v>
      </c>
      <c r="AN67" s="23">
        <f t="shared" si="19"/>
        <v>6.5959504342846462E-2</v>
      </c>
      <c r="AO67" s="23">
        <f t="shared" si="19"/>
        <v>6.5235151067774194E-2</v>
      </c>
      <c r="AP67" s="23">
        <f t="shared" si="19"/>
        <v>6.4290730717217137E-2</v>
      </c>
      <c r="AQ67" s="23">
        <f t="shared" si="19"/>
        <v>6.3260316427889415E-2</v>
      </c>
      <c r="AR67" s="23">
        <f t="shared" si="19"/>
        <v>6.2212521225321261E-2</v>
      </c>
      <c r="AS67" s="23">
        <f t="shared" si="19"/>
        <v>6.118212389412947E-2</v>
      </c>
      <c r="AT67" s="23">
        <f t="shared" si="19"/>
        <v>6.01863334112646E-2</v>
      </c>
      <c r="AU67" s="23">
        <f t="shared" si="19"/>
        <v>5.9233219161697687E-2</v>
      </c>
      <c r="AV67" s="23">
        <f t="shared" si="19"/>
        <v>5.8326100672073646E-2</v>
      </c>
      <c r="AW67" s="23">
        <f t="shared" si="19"/>
        <v>5.7465839763465823E-2</v>
      </c>
      <c r="AX67" s="23">
        <f t="shared" si="19"/>
        <v>5.6652039455602425E-2</v>
      </c>
      <c r="AY67" s="23">
        <f t="shared" si="19"/>
        <v>5.5883671636484548E-2</v>
      </c>
      <c r="AZ67" s="23">
        <f t="shared" si="19"/>
        <v>5.51594057297628E-2</v>
      </c>
      <c r="BA67" s="23">
        <f t="shared" si="19"/>
        <v>5.4477780640646213E-2</v>
      </c>
      <c r="BB67" s="23">
        <f t="shared" si="19"/>
        <v>5.3837294459002996E-2</v>
      </c>
      <c r="BC67" s="23">
        <f t="shared" si="19"/>
        <v>5.3236450955089991E-2</v>
      </c>
      <c r="BD67" s="23">
        <f t="shared" si="19"/>
        <v>5.2673783349718818E-2</v>
      </c>
      <c r="BE67" s="23">
        <f t="shared" si="19"/>
        <v>2.6552723854467185E-2</v>
      </c>
      <c r="BF67" s="23">
        <f t="shared" si="19"/>
        <v>1.3385709636916581E-2</v>
      </c>
      <c r="BG67" s="23">
        <f t="shared" si="19"/>
        <v>6.7478832178035708E-3</v>
      </c>
      <c r="BH67" s="23">
        <f t="shared" si="19"/>
        <v>3.4015886386984831E-3</v>
      </c>
      <c r="BI67" s="23">
        <f t="shared" si="19"/>
        <v>1.7146857403144825E-3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4.0524090987637607</v>
      </c>
      <c r="C68" s="23">
        <f>+C65-C67</f>
        <v>4.1951164135931416</v>
      </c>
      <c r="D68" s="23">
        <f>+D65-D67</f>
        <v>4.2342333750090857</v>
      </c>
      <c r="E68" s="23">
        <f>+E65-E67</f>
        <v>4.2146157080815065</v>
      </c>
      <c r="F68" s="23">
        <f>+F65-F67</f>
        <v>4.2595753806629633</v>
      </c>
      <c r="G68" s="23">
        <f t="shared" ref="G68:BI68" si="20">+G65-G67</f>
        <v>4.3703382815859779</v>
      </c>
      <c r="H68" s="23">
        <f t="shared" si="20"/>
        <v>4.5082073047355617</v>
      </c>
      <c r="I68" s="23">
        <f t="shared" si="20"/>
        <v>4.5510344920489763</v>
      </c>
      <c r="J68" s="23">
        <f t="shared" si="20"/>
        <v>4.4914499701575954</v>
      </c>
      <c r="K68" s="23">
        <f t="shared" si="20"/>
        <v>4.4787280666479647</v>
      </c>
      <c r="L68" s="23">
        <f t="shared" si="20"/>
        <v>4.6023225974874418</v>
      </c>
      <c r="M68" s="23">
        <f t="shared" si="20"/>
        <v>4.6184190607738058</v>
      </c>
      <c r="N68" s="23">
        <f t="shared" si="20"/>
        <v>4.6189654696505205</v>
      </c>
      <c r="O68" s="23">
        <f t="shared" si="20"/>
        <v>4.6898780722035429</v>
      </c>
      <c r="P68" s="23">
        <f t="shared" si="20"/>
        <v>4.793445808996581</v>
      </c>
      <c r="Q68" s="23">
        <f t="shared" si="20"/>
        <v>4.877854919426631</v>
      </c>
      <c r="R68" s="23">
        <f t="shared" si="20"/>
        <v>4.945089434500904</v>
      </c>
      <c r="S68" s="23">
        <f t="shared" si="20"/>
        <v>5.0180273455213635</v>
      </c>
      <c r="T68" s="23">
        <f t="shared" si="20"/>
        <v>4.9581217731887746</v>
      </c>
      <c r="U68" s="23">
        <f t="shared" si="20"/>
        <v>4.6742984093462923</v>
      </c>
      <c r="V68" s="23">
        <f t="shared" si="20"/>
        <v>4.8647100765461113</v>
      </c>
      <c r="W68" s="23">
        <f t="shared" si="20"/>
        <v>4.8673221647890514</v>
      </c>
      <c r="X68" s="23">
        <f t="shared" si="20"/>
        <v>4.9335365096127797</v>
      </c>
      <c r="Y68" s="23">
        <f t="shared" si="20"/>
        <v>5.0318591587367401</v>
      </c>
      <c r="Z68" s="23">
        <f t="shared" si="20"/>
        <v>5.0456499942845587</v>
      </c>
      <c r="AA68" s="23">
        <f t="shared" si="20"/>
        <v>5.1213517407674019</v>
      </c>
      <c r="AB68" s="23">
        <f t="shared" si="20"/>
        <v>5.1429999566295654</v>
      </c>
      <c r="AC68" s="23">
        <f t="shared" si="20"/>
        <v>5.2318744632864931</v>
      </c>
      <c r="AD68" s="23">
        <f t="shared" si="20"/>
        <v>5.2676604148914095</v>
      </c>
      <c r="AE68" s="23">
        <f t="shared" si="20"/>
        <v>5.2445274847892858</v>
      </c>
      <c r="AF68" s="23">
        <f t="shared" si="20"/>
        <v>5.0269929897101839</v>
      </c>
      <c r="AG68" s="23">
        <f t="shared" si="20"/>
        <v>5.1594540330193608</v>
      </c>
      <c r="AH68" s="23">
        <f t="shared" si="20"/>
        <v>5.208409737842933</v>
      </c>
      <c r="AI68" s="23">
        <f t="shared" si="20"/>
        <v>22.878794337379343</v>
      </c>
      <c r="AJ68" s="23">
        <f t="shared" si="20"/>
        <v>33.479959504098218</v>
      </c>
      <c r="AK68" s="23">
        <f t="shared" si="20"/>
        <v>39.970728266037916</v>
      </c>
      <c r="AL68" s="23">
        <f t="shared" si="20"/>
        <v>44.291021698544448</v>
      </c>
      <c r="AM68" s="23">
        <f t="shared" si="20"/>
        <v>47.486213654270649</v>
      </c>
      <c r="AN68" s="23">
        <f t="shared" si="20"/>
        <v>50.098343499023564</v>
      </c>
      <c r="AO68" s="23">
        <f t="shared" si="20"/>
        <v>52.416014936191623</v>
      </c>
      <c r="AP68" s="23">
        <f t="shared" si="20"/>
        <v>54.596475057416427</v>
      </c>
      <c r="AQ68" s="23">
        <f t="shared" si="20"/>
        <v>56.726912407290328</v>
      </c>
      <c r="AR68" s="23">
        <f t="shared" si="20"/>
        <v>58.856487926075658</v>
      </c>
      <c r="AS68" s="23">
        <f t="shared" si="20"/>
        <v>61.013524456889314</v>
      </c>
      <c r="AT68" s="23">
        <f t="shared" si="20"/>
        <v>63.214876017432928</v>
      </c>
      <c r="AU68" s="23">
        <f t="shared" si="20"/>
        <v>65.471078953120909</v>
      </c>
      <c r="AV68" s="23">
        <f t="shared" si="20"/>
        <v>67.789197577666926</v>
      </c>
      <c r="AW68" s="23">
        <f t="shared" si="20"/>
        <v>70.174400577252555</v>
      </c>
      <c r="AX68" s="23">
        <f t="shared" si="20"/>
        <v>72.630836017844942</v>
      </c>
      <c r="AY68" s="23">
        <f t="shared" si="20"/>
        <v>75.162118009987594</v>
      </c>
      <c r="AZ68" s="23">
        <f t="shared" si="20"/>
        <v>77.771598172343204</v>
      </c>
      <c r="BA68" s="23">
        <f t="shared" si="20"/>
        <v>80.462517808476505</v>
      </c>
      <c r="BB68" s="23">
        <f t="shared" si="20"/>
        <v>83.238093971417911</v>
      </c>
      <c r="BC68" s="23">
        <f t="shared" si="20"/>
        <v>86.101568905404221</v>
      </c>
      <c r="BD68" s="23">
        <f t="shared" si="20"/>
        <v>89.056239220619119</v>
      </c>
      <c r="BE68" s="23">
        <f t="shared" si="20"/>
        <v>92.131069014721589</v>
      </c>
      <c r="BF68" s="23">
        <f t="shared" si="20"/>
        <v>95.296263965948768</v>
      </c>
      <c r="BG68" s="23">
        <f t="shared" si="20"/>
        <v>98.556783513046696</v>
      </c>
      <c r="BH68" s="23">
        <f t="shared" si="20"/>
        <v>101.91805864189203</v>
      </c>
      <c r="BI68" s="23">
        <f t="shared" si="20"/>
        <v>105.38533240711087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0.38756902268862453</v>
      </c>
      <c r="C70" s="45">
        <f t="shared" si="21"/>
        <v>0.3623888225610658</v>
      </c>
      <c r="D70" s="45">
        <f t="shared" si="21"/>
        <v>0.31161582077807776</v>
      </c>
      <c r="E70" s="45">
        <f t="shared" si="21"/>
        <v>0.26793549515532844</v>
      </c>
      <c r="F70" s="45">
        <f t="shared" si="21"/>
        <v>0.23680591729129</v>
      </c>
      <c r="G70" s="45">
        <f t="shared" si="21"/>
        <v>0.21483209737160114</v>
      </c>
      <c r="H70" s="45">
        <f t="shared" si="21"/>
        <v>0.19778780697615256</v>
      </c>
      <c r="I70" s="45">
        <f t="shared" si="21"/>
        <v>0.17988007449484822</v>
      </c>
      <c r="J70" s="45">
        <f t="shared" si="21"/>
        <v>0.16122526746022373</v>
      </c>
      <c r="K70" s="45">
        <f t="shared" si="21"/>
        <v>0.14692521045042015</v>
      </c>
      <c r="L70" s="45">
        <f t="shared" si="21"/>
        <v>0.13894985546468303</v>
      </c>
      <c r="M70" s="45">
        <f t="shared" si="21"/>
        <v>0.12911350602008742</v>
      </c>
      <c r="N70" s="45">
        <f t="shared" si="21"/>
        <v>0.12018868746978692</v>
      </c>
      <c r="O70" s="45">
        <f t="shared" si="21"/>
        <v>0.11408600595192554</v>
      </c>
      <c r="P70" s="45">
        <f t="shared" si="21"/>
        <v>0.10944986194984077</v>
      </c>
      <c r="Q70" s="45">
        <f t="shared" si="21"/>
        <v>0.10500868335786298</v>
      </c>
      <c r="R70" s="45">
        <f t="shared" si="21"/>
        <v>0.10066522335314299</v>
      </c>
      <c r="S70" s="45">
        <f t="shared" si="21"/>
        <v>9.6906270242863066E-2</v>
      </c>
      <c r="T70" s="45">
        <f t="shared" si="21"/>
        <v>9.1050686623450963E-2</v>
      </c>
      <c r="U70" s="45">
        <f t="shared" si="21"/>
        <v>8.1882828296244464E-2</v>
      </c>
      <c r="V70" s="45">
        <f t="shared" si="21"/>
        <v>8.1466427574798717E-2</v>
      </c>
      <c r="W70" s="45">
        <f t="shared" si="21"/>
        <v>7.8037828852670271E-2</v>
      </c>
      <c r="X70" s="45">
        <f t="shared" si="21"/>
        <v>7.5901346487421667E-2</v>
      </c>
      <c r="Y70" s="45">
        <f t="shared" si="21"/>
        <v>7.440431388638348E-2</v>
      </c>
      <c r="Z70" s="45">
        <f t="shared" si="21"/>
        <v>7.1820825151889187E-2</v>
      </c>
      <c r="AA70" s="45">
        <f t="shared" si="21"/>
        <v>7.029435562479093E-2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0.38756902268862453</v>
      </c>
      <c r="C71" s="46">
        <f t="shared" si="23"/>
        <v>0.3623888225610658</v>
      </c>
      <c r="D71" s="46">
        <f t="shared" si="23"/>
        <v>0.31161582077807776</v>
      </c>
      <c r="E71" s="46">
        <f t="shared" si="23"/>
        <v>0.26793549515532844</v>
      </c>
      <c r="F71" s="46">
        <f t="shared" si="23"/>
        <v>0.23680591729129</v>
      </c>
      <c r="G71" s="46">
        <f t="shared" si="23"/>
        <v>0.21483209737160114</v>
      </c>
      <c r="H71" s="46">
        <f t="shared" si="23"/>
        <v>0.19778780697615256</v>
      </c>
      <c r="I71" s="46">
        <f t="shared" si="23"/>
        <v>0.17988007449484822</v>
      </c>
      <c r="J71" s="46">
        <f t="shared" si="23"/>
        <v>0.16122526746022373</v>
      </c>
      <c r="K71" s="46">
        <f t="shared" si="23"/>
        <v>0.14692521045042015</v>
      </c>
      <c r="L71" s="46">
        <f t="shared" si="23"/>
        <v>0.13894985546468303</v>
      </c>
      <c r="M71" s="46">
        <f t="shared" si="23"/>
        <v>0.12911350602008742</v>
      </c>
      <c r="N71" s="46">
        <f t="shared" si="23"/>
        <v>0.12018868746978692</v>
      </c>
      <c r="O71" s="46">
        <f t="shared" si="23"/>
        <v>0.11408600595192554</v>
      </c>
      <c r="P71" s="46">
        <f t="shared" si="23"/>
        <v>0.10944986194984077</v>
      </c>
      <c r="Q71" s="46">
        <f t="shared" si="23"/>
        <v>0.10500868335786298</v>
      </c>
      <c r="R71" s="46">
        <f t="shared" si="23"/>
        <v>0.10066522335314299</v>
      </c>
      <c r="S71" s="46">
        <f t="shared" si="23"/>
        <v>9.6906270242863066E-2</v>
      </c>
      <c r="T71" s="46">
        <f t="shared" si="23"/>
        <v>9.1050686623450963E-2</v>
      </c>
      <c r="U71" s="46">
        <f t="shared" si="23"/>
        <v>8.1882828296244464E-2</v>
      </c>
      <c r="V71" s="46">
        <f t="shared" si="23"/>
        <v>8.1466427574798717E-2</v>
      </c>
      <c r="W71" s="46">
        <f t="shared" si="23"/>
        <v>7.8037828852670271E-2</v>
      </c>
      <c r="X71" s="46">
        <f t="shared" si="23"/>
        <v>7.5901346487421667E-2</v>
      </c>
      <c r="Y71" s="46">
        <f t="shared" si="23"/>
        <v>7.440431388638348E-2</v>
      </c>
      <c r="Z71" s="46">
        <f t="shared" si="23"/>
        <v>7.1820825151889187E-2</v>
      </c>
      <c r="AA71" s="46">
        <f t="shared" si="23"/>
        <v>7.029435562479093E-2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0.61315044155728826</v>
      </c>
      <c r="C73" s="45">
        <f>(C97)*C68</f>
        <v>0.75633249863116403</v>
      </c>
      <c r="D73" s="45">
        <f>(D97)*D68</f>
        <v>0.74357589449499695</v>
      </c>
      <c r="E73" s="45">
        <f>(E97)*E68</f>
        <v>0.70952801228516549</v>
      </c>
      <c r="F73" s="45">
        <f>(F97)*F68</f>
        <v>0.76400871176241503</v>
      </c>
      <c r="G73" s="45">
        <f t="shared" ref="G73:BI73" si="25">(G97)*G68</f>
        <v>0.81791112205572591</v>
      </c>
      <c r="H73" s="45">
        <f t="shared" si="25"/>
        <v>0.85145394561151089</v>
      </c>
      <c r="I73" s="45">
        <f t="shared" si="25"/>
        <v>0.86828974411029025</v>
      </c>
      <c r="J73" s="45">
        <f t="shared" si="25"/>
        <v>0.86682935289812313</v>
      </c>
      <c r="K73" s="45">
        <f t="shared" si="25"/>
        <v>0.90476928457242789</v>
      </c>
      <c r="L73" s="45">
        <f t="shared" si="25"/>
        <v>0.96359512560607163</v>
      </c>
      <c r="M73" s="45">
        <f t="shared" si="25"/>
        <v>1.0265331148735481</v>
      </c>
      <c r="N73" s="45">
        <f t="shared" si="25"/>
        <v>1.0266545648326852</v>
      </c>
      <c r="O73" s="45">
        <f t="shared" si="25"/>
        <v>1.0424162646318254</v>
      </c>
      <c r="P73" s="45">
        <f t="shared" si="25"/>
        <v>1.0654362006860363</v>
      </c>
      <c r="Q73" s="45">
        <f t="shared" si="25"/>
        <v>1.0841977608461804</v>
      </c>
      <c r="R73" s="45">
        <f t="shared" si="25"/>
        <v>1.0991419344428142</v>
      </c>
      <c r="S73" s="45">
        <f t="shared" si="25"/>
        <v>1.1153537982877675</v>
      </c>
      <c r="T73" s="45">
        <f t="shared" si="25"/>
        <v>1.1020386242085769</v>
      </c>
      <c r="U73" s="45">
        <f t="shared" si="25"/>
        <v>1.0389533827168063</v>
      </c>
      <c r="V73" s="45">
        <f t="shared" si="25"/>
        <v>1.0812760648439119</v>
      </c>
      <c r="W73" s="45">
        <f t="shared" si="25"/>
        <v>1.0818566520632755</v>
      </c>
      <c r="X73" s="45">
        <f t="shared" si="25"/>
        <v>1.0965740730566456</v>
      </c>
      <c r="Y73" s="45">
        <f t="shared" si="25"/>
        <v>1.1184281867565242</v>
      </c>
      <c r="Z73" s="45">
        <f t="shared" si="25"/>
        <v>1.121493467144753</v>
      </c>
      <c r="AA73" s="45">
        <f t="shared" si="25"/>
        <v>1.1383196469685866</v>
      </c>
      <c r="AB73" s="45">
        <f t="shared" si="25"/>
        <v>1.1431313823628879</v>
      </c>
      <c r="AC73" s="45">
        <f t="shared" si="25"/>
        <v>1.1628854633483627</v>
      </c>
      <c r="AD73" s="45">
        <f t="shared" si="25"/>
        <v>1.1708395844201638</v>
      </c>
      <c r="AE73" s="45">
        <f t="shared" si="25"/>
        <v>1.1656978425207385</v>
      </c>
      <c r="AF73" s="45">
        <f t="shared" si="25"/>
        <v>1.1173465864117746</v>
      </c>
      <c r="AG73" s="45">
        <f t="shared" si="25"/>
        <v>1.1467886196266615</v>
      </c>
      <c r="AH73" s="45">
        <f t="shared" si="25"/>
        <v>1.1576699735060021</v>
      </c>
      <c r="AI73" s="45">
        <f t="shared" si="25"/>
        <v>5.0852553020094096</v>
      </c>
      <c r="AJ73" s="45">
        <f t="shared" si="25"/>
        <v>7.4415696504214299</v>
      </c>
      <c r="AK73" s="45">
        <f t="shared" si="25"/>
        <v>8.8842687618358696</v>
      </c>
      <c r="AL73" s="45">
        <f t="shared" si="25"/>
        <v>9.8445376798529374</v>
      </c>
      <c r="AM73" s="45">
        <f t="shared" si="25"/>
        <v>10.554730996606867</v>
      </c>
      <c r="AN73" s="45">
        <f t="shared" si="25"/>
        <v>11.135327462779234</v>
      </c>
      <c r="AO73" s="45">
        <f t="shared" si="25"/>
        <v>11.650474842941604</v>
      </c>
      <c r="AP73" s="45">
        <f t="shared" si="25"/>
        <v>12.135124349762977</v>
      </c>
      <c r="AQ73" s="45">
        <f t="shared" si="25"/>
        <v>12.608655326495647</v>
      </c>
      <c r="AR73" s="45">
        <f t="shared" si="25"/>
        <v>13.081994744571512</v>
      </c>
      <c r="AS73" s="45">
        <f t="shared" si="25"/>
        <v>13.561437904608439</v>
      </c>
      <c r="AT73" s="45">
        <f t="shared" si="25"/>
        <v>14.050730938575342</v>
      </c>
      <c r="AU73" s="45">
        <f t="shared" si="25"/>
        <v>14.55221575337484</v>
      </c>
      <c r="AV73" s="45">
        <f t="shared" si="25"/>
        <v>15.067462529595902</v>
      </c>
      <c r="AW73" s="45">
        <f t="shared" si="25"/>
        <v>15.597620107882037</v>
      </c>
      <c r="AX73" s="45">
        <f t="shared" si="25"/>
        <v>16.143610476260299</v>
      </c>
      <c r="AY73" s="45">
        <f t="shared" si="25"/>
        <v>16.706236940819831</v>
      </c>
      <c r="AZ73" s="45">
        <f t="shared" si="25"/>
        <v>17.286244463743664</v>
      </c>
      <c r="BA73" s="45">
        <f t="shared" si="25"/>
        <v>17.884353487547038</v>
      </c>
      <c r="BB73" s="45">
        <f t="shared" si="25"/>
        <v>18.501279064594097</v>
      </c>
      <c r="BC73" s="45">
        <f t="shared" si="25"/>
        <v>19.137741846482665</v>
      </c>
      <c r="BD73" s="45">
        <f t="shared" si="25"/>
        <v>19.794474568695573</v>
      </c>
      <c r="BE73" s="45">
        <f t="shared" si="25"/>
        <v>20.477915063096518</v>
      </c>
      <c r="BF73" s="45">
        <f t="shared" si="25"/>
        <v>21.181440964429708</v>
      </c>
      <c r="BG73" s="45">
        <f t="shared" si="25"/>
        <v>21.906154604042076</v>
      </c>
      <c r="BH73" s="45">
        <f t="shared" si="25"/>
        <v>22.653263123766241</v>
      </c>
      <c r="BI73" s="45">
        <f t="shared" si="25"/>
        <v>23.423931894073341</v>
      </c>
    </row>
    <row r="74" spans="1:237" s="45" customFormat="1" ht="18" customHeight="1" x14ac:dyDescent="0.2">
      <c r="A74" s="43" t="s">
        <v>35</v>
      </c>
      <c r="B74" s="44">
        <f>+B11</f>
        <v>7.1334854586257519</v>
      </c>
      <c r="C74" s="45">
        <f t="shared" ref="C74:BI74" si="26">+B74*(1-$B$8)^10+10*B73</f>
        <v>8.6187969977625443</v>
      </c>
      <c r="D74" s="45">
        <f t="shared" si="26"/>
        <v>10.568513679030048</v>
      </c>
      <c r="E74" s="45">
        <f t="shared" si="26"/>
        <v>11.12077180872968</v>
      </c>
      <c r="F74" s="45">
        <f t="shared" si="26"/>
        <v>10.972853489827576</v>
      </c>
      <c r="G74" s="45">
        <f t="shared" si="26"/>
        <v>11.466084555903072</v>
      </c>
      <c r="H74" s="45">
        <f t="shared" si="26"/>
        <v>12.177087697564245</v>
      </c>
      <c r="I74" s="45">
        <f t="shared" si="26"/>
        <v>12.760427399462714</v>
      </c>
      <c r="J74" s="45">
        <f t="shared" si="26"/>
        <v>13.132183361756862</v>
      </c>
      <c r="K74" s="45">
        <f t="shared" si="26"/>
        <v>13.24720273866579</v>
      </c>
      <c r="L74" s="45">
        <f t="shared" si="26"/>
        <v>13.666706832330718</v>
      </c>
      <c r="M74" s="45">
        <f t="shared" si="26"/>
        <v>14.401237275661806</v>
      </c>
      <c r="N74" s="45">
        <f t="shared" si="26"/>
        <v>15.286732097523215</v>
      </c>
      <c r="O74" s="45">
        <f t="shared" si="26"/>
        <v>15.596699550317851</v>
      </c>
      <c r="P74" s="45">
        <f t="shared" si="26"/>
        <v>15.862395516231455</v>
      </c>
      <c r="Q74" s="45">
        <f t="shared" si="26"/>
        <v>16.185237331709185</v>
      </c>
      <c r="R74" s="45">
        <f t="shared" si="26"/>
        <v>16.485420913930451</v>
      </c>
      <c r="S74" s="45">
        <f t="shared" si="26"/>
        <v>16.73953019308933</v>
      </c>
      <c r="T74" s="45">
        <f t="shared" si="26"/>
        <v>16.990251258610918</v>
      </c>
      <c r="U74" s="45">
        <f t="shared" si="26"/>
        <v>16.944520547845286</v>
      </c>
      <c r="V74" s="45">
        <f t="shared" si="26"/>
        <v>16.297722820033158</v>
      </c>
      <c r="W74" s="45">
        <f t="shared" si="26"/>
        <v>16.495425218510455</v>
      </c>
      <c r="X74" s="45">
        <f t="shared" si="26"/>
        <v>16.570165654609184</v>
      </c>
      <c r="Y74" s="45">
        <f t="shared" si="26"/>
        <v>16.743400243214182</v>
      </c>
      <c r="Z74" s="45">
        <f t="shared" si="26"/>
        <v>17.022344546339127</v>
      </c>
      <c r="AA74" s="45">
        <f t="shared" si="26"/>
        <v>17.150259214709802</v>
      </c>
      <c r="AB74" s="45">
        <f t="shared" si="26"/>
        <v>17.363122099981531</v>
      </c>
      <c r="AC74" s="45">
        <f t="shared" si="26"/>
        <v>17.485460152716279</v>
      </c>
      <c r="AD74" s="45">
        <f t="shared" si="26"/>
        <v>17.725657603963448</v>
      </c>
      <c r="AE74" s="45">
        <f t="shared" si="26"/>
        <v>17.88895048729832</v>
      </c>
      <c r="AF74" s="45">
        <f t="shared" si="26"/>
        <v>17.8944697761447</v>
      </c>
      <c r="AG74" s="45">
        <f t="shared" si="26"/>
        <v>17.412881672080481</v>
      </c>
      <c r="AH74" s="45">
        <f t="shared" si="26"/>
        <v>17.539382615333519</v>
      </c>
      <c r="AI74" s="45">
        <f t="shared" si="26"/>
        <v>17.692304305691572</v>
      </c>
      <c r="AJ74" s="45">
        <f t="shared" si="26"/>
        <v>57.021478087177144</v>
      </c>
      <c r="AK74" s="45">
        <f t="shared" si="26"/>
        <v>94.297856535847558</v>
      </c>
      <c r="AL74" s="45">
        <f t="shared" si="26"/>
        <v>121.72231714005163</v>
      </c>
      <c r="AM74" s="45">
        <f t="shared" si="26"/>
        <v>140.88732446428008</v>
      </c>
      <c r="AN74" s="45">
        <f t="shared" si="26"/>
        <v>154.67168249013645</v>
      </c>
      <c r="AO74" s="45">
        <f t="shared" si="26"/>
        <v>165.28395560609562</v>
      </c>
      <c r="AP74" s="45">
        <f t="shared" si="26"/>
        <v>174.13570024370713</v>
      </c>
      <c r="AQ74" s="45">
        <f t="shared" si="26"/>
        <v>182.06860782432679</v>
      </c>
      <c r="AR74" s="45">
        <f t="shared" si="26"/>
        <v>189.56995143232143</v>
      </c>
      <c r="AS74" s="45">
        <f t="shared" si="26"/>
        <v>196.91890240096973</v>
      </c>
      <c r="AT74" s="45">
        <f t="shared" si="26"/>
        <v>204.2757547614587</v>
      </c>
      <c r="AU74" s="45">
        <f t="shared" si="26"/>
        <v>211.73386090622901</v>
      </c>
      <c r="AV74" s="45">
        <f t="shared" si="26"/>
        <v>219.34918987088275</v>
      </c>
      <c r="AW74" s="45">
        <f t="shared" si="26"/>
        <v>227.15695865733719</v>
      </c>
      <c r="AX74" s="45">
        <f t="shared" si="26"/>
        <v>235.18093508132091</v>
      </c>
      <c r="AY74" s="45">
        <f t="shared" si="26"/>
        <v>243.43862634801738</v>
      </c>
      <c r="AZ74" s="45">
        <f t="shared" si="26"/>
        <v>251.94416990331183</v>
      </c>
      <c r="BA74" s="45">
        <f t="shared" si="26"/>
        <v>260.70994479161277</v>
      </c>
      <c r="BB74" s="45">
        <f t="shared" si="26"/>
        <v>269.74747174396708</v>
      </c>
      <c r="BC74" s="45">
        <f t="shared" si="26"/>
        <v>279.06791831454632</v>
      </c>
      <c r="BD74" s="45">
        <f t="shared" si="26"/>
        <v>288.68238490469696</v>
      </c>
      <c r="BE74" s="45">
        <f t="shared" si="26"/>
        <v>298.60206933987331</v>
      </c>
      <c r="BF74" s="45">
        <f t="shared" si="26"/>
        <v>308.89525437902427</v>
      </c>
      <c r="BG74" s="45">
        <f t="shared" si="26"/>
        <v>319.519525095468</v>
      </c>
      <c r="BH74" s="45">
        <f t="shared" si="26"/>
        <v>330.47111563220142</v>
      </c>
      <c r="BI74" s="45">
        <f t="shared" si="26"/>
        <v>341.76078433440517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0.17056766533032064</v>
      </c>
      <c r="C77" s="23">
        <f t="shared" si="28"/>
        <v>0.14614709298382866</v>
      </c>
      <c r="D77" s="23">
        <f t="shared" si="28"/>
        <v>0.12025872853452201</v>
      </c>
      <c r="E77" s="23">
        <f t="shared" si="28"/>
        <v>0.11376184663105884</v>
      </c>
      <c r="F77" s="23">
        <f t="shared" si="28"/>
        <v>0.11654449139479128</v>
      </c>
      <c r="G77" s="23">
        <f t="shared" si="28"/>
        <v>0.11446553704708687</v>
      </c>
      <c r="H77" s="23">
        <f t="shared" si="28"/>
        <v>0.11115980475757768</v>
      </c>
      <c r="I77" s="23">
        <f t="shared" si="28"/>
        <v>0.10711903188740206</v>
      </c>
      <c r="J77" s="23">
        <f t="shared" si="28"/>
        <v>0.10276437969598234</v>
      </c>
      <c r="K77" s="23">
        <f t="shared" si="28"/>
        <v>0.10153194224708147</v>
      </c>
      <c r="L77" s="23">
        <f t="shared" si="28"/>
        <v>0.10113622419421639</v>
      </c>
      <c r="M77" s="23">
        <f t="shared" si="28"/>
        <v>9.6348377421609094E-2</v>
      </c>
      <c r="N77" s="23">
        <f t="shared" si="28"/>
        <v>9.0805417419310419E-2</v>
      </c>
      <c r="O77" s="23">
        <f t="shared" si="28"/>
        <v>9.0367031774349071E-2</v>
      </c>
      <c r="P77" s="23">
        <f t="shared" si="28"/>
        <v>9.0795816868646406E-2</v>
      </c>
      <c r="Q77" s="23">
        <f t="shared" si="28"/>
        <v>9.0589937921903479E-2</v>
      </c>
      <c r="R77" s="23">
        <f t="shared" si="28"/>
        <v>9.0160956160116879E-2</v>
      </c>
      <c r="S77" s="23">
        <f t="shared" si="28"/>
        <v>9.0109946057609899E-2</v>
      </c>
      <c r="T77" s="23">
        <f t="shared" si="28"/>
        <v>8.7693288772313666E-2</v>
      </c>
      <c r="U77" s="23">
        <f t="shared" si="28"/>
        <v>8.292389932125796E-2</v>
      </c>
      <c r="V77" s="23">
        <f t="shared" si="28"/>
        <v>8.9747863000706182E-2</v>
      </c>
      <c r="W77" s="23">
        <f t="shared" si="28"/>
        <v>8.8693321573556472E-2</v>
      </c>
      <c r="X77" s="23">
        <f t="shared" si="28"/>
        <v>8.9507079143363782E-2</v>
      </c>
      <c r="Y77" s="23">
        <f t="shared" si="28"/>
        <v>9.0357137283245334E-2</v>
      </c>
      <c r="Z77" s="23">
        <f t="shared" si="28"/>
        <v>8.9139716397021215E-2</v>
      </c>
      <c r="AA77" s="23">
        <f t="shared" si="28"/>
        <v>8.9855633079819211E-2</v>
      </c>
      <c r="AB77" s="23">
        <f t="shared" si="28"/>
        <v>8.942310131452573E-2</v>
      </c>
      <c r="AC77" s="23">
        <f t="shared" si="28"/>
        <v>9.0285099144174152E-2</v>
      </c>
      <c r="AD77" s="23">
        <f t="shared" si="28"/>
        <v>8.963467544510359E-2</v>
      </c>
      <c r="AE77" s="23">
        <f t="shared" si="28"/>
        <v>8.8459284866831786E-2</v>
      </c>
      <c r="AF77" s="23">
        <f t="shared" si="28"/>
        <v>8.4764620665466126E-2</v>
      </c>
      <c r="AG77" s="23">
        <f t="shared" si="28"/>
        <v>8.9338353092180772E-2</v>
      </c>
      <c r="AH77" s="23">
        <f t="shared" si="28"/>
        <v>8.9540804135153848E-2</v>
      </c>
      <c r="AI77" s="23">
        <f t="shared" si="28"/>
        <v>0.3903523976608877</v>
      </c>
      <c r="AJ77" s="23">
        <f t="shared" si="28"/>
        <v>0.1767146544946564</v>
      </c>
      <c r="AK77" s="23">
        <f t="shared" si="28"/>
        <v>0.12758277528957876</v>
      </c>
      <c r="AL77" s="23">
        <f t="shared" si="28"/>
        <v>0.10951979496817663</v>
      </c>
      <c r="AM77" s="23">
        <f t="shared" si="28"/>
        <v>0.1014442620391134</v>
      </c>
      <c r="AN77" s="23">
        <f t="shared" si="28"/>
        <v>9.7482280579951605E-2</v>
      </c>
      <c r="AO77" s="23">
        <f t="shared" si="28"/>
        <v>9.5439277069429201E-2</v>
      </c>
      <c r="AP77" s="23">
        <f t="shared" si="28"/>
        <v>9.4352215330171046E-2</v>
      </c>
      <c r="AQ77" s="23">
        <f t="shared" si="28"/>
        <v>9.3758835223532552E-2</v>
      </c>
      <c r="AR77" s="23">
        <f t="shared" si="28"/>
        <v>9.3425915685239391E-2</v>
      </c>
      <c r="AS77" s="23">
        <f t="shared" si="28"/>
        <v>9.3232484000628488E-2</v>
      </c>
      <c r="AT77" s="23">
        <f t="shared" si="28"/>
        <v>9.3114790145483697E-2</v>
      </c>
      <c r="AU77" s="23">
        <f t="shared" si="28"/>
        <v>9.3038907545673552E-2</v>
      </c>
      <c r="AV77" s="23">
        <f t="shared" si="28"/>
        <v>9.2986647473781256E-2</v>
      </c>
      <c r="AW77" s="23">
        <f t="shared" si="28"/>
        <v>9.2948186489828402E-2</v>
      </c>
      <c r="AX77" s="23">
        <f t="shared" si="28"/>
        <v>9.2918168605220161E-2</v>
      </c>
      <c r="AY77" s="23">
        <f t="shared" si="28"/>
        <v>9.2893632741579149E-2</v>
      </c>
      <c r="AZ77" s="23">
        <f t="shared" si="28"/>
        <v>9.2872906957801246E-2</v>
      </c>
      <c r="BA77" s="23">
        <f t="shared" si="28"/>
        <v>9.2855017098774001E-2</v>
      </c>
      <c r="BB77" s="23">
        <f t="shared" si="28"/>
        <v>9.2839369903598312E-2</v>
      </c>
      <c r="BC77" s="23">
        <f t="shared" si="28"/>
        <v>9.2825582791562097E-2</v>
      </c>
      <c r="BD77" s="23">
        <f t="shared" si="28"/>
        <v>9.2813392132519934E-2</v>
      </c>
      <c r="BE77" s="23">
        <f t="shared" si="28"/>
        <v>9.2802603561120675E-2</v>
      </c>
      <c r="BF77" s="23">
        <f t="shared" si="28"/>
        <v>9.2781101531244206E-2</v>
      </c>
      <c r="BG77" s="23">
        <f t="shared" si="28"/>
        <v>9.276094648231889E-2</v>
      </c>
      <c r="BH77" s="23">
        <f t="shared" si="28"/>
        <v>9.2745132593278837E-2</v>
      </c>
      <c r="BI77" s="23">
        <f t="shared" si="28"/>
        <v>9.2733558979960343E-2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0.11109439785144555</v>
      </c>
      <c r="C78" s="23">
        <f t="shared" si="29"/>
        <v>9.5188752577077609E-2</v>
      </c>
      <c r="D78" s="23">
        <f t="shared" si="29"/>
        <v>7.8327102660695494E-2</v>
      </c>
      <c r="E78" s="23">
        <f t="shared" si="29"/>
        <v>7.4095543404845782E-2</v>
      </c>
      <c r="F78" s="23">
        <f t="shared" si="29"/>
        <v>7.5907939933007568E-2</v>
      </c>
      <c r="G78" s="23">
        <f t="shared" si="29"/>
        <v>7.4553872144299843E-2</v>
      </c>
      <c r="H78" s="23">
        <f t="shared" si="29"/>
        <v>7.2400777432884922E-2</v>
      </c>
      <c r="I78" s="23">
        <f t="shared" si="29"/>
        <v>6.9768934943880534E-2</v>
      </c>
      <c r="J78" s="23">
        <f t="shared" si="29"/>
        <v>6.6932656085743086E-2</v>
      </c>
      <c r="K78" s="23">
        <f t="shared" si="29"/>
        <v>6.6129943004045802E-2</v>
      </c>
      <c r="L78" s="23">
        <f t="shared" si="29"/>
        <v>6.5872203304573121E-2</v>
      </c>
      <c r="M78" s="23">
        <f t="shared" si="29"/>
        <v>6.2753775476076357E-2</v>
      </c>
      <c r="N78" s="23">
        <f t="shared" si="29"/>
        <v>5.9143526120915876E-2</v>
      </c>
      <c r="O78" s="23">
        <f t="shared" si="29"/>
        <v>5.8857996098801879E-2</v>
      </c>
      <c r="P78" s="23">
        <f t="shared" si="29"/>
        <v>5.9137273075281493E-2</v>
      </c>
      <c r="Q78" s="23">
        <f t="shared" si="29"/>
        <v>5.9003179678538319E-2</v>
      </c>
      <c r="R78" s="23">
        <f t="shared" si="29"/>
        <v>5.8723774608282819E-2</v>
      </c>
      <c r="S78" s="23">
        <f t="shared" si="29"/>
        <v>5.8690550628747319E-2</v>
      </c>
      <c r="T78" s="23">
        <f t="shared" si="29"/>
        <v>5.711652963594447E-2</v>
      </c>
      <c r="U78" s="23">
        <f t="shared" si="29"/>
        <v>5.4010123458912276E-2</v>
      </c>
      <c r="V78" s="23">
        <f t="shared" si="29"/>
        <v>5.8454718127311435E-2</v>
      </c>
      <c r="W78" s="23">
        <f t="shared" si="29"/>
        <v>5.7767872560001113E-2</v>
      </c>
      <c r="X78" s="23">
        <f t="shared" si="29"/>
        <v>5.8297890409748442E-2</v>
      </c>
      <c r="Y78" s="23">
        <f t="shared" si="29"/>
        <v>5.885155160342178E-2</v>
      </c>
      <c r="Z78" s="23">
        <f t="shared" si="29"/>
        <v>5.8058619132751454E-2</v>
      </c>
      <c r="AA78" s="23">
        <f t="shared" si="29"/>
        <v>5.8524911103349876E-2</v>
      </c>
      <c r="AB78" s="23">
        <f t="shared" si="29"/>
        <v>5.8243193839272622E-2</v>
      </c>
      <c r="AC78" s="23">
        <f t="shared" si="29"/>
        <v>5.8804631610309653E-2</v>
      </c>
      <c r="AD78" s="23">
        <f t="shared" si="29"/>
        <v>5.8380996632035075E-2</v>
      </c>
      <c r="AE78" s="23">
        <f t="shared" si="29"/>
        <v>5.7615439407103321E-2</v>
      </c>
      <c r="AF78" s="23">
        <f t="shared" si="29"/>
        <v>5.5209024956163158E-2</v>
      </c>
      <c r="AG78" s="23">
        <f t="shared" si="29"/>
        <v>5.8187995494896151E-2</v>
      </c>
      <c r="AH78" s="23">
        <f t="shared" si="29"/>
        <v>5.8319856224008759E-2</v>
      </c>
      <c r="AI78" s="23">
        <f t="shared" si="29"/>
        <v>0.25424493255519443</v>
      </c>
      <c r="AJ78" s="23">
        <f t="shared" si="29"/>
        <v>0.11509806442264911</v>
      </c>
      <c r="AK78" s="23">
        <f t="shared" si="29"/>
        <v>8.3097412217979588E-2</v>
      </c>
      <c r="AL78" s="23">
        <f t="shared" si="29"/>
        <v>7.1332603698600949E-2</v>
      </c>
      <c r="AM78" s="23">
        <f t="shared" si="29"/>
        <v>6.6072834994219676E-2</v>
      </c>
      <c r="AN78" s="23">
        <f t="shared" si="29"/>
        <v>6.3492311049943545E-2</v>
      </c>
      <c r="AO78" s="23">
        <f t="shared" si="29"/>
        <v>6.2161658816588916E-2</v>
      </c>
      <c r="AP78" s="23">
        <f t="shared" si="29"/>
        <v>6.1453632068867683E-2</v>
      </c>
      <c r="AQ78" s="23">
        <f t="shared" si="29"/>
        <v>6.1067150812198268E-2</v>
      </c>
      <c r="AR78" s="23">
        <f t="shared" si="29"/>
        <v>6.0850313139195977E-2</v>
      </c>
      <c r="AS78" s="23">
        <f t="shared" si="29"/>
        <v>6.0724326912641124E-2</v>
      </c>
      <c r="AT78" s="23">
        <f t="shared" si="29"/>
        <v>6.0647670367317573E-2</v>
      </c>
      <c r="AU78" s="23">
        <f t="shared" si="29"/>
        <v>6.0598246394039955E-2</v>
      </c>
      <c r="AV78" s="23">
        <f t="shared" si="29"/>
        <v>6.0564208282494578E-2</v>
      </c>
      <c r="AW78" s="23">
        <f t="shared" si="29"/>
        <v>6.0539157814431123E-2</v>
      </c>
      <c r="AX78" s="23">
        <f t="shared" si="29"/>
        <v>6.0519606519003191E-2</v>
      </c>
      <c r="AY78" s="23">
        <f t="shared" si="29"/>
        <v>6.0503625782023028E-2</v>
      </c>
      <c r="AZ78" s="23">
        <f t="shared" si="29"/>
        <v>6.0490126632202657E-2</v>
      </c>
      <c r="BA78" s="23">
        <f t="shared" si="29"/>
        <v>6.0478474581314633E-2</v>
      </c>
      <c r="BB78" s="23">
        <f t="shared" si="29"/>
        <v>6.0468283225744747E-2</v>
      </c>
      <c r="BC78" s="23">
        <f t="shared" si="29"/>
        <v>6.0459303382426798E-2</v>
      </c>
      <c r="BD78" s="23">
        <f t="shared" si="29"/>
        <v>6.0451363343363249E-2</v>
      </c>
      <c r="BE78" s="23">
        <f t="shared" si="29"/>
        <v>6.0444336514210398E-2</v>
      </c>
      <c r="BF78" s="23">
        <f t="shared" si="29"/>
        <v>6.0430331778570233E-2</v>
      </c>
      <c r="BG78" s="23">
        <f t="shared" si="29"/>
        <v>6.0417204360664334E-2</v>
      </c>
      <c r="BH78" s="23">
        <f t="shared" si="29"/>
        <v>6.0406904433786691E-2</v>
      </c>
      <c r="BI78" s="23">
        <f t="shared" si="29"/>
        <v>6.0399366289906407E-2</v>
      </c>
    </row>
    <row r="79" spans="1:237" s="37" customFormat="1" ht="18" customHeight="1" x14ac:dyDescent="0.2">
      <c r="A79" s="35" t="s">
        <v>70</v>
      </c>
      <c r="B79" s="29">
        <f>+C134</f>
        <v>1.6974535977256844E-2</v>
      </c>
      <c r="C79" s="23">
        <f t="shared" ref="C79:BI79" si="30">+D134</f>
        <v>2.3487551928296879E-2</v>
      </c>
      <c r="D79" s="23">
        <f t="shared" si="30"/>
        <v>2.4844750720931286E-2</v>
      </c>
      <c r="E79" s="23">
        <f t="shared" si="30"/>
        <v>2.5736773889055931E-2</v>
      </c>
      <c r="F79" s="23">
        <f t="shared" si="30"/>
        <v>2.6550300391330994E-2</v>
      </c>
      <c r="G79" s="23">
        <f t="shared" si="30"/>
        <v>2.5533095346281343E-2</v>
      </c>
      <c r="H79" s="23">
        <f t="shared" si="30"/>
        <v>2.2175575838794925E-2</v>
      </c>
      <c r="I79" s="23">
        <f t="shared" si="30"/>
        <v>1.8656469529293229E-2</v>
      </c>
      <c r="J79" s="23">
        <f t="shared" si="30"/>
        <v>1.8936581901326743E-2</v>
      </c>
      <c r="K79" s="23">
        <f t="shared" si="30"/>
        <v>2.0399927669393358E-2</v>
      </c>
      <c r="L79" s="23">
        <f t="shared" si="30"/>
        <v>1.2261420869765782E-2</v>
      </c>
      <c r="M79" s="23">
        <f t="shared" si="30"/>
        <v>1.4248656192151543E-2</v>
      </c>
      <c r="N79" s="23">
        <f t="shared" si="30"/>
        <v>1.6551205313908746E-2</v>
      </c>
      <c r="O79" s="23">
        <f t="shared" si="30"/>
        <v>1.7559175264864946E-2</v>
      </c>
      <c r="P79" s="23">
        <f t="shared" si="30"/>
        <v>1.688980376257021E-2</v>
      </c>
      <c r="Q79" s="23">
        <f t="shared" si="30"/>
        <v>1.6315443228958726E-2</v>
      </c>
      <c r="R79" s="23">
        <f t="shared" si="30"/>
        <v>1.6460637325810934E-2</v>
      </c>
      <c r="S79" s="23">
        <f t="shared" si="30"/>
        <v>1.2405180912452352E-2</v>
      </c>
      <c r="T79" s="23">
        <f t="shared" si="30"/>
        <v>5.3021722829489359E-3</v>
      </c>
      <c r="U79" s="23">
        <f t="shared" si="30"/>
        <v>2.0238153420836902E-2</v>
      </c>
      <c r="V79" s="23">
        <f t="shared" si="30"/>
        <v>1.414300201001284E-2</v>
      </c>
      <c r="W79" s="23">
        <f t="shared" si="30"/>
        <v>1.6118753308716371E-2</v>
      </c>
      <c r="X79" s="23">
        <f t="shared" si="30"/>
        <v>1.7067432981710651E-2</v>
      </c>
      <c r="Y79" s="23">
        <f t="shared" si="30"/>
        <v>1.4477747662740459E-2</v>
      </c>
      <c r="Z79" s="23">
        <f t="shared" si="30"/>
        <v>1.6329077818475923E-2</v>
      </c>
      <c r="AA79" s="23">
        <f t="shared" si="30"/>
        <v>1.4703167445903498E-2</v>
      </c>
      <c r="AB79" s="23">
        <f t="shared" si="30"/>
        <v>1.6670794124276966E-2</v>
      </c>
      <c r="AC79" s="23">
        <f t="shared" si="30"/>
        <v>1.5098759263971306E-2</v>
      </c>
      <c r="AD79" s="23">
        <f t="shared" si="30"/>
        <v>1.3392108510705603E-2</v>
      </c>
      <c r="AE79" s="23">
        <f t="shared" si="30"/>
        <v>8.104196315164014E-3</v>
      </c>
      <c r="AF79" s="23">
        <f t="shared" si="30"/>
        <v>1.8967570511936538E-2</v>
      </c>
      <c r="AG79" s="23">
        <f t="shared" si="30"/>
        <v>1.6438838967163916E-2</v>
      </c>
      <c r="AH79" s="23">
        <f t="shared" si="30"/>
        <v>0.26728776227875417</v>
      </c>
      <c r="AI79" s="23">
        <f t="shared" si="30"/>
        <v>7.4654374071522422E-2</v>
      </c>
      <c r="AJ79" s="23">
        <f t="shared" si="30"/>
        <v>4.234050065809325E-2</v>
      </c>
      <c r="AK79" s="23">
        <f t="shared" si="30"/>
        <v>3.0747019967112266E-2</v>
      </c>
      <c r="AL79" s="23">
        <f t="shared" si="30"/>
        <v>2.5660944922121898E-2</v>
      </c>
      <c r="AM79" s="23">
        <f t="shared" si="30"/>
        <v>2.3185591655634719E-2</v>
      </c>
      <c r="AN79" s="23">
        <f t="shared" si="30"/>
        <v>2.1908795825117178E-2</v>
      </c>
      <c r="AO79" s="23">
        <f t="shared" si="30"/>
        <v>2.1224282711715947E-2</v>
      </c>
      <c r="AP79" s="23">
        <f t="shared" si="30"/>
        <v>2.0844806199246113E-2</v>
      </c>
      <c r="AQ79" s="23">
        <f t="shared" si="30"/>
        <v>2.0626456537137239E-2</v>
      </c>
      <c r="AR79" s="23">
        <f t="shared" si="30"/>
        <v>2.0494827213514588E-2</v>
      </c>
      <c r="AS79" s="23">
        <f t="shared" si="30"/>
        <v>2.0410735102127431E-2</v>
      </c>
      <c r="AT79" s="23">
        <f t="shared" si="30"/>
        <v>2.0353299964076754E-2</v>
      </c>
      <c r="AU79" s="23">
        <f t="shared" si="30"/>
        <v>2.0311288256801951E-2</v>
      </c>
      <c r="AV79" s="23">
        <f t="shared" si="30"/>
        <v>2.0278594002854033E-2</v>
      </c>
      <c r="AW79" s="23">
        <f t="shared" si="30"/>
        <v>2.0251852430108075E-2</v>
      </c>
      <c r="AX79" s="23">
        <f t="shared" si="30"/>
        <v>2.0229171590191664E-2</v>
      </c>
      <c r="AY79" s="23">
        <f t="shared" si="30"/>
        <v>2.0209455496739803E-2</v>
      </c>
      <c r="AZ79" s="23">
        <f t="shared" si="30"/>
        <v>2.0192041880042533E-2</v>
      </c>
      <c r="BA79" s="23">
        <f t="shared" si="30"/>
        <v>2.0176507790940157E-2</v>
      </c>
      <c r="BB79" s="23">
        <f t="shared" si="30"/>
        <v>2.0162564928050797E-2</v>
      </c>
      <c r="BC79" s="23">
        <f t="shared" si="30"/>
        <v>2.0150002998808425E-2</v>
      </c>
      <c r="BD79" s="23">
        <f t="shared" si="30"/>
        <v>2.018117668402164E-2</v>
      </c>
      <c r="BE79" s="23">
        <f t="shared" si="30"/>
        <v>2.0155809037426975E-2</v>
      </c>
      <c r="BF79" s="23">
        <f t="shared" si="30"/>
        <v>2.0134979217961035E-2</v>
      </c>
      <c r="BG79" s="23">
        <f t="shared" si="30"/>
        <v>2.0118762553759106E-2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3.4392586572064725</v>
      </c>
      <c r="C84" s="381">
        <f t="shared" ref="C84:BH84" si="31">C68-C73</f>
        <v>3.4387839149619777</v>
      </c>
      <c r="D84" s="381">
        <f>D68-D73</f>
        <v>3.4906574805140886</v>
      </c>
      <c r="E84" s="381">
        <f>E68-E73</f>
        <v>3.5050876957963411</v>
      </c>
      <c r="F84" s="381">
        <f t="shared" si="31"/>
        <v>3.4955666689005485</v>
      </c>
      <c r="G84" s="381">
        <f t="shared" si="31"/>
        <v>3.5524271595302519</v>
      </c>
      <c r="H84" s="381">
        <f t="shared" si="31"/>
        <v>3.6567533591240506</v>
      </c>
      <c r="I84" s="381">
        <f t="shared" si="31"/>
        <v>3.6827447479386861</v>
      </c>
      <c r="J84" s="381">
        <f>J68-J73</f>
        <v>3.6246206172594722</v>
      </c>
      <c r="K84" s="381">
        <f t="shared" si="31"/>
        <v>3.573958782075537</v>
      </c>
      <c r="L84" s="381">
        <f>L68-L73</f>
        <v>3.6387274718813702</v>
      </c>
      <c r="M84" s="381">
        <f t="shared" si="31"/>
        <v>3.5918859459002577</v>
      </c>
      <c r="N84" s="381">
        <f t="shared" si="31"/>
        <v>3.5923109048178352</v>
      </c>
      <c r="O84" s="381">
        <f t="shared" si="31"/>
        <v>3.6474618075717178</v>
      </c>
      <c r="P84" s="381">
        <f t="shared" si="31"/>
        <v>3.7280096083105447</v>
      </c>
      <c r="Q84" s="381">
        <f t="shared" si="31"/>
        <v>3.7936571585804506</v>
      </c>
      <c r="R84" s="381">
        <f t="shared" si="31"/>
        <v>3.8459475000580898</v>
      </c>
      <c r="S84" s="381">
        <f t="shared" si="31"/>
        <v>3.9026735472335963</v>
      </c>
      <c r="T84" s="381">
        <f t="shared" si="31"/>
        <v>3.8560831489801979</v>
      </c>
      <c r="U84" s="381">
        <f t="shared" si="31"/>
        <v>3.6353450266294862</v>
      </c>
      <c r="V84" s="381">
        <f t="shared" si="31"/>
        <v>3.7834340117021994</v>
      </c>
      <c r="W84" s="381">
        <f t="shared" si="31"/>
        <v>3.7854655127257759</v>
      </c>
      <c r="X84" s="381">
        <f t="shared" si="31"/>
        <v>3.8369624365561341</v>
      </c>
      <c r="Y84" s="381">
        <f t="shared" si="31"/>
        <v>3.9134309719802158</v>
      </c>
      <c r="Z84" s="381">
        <f t="shared" si="31"/>
        <v>3.9241565271398056</v>
      </c>
      <c r="AA84" s="381">
        <f t="shared" si="31"/>
        <v>3.9830320937988155</v>
      </c>
      <c r="AB84" s="381">
        <f t="shared" si="31"/>
        <v>3.9998685742666775</v>
      </c>
      <c r="AC84" s="381">
        <f t="shared" si="31"/>
        <v>4.0689889999381306</v>
      </c>
      <c r="AD84" s="381">
        <f t="shared" si="31"/>
        <v>4.0968208304712457</v>
      </c>
      <c r="AE84" s="381">
        <f t="shared" si="31"/>
        <v>4.0788296422685475</v>
      </c>
      <c r="AF84" s="381">
        <f t="shared" si="31"/>
        <v>3.9096464032984093</v>
      </c>
      <c r="AG84" s="381">
        <f t="shared" si="31"/>
        <v>4.0126654133926998</v>
      </c>
      <c r="AH84" s="381">
        <f t="shared" si="31"/>
        <v>4.0507397643369307</v>
      </c>
      <c r="AI84" s="381">
        <f t="shared" si="31"/>
        <v>17.793539035369932</v>
      </c>
      <c r="AJ84" s="381">
        <f t="shared" si="31"/>
        <v>26.03838985367679</v>
      </c>
      <c r="AK84" s="381">
        <f t="shared" si="31"/>
        <v>31.086459504202047</v>
      </c>
      <c r="AL84" s="381">
        <f t="shared" si="31"/>
        <v>34.446484018691507</v>
      </c>
      <c r="AM84" s="381">
        <f t="shared" si="31"/>
        <v>36.931482657663778</v>
      </c>
      <c r="AN84" s="381">
        <f t="shared" si="31"/>
        <v>38.963016036244326</v>
      </c>
      <c r="AO84" s="381">
        <f t="shared" si="31"/>
        <v>40.765540093250017</v>
      </c>
      <c r="AP84" s="381">
        <f t="shared" si="31"/>
        <v>42.461350707653452</v>
      </c>
      <c r="AQ84" s="381">
        <f t="shared" si="31"/>
        <v>44.118257080794677</v>
      </c>
      <c r="AR84" s="381">
        <f t="shared" si="31"/>
        <v>45.774493181504148</v>
      </c>
      <c r="AS84" s="381">
        <f t="shared" si="31"/>
        <v>47.452086552280875</v>
      </c>
      <c r="AT84" s="381">
        <f t="shared" si="31"/>
        <v>49.164145078857587</v>
      </c>
      <c r="AU84" s="381">
        <f t="shared" si="31"/>
        <v>50.91886319974607</v>
      </c>
      <c r="AV84" s="381">
        <f t="shared" si="31"/>
        <v>52.721735048071025</v>
      </c>
      <c r="AW84" s="381">
        <f t="shared" si="31"/>
        <v>54.576780469370519</v>
      </c>
      <c r="AX84" s="381">
        <f t="shared" si="31"/>
        <v>56.487225541584642</v>
      </c>
      <c r="AY84" s="381">
        <f t="shared" si="31"/>
        <v>58.455881069167759</v>
      </c>
      <c r="AZ84" s="381">
        <f t="shared" si="31"/>
        <v>60.48535370859954</v>
      </c>
      <c r="BA84" s="381">
        <f t="shared" si="31"/>
        <v>62.578164320929467</v>
      </c>
      <c r="BB84" s="381">
        <f t="shared" si="31"/>
        <v>64.73681490682381</v>
      </c>
      <c r="BC84" s="381">
        <f t="shared" si="31"/>
        <v>66.963827058921552</v>
      </c>
      <c r="BD84" s="381">
        <f t="shared" si="31"/>
        <v>69.261764651923542</v>
      </c>
      <c r="BE84" s="381">
        <f t="shared" si="31"/>
        <v>71.653153951625072</v>
      </c>
      <c r="BF84" s="381">
        <f t="shared" si="31"/>
        <v>74.114823001519056</v>
      </c>
      <c r="BG84" s="381">
        <f t="shared" si="31"/>
        <v>76.650628909004624</v>
      </c>
      <c r="BH84" s="381">
        <f t="shared" si="31"/>
        <v>79.264795518125794</v>
      </c>
      <c r="BI84" s="381">
        <f>+BH84</f>
        <v>79.264795518125794</v>
      </c>
    </row>
    <row r="85" spans="1:103" s="381" customFormat="1" ht="18" customHeight="1" x14ac:dyDescent="0.2">
      <c r="A85" s="411" t="s">
        <v>970</v>
      </c>
      <c r="B85" s="383">
        <f>+C85/C84*B84</f>
        <v>0.14855165942235038</v>
      </c>
      <c r="C85" s="383">
        <f>+(C74-B74)/10</f>
        <v>0.14853115391367924</v>
      </c>
      <c r="D85" s="383">
        <f t="shared" ref="D85:BI85" si="32">+(D74-C74)/10</f>
        <v>0.19497166812675032</v>
      </c>
      <c r="E85" s="383">
        <f t="shared" si="32"/>
        <v>5.5225812969963248E-2</v>
      </c>
      <c r="F85" s="383">
        <f t="shared" si="32"/>
        <v>-1.479183189021036E-2</v>
      </c>
      <c r="G85" s="383">
        <f t="shared" si="32"/>
        <v>4.9323106607549502E-2</v>
      </c>
      <c r="H85" s="383">
        <f t="shared" si="32"/>
        <v>7.1100314166117326E-2</v>
      </c>
      <c r="I85" s="383">
        <f t="shared" si="32"/>
        <v>5.8333970189846873E-2</v>
      </c>
      <c r="J85" s="383">
        <f t="shared" si="32"/>
        <v>3.7175596229414867E-2</v>
      </c>
      <c r="K85" s="383">
        <f t="shared" si="32"/>
        <v>1.1501937690892739E-2</v>
      </c>
      <c r="L85" s="383">
        <f t="shared" si="32"/>
        <v>4.1950409366492816E-2</v>
      </c>
      <c r="M85" s="383">
        <f t="shared" si="32"/>
        <v>7.3453044333108869E-2</v>
      </c>
      <c r="N85" s="383">
        <f t="shared" si="32"/>
        <v>8.8549482186140865E-2</v>
      </c>
      <c r="O85" s="383">
        <f t="shared" si="32"/>
        <v>3.099674527946359E-2</v>
      </c>
      <c r="P85" s="383">
        <f t="shared" si="32"/>
        <v>2.6569596591360423E-2</v>
      </c>
      <c r="Q85" s="383">
        <f t="shared" si="32"/>
        <v>3.2284181547773017E-2</v>
      </c>
      <c r="R85" s="383">
        <f t="shared" si="32"/>
        <v>3.0018358222126552E-2</v>
      </c>
      <c r="S85" s="383">
        <f t="shared" si="32"/>
        <v>2.5410927915887883E-2</v>
      </c>
      <c r="T85" s="383">
        <f t="shared" si="32"/>
        <v>2.5072106552158857E-2</v>
      </c>
      <c r="U85" s="383">
        <f t="shared" si="32"/>
        <v>-4.5730710765631956E-3</v>
      </c>
      <c r="V85" s="383">
        <f t="shared" si="32"/>
        <v>-6.4679772781212813E-2</v>
      </c>
      <c r="W85" s="383">
        <f t="shared" si="32"/>
        <v>1.9770239847729697E-2</v>
      </c>
      <c r="X85" s="383">
        <f t="shared" si="32"/>
        <v>7.4740436098728932E-3</v>
      </c>
      <c r="Y85" s="383">
        <f t="shared" si="32"/>
        <v>1.7323458860499841E-2</v>
      </c>
      <c r="Z85" s="383">
        <f t="shared" si="32"/>
        <v>2.789443031249448E-2</v>
      </c>
      <c r="AA85" s="383">
        <f t="shared" si="32"/>
        <v>1.279146683706749E-2</v>
      </c>
      <c r="AB85" s="383">
        <f t="shared" si="32"/>
        <v>2.1286288527172913E-2</v>
      </c>
      <c r="AC85" s="383">
        <f t="shared" si="32"/>
        <v>1.2233805273474729E-2</v>
      </c>
      <c r="AD85" s="383">
        <f t="shared" si="32"/>
        <v>2.4019745124716961E-2</v>
      </c>
      <c r="AE85" s="383">
        <f t="shared" si="32"/>
        <v>1.6329288333487214E-2</v>
      </c>
      <c r="AF85" s="383">
        <f t="shared" si="32"/>
        <v>5.5192888463793108E-4</v>
      </c>
      <c r="AG85" s="383">
        <f t="shared" si="32"/>
        <v>-4.8158810406421892E-2</v>
      </c>
      <c r="AH85" s="383">
        <f t="shared" si="32"/>
        <v>1.265009432530384E-2</v>
      </c>
      <c r="AI85" s="383">
        <f t="shared" si="32"/>
        <v>1.5292169035805259E-2</v>
      </c>
      <c r="AJ85" s="383">
        <f t="shared" si="32"/>
        <v>3.9329173781485571</v>
      </c>
      <c r="AK85" s="383">
        <f t="shared" si="32"/>
        <v>3.7276378448670413</v>
      </c>
      <c r="AL85" s="383">
        <f t="shared" si="32"/>
        <v>2.7424460604204071</v>
      </c>
      <c r="AM85" s="383">
        <f t="shared" si="32"/>
        <v>1.9165007324228456</v>
      </c>
      <c r="AN85" s="383">
        <f t="shared" si="32"/>
        <v>1.3784358025856362</v>
      </c>
      <c r="AO85" s="383">
        <f t="shared" si="32"/>
        <v>1.061227311595917</v>
      </c>
      <c r="AP85" s="383">
        <f t="shared" si="32"/>
        <v>0.88517446376115172</v>
      </c>
      <c r="AQ85" s="383">
        <f t="shared" si="32"/>
        <v>0.79329075806196558</v>
      </c>
      <c r="AR85" s="383">
        <f t="shared" si="32"/>
        <v>0.75013436079946416</v>
      </c>
      <c r="AS85" s="383">
        <f t="shared" si="32"/>
        <v>0.73489509686482957</v>
      </c>
      <c r="AT85" s="383">
        <f t="shared" si="32"/>
        <v>0.73568523604889724</v>
      </c>
      <c r="AU85" s="383">
        <f t="shared" si="32"/>
        <v>0.74581061447703123</v>
      </c>
      <c r="AV85" s="383">
        <f t="shared" si="32"/>
        <v>0.76153289646537414</v>
      </c>
      <c r="AW85" s="383">
        <f t="shared" si="32"/>
        <v>0.78077687864544321</v>
      </c>
      <c r="AX85" s="383">
        <f t="shared" si="32"/>
        <v>0.80239764239837252</v>
      </c>
      <c r="AY85" s="383">
        <f t="shared" si="32"/>
        <v>0.82576912666964686</v>
      </c>
      <c r="AZ85" s="383">
        <f t="shared" si="32"/>
        <v>0.85055435552944514</v>
      </c>
      <c r="BA85" s="383">
        <f t="shared" si="32"/>
        <v>0.8765774888300939</v>
      </c>
      <c r="BB85" s="383">
        <f t="shared" si="32"/>
        <v>0.90375269523543122</v>
      </c>
      <c r="BC85" s="383">
        <f t="shared" si="32"/>
        <v>0.93204465705792361</v>
      </c>
      <c r="BD85" s="383">
        <f t="shared" si="32"/>
        <v>0.9614466590150641</v>
      </c>
      <c r="BE85" s="383">
        <f t="shared" si="32"/>
        <v>0.99196844351763502</v>
      </c>
      <c r="BF85" s="383">
        <f t="shared" si="32"/>
        <v>1.0293185039150956</v>
      </c>
      <c r="BG85" s="383">
        <f t="shared" si="32"/>
        <v>1.0624270716443731</v>
      </c>
      <c r="BH85" s="383">
        <f t="shared" si="32"/>
        <v>1.095159053673342</v>
      </c>
      <c r="BI85" s="383">
        <f t="shared" si="32"/>
        <v>1.1289668702203755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3.5878103166288229</v>
      </c>
      <c r="C87" s="383">
        <f>+SUM(C84:C86)</f>
        <v>3.587315068875657</v>
      </c>
      <c r="D87" s="383">
        <f t="shared" ref="D87:BI87" si="35">+SUM(D84:D86)</f>
        <v>3.6856291486408388</v>
      </c>
      <c r="E87" s="383">
        <f t="shared" si="35"/>
        <v>3.5603135087663045</v>
      </c>
      <c r="F87" s="383">
        <f t="shared" si="35"/>
        <v>3.4807748370103382</v>
      </c>
      <c r="G87" s="383">
        <f t="shared" si="35"/>
        <v>3.6017502661378016</v>
      </c>
      <c r="H87" s="383">
        <f t="shared" si="35"/>
        <v>3.7278536732901681</v>
      </c>
      <c r="I87" s="383">
        <f t="shared" si="35"/>
        <v>3.741078718128533</v>
      </c>
      <c r="J87" s="383">
        <f t="shared" si="35"/>
        <v>3.6617962134888868</v>
      </c>
      <c r="K87" s="383">
        <f t="shared" si="35"/>
        <v>3.5854607197664299</v>
      </c>
      <c r="L87" s="383">
        <f t="shared" si="35"/>
        <v>3.6806778812478629</v>
      </c>
      <c r="M87" s="383">
        <f t="shared" si="35"/>
        <v>3.6653389902333666</v>
      </c>
      <c r="N87" s="383">
        <f t="shared" si="35"/>
        <v>3.680860387003976</v>
      </c>
      <c r="O87" s="383">
        <f t="shared" si="35"/>
        <v>3.6784585528511813</v>
      </c>
      <c r="P87" s="383">
        <f t="shared" si="35"/>
        <v>3.7545792049019053</v>
      </c>
      <c r="Q87" s="383">
        <f t="shared" si="35"/>
        <v>3.8259413401282236</v>
      </c>
      <c r="R87" s="383">
        <f t="shared" si="35"/>
        <v>3.8759658582802166</v>
      </c>
      <c r="S87" s="383">
        <f t="shared" si="35"/>
        <v>3.9280844751494843</v>
      </c>
      <c r="T87" s="383">
        <f t="shared" si="35"/>
        <v>3.8811552555323567</v>
      </c>
      <c r="U87" s="383">
        <f t="shared" si="35"/>
        <v>3.6307719555529232</v>
      </c>
      <c r="V87" s="383">
        <f t="shared" si="35"/>
        <v>3.7187542389209867</v>
      </c>
      <c r="W87" s="383">
        <f t="shared" si="35"/>
        <v>3.8052357525735054</v>
      </c>
      <c r="X87" s="383">
        <f t="shared" si="35"/>
        <v>3.8444364801660069</v>
      </c>
      <c r="Y87" s="383">
        <f t="shared" si="35"/>
        <v>3.9307544308407159</v>
      </c>
      <c r="Z87" s="383">
        <f t="shared" si="35"/>
        <v>3.9520509574523</v>
      </c>
      <c r="AA87" s="383">
        <f t="shared" si="35"/>
        <v>3.9958235606358832</v>
      </c>
      <c r="AB87" s="383">
        <f t="shared" si="35"/>
        <v>4.0211548627938507</v>
      </c>
      <c r="AC87" s="383">
        <f t="shared" si="35"/>
        <v>4.0812228052116053</v>
      </c>
      <c r="AD87" s="383">
        <f t="shared" si="35"/>
        <v>4.1208405755959623</v>
      </c>
      <c r="AE87" s="383">
        <f t="shared" si="35"/>
        <v>4.0951589306020351</v>
      </c>
      <c r="AF87" s="383">
        <f t="shared" si="35"/>
        <v>3.9101983321830471</v>
      </c>
      <c r="AG87" s="383">
        <f t="shared" si="35"/>
        <v>3.9645066029862779</v>
      </c>
      <c r="AH87" s="383">
        <f t="shared" si="35"/>
        <v>4.0633898586622346</v>
      </c>
      <c r="AI87" s="383">
        <f t="shared" si="35"/>
        <v>17.808831204405738</v>
      </c>
      <c r="AJ87" s="383">
        <f t="shared" si="35"/>
        <v>29.971307231825346</v>
      </c>
      <c r="AK87" s="383">
        <f t="shared" si="35"/>
        <v>34.814097349069087</v>
      </c>
      <c r="AL87" s="383">
        <f t="shared" si="35"/>
        <v>37.188930079111913</v>
      </c>
      <c r="AM87" s="383">
        <f t="shared" si="35"/>
        <v>38.847983390086625</v>
      </c>
      <c r="AN87" s="383">
        <f t="shared" si="35"/>
        <v>40.341451838829961</v>
      </c>
      <c r="AO87" s="383">
        <f t="shared" si="35"/>
        <v>41.826767404845931</v>
      </c>
      <c r="AP87" s="383">
        <f t="shared" si="35"/>
        <v>43.346525171414605</v>
      </c>
      <c r="AQ87" s="383">
        <f t="shared" si="35"/>
        <v>44.911547838856642</v>
      </c>
      <c r="AR87" s="383">
        <f t="shared" si="35"/>
        <v>46.524627542303612</v>
      </c>
      <c r="AS87" s="383">
        <f t="shared" si="35"/>
        <v>48.186981649145707</v>
      </c>
      <c r="AT87" s="383">
        <f t="shared" si="35"/>
        <v>49.899830314906481</v>
      </c>
      <c r="AU87" s="383">
        <f t="shared" si="35"/>
        <v>51.6646738142231</v>
      </c>
      <c r="AV87" s="383">
        <f t="shared" si="35"/>
        <v>53.483267944536401</v>
      </c>
      <c r="AW87" s="383">
        <f t="shared" si="35"/>
        <v>55.357557348015959</v>
      </c>
      <c r="AX87" s="383">
        <f t="shared" si="35"/>
        <v>57.289623183983018</v>
      </c>
      <c r="AY87" s="383">
        <f t="shared" si="35"/>
        <v>59.281650195837408</v>
      </c>
      <c r="AZ87" s="383">
        <f t="shared" si="35"/>
        <v>61.335908064128986</v>
      </c>
      <c r="BA87" s="383">
        <f t="shared" si="35"/>
        <v>63.454741809759561</v>
      </c>
      <c r="BB87" s="383">
        <f t="shared" si="35"/>
        <v>65.640567602059235</v>
      </c>
      <c r="BC87" s="383">
        <f t="shared" si="35"/>
        <v>67.895871715979482</v>
      </c>
      <c r="BD87" s="383">
        <f t="shared" si="35"/>
        <v>70.223211310938609</v>
      </c>
      <c r="BE87" s="383">
        <f t="shared" si="35"/>
        <v>72.645122395142707</v>
      </c>
      <c r="BF87" s="383">
        <f t="shared" si="35"/>
        <v>75.144141505434149</v>
      </c>
      <c r="BG87" s="383">
        <f t="shared" si="35"/>
        <v>77.713055980649003</v>
      </c>
      <c r="BH87" s="383">
        <f t="shared" si="35"/>
        <v>80.359954571799136</v>
      </c>
      <c r="BI87" s="383">
        <f t="shared" si="35"/>
        <v>80.393762388346175</v>
      </c>
    </row>
    <row r="88" spans="1:103" ht="18" customHeight="1" x14ac:dyDescent="0.2">
      <c r="A88" s="21" t="s">
        <v>153</v>
      </c>
      <c r="B88" s="29">
        <f t="shared" ref="B88:AG88" si="36">(B84/B56)*1000</f>
        <v>26.916943776904922</v>
      </c>
      <c r="C88" s="23">
        <f t="shared" si="36"/>
        <v>27.267960577501395</v>
      </c>
      <c r="D88" s="23">
        <f t="shared" si="36"/>
        <v>28.824568115031013</v>
      </c>
      <c r="E88" s="23">
        <f t="shared" si="36"/>
        <v>30.740415536618606</v>
      </c>
      <c r="F88" s="23">
        <f t="shared" si="36"/>
        <v>32.974302971871879</v>
      </c>
      <c r="G88" s="23">
        <f t="shared" si="36"/>
        <v>35.557965569481368</v>
      </c>
      <c r="H88" s="23">
        <f t="shared" si="36"/>
        <v>38.091478050850128</v>
      </c>
      <c r="I88" s="23">
        <f t="shared" si="36"/>
        <v>39.923095442805149</v>
      </c>
      <c r="J88" s="23">
        <f t="shared" si="36"/>
        <v>40.891738705777598</v>
      </c>
      <c r="K88" s="23">
        <f t="shared" si="36"/>
        <v>41.960725889369648</v>
      </c>
      <c r="L88" s="23">
        <f t="shared" si="36"/>
        <v>43.471588016293808</v>
      </c>
      <c r="M88" s="23">
        <f t="shared" si="36"/>
        <v>42.695600516054931</v>
      </c>
      <c r="N88" s="23">
        <f t="shared" si="36"/>
        <v>42.485341918151647</v>
      </c>
      <c r="O88" s="23">
        <f t="shared" si="36"/>
        <v>42.920084369208226</v>
      </c>
      <c r="P88" s="23">
        <f t="shared" si="36"/>
        <v>43.646703629698322</v>
      </c>
      <c r="Q88" s="23">
        <f t="shared" si="36"/>
        <v>44.191334792916933</v>
      </c>
      <c r="R88" s="23">
        <f t="shared" si="36"/>
        <v>44.574553717304298</v>
      </c>
      <c r="S88" s="23">
        <f t="shared" si="36"/>
        <v>45.003935094103703</v>
      </c>
      <c r="T88" s="23">
        <f t="shared" si="36"/>
        <v>44.242460086179037</v>
      </c>
      <c r="U88" s="23">
        <f t="shared" si="36"/>
        <v>41.499525018229868</v>
      </c>
      <c r="V88" s="23">
        <f t="shared" si="36"/>
        <v>42.948359714934412</v>
      </c>
      <c r="W88" s="23">
        <f t="shared" si="36"/>
        <v>42.707185844375516</v>
      </c>
      <c r="X88" s="23">
        <f t="shared" si="36"/>
        <v>43.021985665067454</v>
      </c>
      <c r="Y88" s="23">
        <f t="shared" si="36"/>
        <v>43.609571988632325</v>
      </c>
      <c r="Z88" s="23">
        <f t="shared" si="36"/>
        <v>43.460199084221557</v>
      </c>
      <c r="AA88" s="23">
        <f t="shared" si="36"/>
        <v>43.840998589016579</v>
      </c>
      <c r="AB88" s="23">
        <f t="shared" si="36"/>
        <v>43.75559525502279</v>
      </c>
      <c r="AC88" s="23">
        <f t="shared" si="36"/>
        <v>44.238015168826749</v>
      </c>
      <c r="AD88" s="23">
        <f t="shared" si="36"/>
        <v>44.266718738178426</v>
      </c>
      <c r="AE88" s="23">
        <f t="shared" si="36"/>
        <v>43.801317082828263</v>
      </c>
      <c r="AF88" s="23">
        <f t="shared" si="36"/>
        <v>41.855227316192732</v>
      </c>
      <c r="AG88" s="23">
        <f t="shared" si="36"/>
        <v>42.958110707833455</v>
      </c>
      <c r="AH88" s="23">
        <f t="shared" ref="AH88:BI88" si="37">(AH84/AH56)*1000</f>
        <v>43.365720616581925</v>
      </c>
      <c r="AI88" s="23">
        <f t="shared" si="37"/>
        <v>190.49104298962686</v>
      </c>
      <c r="AJ88" s="23">
        <f t="shared" si="37"/>
        <v>278.75736418358258</v>
      </c>
      <c r="AK88" s="23">
        <f t="shared" si="37"/>
        <v>332.80012941996131</v>
      </c>
      <c r="AL88" s="23">
        <f t="shared" si="37"/>
        <v>368.77130822612867</v>
      </c>
      <c r="AM88" s="23">
        <f t="shared" si="37"/>
        <v>395.37478388235809</v>
      </c>
      <c r="AN88" s="23">
        <f t="shared" si="37"/>
        <v>417.12362830194172</v>
      </c>
      <c r="AO88" s="23">
        <f t="shared" si="37"/>
        <v>436.42078368797081</v>
      </c>
      <c r="AP88" s="23">
        <f t="shared" si="37"/>
        <v>454.57550445534929</v>
      </c>
      <c r="AQ88" s="23">
        <f t="shared" si="37"/>
        <v>472.31373081540232</v>
      </c>
      <c r="AR88" s="23">
        <f t="shared" si="37"/>
        <v>490.04478148688895</v>
      </c>
      <c r="AS88" s="23">
        <f t="shared" si="37"/>
        <v>508.00447518674872</v>
      </c>
      <c r="AT88" s="23">
        <f t="shared" si="37"/>
        <v>526.33314008801426</v>
      </c>
      <c r="AU88" s="23">
        <f t="shared" si="37"/>
        <v>545.11850281638476</v>
      </c>
      <c r="AV88" s="23">
        <f t="shared" si="37"/>
        <v>564.41938152754994</v>
      </c>
      <c r="AW88" s="23">
        <f t="shared" si="37"/>
        <v>584.2788111999746</v>
      </c>
      <c r="AX88" s="23">
        <f t="shared" si="37"/>
        <v>604.73132903001715</v>
      </c>
      <c r="AY88" s="23">
        <f t="shared" si="37"/>
        <v>625.80702644980283</v>
      </c>
      <c r="AZ88" s="23">
        <f t="shared" si="37"/>
        <v>647.53380935880114</v>
      </c>
      <c r="BA88" s="23">
        <f t="shared" si="37"/>
        <v>669.93866516236164</v>
      </c>
      <c r="BB88" s="23">
        <f t="shared" si="37"/>
        <v>693.0483793535517</v>
      </c>
      <c r="BC88" s="23">
        <f t="shared" si="37"/>
        <v>716.88994716984712</v>
      </c>
      <c r="BD88" s="23">
        <f t="shared" si="37"/>
        <v>741.49081650482822</v>
      </c>
      <c r="BE88" s="23">
        <f t="shared" si="37"/>
        <v>767.09214522245202</v>
      </c>
      <c r="BF88" s="23">
        <f t="shared" si="37"/>
        <v>793.44586293299074</v>
      </c>
      <c r="BG88" s="23">
        <f t="shared" si="37"/>
        <v>820.59326240062796</v>
      </c>
      <c r="BH88" s="23">
        <f t="shared" si="37"/>
        <v>848.57956253632733</v>
      </c>
      <c r="BI88" s="23">
        <f t="shared" si="37"/>
        <v>848.57956253632733</v>
      </c>
    </row>
    <row r="89" spans="1:103" ht="18" customHeight="1" x14ac:dyDescent="0.2">
      <c r="A89" s="21" t="s">
        <v>166</v>
      </c>
      <c r="C89" s="23">
        <f>+LN(C88/B88)/10</f>
        <v>1.2956439258410366E-3</v>
      </c>
      <c r="D89" s="23">
        <f>+LN(D88/C88)/10</f>
        <v>5.551567528580219E-3</v>
      </c>
      <c r="E89" s="23">
        <f>+LN(E88/D88)/10</f>
        <v>6.4350172757997957E-3</v>
      </c>
      <c r="F89" s="23">
        <f>+LN(F88/E88)/10</f>
        <v>7.0150304500698757E-3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0.6145064446236197</v>
      </c>
      <c r="C90" s="33">
        <f t="shared" si="38"/>
        <v>0.61699568491278167</v>
      </c>
      <c r="D90" s="33">
        <f t="shared" si="38"/>
        <v>0.62748086038346074</v>
      </c>
      <c r="E90" s="33">
        <f t="shared" si="38"/>
        <v>0.63927592473242278</v>
      </c>
      <c r="F90" s="33">
        <f t="shared" si="38"/>
        <v>0.65170905497899412</v>
      </c>
      <c r="G90" s="33">
        <f t="shared" si="38"/>
        <v>0.66460117012407105</v>
      </c>
      <c r="H90" s="33">
        <f t="shared" si="38"/>
        <v>0.67594697247927638</v>
      </c>
      <c r="I90" s="33">
        <f t="shared" si="38"/>
        <v>0.6834678029813207</v>
      </c>
      <c r="J90" s="33">
        <f t="shared" si="38"/>
        <v>0.68723927790531647</v>
      </c>
      <c r="K90" s="33">
        <f t="shared" si="38"/>
        <v>0.69124891006961553</v>
      </c>
      <c r="L90" s="33">
        <f t="shared" si="38"/>
        <v>0.69666170382740411</v>
      </c>
      <c r="M90" s="33">
        <f t="shared" si="38"/>
        <v>0.69391754749589341</v>
      </c>
      <c r="N90" s="33">
        <f t="shared" si="38"/>
        <v>0.69316108613413729</v>
      </c>
      <c r="O90" s="33">
        <f t="shared" si="38"/>
        <v>0.69471904461375944</v>
      </c>
      <c r="P90" s="33">
        <f t="shared" si="38"/>
        <v>0.69727082954247432</v>
      </c>
      <c r="Q90" s="33">
        <f t="shared" si="38"/>
        <v>0.69914208885023665</v>
      </c>
      <c r="R90" s="33">
        <f t="shared" si="38"/>
        <v>0.7004381570153424</v>
      </c>
      <c r="S90" s="33">
        <f t="shared" si="38"/>
        <v>0.70187063790501347</v>
      </c>
      <c r="T90" s="33">
        <f t="shared" si="38"/>
        <v>0.69931597040050808</v>
      </c>
      <c r="U90" s="33">
        <f t="shared" si="38"/>
        <v>0.68953801304028528</v>
      </c>
      <c r="V90" s="33">
        <f t="shared" si="38"/>
        <v>0.69481955305929666</v>
      </c>
      <c r="W90" s="33">
        <f t="shared" si="38"/>
        <v>0.6939590663428552</v>
      </c>
      <c r="X90" s="33">
        <f t="shared" si="38"/>
        <v>0.69508080113347981</v>
      </c>
      <c r="Y90" s="33">
        <f t="shared" si="38"/>
        <v>0.69714197664809296</v>
      </c>
      <c r="Z90" s="33">
        <f t="shared" si="38"/>
        <v>0.69662196087842121</v>
      </c>
      <c r="AA90" s="33">
        <f t="shared" si="38"/>
        <v>0.69794239345455855</v>
      </c>
      <c r="AB90" s="33">
        <f t="shared" si="38"/>
        <v>0.69764775512210986</v>
      </c>
      <c r="AC90" s="33">
        <f t="shared" si="38"/>
        <v>0.69930086481671405</v>
      </c>
      <c r="AD90" s="33">
        <f t="shared" si="38"/>
        <v>0.69939837077986544</v>
      </c>
      <c r="AE90" s="33">
        <f t="shared" si="38"/>
        <v>0.69780560090893706</v>
      </c>
      <c r="AF90" s="33">
        <f t="shared" si="38"/>
        <v>0.69086004227516651</v>
      </c>
      <c r="AG90" s="33">
        <f t="shared" si="38"/>
        <v>0.69485419123599834</v>
      </c>
      <c r="AH90" s="33">
        <f t="shared" si="38"/>
        <v>0.69629166430573131</v>
      </c>
      <c r="AI90" s="33">
        <f t="shared" si="38"/>
        <v>0.85509188208361797</v>
      </c>
      <c r="AJ90" s="33">
        <f t="shared" si="38"/>
        <v>0.88021103267060874</v>
      </c>
      <c r="AK90" s="33">
        <f t="shared" si="38"/>
        <v>0.89036776890362512</v>
      </c>
      <c r="AL90" s="33">
        <f t="shared" si="38"/>
        <v>0.8958518802724631</v>
      </c>
      <c r="AM90" s="33">
        <f t="shared" si="38"/>
        <v>0.89941678528181745</v>
      </c>
      <c r="AN90" s="33">
        <f t="shared" si="38"/>
        <v>0.90207409363274027</v>
      </c>
      <c r="AO90" s="33">
        <f t="shared" si="38"/>
        <v>0.90426355796668623</v>
      </c>
      <c r="AP90" s="33">
        <f t="shared" si="38"/>
        <v>0.90619478547435461</v>
      </c>
      <c r="AQ90" s="33">
        <f t="shared" si="38"/>
        <v>0.90797311752461485</v>
      </c>
      <c r="AR90" s="33">
        <f t="shared" si="38"/>
        <v>0.90965333804153981</v>
      </c>
      <c r="AS90" s="33">
        <f t="shared" si="38"/>
        <v>0.91126473991073653</v>
      </c>
      <c r="AT90" s="33">
        <f t="shared" si="38"/>
        <v>0.91282345805557419</v>
      </c>
      <c r="AU90" s="33">
        <f t="shared" si="38"/>
        <v>0.91433872505611125</v>
      </c>
      <c r="AV90" s="33">
        <f t="shared" si="38"/>
        <v>0.91581610098865729</v>
      </c>
      <c r="AW90" s="33">
        <f t="shared" si="38"/>
        <v>0.91725915970161154</v>
      </c>
      <c r="AX90" s="33">
        <f t="shared" si="38"/>
        <v>0.91867037657416961</v>
      </c>
      <c r="AY90" s="33">
        <f t="shared" si="38"/>
        <v>0.92005159972734718</v>
      </c>
      <c r="AZ90" s="33">
        <f t="shared" si="38"/>
        <v>0.92140430273007479</v>
      </c>
      <c r="BA90" s="33">
        <f t="shared" si="38"/>
        <v>0.92272972215464566</v>
      </c>
      <c r="BB90" s="33">
        <f t="shared" si="38"/>
        <v>0.924028934140119</v>
      </c>
      <c r="BC90" s="33">
        <f t="shared" si="38"/>
        <v>0.92530289842756552</v>
      </c>
      <c r="BD90" s="33">
        <f t="shared" si="38"/>
        <v>0.92655248486816599</v>
      </c>
      <c r="BE90" s="33">
        <f t="shared" si="38"/>
        <v>0.92778852304417425</v>
      </c>
      <c r="BF90" s="33">
        <f t="shared" si="38"/>
        <v>0.92899787518564614</v>
      </c>
      <c r="BG90" s="33">
        <f t="shared" si="38"/>
        <v>0.93018222211415802</v>
      </c>
      <c r="BH90" s="33">
        <f t="shared" si="38"/>
        <v>0.93134317564761271</v>
      </c>
      <c r="BI90" s="33">
        <f t="shared" si="38"/>
        <v>0.93134317564761271</v>
      </c>
    </row>
    <row r="91" spans="1:103" ht="18" customHeight="1" x14ac:dyDescent="0.2">
      <c r="A91" s="28" t="s">
        <v>115</v>
      </c>
      <c r="B91" s="29">
        <f t="shared" ref="B91:BH91" si="39">B$17*B$56*B90</f>
        <v>78.517331948893755</v>
      </c>
      <c r="C91" s="29">
        <f t="shared" si="39"/>
        <v>67.046163749623389</v>
      </c>
      <c r="D91" s="29">
        <f t="shared" si="39"/>
        <v>56.418828674913783</v>
      </c>
      <c r="E91" s="29">
        <f t="shared" si="39"/>
        <v>46.633309318290856</v>
      </c>
      <c r="F91" s="29">
        <f t="shared" si="39"/>
        <v>38.085006220440249</v>
      </c>
      <c r="G91" s="29">
        <f t="shared" si="39"/>
        <v>31.538952552377346</v>
      </c>
      <c r="H91" s="29">
        <f t="shared" si="39"/>
        <v>26.559380233366703</v>
      </c>
      <c r="I91" s="29">
        <f t="shared" si="39"/>
        <v>22.235275502868102</v>
      </c>
      <c r="J91" s="29">
        <f t="shared" si="39"/>
        <v>18.511924582898565</v>
      </c>
      <c r="K91" s="29">
        <f t="shared" si="39"/>
        <v>15.416905278053617</v>
      </c>
      <c r="L91" s="29">
        <f t="shared" si="39"/>
        <v>13.15714730730191</v>
      </c>
      <c r="M91" s="36">
        <f t="shared" si="39"/>
        <v>11.34965431526413</v>
      </c>
      <c r="N91" s="29">
        <f t="shared" si="39"/>
        <v>9.8184719224201924</v>
      </c>
      <c r="O91" s="29">
        <f t="shared" si="39"/>
        <v>8.5222427034542694</v>
      </c>
      <c r="P91" s="29">
        <f t="shared" si="39"/>
        <v>7.4076619538990762</v>
      </c>
      <c r="Q91" s="29">
        <f t="shared" si="39"/>
        <v>6.4325040889622649</v>
      </c>
      <c r="R91" s="29">
        <f t="shared" si="39"/>
        <v>5.5810946088338769</v>
      </c>
      <c r="S91" s="29">
        <f t="shared" si="39"/>
        <v>4.8433028612305558</v>
      </c>
      <c r="T91" s="29">
        <f t="shared" si="39"/>
        <v>4.1791981580388153</v>
      </c>
      <c r="U91" s="29">
        <f t="shared" si="39"/>
        <v>3.5687218118503599</v>
      </c>
      <c r="V91" s="29">
        <f t="shared" si="39"/>
        <v>3.1160410006222481</v>
      </c>
      <c r="W91" s="29">
        <f t="shared" si="39"/>
        <v>2.6982570518046325</v>
      </c>
      <c r="X91" s="29">
        <f t="shared" si="39"/>
        <v>2.3431662022375073</v>
      </c>
      <c r="Y91" s="29">
        <f t="shared" si="39"/>
        <v>2.03754575355177</v>
      </c>
      <c r="Z91" s="29">
        <f t="shared" si="39"/>
        <v>1.7652313524336571</v>
      </c>
      <c r="AA91" s="29">
        <f t="shared" si="39"/>
        <v>1.5333538367008421</v>
      </c>
      <c r="AB91" s="29">
        <f t="shared" si="39"/>
        <v>1.3288542252449642</v>
      </c>
      <c r="AC91" s="29">
        <f t="shared" si="39"/>
        <v>1.1548445805123726</v>
      </c>
      <c r="AD91" s="29">
        <f t="shared" si="39"/>
        <v>1.0013881004799254</v>
      </c>
      <c r="AE91" s="29">
        <f t="shared" si="39"/>
        <v>0.86622476486087152</v>
      </c>
      <c r="AF91" s="29">
        <f t="shared" si="39"/>
        <v>0.74125080120903797</v>
      </c>
      <c r="AG91" s="29">
        <f t="shared" si="39"/>
        <v>0.64240418260923282</v>
      </c>
      <c r="AH91" s="29">
        <f t="shared" si="39"/>
        <v>0.55468376151542087</v>
      </c>
      <c r="AI91" s="29">
        <f t="shared" si="39"/>
        <v>0.58695744676367967</v>
      </c>
      <c r="AJ91" s="29">
        <f t="shared" si="39"/>
        <v>0.52061924587216524</v>
      </c>
      <c r="AK91" s="29">
        <f t="shared" si="39"/>
        <v>0.45377693643483769</v>
      </c>
      <c r="AL91" s="29">
        <f t="shared" si="39"/>
        <v>0.39341306236427209</v>
      </c>
      <c r="AM91" s="29">
        <f t="shared" si="39"/>
        <v>0.34034010758143618</v>
      </c>
      <c r="AN91" s="29">
        <f t="shared" si="39"/>
        <v>0.29412634872701271</v>
      </c>
      <c r="AO91" s="29">
        <f t="shared" si="39"/>
        <v>0.2540541698928015</v>
      </c>
      <c r="AP91" s="29">
        <f t="shared" si="39"/>
        <v>0.21937767771477187</v>
      </c>
      <c r="AQ91" s="29">
        <f t="shared" si="39"/>
        <v>0.18940151303481853</v>
      </c>
      <c r="AR91" s="29">
        <f t="shared" si="39"/>
        <v>0.16350308393760984</v>
      </c>
      <c r="AS91" s="29">
        <f t="shared" si="39"/>
        <v>0.14113482034244482</v>
      </c>
      <c r="AT91" s="29">
        <f t="shared" si="39"/>
        <v>0.12181926596138455</v>
      </c>
      <c r="AU91" s="29">
        <f t="shared" si="39"/>
        <v>0.10514191371010173</v>
      </c>
      <c r="AV91" s="29">
        <f t="shared" si="39"/>
        <v>9.0743727662883675E-2</v>
      </c>
      <c r="AW91" s="29">
        <f t="shared" si="39"/>
        <v>7.8314102628998294E-2</v>
      </c>
      <c r="AX91" s="29">
        <f t="shared" si="39"/>
        <v>6.7584516072552336E-2</v>
      </c>
      <c r="AY91" s="29">
        <f t="shared" si="39"/>
        <v>5.8322919881719337E-2</v>
      </c>
      <c r="AZ91" s="29">
        <f t="shared" si="39"/>
        <v>5.0328836102770794E-2</v>
      </c>
      <c r="BA91" s="29">
        <f t="shared" si="39"/>
        <v>4.3429090918586509E-2</v>
      </c>
      <c r="BB91" s="29">
        <f t="shared" si="39"/>
        <v>3.7474114259999282E-2</v>
      </c>
      <c r="BC91" s="29">
        <f t="shared" si="39"/>
        <v>3.2334735012411783E-2</v>
      </c>
      <c r="BD91" s="29">
        <f t="shared" si="39"/>
        <v>2.7899407885065015E-2</v>
      </c>
      <c r="BE91" s="29">
        <f t="shared" si="39"/>
        <v>2.4072075371686104E-2</v>
      </c>
      <c r="BF91" s="29">
        <f t="shared" si="39"/>
        <v>2.0769155447291018E-2</v>
      </c>
      <c r="BG91" s="29">
        <f t="shared" si="39"/>
        <v>1.7918915792876442E-2</v>
      </c>
      <c r="BH91" s="29">
        <f t="shared" si="39"/>
        <v>1.5459413294148598E-2</v>
      </c>
      <c r="BI91" s="29">
        <f>BI$17*BI$56*BI90/(1-(BJ17/BI17))</f>
        <v>9.6295838094309555E-2</v>
      </c>
    </row>
    <row r="92" spans="1:103" ht="18" customHeight="1" x14ac:dyDescent="0.2">
      <c r="A92" s="57" t="s">
        <v>62</v>
      </c>
      <c r="B92" s="194">
        <f>SUM(B91:AO91)*10*B52+B53</f>
        <v>93.630515987506442</v>
      </c>
      <c r="C92" s="174">
        <v>99.816521434995593</v>
      </c>
      <c r="D92" s="195">
        <f>+B92-C92</f>
        <v>-6.1860054474891513</v>
      </c>
      <c r="I92" s="33"/>
    </row>
    <row r="93" spans="1:103" s="33" customFormat="1" ht="18" customHeight="1" x14ac:dyDescent="0.2">
      <c r="A93" s="32" t="s">
        <v>270</v>
      </c>
      <c r="B93" s="33">
        <f>+B90*Data!B361</f>
        <v>0.6145064446236197</v>
      </c>
      <c r="C93" s="33">
        <f>+C90*Data!C361</f>
        <v>0.43817339791156235</v>
      </c>
      <c r="D93" s="33">
        <f>+D90*Data!D361</f>
        <v>0.39881917067768247</v>
      </c>
      <c r="E93" s="33">
        <f>+E90*Data!E361</f>
        <v>0.36624929677997342</v>
      </c>
      <c r="F93" s="33">
        <f>+F90*Data!F361</f>
        <v>0.31725877401580843</v>
      </c>
      <c r="G93" s="33">
        <f>+G90*Data!G361</f>
        <v>0.28754218373160167</v>
      </c>
      <c r="H93" s="33">
        <f>+H90*Data!H361</f>
        <v>0.26527258690651256</v>
      </c>
      <c r="I93" s="33">
        <f>+I90*Data!I361</f>
        <v>0.2445982776413235</v>
      </c>
      <c r="J93" s="33">
        <f>+J90*Data!J361</f>
        <v>0.22557551801399095</v>
      </c>
      <c r="K93" s="33">
        <f>+K90*Data!K361</f>
        <v>0.20694659160150128</v>
      </c>
      <c r="L93" s="33">
        <f>+L90*Data!L361</f>
        <v>0.19244099784190533</v>
      </c>
      <c r="M93" s="33">
        <f>+M90*Data!M361</f>
        <v>0.17645951586661149</v>
      </c>
      <c r="N93" s="33">
        <f>+N90*Data!N361</f>
        <v>0.1706096236272775</v>
      </c>
      <c r="O93" s="33">
        <f>+O90*Data!O361</f>
        <v>0.16436931011302761</v>
      </c>
      <c r="P93" s="33">
        <f>+P90*Data!P361</f>
        <v>0.15848684834963708</v>
      </c>
      <c r="Q93" s="33">
        <f>+Q90*Data!Q361</f>
        <v>0.15302732562271903</v>
      </c>
      <c r="R93" s="33">
        <f>+R90*Data!R361</f>
        <v>0.14818487900318802</v>
      </c>
      <c r="S93" s="33">
        <f>+S90*Data!S361</f>
        <v>0.14413589929477666</v>
      </c>
      <c r="T93" s="33">
        <f>+T90*Data!T361</f>
        <v>0.14001431280660234</v>
      </c>
      <c r="U93" s="33">
        <f>+U90*Data!U361</f>
        <v>0.13517858606058053</v>
      </c>
      <c r="V93" s="33">
        <f>+V90*Data!V361</f>
        <v>0.13413594047395619</v>
      </c>
      <c r="W93" s="33">
        <f>+W90*Data!W361</f>
        <v>0.13238643919087315</v>
      </c>
      <c r="X93" s="33">
        <f>+X90*Data!X361</f>
        <v>0.13118192876513629</v>
      </c>
      <c r="Y93" s="33">
        <f>+Y90*Data!Y361</f>
        <v>0.1303140933159902</v>
      </c>
      <c r="Z93" s="33">
        <f>+Z90*Data!Z361</f>
        <v>0.12923736221364818</v>
      </c>
      <c r="AA93" s="33">
        <f>+AA90*Data!AA361</f>
        <v>0.12881969269123997</v>
      </c>
      <c r="AB93" s="33">
        <f>+AB90*Data!AB361</f>
        <v>0.12839904987275708</v>
      </c>
      <c r="AC93" s="33">
        <f>+AC90*Data!AC361</f>
        <v>0.12859687855152288</v>
      </c>
      <c r="AD93" s="33">
        <f>+AD90*Data!AD361</f>
        <v>0.12871398703750625</v>
      </c>
      <c r="AE93" s="33">
        <f>+AE90*Data!AE361</f>
        <v>0.12870740412363971</v>
      </c>
      <c r="AF93" s="33">
        <f>+AF90*Data!AF361</f>
        <v>0.12790621111820571</v>
      </c>
      <c r="AG93" s="33">
        <f>+AG90*Data!AG361</f>
        <v>0.12929313187166447</v>
      </c>
      <c r="AH93" s="33">
        <f>+AH90*Data!AH361</f>
        <v>0.13032713892267703</v>
      </c>
      <c r="AI93" s="33">
        <f>+AI90*Data!AI361</f>
        <v>0.16114232859373312</v>
      </c>
      <c r="AJ93" s="33">
        <f>+AJ90*Data!AJ361</f>
        <v>0.16715391267521809</v>
      </c>
      <c r="AK93" s="33">
        <f>+AK90*Data!AK361</f>
        <v>0.17052610455377376</v>
      </c>
      <c r="AL93" s="33">
        <f>+AL90*Data!AL361</f>
        <v>0.17317388611808876</v>
      </c>
      <c r="AM93" s="33">
        <f>+AM90*Data!AM361</f>
        <v>0.17560504044924516</v>
      </c>
      <c r="AN93" s="33">
        <f>+AN90*Data!AN361</f>
        <v>0.1780017825436282</v>
      </c>
      <c r="AO93" s="33">
        <f>+AO90*Data!AO361</f>
        <v>0.18043933047737765</v>
      </c>
      <c r="AP93" s="33">
        <f>+AP90*Data!AP361</f>
        <v>0.18294978580253529</v>
      </c>
      <c r="AQ93" s="33">
        <f>+AQ90*Data!AQ361</f>
        <v>0.18554568755311998</v>
      </c>
      <c r="AR93" s="33">
        <f>+AR90*Data!AR361</f>
        <v>0.18823007872050709</v>
      </c>
      <c r="AS93" s="33">
        <f>+AS90*Data!AS361</f>
        <v>0.19100121778229176</v>
      </c>
      <c r="AT93" s="33">
        <f>+AT90*Data!AT361</f>
        <v>0.19385490791029839</v>
      </c>
      <c r="AU93" s="33">
        <f>+AU90*Data!AU361</f>
        <v>0.19678568833978191</v>
      </c>
      <c r="AV93" s="33">
        <f>+AV90*Data!AV361</f>
        <v>0.19978745865345013</v>
      </c>
      <c r="AW93" s="33">
        <f>+AW90*Data!AW361</f>
        <v>0.20285381193312771</v>
      </c>
      <c r="AX93" s="33">
        <f>+AX90*Data!AX361</f>
        <v>0.20597821207640432</v>
      </c>
      <c r="AY93" s="33">
        <f>+AY90*Data!AY361</f>
        <v>0.20915407808309822</v>
      </c>
      <c r="AZ93" s="33">
        <f>+AZ90*Data!AZ361</f>
        <v>0.2123747966471764</v>
      </c>
      <c r="BA93" s="33">
        <f>+BA90*Data!BA361</f>
        <v>0.21563365627542211</v>
      </c>
      <c r="BB93" s="33">
        <f>+BB90*Data!BB361</f>
        <v>0.2189236727737924</v>
      </c>
      <c r="BC93" s="33">
        <f>+BC90*Data!BC361</f>
        <v>0.22223725436698735</v>
      </c>
      <c r="BD93" s="33">
        <f>+BD90*Data!BD361</f>
        <v>0.22556563775637078</v>
      </c>
      <c r="BE93" s="33">
        <f>+BE90*Data!BE361</f>
        <v>0.22890049980481167</v>
      </c>
      <c r="BF93" s="33">
        <f>+BF90*Data!BF361</f>
        <v>0.23222443691792236</v>
      </c>
      <c r="BG93" s="33">
        <f>+BG90*Data!BG361</f>
        <v>0.23551891705738215</v>
      </c>
      <c r="BH93" s="33">
        <f>+BH90*Data!BH361</f>
        <v>0.23875918574868737</v>
      </c>
      <c r="BI93" s="33">
        <f>+BI90*Data!BI361</f>
        <v>0.23864303907448273</v>
      </c>
    </row>
    <row r="94" spans="1:103" ht="18" customHeight="1" x14ac:dyDescent="0.2">
      <c r="A94" s="21" t="s">
        <v>271</v>
      </c>
      <c r="B94" s="29">
        <f>B$17*B$56*B93</f>
        <v>78.517331948893755</v>
      </c>
      <c r="C94" s="29">
        <f t="shared" ref="C94:BH94" si="40">C$17*C$56*C93</f>
        <v>47.614344971084101</v>
      </c>
      <c r="D94" s="29">
        <f t="shared" si="40"/>
        <v>35.859118394439641</v>
      </c>
      <c r="E94" s="29">
        <f t="shared" si="40"/>
        <v>26.716815202286586</v>
      </c>
      <c r="F94" s="29">
        <f t="shared" si="40"/>
        <v>18.540178764695487</v>
      </c>
      <c r="G94" s="29">
        <f t="shared" si="40"/>
        <v>13.645445866165041</v>
      </c>
      <c r="H94" s="29">
        <f t="shared" si="40"/>
        <v>10.423118658697573</v>
      </c>
      <c r="I94" s="29">
        <f t="shared" si="40"/>
        <v>7.9575220180935018</v>
      </c>
      <c r="J94" s="29">
        <f t="shared" si="40"/>
        <v>6.0762490030417</v>
      </c>
      <c r="K94" s="29">
        <f t="shared" si="40"/>
        <v>4.6155240953871148</v>
      </c>
      <c r="L94" s="29">
        <f t="shared" si="40"/>
        <v>3.6344391297234369</v>
      </c>
      <c r="M94" s="29">
        <f t="shared" si="40"/>
        <v>2.8861563062530258</v>
      </c>
      <c r="N94" s="29">
        <f t="shared" si="40"/>
        <v>2.4166472019102039</v>
      </c>
      <c r="O94" s="29">
        <f t="shared" si="40"/>
        <v>2.0163477086789192</v>
      </c>
      <c r="P94" s="29">
        <f t="shared" si="40"/>
        <v>1.6837316964533418</v>
      </c>
      <c r="Q94" s="29">
        <f t="shared" si="40"/>
        <v>1.4079382624637804</v>
      </c>
      <c r="R94" s="29">
        <f t="shared" si="40"/>
        <v>1.1807378296457909</v>
      </c>
      <c r="S94" s="29">
        <f t="shared" si="40"/>
        <v>0.99461891659144519</v>
      </c>
      <c r="T94" s="29">
        <f t="shared" si="40"/>
        <v>0.83674273568398672</v>
      </c>
      <c r="U94" s="29">
        <f t="shared" si="40"/>
        <v>0.69962026668035249</v>
      </c>
      <c r="V94" s="29">
        <f t="shared" si="40"/>
        <v>0.60155631535343757</v>
      </c>
      <c r="W94" s="29">
        <f t="shared" si="40"/>
        <v>0.5147459849362287</v>
      </c>
      <c r="X94" s="29">
        <f t="shared" si="40"/>
        <v>0.44222349592384685</v>
      </c>
      <c r="Y94" s="29">
        <f t="shared" si="40"/>
        <v>0.38087066387909674</v>
      </c>
      <c r="Z94" s="29">
        <f t="shared" si="40"/>
        <v>0.32748586248657169</v>
      </c>
      <c r="AA94" s="29">
        <f t="shared" si="40"/>
        <v>0.28301213951634924</v>
      </c>
      <c r="AB94" s="29">
        <f t="shared" si="40"/>
        <v>0.24456986880289999</v>
      </c>
      <c r="AC94" s="29">
        <f t="shared" si="40"/>
        <v>0.21236840355539685</v>
      </c>
      <c r="AD94" s="29">
        <f t="shared" si="40"/>
        <v>0.18429075669845232</v>
      </c>
      <c r="AE94" s="29">
        <f t="shared" si="40"/>
        <v>0.15977163371522185</v>
      </c>
      <c r="AF94" s="29">
        <f t="shared" si="40"/>
        <v>0.1372355841550027</v>
      </c>
      <c r="AG94" s="29">
        <f t="shared" si="40"/>
        <v>0.11953363704874685</v>
      </c>
      <c r="AH94" s="29">
        <f t="shared" si="40"/>
        <v>0.10382193461593947</v>
      </c>
      <c r="AI94" s="29">
        <f t="shared" si="40"/>
        <v>0.11061231165761706</v>
      </c>
      <c r="AJ94" s="29">
        <f t="shared" si="40"/>
        <v>9.8866681661009828E-2</v>
      </c>
      <c r="AK94" s="29">
        <f t="shared" si="40"/>
        <v>8.6908821286133184E-2</v>
      </c>
      <c r="AL94" s="29">
        <f t="shared" si="40"/>
        <v>7.6049255864170745E-2</v>
      </c>
      <c r="AM94" s="29">
        <f t="shared" si="40"/>
        <v>6.6449102725620171E-2</v>
      </c>
      <c r="AN94" s="29">
        <f t="shared" si="40"/>
        <v>5.8038485680947036E-2</v>
      </c>
      <c r="AO94" s="29">
        <f t="shared" si="40"/>
        <v>5.0694693949097404E-2</v>
      </c>
      <c r="AP94" s="29">
        <f t="shared" si="40"/>
        <v>4.428970436721958E-2</v>
      </c>
      <c r="AQ94" s="29">
        <f t="shared" si="40"/>
        <v>3.870448725999194E-2</v>
      </c>
      <c r="AR94" s="29">
        <f t="shared" si="40"/>
        <v>3.3832886742198233E-2</v>
      </c>
      <c r="AS94" s="29">
        <f t="shared" si="40"/>
        <v>2.9581878214153774E-2</v>
      </c>
      <c r="AT94" s="29">
        <f t="shared" si="40"/>
        <v>2.5870569359542701E-2</v>
      </c>
      <c r="AU94" s="29">
        <f t="shared" si="40"/>
        <v>2.2628839067857034E-2</v>
      </c>
      <c r="AV94" s="29">
        <f t="shared" si="40"/>
        <v>1.9795959820903881E-2</v>
      </c>
      <c r="AW94" s="29">
        <f t="shared" si="40"/>
        <v>1.7319330178814863E-2</v>
      </c>
      <c r="AX94" s="29">
        <f t="shared" si="40"/>
        <v>1.5153354390925461E-2</v>
      </c>
      <c r="AY94" s="29">
        <f t="shared" si="40"/>
        <v>1.3258470006019625E-2</v>
      </c>
      <c r="AZ94" s="29">
        <f t="shared" si="40"/>
        <v>1.1600310852842017E-2</v>
      </c>
      <c r="BA94" s="29">
        <f t="shared" si="40"/>
        <v>1.0148988851930623E-2</v>
      </c>
      <c r="BB94" s="29">
        <f t="shared" si="40"/>
        <v>8.8784781781516674E-3</v>
      </c>
      <c r="BC94" s="29">
        <f t="shared" si="40"/>
        <v>7.7660869127873173E-3</v>
      </c>
      <c r="BD94" s="29">
        <f t="shared" si="40"/>
        <v>6.7920035134493512E-3</v>
      </c>
      <c r="BE94" s="29">
        <f t="shared" si="40"/>
        <v>5.9389720254770786E-3</v>
      </c>
      <c r="BF94" s="29">
        <f t="shared" si="40"/>
        <v>5.1917292362419357E-3</v>
      </c>
      <c r="BG94" s="29">
        <f t="shared" si="40"/>
        <v>4.5370074185988318E-3</v>
      </c>
      <c r="BH94" s="29">
        <f t="shared" si="40"/>
        <v>3.9631760094196739E-3</v>
      </c>
      <c r="BI94" s="29">
        <f>BI$17*BI$56*BI93/(1-(BJ17/BI17))</f>
        <v>2.4674397208172945E-2</v>
      </c>
    </row>
    <row r="95" spans="1:103" ht="39" customHeight="1" x14ac:dyDescent="0.2">
      <c r="A95" s="57" t="s">
        <v>62</v>
      </c>
      <c r="B95" s="191">
        <f>SUM(B94:BI94)*10*B52+B53-C53</f>
        <v>128.5258151422604</v>
      </c>
      <c r="C95" s="84">
        <v>147.06846520979082</v>
      </c>
      <c r="D95" s="183">
        <f>+B95-C95</f>
        <v>-18.542650067530417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+Controls!B30</f>
        <v>0.15130516850935352</v>
      </c>
      <c r="C97" s="385">
        <f>+Controls!C30</f>
        <v>0.18028879870424402</v>
      </c>
      <c r="D97" s="385">
        <f>+Controls!D30</f>
        <v>0.17561051284600046</v>
      </c>
      <c r="E97" s="385">
        <f>+Controls!E30</f>
        <v>0.16834939682036698</v>
      </c>
      <c r="F97" s="385">
        <f>+Controls!F30</f>
        <v>0.17936264615265576</v>
      </c>
      <c r="G97" s="385">
        <f>+Controls!G30</f>
        <v>0.18715052917114447</v>
      </c>
      <c r="H97" s="385">
        <f>+Controls!H30</f>
        <v>0.18886752273284263</v>
      </c>
      <c r="I97" s="385">
        <f>+Controls!I30</f>
        <v>0.19078953271553145</v>
      </c>
      <c r="J97" s="385">
        <f>+Controls!J30</f>
        <v>0.19299543769997909</v>
      </c>
      <c r="K97" s="385">
        <f>+Controls!K30</f>
        <v>0.20201478435586034</v>
      </c>
      <c r="L97" s="385">
        <f>+Controls!L30</f>
        <v>0.20937148693838403</v>
      </c>
      <c r="M97" s="385">
        <f>+Controls!M30</f>
        <v>0.22226937429570431</v>
      </c>
      <c r="N97" s="385">
        <f>+Controls!N30</f>
        <v>0.22226937429570431</v>
      </c>
      <c r="O97" s="385">
        <f>+Controls!O30</f>
        <v>0.22226937429570431</v>
      </c>
      <c r="P97" s="385">
        <f>+Controls!P30</f>
        <v>0.22226937429570431</v>
      </c>
      <c r="Q97" s="385">
        <f>+Controls!Q30</f>
        <v>0.22226937429570431</v>
      </c>
      <c r="R97" s="385">
        <f>+Controls!R30</f>
        <v>0.22226937429570431</v>
      </c>
      <c r="S97" s="385">
        <f>+Controls!S30</f>
        <v>0.22226937429570431</v>
      </c>
      <c r="T97" s="385">
        <f>+Controls!T30</f>
        <v>0.22226937429570431</v>
      </c>
      <c r="U97" s="385">
        <f>+Controls!U30</f>
        <v>0.22226937429570431</v>
      </c>
      <c r="V97" s="385">
        <f>+Controls!V30</f>
        <v>0.22226937429570431</v>
      </c>
      <c r="W97" s="385">
        <f>+Controls!W30</f>
        <v>0.22226937429570431</v>
      </c>
      <c r="X97" s="385">
        <f>+Controls!X30</f>
        <v>0.22226937429570431</v>
      </c>
      <c r="Y97" s="385">
        <f>+Controls!Y30</f>
        <v>0.22226937429570431</v>
      </c>
      <c r="Z97" s="385">
        <f>+Controls!Z30</f>
        <v>0.22226937429570431</v>
      </c>
      <c r="AA97" s="385">
        <f>+Controls!AA30</f>
        <v>0.22226937429570431</v>
      </c>
      <c r="AB97" s="385">
        <f>+Controls!AB30</f>
        <v>0.22226937429570431</v>
      </c>
      <c r="AC97" s="385">
        <f>+Controls!AC30</f>
        <v>0.22226937429570431</v>
      </c>
      <c r="AD97" s="385">
        <f>+Controls!AD30</f>
        <v>0.22226937429570431</v>
      </c>
      <c r="AE97" s="385">
        <f>+Controls!AE30</f>
        <v>0.22226937429570431</v>
      </c>
      <c r="AF97" s="385">
        <f>+Controls!AF30</f>
        <v>0.22226937429570431</v>
      </c>
      <c r="AG97" s="385">
        <f>+Controls!AG30</f>
        <v>0.22226937429570431</v>
      </c>
      <c r="AH97" s="385">
        <f>+Controls!AH30</f>
        <v>0.22226937429570431</v>
      </c>
      <c r="AI97" s="385">
        <f>+Controls!AI30</f>
        <v>0.22226937429570431</v>
      </c>
      <c r="AJ97" s="385">
        <f>+Controls!AJ30</f>
        <v>0.22226937429570431</v>
      </c>
      <c r="AK97" s="385">
        <f>+Controls!AK30</f>
        <v>0.22226937429570431</v>
      </c>
      <c r="AL97" s="385">
        <f>+Controls!AL30</f>
        <v>0.22226937429570431</v>
      </c>
      <c r="AM97" s="385">
        <f>+Controls!AM30</f>
        <v>0.22226937429570431</v>
      </c>
      <c r="AN97" s="385">
        <f>+Controls!AN30</f>
        <v>0.22226937429570431</v>
      </c>
      <c r="AO97" s="385">
        <f>+Controls!AO30</f>
        <v>0.22226937429570431</v>
      </c>
      <c r="AP97" s="385">
        <f>+Controls!AP30</f>
        <v>0.22226937429570431</v>
      </c>
      <c r="AQ97" s="385">
        <f>+Controls!AQ30</f>
        <v>0.22226937429570431</v>
      </c>
      <c r="AR97" s="385">
        <f>+Controls!AR30</f>
        <v>0.22226937429570431</v>
      </c>
      <c r="AS97" s="385">
        <f>+Controls!AS30</f>
        <v>0.22226937429570431</v>
      </c>
      <c r="AT97" s="385">
        <f>+Controls!AT30</f>
        <v>0.22226937429570431</v>
      </c>
      <c r="AU97" s="385">
        <f>+Controls!AU30</f>
        <v>0.22226937429570431</v>
      </c>
      <c r="AV97" s="385">
        <f>+Controls!AV30</f>
        <v>0.22226937429570431</v>
      </c>
      <c r="AW97" s="385">
        <f>+Controls!AW30</f>
        <v>0.22226937429570431</v>
      </c>
      <c r="AX97" s="385">
        <f>+Controls!AX30</f>
        <v>0.22226937429570431</v>
      </c>
      <c r="AY97" s="385">
        <f>+Controls!AY30</f>
        <v>0.22226937429570431</v>
      </c>
      <c r="AZ97" s="385">
        <f>+Controls!AZ30</f>
        <v>0.22226937429570431</v>
      </c>
      <c r="BA97" s="385">
        <f>+Controls!BA30</f>
        <v>0.22226937429570431</v>
      </c>
      <c r="BB97" s="385">
        <f>+Controls!BB30</f>
        <v>0.22226937429570431</v>
      </c>
      <c r="BC97" s="385">
        <f>+Controls!BC30</f>
        <v>0.22226937429570431</v>
      </c>
      <c r="BD97" s="385">
        <f>+Controls!BD30</f>
        <v>0.22226937429570431</v>
      </c>
      <c r="BE97" s="385">
        <f>+Controls!BE30</f>
        <v>0.22226937429570431</v>
      </c>
      <c r="BF97" s="385">
        <f>+Controls!BF30</f>
        <v>0.22226937429570431</v>
      </c>
      <c r="BG97" s="385">
        <f>+Controls!BG30</f>
        <v>0.22226937429570431</v>
      </c>
      <c r="BH97" s="385">
        <f>+Controls!BH30</f>
        <v>0.22226937429570431</v>
      </c>
      <c r="BI97" s="385">
        <f>+Controls!BI30</f>
        <v>0.22226937429570431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1">+B$36*1000*B103^($B$38-1)</f>
        <v>1.0000000000000024E-3</v>
      </c>
      <c r="C101" s="463">
        <f t="shared" si="41"/>
        <v>9.9999999999999959E-4</v>
      </c>
      <c r="D101" s="463">
        <f t="shared" si="41"/>
        <v>1.0000000000000013E-3</v>
      </c>
      <c r="E101" s="463">
        <f t="shared" si="41"/>
        <v>1.0000000000000237E-3</v>
      </c>
      <c r="F101" s="463">
        <f t="shared" si="41"/>
        <v>1.0000000000003008E-3</v>
      </c>
      <c r="G101" s="463">
        <f t="shared" si="41"/>
        <v>1.0000000000020112E-3</v>
      </c>
      <c r="H101" s="463">
        <f t="shared" si="41"/>
        <v>1.0000000000091724E-3</v>
      </c>
      <c r="I101" s="463">
        <f t="shared" si="41"/>
        <v>1.0000000000319864E-3</v>
      </c>
      <c r="J101" s="463">
        <f t="shared" si="41"/>
        <v>1.0000000000922246E-3</v>
      </c>
      <c r="K101" s="463">
        <f t="shared" si="41"/>
        <v>1.0000000002275584E-3</v>
      </c>
      <c r="L101" s="463">
        <f t="shared" si="41"/>
        <v>1.0000000005053195E-3</v>
      </c>
      <c r="M101" s="463">
        <f t="shared" si="41"/>
        <v>1.0000000010417338E-3</v>
      </c>
      <c r="N101" s="463">
        <f t="shared" si="41"/>
        <v>1.0000000019921495E-3</v>
      </c>
      <c r="O101" s="463">
        <f t="shared" si="41"/>
        <v>1.0000000035927901E-3</v>
      </c>
      <c r="P101" s="463">
        <f t="shared" si="41"/>
        <v>1.0000000062096888E-3</v>
      </c>
      <c r="Q101" s="463">
        <f t="shared" si="41"/>
        <v>1.0000000104204638E-3</v>
      </c>
      <c r="R101" s="463">
        <f t="shared" si="41"/>
        <v>1.0000000170144597E-3</v>
      </c>
      <c r="S101" s="463">
        <f t="shared" si="41"/>
        <v>1.0000000272142187E-3</v>
      </c>
      <c r="T101" s="463">
        <f t="shared" si="41"/>
        <v>1.0000000427819874E-3</v>
      </c>
      <c r="U101" s="463">
        <f t="shared" si="41"/>
        <v>1.000000065604339E-3</v>
      </c>
      <c r="V101" s="463">
        <f t="shared" si="41"/>
        <v>1.000000097088636E-3</v>
      </c>
      <c r="W101" s="463">
        <f t="shared" si="41"/>
        <v>1.0000001421883785E-3</v>
      </c>
      <c r="X101" s="463">
        <f t="shared" si="41"/>
        <v>1.0000002055977515E-3</v>
      </c>
      <c r="Y101" s="463">
        <f t="shared" si="41"/>
        <v>1.0000002932497468E-3</v>
      </c>
      <c r="Z101" s="463">
        <f t="shared" si="41"/>
        <v>1.0000004131003599E-3</v>
      </c>
      <c r="AA101" s="463">
        <f t="shared" si="41"/>
        <v>1.0000005755955608E-3</v>
      </c>
      <c r="AB101" s="463">
        <f t="shared" si="41"/>
        <v>594.76450197381143</v>
      </c>
      <c r="AC101" s="463">
        <f t="shared" si="41"/>
        <v>573.84627687512091</v>
      </c>
      <c r="AD101" s="463">
        <f t="shared" si="41"/>
        <v>553.97396303136497</v>
      </c>
      <c r="AE101" s="463">
        <f t="shared" si="41"/>
        <v>535.09526487979667</v>
      </c>
      <c r="AF101" s="463">
        <f t="shared" si="41"/>
        <v>517.16050163580678</v>
      </c>
      <c r="AG101" s="463">
        <f t="shared" si="41"/>
        <v>500.12247655401643</v>
      </c>
      <c r="AH101" s="463">
        <f t="shared" ref="AH101:BI101" si="42">+AH$36*1000*AH103^($B$38-1)</f>
        <v>483.93635272631559</v>
      </c>
      <c r="AI101" s="463">
        <f t="shared" si="42"/>
        <v>468.55953508999983</v>
      </c>
      <c r="AJ101" s="463">
        <f t="shared" si="42"/>
        <v>453.95155833549984</v>
      </c>
      <c r="AK101" s="463">
        <f t="shared" si="42"/>
        <v>440.07398041872483</v>
      </c>
      <c r="AL101" s="463">
        <f t="shared" si="42"/>
        <v>426.89028139778856</v>
      </c>
      <c r="AM101" s="463">
        <f t="shared" si="42"/>
        <v>414.36576732789911</v>
      </c>
      <c r="AN101" s="463">
        <f t="shared" si="42"/>
        <v>402.46747896150413</v>
      </c>
      <c r="AO101" s="463">
        <f t="shared" si="42"/>
        <v>391.16410501342892</v>
      </c>
      <c r="AP101" s="463">
        <f t="shared" si="42"/>
        <v>380.42589976275741</v>
      </c>
      <c r="AQ101" s="463">
        <f t="shared" si="42"/>
        <v>370.22460477461954</v>
      </c>
      <c r="AR101" s="463">
        <f t="shared" si="42"/>
        <v>360.53337453588858</v>
      </c>
      <c r="AS101" s="463">
        <f t="shared" si="42"/>
        <v>351.32670580909416</v>
      </c>
      <c r="AT101" s="463">
        <f t="shared" si="42"/>
        <v>342.58037051863943</v>
      </c>
      <c r="AU101" s="463">
        <f t="shared" si="42"/>
        <v>334.27135199270748</v>
      </c>
      <c r="AV101" s="463">
        <f t="shared" si="42"/>
        <v>326.37778439307209</v>
      </c>
      <c r="AW101" s="463">
        <f t="shared" si="42"/>
        <v>318.87889517341847</v>
      </c>
      <c r="AX101" s="463">
        <f t="shared" si="42"/>
        <v>311.75495041474755</v>
      </c>
      <c r="AY101" s="463">
        <f t="shared" si="42"/>
        <v>304.98720289401018</v>
      </c>
      <c r="AZ101" s="463">
        <f t="shared" si="42"/>
        <v>298.55784274930966</v>
      </c>
      <c r="BA101" s="463">
        <f t="shared" si="42"/>
        <v>292.44995061184414</v>
      </c>
      <c r="BB101" s="463">
        <f t="shared" si="42"/>
        <v>286.64745308125197</v>
      </c>
      <c r="BC101" s="463">
        <f t="shared" si="42"/>
        <v>281.13508042718939</v>
      </c>
      <c r="BD101" s="463">
        <f t="shared" si="42"/>
        <v>275.89832640582989</v>
      </c>
      <c r="BE101" s="463">
        <f t="shared" si="42"/>
        <v>137.94916320291495</v>
      </c>
      <c r="BF101" s="463">
        <f t="shared" si="42"/>
        <v>68.974581601457473</v>
      </c>
      <c r="BG101" s="463">
        <f t="shared" si="42"/>
        <v>34.487290800728736</v>
      </c>
      <c r="BH101" s="463">
        <f t="shared" si="42"/>
        <v>17.243645400364368</v>
      </c>
      <c r="BI101" s="463">
        <f t="shared" si="42"/>
        <v>8.6218227001821841</v>
      </c>
    </row>
    <row r="102" spans="1:61" s="467" customFormat="1" ht="18" customHeight="1" x14ac:dyDescent="0.2">
      <c r="A102" s="612" t="s">
        <v>955</v>
      </c>
      <c r="B102" s="465">
        <f>+B119*(1-MIN(B103,1))</f>
        <v>0.38756902268862453</v>
      </c>
      <c r="C102" s="465">
        <f>+C119*(1-MIN(C103,1))</f>
        <v>0.3623888225610658</v>
      </c>
      <c r="D102" s="465">
        <f t="shared" ref="D102:BI102" si="43">+D119*(1-MIN(D103,1))</f>
        <v>0.31161582077807776</v>
      </c>
      <c r="E102" s="465">
        <f t="shared" si="43"/>
        <v>0.26793549515532844</v>
      </c>
      <c r="F102" s="465">
        <f t="shared" si="43"/>
        <v>0.23680591729129</v>
      </c>
      <c r="G102" s="465">
        <f t="shared" si="43"/>
        <v>0.21483209737160114</v>
      </c>
      <c r="H102" s="465">
        <f t="shared" si="43"/>
        <v>0.19778780697615256</v>
      </c>
      <c r="I102" s="465">
        <f t="shared" si="43"/>
        <v>0.17988007449484822</v>
      </c>
      <c r="J102" s="465">
        <f t="shared" si="43"/>
        <v>0.16122526746022373</v>
      </c>
      <c r="K102" s="465">
        <f t="shared" si="43"/>
        <v>0.14692521045042015</v>
      </c>
      <c r="L102" s="465">
        <f t="shared" si="43"/>
        <v>0.13894985546468303</v>
      </c>
      <c r="M102" s="465">
        <f t="shared" si="43"/>
        <v>0.12911350602008742</v>
      </c>
      <c r="N102" s="465">
        <f t="shared" si="43"/>
        <v>0.12018868746978692</v>
      </c>
      <c r="O102" s="465">
        <f t="shared" si="43"/>
        <v>0.11408600595192554</v>
      </c>
      <c r="P102" s="465">
        <f t="shared" si="43"/>
        <v>0.10944986194984077</v>
      </c>
      <c r="Q102" s="465">
        <f t="shared" si="43"/>
        <v>0.10500868335786298</v>
      </c>
      <c r="R102" s="465">
        <f t="shared" si="43"/>
        <v>0.10066522335314299</v>
      </c>
      <c r="S102" s="465">
        <f t="shared" si="43"/>
        <v>9.6906270242863066E-2</v>
      </c>
      <c r="T102" s="465">
        <f t="shared" si="43"/>
        <v>9.1050686623450963E-2</v>
      </c>
      <c r="U102" s="465">
        <f t="shared" si="43"/>
        <v>8.1882828296244464E-2</v>
      </c>
      <c r="V102" s="465">
        <f t="shared" si="43"/>
        <v>8.1466427574798717E-2</v>
      </c>
      <c r="W102" s="465">
        <f t="shared" si="43"/>
        <v>7.8037828852670271E-2</v>
      </c>
      <c r="X102" s="465">
        <f t="shared" si="43"/>
        <v>7.5901346487421667E-2</v>
      </c>
      <c r="Y102" s="465">
        <f t="shared" si="43"/>
        <v>7.440431388638348E-2</v>
      </c>
      <c r="Z102" s="465">
        <f t="shared" si="43"/>
        <v>7.1820825151889187E-2</v>
      </c>
      <c r="AA102" s="465">
        <f t="shared" si="43"/>
        <v>7.029435562479093E-2</v>
      </c>
      <c r="AB102" s="465">
        <f t="shared" si="43"/>
        <v>0</v>
      </c>
      <c r="AC102" s="465">
        <f t="shared" si="43"/>
        <v>0</v>
      </c>
      <c r="AD102" s="465">
        <f t="shared" si="43"/>
        <v>0</v>
      </c>
      <c r="AE102" s="465">
        <f t="shared" si="43"/>
        <v>0</v>
      </c>
      <c r="AF102" s="465">
        <f t="shared" si="43"/>
        <v>0</v>
      </c>
      <c r="AG102" s="465">
        <f t="shared" si="43"/>
        <v>0</v>
      </c>
      <c r="AH102" s="465">
        <f t="shared" si="43"/>
        <v>0</v>
      </c>
      <c r="AI102" s="465">
        <f t="shared" si="43"/>
        <v>0</v>
      </c>
      <c r="AJ102" s="465">
        <f t="shared" si="43"/>
        <v>0</v>
      </c>
      <c r="AK102" s="465">
        <f t="shared" si="43"/>
        <v>0</v>
      </c>
      <c r="AL102" s="465">
        <f t="shared" si="43"/>
        <v>0</v>
      </c>
      <c r="AM102" s="465">
        <f t="shared" si="43"/>
        <v>0</v>
      </c>
      <c r="AN102" s="465">
        <f t="shared" si="43"/>
        <v>0</v>
      </c>
      <c r="AO102" s="465">
        <f t="shared" si="43"/>
        <v>0</v>
      </c>
      <c r="AP102" s="465">
        <f t="shared" si="43"/>
        <v>0</v>
      </c>
      <c r="AQ102" s="465">
        <f t="shared" si="43"/>
        <v>0</v>
      </c>
      <c r="AR102" s="465">
        <f t="shared" si="43"/>
        <v>0</v>
      </c>
      <c r="AS102" s="465">
        <f t="shared" si="43"/>
        <v>0</v>
      </c>
      <c r="AT102" s="465">
        <f t="shared" si="43"/>
        <v>0</v>
      </c>
      <c r="AU102" s="465">
        <f t="shared" si="43"/>
        <v>0</v>
      </c>
      <c r="AV102" s="465">
        <f t="shared" si="43"/>
        <v>0</v>
      </c>
      <c r="AW102" s="465">
        <f t="shared" si="43"/>
        <v>0</v>
      </c>
      <c r="AX102" s="465">
        <f t="shared" si="43"/>
        <v>0</v>
      </c>
      <c r="AY102" s="465">
        <f t="shared" si="43"/>
        <v>0</v>
      </c>
      <c r="AZ102" s="465">
        <f t="shared" si="43"/>
        <v>0</v>
      </c>
      <c r="BA102" s="465">
        <f t="shared" si="43"/>
        <v>0</v>
      </c>
      <c r="BB102" s="465">
        <f t="shared" si="43"/>
        <v>0</v>
      </c>
      <c r="BC102" s="465">
        <f t="shared" si="43"/>
        <v>0</v>
      </c>
      <c r="BD102" s="465">
        <f t="shared" si="43"/>
        <v>0</v>
      </c>
      <c r="BE102" s="465">
        <f t="shared" si="43"/>
        <v>0</v>
      </c>
      <c r="BF102" s="465">
        <f t="shared" si="43"/>
        <v>0</v>
      </c>
      <c r="BG102" s="465">
        <f t="shared" si="43"/>
        <v>0</v>
      </c>
      <c r="BH102" s="465">
        <f t="shared" si="43"/>
        <v>0</v>
      </c>
      <c r="BI102" s="465">
        <f t="shared" si="43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3.3862811311759976E-4</v>
      </c>
      <c r="C103" s="468">
        <f>+IF($B$98&gt;0,C109,IF($B$99&gt;0,C114,C122))</f>
        <v>3.474019474595326E-4</v>
      </c>
      <c r="D103" s="468">
        <f t="shared" ref="D103:BI103" si="44">+IF($B$98&gt;0,D109,IF($B$99&gt;0,D114,D122))</f>
        <v>3.5635427292863116E-4</v>
      </c>
      <c r="E103" s="468">
        <f t="shared" si="44"/>
        <v>3.6548514450551842E-4</v>
      </c>
      <c r="F103" s="468">
        <f t="shared" si="44"/>
        <v>3.7479432816651346E-4</v>
      </c>
      <c r="G103" s="468">
        <f t="shared" si="44"/>
        <v>3.8428128274087123E-4</v>
      </c>
      <c r="H103" s="468">
        <f t="shared" si="44"/>
        <v>3.9394514175066219E-4</v>
      </c>
      <c r="I103" s="468">
        <f t="shared" si="44"/>
        <v>4.0378469535954959E-4</v>
      </c>
      <c r="J103" s="468">
        <f t="shared" si="44"/>
        <v>4.1379837257024928E-4</v>
      </c>
      <c r="K103" s="468">
        <f t="shared" si="44"/>
        <v>4.2398422382301679E-4</v>
      </c>
      <c r="L103" s="468">
        <f t="shared" si="44"/>
        <v>4.3433990416375754E-4</v>
      </c>
      <c r="M103" s="468">
        <f t="shared" si="44"/>
        <v>4.4486265715983466E-4</v>
      </c>
      <c r="N103" s="468">
        <f t="shared" si="44"/>
        <v>4.5554929974549212E-4</v>
      </c>
      <c r="O103" s="468">
        <f t="shared" si="44"/>
        <v>4.6639620821751425E-4</v>
      </c>
      <c r="P103" s="468">
        <f t="shared" si="44"/>
        <v>4.7739930558155175E-4</v>
      </c>
      <c r="Q103" s="468">
        <f t="shared" si="44"/>
        <v>4.8855405047362591E-4</v>
      </c>
      <c r="R103" s="468">
        <f t="shared" si="44"/>
        <v>4.9985542784862838E-4</v>
      </c>
      <c r="S103" s="468">
        <f t="shared" si="44"/>
        <v>5.1129794174272587E-4</v>
      </c>
      <c r="T103" s="468">
        <f t="shared" si="44"/>
        <v>5.2287561024550214E-4</v>
      </c>
      <c r="U103" s="468">
        <f t="shared" si="44"/>
        <v>5.3458196277551579E-4</v>
      </c>
      <c r="V103" s="468">
        <f t="shared" si="44"/>
        <v>5.4641003994822615E-4</v>
      </c>
      <c r="W103" s="468">
        <f t="shared" si="44"/>
        <v>5.5835239772080651E-4</v>
      </c>
      <c r="X103" s="468">
        <f t="shared" si="44"/>
        <v>5.7040111226513881E-4</v>
      </c>
      <c r="Y103" s="468">
        <f t="shared" si="44"/>
        <v>5.8254778961747903E-4</v>
      </c>
      <c r="Z103" s="468">
        <f t="shared" si="44"/>
        <v>5.9478357850208899E-4</v>
      </c>
      <c r="AA103" s="468">
        <f t="shared" si="44"/>
        <v>6.0709918653820496E-4</v>
      </c>
      <c r="AB103" s="468">
        <f t="shared" si="44"/>
        <v>1</v>
      </c>
      <c r="AC103" s="468">
        <f t="shared" si="44"/>
        <v>1</v>
      </c>
      <c r="AD103" s="468">
        <f t="shared" si="44"/>
        <v>1</v>
      </c>
      <c r="AE103" s="468">
        <f t="shared" si="44"/>
        <v>1</v>
      </c>
      <c r="AF103" s="468">
        <f t="shared" si="44"/>
        <v>1</v>
      </c>
      <c r="AG103" s="468">
        <f t="shared" si="44"/>
        <v>1</v>
      </c>
      <c r="AH103" s="468">
        <f t="shared" si="44"/>
        <v>1</v>
      </c>
      <c r="AI103" s="468">
        <f t="shared" si="44"/>
        <v>1</v>
      </c>
      <c r="AJ103" s="468">
        <f t="shared" si="44"/>
        <v>1</v>
      </c>
      <c r="AK103" s="468">
        <f t="shared" si="44"/>
        <v>1</v>
      </c>
      <c r="AL103" s="468">
        <f t="shared" si="44"/>
        <v>1</v>
      </c>
      <c r="AM103" s="468">
        <f t="shared" si="44"/>
        <v>1</v>
      </c>
      <c r="AN103" s="468">
        <f t="shared" si="44"/>
        <v>1</v>
      </c>
      <c r="AO103" s="468">
        <f t="shared" si="44"/>
        <v>1</v>
      </c>
      <c r="AP103" s="468">
        <f t="shared" si="44"/>
        <v>1</v>
      </c>
      <c r="AQ103" s="468">
        <f t="shared" si="44"/>
        <v>1</v>
      </c>
      <c r="AR103" s="468">
        <f t="shared" si="44"/>
        <v>1</v>
      </c>
      <c r="AS103" s="468">
        <f t="shared" si="44"/>
        <v>1</v>
      </c>
      <c r="AT103" s="468">
        <f t="shared" si="44"/>
        <v>1</v>
      </c>
      <c r="AU103" s="468">
        <f t="shared" si="44"/>
        <v>1</v>
      </c>
      <c r="AV103" s="468">
        <f t="shared" si="44"/>
        <v>1</v>
      </c>
      <c r="AW103" s="468">
        <f t="shared" si="44"/>
        <v>1</v>
      </c>
      <c r="AX103" s="468">
        <f t="shared" si="44"/>
        <v>1</v>
      </c>
      <c r="AY103" s="468">
        <f t="shared" si="44"/>
        <v>1</v>
      </c>
      <c r="AZ103" s="468">
        <f t="shared" si="44"/>
        <v>1</v>
      </c>
      <c r="BA103" s="468">
        <f t="shared" si="44"/>
        <v>1</v>
      </c>
      <c r="BB103" s="468">
        <f t="shared" si="44"/>
        <v>1</v>
      </c>
      <c r="BC103" s="468">
        <f t="shared" si="44"/>
        <v>1</v>
      </c>
      <c r="BD103" s="468">
        <f t="shared" si="44"/>
        <v>1</v>
      </c>
      <c r="BE103" s="468">
        <f t="shared" si="44"/>
        <v>1</v>
      </c>
      <c r="BF103" s="468">
        <f t="shared" si="44"/>
        <v>1</v>
      </c>
      <c r="BG103" s="468">
        <f t="shared" si="44"/>
        <v>1</v>
      </c>
      <c r="BH103" s="468">
        <f t="shared" si="44"/>
        <v>1</v>
      </c>
      <c r="BI103" s="468">
        <f t="shared" si="44"/>
        <v>1</v>
      </c>
    </row>
    <row r="104" spans="1:61" ht="18" customHeight="1" x14ac:dyDescent="0.2">
      <c r="A104" s="16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5">+MIN(B107+B108,B36*1000)</f>
        <v>1E-3</v>
      </c>
      <c r="C106" s="373">
        <f t="shared" si="45"/>
        <v>1E-3</v>
      </c>
      <c r="D106" s="373">
        <f t="shared" si="45"/>
        <v>1.0000000000000005E-3</v>
      </c>
      <c r="E106" s="373">
        <f t="shared" si="45"/>
        <v>1.000000000000023E-3</v>
      </c>
      <c r="F106" s="373">
        <f t="shared" si="45"/>
        <v>1.0000000000003001E-3</v>
      </c>
      <c r="G106" s="373">
        <f t="shared" si="45"/>
        <v>1.0000000000020112E-3</v>
      </c>
      <c r="H106" s="373">
        <f t="shared" si="45"/>
        <v>1.0000000000091702E-3</v>
      </c>
      <c r="I106" s="373">
        <f t="shared" si="45"/>
        <v>1.0000000000319844E-3</v>
      </c>
      <c r="J106" s="373">
        <f t="shared" si="45"/>
        <v>1.0000000000922251E-3</v>
      </c>
      <c r="K106" s="373">
        <f t="shared" si="45"/>
        <v>1.0000000002275561E-3</v>
      </c>
      <c r="L106" s="373">
        <f t="shared" si="45"/>
        <v>1.0000000005053185E-3</v>
      </c>
      <c r="M106" s="450">
        <f t="shared" si="45"/>
        <v>1.0000000010417327E-3</v>
      </c>
      <c r="N106" s="373">
        <f t="shared" si="45"/>
        <v>1.0000000019921491E-3</v>
      </c>
      <c r="O106" s="373">
        <f t="shared" si="45"/>
        <v>1.0000000035927906E-3</v>
      </c>
      <c r="P106" s="373">
        <f t="shared" si="45"/>
        <v>1.0000000062096877E-3</v>
      </c>
      <c r="Q106" s="373">
        <f t="shared" si="45"/>
        <v>1.0000000104204644E-3</v>
      </c>
      <c r="R106" s="373">
        <f t="shared" si="45"/>
        <v>1.0000000170144582E-3</v>
      </c>
      <c r="S106" s="373">
        <f t="shared" si="45"/>
        <v>1.0000000272142174E-3</v>
      </c>
      <c r="T106" s="373">
        <f t="shared" si="45"/>
        <v>1.0000000427819878E-3</v>
      </c>
      <c r="U106" s="373">
        <f t="shared" si="45"/>
        <v>1.0000000656043364E-3</v>
      </c>
      <c r="V106" s="373">
        <f t="shared" si="45"/>
        <v>1.0000000970886349E-3</v>
      </c>
      <c r="W106" s="373">
        <f t="shared" si="45"/>
        <v>1.0000001421883765E-3</v>
      </c>
      <c r="X106" s="373">
        <f t="shared" si="45"/>
        <v>1.0000002055977509E-3</v>
      </c>
      <c r="Y106" s="373">
        <f t="shared" si="45"/>
        <v>1.0000002932497453E-3</v>
      </c>
      <c r="Z106" s="373">
        <f t="shared" si="45"/>
        <v>1.0000004131003601E-3</v>
      </c>
      <c r="AA106" s="373">
        <f t="shared" si="45"/>
        <v>1.0000005755955613E-3</v>
      </c>
      <c r="AB106" s="373">
        <f t="shared" si="45"/>
        <v>594.76450197381143</v>
      </c>
      <c r="AC106" s="373">
        <f t="shared" si="45"/>
        <v>573.84627687512091</v>
      </c>
      <c r="AD106" s="373">
        <f t="shared" si="45"/>
        <v>553.97396303136497</v>
      </c>
      <c r="AE106" s="373">
        <f t="shared" si="45"/>
        <v>535.09526487979667</v>
      </c>
      <c r="AF106" s="373">
        <f t="shared" si="45"/>
        <v>517.16050163580678</v>
      </c>
      <c r="AG106" s="373">
        <f t="shared" si="45"/>
        <v>500.12247655401643</v>
      </c>
      <c r="AH106" s="373">
        <f t="shared" si="45"/>
        <v>483.93635272631559</v>
      </c>
      <c r="AI106" s="373">
        <f t="shared" si="45"/>
        <v>468.55953508999983</v>
      </c>
      <c r="AJ106" s="373">
        <f t="shared" si="45"/>
        <v>453.95155833549984</v>
      </c>
      <c r="AK106" s="373">
        <f t="shared" si="45"/>
        <v>440.07398041872483</v>
      </c>
      <c r="AL106" s="373">
        <f t="shared" si="45"/>
        <v>426.89028139778856</v>
      </c>
      <c r="AM106" s="373">
        <f t="shared" si="45"/>
        <v>414.36576732789911</v>
      </c>
      <c r="AN106" s="373">
        <f t="shared" si="45"/>
        <v>402.46747896150413</v>
      </c>
      <c r="AO106" s="373">
        <f t="shared" si="45"/>
        <v>391.16410501342892</v>
      </c>
      <c r="AP106" s="373">
        <f t="shared" si="45"/>
        <v>380.42589976275741</v>
      </c>
      <c r="AQ106" s="373">
        <f t="shared" si="45"/>
        <v>370.22460477461954</v>
      </c>
      <c r="AR106" s="373">
        <f t="shared" si="45"/>
        <v>360.53337453588858</v>
      </c>
      <c r="AS106" s="373">
        <f t="shared" si="45"/>
        <v>351.32670580909416</v>
      </c>
      <c r="AT106" s="373">
        <f t="shared" si="45"/>
        <v>342.58037051863943</v>
      </c>
      <c r="AU106" s="373">
        <f t="shared" si="45"/>
        <v>334.27135199270748</v>
      </c>
      <c r="AV106" s="373">
        <f t="shared" si="45"/>
        <v>326.37778439307209</v>
      </c>
      <c r="AW106" s="373">
        <f t="shared" si="45"/>
        <v>318.87889517341847</v>
      </c>
      <c r="AX106" s="373">
        <f t="shared" si="45"/>
        <v>311.75495041474755</v>
      </c>
      <c r="AY106" s="373">
        <f t="shared" si="45"/>
        <v>304.98720289401018</v>
      </c>
      <c r="AZ106" s="373">
        <f t="shared" si="45"/>
        <v>298.55784274930966</v>
      </c>
      <c r="BA106" s="373">
        <f t="shared" si="45"/>
        <v>292.44995061184414</v>
      </c>
      <c r="BB106" s="373">
        <f t="shared" si="45"/>
        <v>286.64745308125197</v>
      </c>
      <c r="BC106" s="373">
        <f t="shared" si="45"/>
        <v>281.13508042718939</v>
      </c>
      <c r="BD106" s="373">
        <f t="shared" si="45"/>
        <v>275.89832640582989</v>
      </c>
      <c r="BE106" s="373">
        <f t="shared" si="45"/>
        <v>137.94916320291495</v>
      </c>
      <c r="BF106" s="373">
        <f t="shared" si="45"/>
        <v>68.974581601457473</v>
      </c>
      <c r="BG106" s="373">
        <f t="shared" si="45"/>
        <v>34.487290800728736</v>
      </c>
      <c r="BH106" s="373">
        <f t="shared" si="45"/>
        <v>17.243645400364368</v>
      </c>
      <c r="BI106" s="373">
        <f t="shared" si="45"/>
        <v>8.6218227001821841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+Controls!B13</f>
        <v>1E-3</v>
      </c>
      <c r="C108" s="373">
        <f>+Controls!C13</f>
        <v>1E-3</v>
      </c>
      <c r="D108" s="373">
        <f>+Controls!D13</f>
        <v>1E-3</v>
      </c>
      <c r="E108" s="373">
        <f>+Controls!E13</f>
        <v>1E-3</v>
      </c>
      <c r="F108" s="373">
        <f>+Controls!F13</f>
        <v>1E-3</v>
      </c>
      <c r="G108" s="373">
        <f>+Controls!G13</f>
        <v>1E-3</v>
      </c>
      <c r="H108" s="373">
        <f>+Controls!H13</f>
        <v>1E-3</v>
      </c>
      <c r="I108" s="373">
        <f>+Controls!I13</f>
        <v>1E-3</v>
      </c>
      <c r="J108" s="373">
        <f>+Controls!J13</f>
        <v>1E-3</v>
      </c>
      <c r="K108" s="373">
        <f>+Controls!K13</f>
        <v>1E-3</v>
      </c>
      <c r="L108" s="373">
        <f>+Controls!L13</f>
        <v>1E-3</v>
      </c>
      <c r="M108" s="373">
        <f>+Controls!M13</f>
        <v>1E-3</v>
      </c>
      <c r="N108" s="373">
        <f>+Controls!N13</f>
        <v>1E-3</v>
      </c>
      <c r="O108" s="373">
        <f>+Controls!O13</f>
        <v>1E-3</v>
      </c>
      <c r="P108" s="373">
        <f>+Controls!P13</f>
        <v>1E-3</v>
      </c>
      <c r="Q108" s="373">
        <f>+Controls!Q13</f>
        <v>1E-3</v>
      </c>
      <c r="R108" s="373">
        <f>+Controls!R13</f>
        <v>1E-3</v>
      </c>
      <c r="S108" s="373">
        <f>+Controls!S13</f>
        <v>1E-3</v>
      </c>
      <c r="T108" s="373">
        <f>+Controls!T13</f>
        <v>1E-3</v>
      </c>
      <c r="U108" s="373">
        <f>+Controls!U13</f>
        <v>1E-3</v>
      </c>
      <c r="V108" s="373">
        <f>+Controls!V13</f>
        <v>1E-3</v>
      </c>
      <c r="W108" s="373">
        <f>+Controls!W13</f>
        <v>1E-3</v>
      </c>
      <c r="X108" s="373">
        <f>+Controls!X13</f>
        <v>1E-3</v>
      </c>
      <c r="Y108" s="373">
        <f>+Controls!Y13</f>
        <v>1E-3</v>
      </c>
      <c r="Z108" s="373">
        <f>+Controls!Z13</f>
        <v>1E-3</v>
      </c>
      <c r="AA108" s="373">
        <f>+Controls!AA13</f>
        <v>1E-3</v>
      </c>
      <c r="AB108" s="373">
        <f>+Controls!AB13</f>
        <v>1200</v>
      </c>
      <c r="AC108" s="373">
        <f>+Controls!AC13</f>
        <v>1200</v>
      </c>
      <c r="AD108" s="373">
        <f>+Controls!AD13</f>
        <v>1200</v>
      </c>
      <c r="AE108" s="373">
        <f>+Controls!AE13</f>
        <v>1200</v>
      </c>
      <c r="AF108" s="373">
        <f>+Controls!AF13</f>
        <v>1200</v>
      </c>
      <c r="AG108" s="373">
        <f>+Controls!AG13</f>
        <v>1200</v>
      </c>
      <c r="AH108" s="373">
        <f>+Controls!AH13</f>
        <v>1200</v>
      </c>
      <c r="AI108" s="373">
        <f>+Controls!AI13</f>
        <v>1200</v>
      </c>
      <c r="AJ108" s="373">
        <f>+Controls!AJ13</f>
        <v>1200</v>
      </c>
      <c r="AK108" s="373">
        <f>+Controls!AK13</f>
        <v>1200</v>
      </c>
      <c r="AL108" s="373">
        <f>+Controls!AL13</f>
        <v>1200</v>
      </c>
      <c r="AM108" s="373">
        <f>+Controls!AM13</f>
        <v>1200</v>
      </c>
      <c r="AN108" s="373">
        <f>+Controls!AN13</f>
        <v>1200</v>
      </c>
      <c r="AO108" s="373">
        <f>+Controls!AO13</f>
        <v>1200</v>
      </c>
      <c r="AP108" s="373">
        <f>+Controls!AP13</f>
        <v>1200</v>
      </c>
      <c r="AQ108" s="373">
        <f>+Controls!AQ13</f>
        <v>1200</v>
      </c>
      <c r="AR108" s="373">
        <f>+Controls!AR13</f>
        <v>1200</v>
      </c>
      <c r="AS108" s="373">
        <f>+Controls!AS13</f>
        <v>1200</v>
      </c>
      <c r="AT108" s="373">
        <f>+Controls!AT13</f>
        <v>1200</v>
      </c>
      <c r="AU108" s="373">
        <f>+Controls!AU13</f>
        <v>1200</v>
      </c>
      <c r="AV108" s="373">
        <f>+Controls!AV13</f>
        <v>1200</v>
      </c>
      <c r="AW108" s="373">
        <f>+Controls!AW13</f>
        <v>1200</v>
      </c>
      <c r="AX108" s="373">
        <f>+Controls!AX13</f>
        <v>1200</v>
      </c>
      <c r="AY108" s="373">
        <f>+Controls!AY13</f>
        <v>1200</v>
      </c>
      <c r="AZ108" s="373">
        <f>+Controls!AZ13</f>
        <v>1200</v>
      </c>
      <c r="BA108" s="373">
        <f>+Controls!BA13</f>
        <v>1200</v>
      </c>
      <c r="BB108" s="373">
        <f>+Controls!BB13</f>
        <v>1200</v>
      </c>
      <c r="BC108" s="373">
        <f>+Controls!BC13</f>
        <v>1200</v>
      </c>
      <c r="BD108" s="373">
        <f>+Controls!BD13</f>
        <v>1200</v>
      </c>
      <c r="BE108" s="373">
        <f>+Controls!BE13</f>
        <v>1200</v>
      </c>
      <c r="BF108" s="373">
        <f>+Controls!BF13</f>
        <v>1200</v>
      </c>
      <c r="BG108" s="373">
        <f>+Controls!BG13</f>
        <v>1200</v>
      </c>
      <c r="BH108" s="373">
        <f>+Controls!BH13</f>
        <v>1200</v>
      </c>
      <c r="BI108" s="373">
        <f>+Controls!BI13</f>
        <v>1200</v>
      </c>
    </row>
    <row r="109" spans="1:61" ht="18" customHeight="1" x14ac:dyDescent="0.2">
      <c r="A109" s="372" t="s">
        <v>193</v>
      </c>
      <c r="B109" s="375">
        <f>+(B106/(1000*B$36))^(1/($B$38-1))</f>
        <v>3.3862811311759976E-4</v>
      </c>
      <c r="C109" s="375">
        <f t="shared" ref="C109:E109" si="46">+(C106/(1000*C$36))^(1/($B$38-1))</f>
        <v>3.474019474595326E-4</v>
      </c>
      <c r="D109" s="375">
        <f t="shared" si="46"/>
        <v>3.5635427292863116E-4</v>
      </c>
      <c r="E109" s="375">
        <f t="shared" si="46"/>
        <v>3.6548514450551842E-4</v>
      </c>
      <c r="F109" s="375">
        <f t="shared" ref="F109:BI109" si="47">+(F106/(1000*F$36))^(1/($B$38-1))</f>
        <v>3.7479432816651346E-4</v>
      </c>
      <c r="G109" s="375">
        <f t="shared" si="47"/>
        <v>3.8428128274087123E-4</v>
      </c>
      <c r="H109" s="375">
        <f t="shared" si="47"/>
        <v>3.9394514175066219E-4</v>
      </c>
      <c r="I109" s="375">
        <f t="shared" si="47"/>
        <v>4.0378469535954959E-4</v>
      </c>
      <c r="J109" s="375">
        <f t="shared" si="47"/>
        <v>4.1379837257024928E-4</v>
      </c>
      <c r="K109" s="375">
        <f t="shared" si="47"/>
        <v>4.2398422382301679E-4</v>
      </c>
      <c r="L109" s="375">
        <f t="shared" si="47"/>
        <v>4.3433990416375754E-4</v>
      </c>
      <c r="M109" s="375">
        <f t="shared" si="47"/>
        <v>4.4486265715983466E-4</v>
      </c>
      <c r="N109" s="375">
        <f t="shared" si="47"/>
        <v>4.5554929974549212E-4</v>
      </c>
      <c r="O109" s="375">
        <f t="shared" si="47"/>
        <v>4.6639620821751425E-4</v>
      </c>
      <c r="P109" s="375">
        <f t="shared" si="47"/>
        <v>4.7739930558155175E-4</v>
      </c>
      <c r="Q109" s="375">
        <f t="shared" si="47"/>
        <v>4.8855405047362591E-4</v>
      </c>
      <c r="R109" s="375">
        <f t="shared" si="47"/>
        <v>4.9985542784862838E-4</v>
      </c>
      <c r="S109" s="375">
        <f t="shared" si="47"/>
        <v>5.1129794174272587E-4</v>
      </c>
      <c r="T109" s="375">
        <f t="shared" si="47"/>
        <v>5.2287561024550214E-4</v>
      </c>
      <c r="U109" s="375">
        <f t="shared" si="47"/>
        <v>5.3458196277551579E-4</v>
      </c>
      <c r="V109" s="375">
        <f t="shared" si="47"/>
        <v>5.4641003994822615E-4</v>
      </c>
      <c r="W109" s="375">
        <f t="shared" si="47"/>
        <v>5.5835239772080651E-4</v>
      </c>
      <c r="X109" s="375">
        <f t="shared" si="47"/>
        <v>5.7040111226513881E-4</v>
      </c>
      <c r="Y109" s="375">
        <f t="shared" si="47"/>
        <v>5.8254778961747903E-4</v>
      </c>
      <c r="Z109" s="375">
        <f t="shared" si="47"/>
        <v>5.9478357850208899E-4</v>
      </c>
      <c r="AA109" s="375">
        <f t="shared" si="47"/>
        <v>6.0709918653820496E-4</v>
      </c>
      <c r="AB109" s="375">
        <f t="shared" si="47"/>
        <v>1</v>
      </c>
      <c r="AC109" s="375">
        <f t="shared" si="47"/>
        <v>1</v>
      </c>
      <c r="AD109" s="375">
        <f t="shared" si="47"/>
        <v>1</v>
      </c>
      <c r="AE109" s="375">
        <f t="shared" si="47"/>
        <v>1</v>
      </c>
      <c r="AF109" s="375">
        <f t="shared" si="47"/>
        <v>1</v>
      </c>
      <c r="AG109" s="375">
        <f t="shared" si="47"/>
        <v>1</v>
      </c>
      <c r="AH109" s="375">
        <f t="shared" si="47"/>
        <v>1</v>
      </c>
      <c r="AI109" s="375">
        <f t="shared" si="47"/>
        <v>1</v>
      </c>
      <c r="AJ109" s="375">
        <f t="shared" si="47"/>
        <v>1</v>
      </c>
      <c r="AK109" s="375">
        <f t="shared" si="47"/>
        <v>1</v>
      </c>
      <c r="AL109" s="375">
        <f t="shared" si="47"/>
        <v>1</v>
      </c>
      <c r="AM109" s="375">
        <f t="shared" si="47"/>
        <v>1</v>
      </c>
      <c r="AN109" s="375">
        <f t="shared" si="47"/>
        <v>1</v>
      </c>
      <c r="AO109" s="375">
        <f t="shared" si="47"/>
        <v>1</v>
      </c>
      <c r="AP109" s="375">
        <f t="shared" si="47"/>
        <v>1</v>
      </c>
      <c r="AQ109" s="375">
        <f t="shared" si="47"/>
        <v>1</v>
      </c>
      <c r="AR109" s="375">
        <f t="shared" si="47"/>
        <v>1</v>
      </c>
      <c r="AS109" s="375">
        <f t="shared" si="47"/>
        <v>1</v>
      </c>
      <c r="AT109" s="375">
        <f t="shared" si="47"/>
        <v>1</v>
      </c>
      <c r="AU109" s="375">
        <f t="shared" si="47"/>
        <v>1</v>
      </c>
      <c r="AV109" s="375">
        <f t="shared" si="47"/>
        <v>1</v>
      </c>
      <c r="AW109" s="375">
        <f t="shared" si="47"/>
        <v>1</v>
      </c>
      <c r="AX109" s="375">
        <f t="shared" si="47"/>
        <v>1</v>
      </c>
      <c r="AY109" s="375">
        <f t="shared" si="47"/>
        <v>1</v>
      </c>
      <c r="AZ109" s="375">
        <f t="shared" si="47"/>
        <v>1</v>
      </c>
      <c r="BA109" s="375">
        <f t="shared" si="47"/>
        <v>1</v>
      </c>
      <c r="BB109" s="375">
        <f t="shared" si="47"/>
        <v>1</v>
      </c>
      <c r="BC109" s="375">
        <f t="shared" si="47"/>
        <v>1</v>
      </c>
      <c r="BD109" s="375">
        <f t="shared" si="47"/>
        <v>1</v>
      </c>
      <c r="BE109" s="375">
        <f t="shared" si="47"/>
        <v>1</v>
      </c>
      <c r="BF109" s="375">
        <f t="shared" si="47"/>
        <v>1</v>
      </c>
      <c r="BG109" s="375">
        <f t="shared" si="47"/>
        <v>1</v>
      </c>
      <c r="BH109" s="375">
        <f t="shared" si="47"/>
        <v>1</v>
      </c>
      <c r="BI109" s="375">
        <f t="shared" si="47"/>
        <v>1</v>
      </c>
    </row>
    <row r="110" spans="1:6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0.38770030891268675</v>
      </c>
      <c r="C112" s="455">
        <f>+C40*C61</f>
        <v>0.36251476089498352</v>
      </c>
      <c r="D112" s="455">
        <f t="shared" ref="D112:BI112" si="48">+D40*D61</f>
        <v>0.31172690599301522</v>
      </c>
      <c r="E112" s="455">
        <f t="shared" si="48"/>
        <v>0.26803345740223944</v>
      </c>
      <c r="F112" s="455">
        <f t="shared" si="48"/>
        <v>0.2368947040827529</v>
      </c>
      <c r="G112" s="455">
        <f t="shared" si="48"/>
        <v>0.21491468506245678</v>
      </c>
      <c r="H112" s="455">
        <f t="shared" si="48"/>
        <v>0.1978657552291439</v>
      </c>
      <c r="I112" s="455">
        <f t="shared" si="48"/>
        <v>0.17995273665579789</v>
      </c>
      <c r="J112" s="455">
        <f t="shared" si="48"/>
        <v>0.16129200983140055</v>
      </c>
      <c r="K112" s="455">
        <f t="shared" si="48"/>
        <v>0.14698753084459695</v>
      </c>
      <c r="L112" s="455">
        <f t="shared" si="48"/>
        <v>0.13901023315602978</v>
      </c>
      <c r="M112" s="455">
        <f t="shared" si="48"/>
        <v>0.12917096936074515</v>
      </c>
      <c r="N112" s="455">
        <f t="shared" si="48"/>
        <v>0.12024346429574581</v>
      </c>
      <c r="O112" s="455">
        <f t="shared" si="48"/>
        <v>0.11413924006069869</v>
      </c>
      <c r="P112" s="455">
        <f t="shared" si="48"/>
        <v>0.10950213819457455</v>
      </c>
      <c r="Q112" s="455">
        <f t="shared" si="48"/>
        <v>0.10506001085170739</v>
      </c>
      <c r="R112" s="455">
        <f t="shared" si="48"/>
        <v>0.10071556657576472</v>
      </c>
      <c r="S112" s="455">
        <f t="shared" si="48"/>
        <v>9.695584356611836E-2</v>
      </c>
      <c r="T112" s="455">
        <f t="shared" si="48"/>
        <v>9.1098319712963227E-2</v>
      </c>
      <c r="U112" s="455">
        <f t="shared" si="48"/>
        <v>8.1926624792129421E-2</v>
      </c>
      <c r="V112" s="455">
        <f t="shared" si="48"/>
        <v>8.1510965984978784E-2</v>
      </c>
      <c r="W112" s="455">
        <f t="shared" si="48"/>
        <v>7.8081425803985388E-2</v>
      </c>
      <c r="X112" s="455">
        <f t="shared" si="48"/>
        <v>7.5944665409041587E-2</v>
      </c>
      <c r="Y112" s="455">
        <f t="shared" si="48"/>
        <v>7.4447683219685257E-2</v>
      </c>
      <c r="Z112" s="455">
        <f t="shared" si="48"/>
        <v>7.1863568422279311E-2</v>
      </c>
      <c r="AA112" s="455">
        <f t="shared" si="48"/>
        <v>7.0337057194997513E-2</v>
      </c>
      <c r="AB112" s="455">
        <f t="shared" si="48"/>
        <v>6.8377787957218397E-2</v>
      </c>
      <c r="AC112" s="455">
        <f t="shared" si="48"/>
        <v>6.7153287991894323E-2</v>
      </c>
      <c r="AD112" s="455">
        <f t="shared" si="48"/>
        <v>6.5344611381438836E-2</v>
      </c>
      <c r="AE112" s="455">
        <f t="shared" si="48"/>
        <v>6.2978952935131532E-2</v>
      </c>
      <c r="AF112" s="455">
        <f t="shared" si="48"/>
        <v>5.8462457877212076E-2</v>
      </c>
      <c r="AG112" s="455">
        <f t="shared" si="48"/>
        <v>5.8107913857766709E-2</v>
      </c>
      <c r="AH112" s="455">
        <f t="shared" si="48"/>
        <v>5.6888046629107306E-2</v>
      </c>
      <c r="AI112" s="455">
        <f t="shared" si="48"/>
        <v>0.24273610410369981</v>
      </c>
      <c r="AJ112" s="455">
        <f t="shared" si="48"/>
        <v>0.34382312438949053</v>
      </c>
      <c r="AK112" s="455">
        <f t="shared" si="48"/>
        <v>0.39870345962567827</v>
      </c>
      <c r="AL112" s="455">
        <f t="shared" si="48"/>
        <v>0.42927156138772554</v>
      </c>
      <c r="AM112" s="455">
        <f t="shared" si="48"/>
        <v>0.44734726825061777</v>
      </c>
      <c r="AN112" s="455">
        <f t="shared" si="48"/>
        <v>0.45888580273994084</v>
      </c>
      <c r="AO112" s="455">
        <f t="shared" si="48"/>
        <v>0.46696110570650889</v>
      </c>
      <c r="AP112" s="455">
        <f t="shared" si="48"/>
        <v>0.47319082670362089</v>
      </c>
      <c r="AQ112" s="455">
        <f t="shared" si="48"/>
        <v>0.47843628898171298</v>
      </c>
      <c r="AR112" s="455">
        <f t="shared" si="48"/>
        <v>0.48315931820497693</v>
      </c>
      <c r="AS112" s="455">
        <f t="shared" si="48"/>
        <v>0.48760866757635513</v>
      </c>
      <c r="AT112" s="455">
        <f t="shared" si="48"/>
        <v>0.49191882563619271</v>
      </c>
      <c r="AU112" s="455">
        <f t="shared" si="48"/>
        <v>0.49616281103374893</v>
      </c>
      <c r="AV112" s="455">
        <f t="shared" si="48"/>
        <v>0.50038050900278364</v>
      </c>
      <c r="AW112" s="455">
        <f t="shared" si="48"/>
        <v>0.50459391879854065</v>
      </c>
      <c r="AX112" s="455">
        <f t="shared" si="48"/>
        <v>0.5088153700996787</v>
      </c>
      <c r="AY112" s="455">
        <f t="shared" si="48"/>
        <v>0.51305195463081454</v>
      </c>
      <c r="AZ112" s="455">
        <f t="shared" si="48"/>
        <v>0.51730791802719422</v>
      </c>
      <c r="BA112" s="455">
        <f t="shared" si="48"/>
        <v>0.52158595162926202</v>
      </c>
      <c r="BB112" s="455">
        <f t="shared" si="48"/>
        <v>0.52588789073412401</v>
      </c>
      <c r="BC112" s="455">
        <f t="shared" si="48"/>
        <v>0.53021509250197352</v>
      </c>
      <c r="BD112" s="455">
        <f t="shared" si="48"/>
        <v>0.53456864092125278</v>
      </c>
      <c r="BE112" s="455">
        <f t="shared" si="48"/>
        <v>0.53894945838234054</v>
      </c>
      <c r="BF112" s="455">
        <f t="shared" si="48"/>
        <v>0.54338839197212985</v>
      </c>
      <c r="BG112" s="455">
        <f t="shared" si="48"/>
        <v>0.54785611079229091</v>
      </c>
      <c r="BH112" s="455">
        <f t="shared" si="48"/>
        <v>0.55234539838974495</v>
      </c>
      <c r="BI112" s="455">
        <f t="shared" si="48"/>
        <v>0.55685673897922994</v>
      </c>
    </row>
    <row r="113" spans="1:61" ht="18" customHeight="1" x14ac:dyDescent="0.2">
      <c r="A113" s="382" t="s">
        <v>949</v>
      </c>
      <c r="B113" s="383">
        <f>+Controls!B72</f>
        <v>0.36996592574248305</v>
      </c>
      <c r="C113" s="383">
        <f>+Controls!C72</f>
        <v>0.27014967320962396</v>
      </c>
      <c r="D113" s="383">
        <f>+Controls!D72</f>
        <v>0.26403525414455947</v>
      </c>
      <c r="E113" s="383">
        <f>+Controls!E72</f>
        <v>0.20784845299623433</v>
      </c>
      <c r="F113" s="383">
        <f>+Controls!F72</f>
        <v>0.14942908915848588</v>
      </c>
      <c r="G113" s="383">
        <f>+Controls!G72</f>
        <v>0.10521672402068818</v>
      </c>
      <c r="H113" s="383">
        <f>+Controls!H72</f>
        <v>8.5475216805215526E-2</v>
      </c>
      <c r="I113" s="383">
        <f>+Controls!I72</f>
        <v>7.0854872719068041E-2</v>
      </c>
      <c r="J113" s="383">
        <f>+Controls!J72</f>
        <v>6.0041823573577624E-2</v>
      </c>
      <c r="K113" s="383">
        <f>+Controls!K72</f>
        <v>5.2036758587813689E-2</v>
      </c>
      <c r="L113" s="383">
        <f>+Controls!L72</f>
        <v>4.6346743634058704E-2</v>
      </c>
      <c r="M113" s="383">
        <f>+Controls!M72</f>
        <v>4.1827936129737973E-2</v>
      </c>
      <c r="N113" s="383">
        <f>+Controls!N72</f>
        <v>3.7749712357088516E-2</v>
      </c>
      <c r="O113" s="383">
        <f>+Controls!O72</f>
        <v>3.4069115402272379E-2</v>
      </c>
      <c r="P113" s="383">
        <f>+Controls!P72</f>
        <v>3.0747376650550821E-2</v>
      </c>
      <c r="Q113" s="383">
        <f>+Controls!Q72</f>
        <v>2.7749507427122115E-2</v>
      </c>
      <c r="R113" s="383">
        <f>+Controls!R72</f>
        <v>2.5043930452977706E-2</v>
      </c>
      <c r="S113" s="383">
        <f>+Controls!S72</f>
        <v>2.2602147233812379E-2</v>
      </c>
      <c r="T113" s="383">
        <f>+Controls!T72</f>
        <v>2.0398437878515668E-2</v>
      </c>
      <c r="U113" s="383">
        <f>+Controls!U72</f>
        <v>1.840959018536039E-2</v>
      </c>
      <c r="V113" s="383">
        <f>+Controls!V72</f>
        <v>1.661465514228775E-2</v>
      </c>
      <c r="W113" s="383">
        <f>+Controls!W72</f>
        <v>1.5783922385173361E-2</v>
      </c>
      <c r="X113" s="383">
        <f>+Controls!X72</f>
        <v>1.4994726265914691E-2</v>
      </c>
      <c r="Y113" s="383">
        <f>+Controls!Y72</f>
        <v>1.4244989952618956E-2</v>
      </c>
      <c r="Z113" s="383">
        <f>+Controls!Z72</f>
        <v>1.3532740454988007E-2</v>
      </c>
      <c r="AA113" s="383">
        <f>+Controls!AA72</f>
        <v>1.2856103432238607E-2</v>
      </c>
      <c r="AB113" s="383">
        <f>+Controls!AB72</f>
        <v>1.2213298260626676E-2</v>
      </c>
      <c r="AC113" s="383">
        <f>+Controls!AC72</f>
        <v>1.1602633347595341E-2</v>
      </c>
      <c r="AD113" s="383">
        <f>+Controls!AD72</f>
        <v>1.1022501680215574E-2</v>
      </c>
      <c r="AE113" s="383">
        <f>+Controls!AE72</f>
        <v>1.0471376596204795E-2</v>
      </c>
      <c r="AF113" s="383">
        <f>+Controls!AF72</f>
        <v>9.9478077663945549E-3</v>
      </c>
      <c r="AG113" s="383">
        <f>+Controls!AG72</f>
        <v>9.4504173780748275E-3</v>
      </c>
      <c r="AH113" s="383">
        <f>+Controls!AH72</f>
        <v>8.9778965091710863E-3</v>
      </c>
      <c r="AI113" s="383">
        <f>+Controls!AI72</f>
        <v>8.5290016837125324E-3</v>
      </c>
      <c r="AJ113" s="383">
        <f>+Controls!AJ72</f>
        <v>8.1025515995269051E-3</v>
      </c>
      <c r="AK113" s="383">
        <f>+Controls!AK72</f>
        <v>7.6974240195505595E-3</v>
      </c>
      <c r="AL113" s="383">
        <f>+Controls!AL72</f>
        <v>7.3125528185730313E-3</v>
      </c>
      <c r="AM113" s="383">
        <f>+Controls!AM72</f>
        <v>6.9469251776443797E-3</v>
      </c>
      <c r="AN113" s="383">
        <f>+Controls!AN72</f>
        <v>6.5995789187621601E-3</v>
      </c>
      <c r="AO113" s="383">
        <f>+Controls!AO72</f>
        <v>6.269599972824052E-3</v>
      </c>
      <c r="AP113" s="383">
        <f>+Controls!AP72</f>
        <v>5.9561199741828491E-3</v>
      </c>
      <c r="AQ113" s="383">
        <f>+Controls!AQ72</f>
        <v>5.658313975473706E-3</v>
      </c>
      <c r="AR113" s="383">
        <f>+Controls!AR72</f>
        <v>5.3753982767000205E-3</v>
      </c>
      <c r="AS113" s="383">
        <f>+Controls!AS72</f>
        <v>5.1066283628650195E-3</v>
      </c>
      <c r="AT113" s="383">
        <f>+Controls!AT72</f>
        <v>4.8512969447217684E-3</v>
      </c>
      <c r="AU113" s="383">
        <f>+Controls!AU72</f>
        <v>4.6087320974856801E-3</v>
      </c>
      <c r="AV113" s="383">
        <f>+Controls!AV72</f>
        <v>4.378295492611396E-3</v>
      </c>
      <c r="AW113" s="383">
        <f>+Controls!AW72</f>
        <v>4.1593807179808257E-3</v>
      </c>
      <c r="AX113" s="383">
        <f>+Controls!AX72</f>
        <v>3.9514116820817844E-3</v>
      </c>
      <c r="AY113" s="383">
        <f>+Controls!AY72</f>
        <v>3.7538410979776949E-3</v>
      </c>
      <c r="AZ113" s="383">
        <f>+Controls!AZ72</f>
        <v>3.5661490430788098E-3</v>
      </c>
      <c r="BA113" s="383">
        <f>+Controls!BA72</f>
        <v>3.3878415909248693E-3</v>
      </c>
      <c r="BB113" s="383">
        <f>+Controls!BB72</f>
        <v>3.2184495113786256E-3</v>
      </c>
      <c r="BC113" s="383">
        <f>+Controls!BC72</f>
        <v>3.0575270358096942E-3</v>
      </c>
      <c r="BD113" s="383">
        <f>+Controls!BD72</f>
        <v>2.9046506840192093E-3</v>
      </c>
      <c r="BE113" s="383">
        <f>+Controls!BE72</f>
        <v>2.7594181498182485E-3</v>
      </c>
      <c r="BF113" s="383">
        <f>+Controls!BF72</f>
        <v>2.621447242327336E-3</v>
      </c>
      <c r="BG113" s="383">
        <f>+Controls!BG72</f>
        <v>2.4903748802109693E-3</v>
      </c>
      <c r="BH113" s="383">
        <f>+Controls!BH72</f>
        <v>2.3658561362004207E-3</v>
      </c>
      <c r="BI113" s="383">
        <f>+Controls!BI72</f>
        <v>2.2475633293903997E-3</v>
      </c>
    </row>
    <row r="114" spans="1:61" ht="18" customHeight="1" x14ac:dyDescent="0.2">
      <c r="A114" s="382" t="s">
        <v>951</v>
      </c>
      <c r="B114" s="383">
        <f>IF(1-(B113/B112)&lt;0,0,1-(B113/B112))</f>
        <v>4.5742504616362423E-2</v>
      </c>
      <c r="C114" s="383">
        <f>IF(1-(C113/C112)&lt;0,0,1-(C113/C112))</f>
        <v>0.25478986692107886</v>
      </c>
      <c r="D114" s="383">
        <f>IF(1-(D113/D112)&lt;0,0,1-(D113/D112))</f>
        <v>0.15299177238657857</v>
      </c>
      <c r="E114" s="383">
        <f>IF(1-(E113/E112)&lt;0,0,1-(E113/E112))</f>
        <v>0.22454287979311893</v>
      </c>
      <c r="F114" s="383">
        <f t="shared" ref="F114:BI114" si="49">IF(1-(F113/F112)&lt;0,0,1-(F113/F112))</f>
        <v>0.36921726580140524</v>
      </c>
      <c r="G114" s="383">
        <f t="shared" si="49"/>
        <v>0.510425618472228</v>
      </c>
      <c r="H114" s="383">
        <f t="shared" si="49"/>
        <v>0.56801409770867828</v>
      </c>
      <c r="I114" s="383">
        <f t="shared" si="49"/>
        <v>0.60625843187595019</v>
      </c>
      <c r="J114" s="383">
        <f t="shared" si="49"/>
        <v>0.62774458799081434</v>
      </c>
      <c r="K114" s="383">
        <f t="shared" si="49"/>
        <v>0.64597841538797107</v>
      </c>
      <c r="L114" s="383">
        <f t="shared" si="49"/>
        <v>0.66659473492115107</v>
      </c>
      <c r="M114" s="383">
        <f t="shared" si="49"/>
        <v>0.676181603832963</v>
      </c>
      <c r="N114" s="383">
        <f t="shared" si="49"/>
        <v>0.68605601495112534</v>
      </c>
      <c r="O114" s="383">
        <f t="shared" si="49"/>
        <v>0.70151268412025003</v>
      </c>
      <c r="P114" s="383">
        <f t="shared" si="49"/>
        <v>0.71920752272512023</v>
      </c>
      <c r="Q114" s="383">
        <f t="shared" si="49"/>
        <v>0.73586993564763048</v>
      </c>
      <c r="R114" s="383">
        <f t="shared" si="49"/>
        <v>0.75134002315185255</v>
      </c>
      <c r="S114" s="383">
        <f t="shared" si="49"/>
        <v>0.76688205266968767</v>
      </c>
      <c r="T114" s="383">
        <f t="shared" si="49"/>
        <v>0.77608326978161613</v>
      </c>
      <c r="U114" s="383">
        <f t="shared" si="49"/>
        <v>0.77529172925077006</v>
      </c>
      <c r="V114" s="383">
        <f t="shared" si="49"/>
        <v>0.79616662688858852</v>
      </c>
      <c r="W114" s="383">
        <f t="shared" si="49"/>
        <v>0.79785304606505114</v>
      </c>
      <c r="X114" s="383">
        <f t="shared" si="49"/>
        <v>0.80255721471478769</v>
      </c>
      <c r="Y114" s="383">
        <f t="shared" si="49"/>
        <v>0.80865771322145952</v>
      </c>
      <c r="Z114" s="383">
        <f t="shared" si="49"/>
        <v>0.81168844308609989</v>
      </c>
      <c r="AA114" s="383">
        <f t="shared" si="49"/>
        <v>0.81722147691511671</v>
      </c>
      <c r="AB114" s="383">
        <f t="shared" si="49"/>
        <v>0.82138500490439803</v>
      </c>
      <c r="AC114" s="383">
        <f t="shared" si="49"/>
        <v>0.82722166412766229</v>
      </c>
      <c r="AD114" s="383">
        <f t="shared" si="49"/>
        <v>0.83131735812348073</v>
      </c>
      <c r="AE114" s="383">
        <f t="shared" si="49"/>
        <v>0.83373212623921622</v>
      </c>
      <c r="AF114" s="383">
        <f t="shared" si="49"/>
        <v>0.82984280634783092</v>
      </c>
      <c r="AG114" s="383">
        <f t="shared" si="49"/>
        <v>0.83736436656103286</v>
      </c>
      <c r="AH114" s="383">
        <f t="shared" si="49"/>
        <v>0.84218307639029633</v>
      </c>
      <c r="AI114" s="383">
        <f t="shared" si="49"/>
        <v>0.96486306923642129</v>
      </c>
      <c r="AJ114" s="383">
        <f t="shared" si="49"/>
        <v>0.97643395390023813</v>
      </c>
      <c r="AK114" s="383">
        <f t="shared" si="49"/>
        <v>0.98069386198259412</v>
      </c>
      <c r="AL114" s="383">
        <f t="shared" si="49"/>
        <v>0.98296520553345434</v>
      </c>
      <c r="AM114" s="383">
        <f t="shared" si="49"/>
        <v>0.9844708447537619</v>
      </c>
      <c r="AN114" s="383">
        <f t="shared" si="49"/>
        <v>0.98561825430345196</v>
      </c>
      <c r="AO114" s="383">
        <f t="shared" si="49"/>
        <v>0.98657361416998923</v>
      </c>
      <c r="AP114" s="383">
        <f t="shared" si="49"/>
        <v>0.98741285832678782</v>
      </c>
      <c r="AQ114" s="383">
        <f t="shared" si="49"/>
        <v>0.98817331773156947</v>
      </c>
      <c r="AR114" s="383">
        <f t="shared" si="49"/>
        <v>0.9888744807889237</v>
      </c>
      <c r="AS114" s="383">
        <f t="shared" si="49"/>
        <v>0.98952719936614875</v>
      </c>
      <c r="AT114" s="383">
        <f t="shared" si="49"/>
        <v>0.99013801324141715</v>
      </c>
      <c r="AU114" s="383">
        <f t="shared" si="49"/>
        <v>0.9907112504303105</v>
      </c>
      <c r="AV114" s="383">
        <f t="shared" si="49"/>
        <v>0.99125006787067516</v>
      </c>
      <c r="AW114" s="383">
        <f t="shared" si="49"/>
        <v>0.99175697414688535</v>
      </c>
      <c r="AX114" s="383">
        <f t="shared" si="49"/>
        <v>0.99223409528429207</v>
      </c>
      <c r="AY114" s="383">
        <f t="shared" si="49"/>
        <v>0.9926833119646159</v>
      </c>
      <c r="AZ114" s="383">
        <f t="shared" si="49"/>
        <v>0.99310633199530629</v>
      </c>
      <c r="BA114" s="383">
        <f t="shared" si="49"/>
        <v>0.99350472998679817</v>
      </c>
      <c r="BB114" s="383">
        <f t="shared" si="49"/>
        <v>0.99387997029768882</v>
      </c>
      <c r="BC114" s="383">
        <f t="shared" si="49"/>
        <v>0.99423342134343651</v>
      </c>
      <c r="BD114" s="383">
        <f t="shared" si="49"/>
        <v>0.99456636536139964</v>
      </c>
      <c r="BE114" s="383">
        <f t="shared" si="49"/>
        <v>0.99488000570943946</v>
      </c>
      <c r="BF114" s="383">
        <f t="shared" si="49"/>
        <v>0.99517573934030268</v>
      </c>
      <c r="BG114" s="383">
        <f t="shared" si="49"/>
        <v>0.99545432672712275</v>
      </c>
      <c r="BH114" s="383">
        <f t="shared" si="49"/>
        <v>0.99571670888705222</v>
      </c>
      <c r="BI114" s="383">
        <f t="shared" si="49"/>
        <v>0.99596383922099896</v>
      </c>
    </row>
    <row r="115" spans="1:61" s="40" customFormat="1" ht="18" customHeight="1" x14ac:dyDescent="0.2">
      <c r="A115" s="382" t="s">
        <v>952</v>
      </c>
      <c r="B115" s="384">
        <f t="shared" ref="B115:E115" si="50">+B$36*1000*B114^($B$38-1)</f>
        <v>6.8402893611262732</v>
      </c>
      <c r="C115" s="384">
        <f t="shared" si="50"/>
        <v>143.75727302734646</v>
      </c>
      <c r="D115" s="384">
        <f t="shared" si="50"/>
        <v>54.829588873537098</v>
      </c>
      <c r="E115" s="384">
        <f t="shared" si="50"/>
        <v>104.51369592851479</v>
      </c>
      <c r="F115" s="384">
        <f t="shared" ref="F115:BI115" si="51">+F$36*1000*F114^($B$38-1)</f>
        <v>244.50074418821887</v>
      </c>
      <c r="G115" s="384">
        <f t="shared" si="51"/>
        <v>418.70661048594548</v>
      </c>
      <c r="H115" s="384">
        <f t="shared" si="51"/>
        <v>485.35785019893609</v>
      </c>
      <c r="I115" s="384">
        <f t="shared" si="51"/>
        <v>522.05263045246647</v>
      </c>
      <c r="J115" s="384">
        <f t="shared" si="51"/>
        <v>531.85048309556146</v>
      </c>
      <c r="K115" s="384">
        <f t="shared" si="51"/>
        <v>535.99773885086813</v>
      </c>
      <c r="L115" s="384">
        <f t="shared" si="51"/>
        <v>543.07256851564716</v>
      </c>
      <c r="M115" s="384">
        <f t="shared" si="51"/>
        <v>533.71243281804016</v>
      </c>
      <c r="N115" s="384">
        <f t="shared" si="51"/>
        <v>524.90843071707343</v>
      </c>
      <c r="O115" s="384">
        <f t="shared" si="51"/>
        <v>523.72696168386847</v>
      </c>
      <c r="P115" s="384">
        <f t="shared" si="51"/>
        <v>525.23104943344663</v>
      </c>
      <c r="Q115" s="384">
        <f t="shared" si="51"/>
        <v>525.04823100323506</v>
      </c>
      <c r="R115" s="384">
        <f t="shared" si="51"/>
        <v>523.10131054735518</v>
      </c>
      <c r="S115" s="384">
        <f t="shared" si="51"/>
        <v>521.07251395924368</v>
      </c>
      <c r="T115" s="384">
        <f t="shared" si="51"/>
        <v>511.34958166159271</v>
      </c>
      <c r="U115" s="384">
        <f t="shared" si="51"/>
        <v>490.4689943116461</v>
      </c>
      <c r="V115" s="384">
        <f t="shared" si="51"/>
        <v>494.62217128262864</v>
      </c>
      <c r="W115" s="384">
        <f t="shared" si="51"/>
        <v>477.55808423228353</v>
      </c>
      <c r="X115" s="384">
        <f t="shared" si="51"/>
        <v>464.44280624706545</v>
      </c>
      <c r="Y115" s="384">
        <f t="shared" si="51"/>
        <v>453.29386540887901</v>
      </c>
      <c r="Z115" s="384">
        <f t="shared" si="51"/>
        <v>439.59716886565087</v>
      </c>
      <c r="AA115" s="384">
        <f t="shared" si="51"/>
        <v>428.88856478489998</v>
      </c>
      <c r="AB115" s="384">
        <f t="shared" si="51"/>
        <v>417.37768550114168</v>
      </c>
      <c r="AC115" s="384">
        <f t="shared" si="51"/>
        <v>407.86363703233633</v>
      </c>
      <c r="AD115" s="384">
        <f t="shared" si="51"/>
        <v>397.25528256585488</v>
      </c>
      <c r="AE115" s="384">
        <f t="shared" si="51"/>
        <v>385.72596443483167</v>
      </c>
      <c r="AF115" s="384">
        <f t="shared" si="51"/>
        <v>369.6730992031097</v>
      </c>
      <c r="AG115" s="384">
        <f t="shared" si="51"/>
        <v>363.34771187588876</v>
      </c>
      <c r="AH115" s="384">
        <f t="shared" si="51"/>
        <v>355.23844891177941</v>
      </c>
      <c r="AI115" s="384">
        <f t="shared" si="51"/>
        <v>439.34229160706872</v>
      </c>
      <c r="AJ115" s="384">
        <f t="shared" si="51"/>
        <v>434.87724374211837</v>
      </c>
      <c r="AK115" s="384">
        <f t="shared" si="51"/>
        <v>424.89920085930362</v>
      </c>
      <c r="AL115" s="384">
        <f t="shared" si="51"/>
        <v>413.88999575721652</v>
      </c>
      <c r="AM115" s="384">
        <f t="shared" si="51"/>
        <v>402.85523845957169</v>
      </c>
      <c r="AN115" s="384">
        <f t="shared" si="51"/>
        <v>392.10873962278299</v>
      </c>
      <c r="AO115" s="384">
        <f t="shared" si="51"/>
        <v>381.76146458847836</v>
      </c>
      <c r="AP115" s="384">
        <f t="shared" si="51"/>
        <v>371.85007857419151</v>
      </c>
      <c r="AQ115" s="384">
        <f t="shared" si="51"/>
        <v>362.38056658977411</v>
      </c>
      <c r="AR115" s="384">
        <f t="shared" si="51"/>
        <v>353.34551125334468</v>
      </c>
      <c r="AS115" s="384">
        <f t="shared" si="51"/>
        <v>344.73159507200882</v>
      </c>
      <c r="AT115" s="384">
        <f t="shared" si="51"/>
        <v>336.52303444172463</v>
      </c>
      <c r="AU115" s="384">
        <f t="shared" si="51"/>
        <v>328.70319738953094</v>
      </c>
      <c r="AV115" s="384">
        <f t="shared" si="51"/>
        <v>321.25537598030007</v>
      </c>
      <c r="AW115" s="384">
        <f t="shared" si="51"/>
        <v>314.16315546050686</v>
      </c>
      <c r="AX115" s="384">
        <f t="shared" si="51"/>
        <v>307.41058804355896</v>
      </c>
      <c r="AY115" s="384">
        <f t="shared" si="51"/>
        <v>300.9822710041164</v>
      </c>
      <c r="AZ115" s="384">
        <f t="shared" si="51"/>
        <v>294.86337743623164</v>
      </c>
      <c r="BA115" s="384">
        <f t="shared" si="51"/>
        <v>289.03966334046447</v>
      </c>
      <c r="BB115" s="384">
        <f t="shared" si="51"/>
        <v>283.4974627175215</v>
      </c>
      <c r="BC115" s="384">
        <f t="shared" si="51"/>
        <v>278.22367648943043</v>
      </c>
      <c r="BD115" s="384">
        <f t="shared" si="51"/>
        <v>273.20575819279367</v>
      </c>
      <c r="BE115" s="384">
        <f t="shared" si="51"/>
        <v>136.68042972009977</v>
      </c>
      <c r="BF115" s="384">
        <f t="shared" si="51"/>
        <v>68.376785325846782</v>
      </c>
      <c r="BG115" s="384">
        <f t="shared" si="51"/>
        <v>34.205621718997897</v>
      </c>
      <c r="BH115" s="384">
        <f t="shared" si="51"/>
        <v>17.110926050531241</v>
      </c>
      <c r="BI115" s="384">
        <f t="shared" si="51"/>
        <v>8.5592855420199445</v>
      </c>
    </row>
    <row r="116" spans="1:61" s="379" customFormat="1" ht="18" customHeight="1" x14ac:dyDescent="0.2">
      <c r="A116" s="382" t="s">
        <v>969</v>
      </c>
      <c r="B116" s="383">
        <f t="shared" ref="B116:AG116" si="52">+B112*(1-B103)</f>
        <v>0.38756902268862453</v>
      </c>
      <c r="C116" s="383">
        <f t="shared" si="52"/>
        <v>0.3623888225610658</v>
      </c>
      <c r="D116" s="383">
        <f t="shared" si="52"/>
        <v>0.31161582077807776</v>
      </c>
      <c r="E116" s="383">
        <f t="shared" si="52"/>
        <v>0.26793549515532844</v>
      </c>
      <c r="F116" s="383">
        <f t="shared" si="52"/>
        <v>0.23680591729129</v>
      </c>
      <c r="G116" s="383">
        <f t="shared" si="52"/>
        <v>0.21483209737160114</v>
      </c>
      <c r="H116" s="383">
        <f t="shared" si="52"/>
        <v>0.19778780697615256</v>
      </c>
      <c r="I116" s="383">
        <f t="shared" si="52"/>
        <v>0.17988007449484822</v>
      </c>
      <c r="J116" s="383">
        <f t="shared" si="52"/>
        <v>0.16122526746022373</v>
      </c>
      <c r="K116" s="383">
        <f t="shared" si="52"/>
        <v>0.14692521045042015</v>
      </c>
      <c r="L116" s="383">
        <f t="shared" si="52"/>
        <v>0.13894985546468303</v>
      </c>
      <c r="M116" s="383">
        <f t="shared" si="52"/>
        <v>0.12911350602008742</v>
      </c>
      <c r="N116" s="383">
        <f t="shared" si="52"/>
        <v>0.12018868746978692</v>
      </c>
      <c r="O116" s="383">
        <f t="shared" si="52"/>
        <v>0.11408600595192554</v>
      </c>
      <c r="P116" s="383">
        <f t="shared" si="52"/>
        <v>0.10944986194984077</v>
      </c>
      <c r="Q116" s="383">
        <f t="shared" si="52"/>
        <v>0.10500868335786298</v>
      </c>
      <c r="R116" s="383">
        <f t="shared" si="52"/>
        <v>0.10066522335314299</v>
      </c>
      <c r="S116" s="383">
        <f t="shared" si="52"/>
        <v>9.6906270242863066E-2</v>
      </c>
      <c r="T116" s="383">
        <f t="shared" si="52"/>
        <v>9.1050686623450963E-2</v>
      </c>
      <c r="U116" s="383">
        <f t="shared" si="52"/>
        <v>8.1882828296244464E-2</v>
      </c>
      <c r="V116" s="383">
        <f t="shared" si="52"/>
        <v>8.1466427574798717E-2</v>
      </c>
      <c r="W116" s="383">
        <f t="shared" si="52"/>
        <v>7.8037828852670271E-2</v>
      </c>
      <c r="X116" s="383">
        <f t="shared" si="52"/>
        <v>7.5901346487421667E-2</v>
      </c>
      <c r="Y116" s="383">
        <f t="shared" si="52"/>
        <v>7.440431388638348E-2</v>
      </c>
      <c r="Z116" s="383">
        <f t="shared" si="52"/>
        <v>7.1820825151889187E-2</v>
      </c>
      <c r="AA116" s="383">
        <f t="shared" si="52"/>
        <v>7.029435562479093E-2</v>
      </c>
      <c r="AB116" s="383">
        <f t="shared" si="52"/>
        <v>0</v>
      </c>
      <c r="AC116" s="383">
        <f t="shared" si="52"/>
        <v>0</v>
      </c>
      <c r="AD116" s="383">
        <f t="shared" si="52"/>
        <v>0</v>
      </c>
      <c r="AE116" s="383">
        <f t="shared" si="52"/>
        <v>0</v>
      </c>
      <c r="AF116" s="383">
        <f t="shared" si="52"/>
        <v>0</v>
      </c>
      <c r="AG116" s="383">
        <f t="shared" si="52"/>
        <v>0</v>
      </c>
      <c r="AH116" s="383">
        <f t="shared" ref="AH116:BI116" si="53">+AH112*(1-AH103)</f>
        <v>0</v>
      </c>
      <c r="AI116" s="383">
        <f t="shared" si="53"/>
        <v>0</v>
      </c>
      <c r="AJ116" s="383">
        <f t="shared" si="53"/>
        <v>0</v>
      </c>
      <c r="AK116" s="383">
        <f t="shared" si="53"/>
        <v>0</v>
      </c>
      <c r="AL116" s="383">
        <f t="shared" si="53"/>
        <v>0</v>
      </c>
      <c r="AM116" s="383">
        <f t="shared" si="53"/>
        <v>0</v>
      </c>
      <c r="AN116" s="383">
        <f t="shared" si="53"/>
        <v>0</v>
      </c>
      <c r="AO116" s="383">
        <f t="shared" si="53"/>
        <v>0</v>
      </c>
      <c r="AP116" s="383">
        <f t="shared" si="53"/>
        <v>0</v>
      </c>
      <c r="AQ116" s="383">
        <f t="shared" si="53"/>
        <v>0</v>
      </c>
      <c r="AR116" s="383">
        <f t="shared" si="53"/>
        <v>0</v>
      </c>
      <c r="AS116" s="383">
        <f t="shared" si="53"/>
        <v>0</v>
      </c>
      <c r="AT116" s="383">
        <f t="shared" si="53"/>
        <v>0</v>
      </c>
      <c r="AU116" s="383">
        <f t="shared" si="53"/>
        <v>0</v>
      </c>
      <c r="AV116" s="383">
        <f t="shared" si="53"/>
        <v>0</v>
      </c>
      <c r="AW116" s="383">
        <f t="shared" si="53"/>
        <v>0</v>
      </c>
      <c r="AX116" s="383">
        <f t="shared" si="53"/>
        <v>0</v>
      </c>
      <c r="AY116" s="383">
        <f t="shared" si="53"/>
        <v>0</v>
      </c>
      <c r="AZ116" s="383">
        <f t="shared" si="53"/>
        <v>0</v>
      </c>
      <c r="BA116" s="383">
        <f t="shared" si="53"/>
        <v>0</v>
      </c>
      <c r="BB116" s="383">
        <f t="shared" si="53"/>
        <v>0</v>
      </c>
      <c r="BC116" s="383">
        <f t="shared" si="53"/>
        <v>0</v>
      </c>
      <c r="BD116" s="383">
        <f t="shared" si="53"/>
        <v>0</v>
      </c>
      <c r="BE116" s="383">
        <f t="shared" si="53"/>
        <v>0</v>
      </c>
      <c r="BF116" s="383">
        <f t="shared" si="53"/>
        <v>0</v>
      </c>
      <c r="BG116" s="383">
        <f t="shared" si="53"/>
        <v>0</v>
      </c>
      <c r="BH116" s="383">
        <f t="shared" si="53"/>
        <v>0</v>
      </c>
      <c r="BI116" s="383">
        <f t="shared" si="53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0.38770030891268675</v>
      </c>
      <c r="C119" s="405">
        <f t="shared" ref="C119:BI120" si="54">+C112</f>
        <v>0.36251476089498352</v>
      </c>
      <c r="D119" s="405">
        <f t="shared" si="54"/>
        <v>0.31172690599301522</v>
      </c>
      <c r="E119" s="405">
        <f t="shared" si="54"/>
        <v>0.26803345740223944</v>
      </c>
      <c r="F119" s="405">
        <f t="shared" si="54"/>
        <v>0.2368947040827529</v>
      </c>
      <c r="G119" s="405">
        <f t="shared" si="54"/>
        <v>0.21491468506245678</v>
      </c>
      <c r="H119" s="405">
        <f t="shared" si="54"/>
        <v>0.1978657552291439</v>
      </c>
      <c r="I119" s="405">
        <f t="shared" si="54"/>
        <v>0.17995273665579789</v>
      </c>
      <c r="J119" s="405">
        <f t="shared" si="54"/>
        <v>0.16129200983140055</v>
      </c>
      <c r="K119" s="405">
        <f t="shared" si="54"/>
        <v>0.14698753084459695</v>
      </c>
      <c r="L119" s="405">
        <f t="shared" si="54"/>
        <v>0.13901023315602978</v>
      </c>
      <c r="M119" s="405">
        <f t="shared" si="54"/>
        <v>0.12917096936074515</v>
      </c>
      <c r="N119" s="405">
        <f t="shared" si="54"/>
        <v>0.12024346429574581</v>
      </c>
      <c r="O119" s="405">
        <f t="shared" si="54"/>
        <v>0.11413924006069869</v>
      </c>
      <c r="P119" s="405">
        <f t="shared" si="54"/>
        <v>0.10950213819457455</v>
      </c>
      <c r="Q119" s="405">
        <f t="shared" si="54"/>
        <v>0.10506001085170739</v>
      </c>
      <c r="R119" s="405">
        <f t="shared" si="54"/>
        <v>0.10071556657576472</v>
      </c>
      <c r="S119" s="405">
        <f t="shared" si="54"/>
        <v>9.695584356611836E-2</v>
      </c>
      <c r="T119" s="405">
        <f t="shared" si="54"/>
        <v>9.1098319712963227E-2</v>
      </c>
      <c r="U119" s="405">
        <f t="shared" si="54"/>
        <v>8.1926624792129421E-2</v>
      </c>
      <c r="V119" s="405">
        <f t="shared" si="54"/>
        <v>8.1510965984978784E-2</v>
      </c>
      <c r="W119" s="405">
        <f t="shared" si="54"/>
        <v>7.8081425803985388E-2</v>
      </c>
      <c r="X119" s="405">
        <f t="shared" si="54"/>
        <v>7.5944665409041587E-2</v>
      </c>
      <c r="Y119" s="405">
        <f t="shared" si="54"/>
        <v>7.4447683219685257E-2</v>
      </c>
      <c r="Z119" s="405">
        <f t="shared" si="54"/>
        <v>7.1863568422279311E-2</v>
      </c>
      <c r="AA119" s="405">
        <f t="shared" si="54"/>
        <v>7.0337057194997513E-2</v>
      </c>
      <c r="AB119" s="405">
        <f t="shared" si="54"/>
        <v>6.8377787957218397E-2</v>
      </c>
      <c r="AC119" s="405">
        <f t="shared" si="54"/>
        <v>6.7153287991894323E-2</v>
      </c>
      <c r="AD119" s="405">
        <f t="shared" si="54"/>
        <v>6.5344611381438836E-2</v>
      </c>
      <c r="AE119" s="405">
        <f t="shared" si="54"/>
        <v>6.2978952935131532E-2</v>
      </c>
      <c r="AF119" s="405">
        <f t="shared" si="54"/>
        <v>5.8462457877212076E-2</v>
      </c>
      <c r="AG119" s="405">
        <f t="shared" si="54"/>
        <v>5.8107913857766709E-2</v>
      </c>
      <c r="AH119" s="405">
        <f t="shared" si="54"/>
        <v>5.6888046629107306E-2</v>
      </c>
      <c r="AI119" s="405">
        <f t="shared" si="54"/>
        <v>0.24273610410369981</v>
      </c>
      <c r="AJ119" s="405">
        <f t="shared" si="54"/>
        <v>0.34382312438949053</v>
      </c>
      <c r="AK119" s="405">
        <f t="shared" si="54"/>
        <v>0.39870345962567827</v>
      </c>
      <c r="AL119" s="405">
        <f t="shared" si="54"/>
        <v>0.42927156138772554</v>
      </c>
      <c r="AM119" s="405">
        <f t="shared" si="54"/>
        <v>0.44734726825061777</v>
      </c>
      <c r="AN119" s="405">
        <f t="shared" si="54"/>
        <v>0.45888580273994084</v>
      </c>
      <c r="AO119" s="405">
        <f t="shared" si="54"/>
        <v>0.46696110570650889</v>
      </c>
      <c r="AP119" s="405">
        <f t="shared" si="54"/>
        <v>0.47319082670362089</v>
      </c>
      <c r="AQ119" s="405">
        <f t="shared" si="54"/>
        <v>0.47843628898171298</v>
      </c>
      <c r="AR119" s="405">
        <f t="shared" si="54"/>
        <v>0.48315931820497693</v>
      </c>
      <c r="AS119" s="405">
        <f t="shared" si="54"/>
        <v>0.48760866757635513</v>
      </c>
      <c r="AT119" s="405">
        <f t="shared" si="54"/>
        <v>0.49191882563619271</v>
      </c>
      <c r="AU119" s="405">
        <f t="shared" si="54"/>
        <v>0.49616281103374893</v>
      </c>
      <c r="AV119" s="405">
        <f t="shared" si="54"/>
        <v>0.50038050900278364</v>
      </c>
      <c r="AW119" s="405">
        <f t="shared" si="54"/>
        <v>0.50459391879854065</v>
      </c>
      <c r="AX119" s="405">
        <f t="shared" si="54"/>
        <v>0.5088153700996787</v>
      </c>
      <c r="AY119" s="405">
        <f t="shared" si="54"/>
        <v>0.51305195463081454</v>
      </c>
      <c r="AZ119" s="405">
        <f t="shared" si="54"/>
        <v>0.51730791802719422</v>
      </c>
      <c r="BA119" s="405">
        <f t="shared" si="54"/>
        <v>0.52158595162926202</v>
      </c>
      <c r="BB119" s="405">
        <f t="shared" si="54"/>
        <v>0.52588789073412401</v>
      </c>
      <c r="BC119" s="405">
        <f t="shared" si="54"/>
        <v>0.53021509250197352</v>
      </c>
      <c r="BD119" s="405">
        <f t="shared" si="54"/>
        <v>0.53456864092125278</v>
      </c>
      <c r="BE119" s="405">
        <f t="shared" si="54"/>
        <v>0.53894945838234054</v>
      </c>
      <c r="BF119" s="405">
        <f t="shared" si="54"/>
        <v>0.54338839197212985</v>
      </c>
      <c r="BG119" s="405">
        <f t="shared" si="54"/>
        <v>0.54785611079229091</v>
      </c>
      <c r="BH119" s="405">
        <f t="shared" si="54"/>
        <v>0.55234539838974495</v>
      </c>
      <c r="BI119" s="405">
        <f t="shared" si="54"/>
        <v>0.55685673897922994</v>
      </c>
    </row>
    <row r="120" spans="1:61" s="401" customFormat="1" ht="18" customHeight="1" x14ac:dyDescent="0.2">
      <c r="A120" s="403" t="s">
        <v>949</v>
      </c>
      <c r="B120" s="405">
        <f>+B113</f>
        <v>0.36996592574248305</v>
      </c>
      <c r="C120" s="405">
        <f t="shared" si="54"/>
        <v>0.27014967320962396</v>
      </c>
      <c r="D120" s="405">
        <f t="shared" si="54"/>
        <v>0.26403525414455947</v>
      </c>
      <c r="E120" s="405">
        <f t="shared" si="54"/>
        <v>0.20784845299623433</v>
      </c>
      <c r="F120" s="405">
        <f t="shared" si="54"/>
        <v>0.14942908915848588</v>
      </c>
      <c r="G120" s="405">
        <f t="shared" si="54"/>
        <v>0.10521672402068818</v>
      </c>
      <c r="H120" s="405">
        <f t="shared" si="54"/>
        <v>8.5475216805215526E-2</v>
      </c>
      <c r="I120" s="405">
        <f t="shared" si="54"/>
        <v>7.0854872719068041E-2</v>
      </c>
      <c r="J120" s="405">
        <f t="shared" si="54"/>
        <v>6.0041823573577624E-2</v>
      </c>
      <c r="K120" s="405">
        <f t="shared" si="54"/>
        <v>5.2036758587813689E-2</v>
      </c>
      <c r="L120" s="405">
        <f t="shared" si="54"/>
        <v>4.6346743634058704E-2</v>
      </c>
      <c r="M120" s="405">
        <f t="shared" si="54"/>
        <v>4.1827936129737973E-2</v>
      </c>
      <c r="N120" s="405">
        <f t="shared" si="54"/>
        <v>3.7749712357088516E-2</v>
      </c>
      <c r="O120" s="405">
        <f t="shared" si="54"/>
        <v>3.4069115402272379E-2</v>
      </c>
      <c r="P120" s="405">
        <f t="shared" si="54"/>
        <v>3.0747376650550821E-2</v>
      </c>
      <c r="Q120" s="405">
        <f t="shared" si="54"/>
        <v>2.7749507427122115E-2</v>
      </c>
      <c r="R120" s="405">
        <f t="shared" si="54"/>
        <v>2.5043930452977706E-2</v>
      </c>
      <c r="S120" s="405">
        <f t="shared" si="54"/>
        <v>2.2602147233812379E-2</v>
      </c>
      <c r="T120" s="405">
        <f t="shared" si="54"/>
        <v>2.0398437878515668E-2</v>
      </c>
      <c r="U120" s="405">
        <f t="shared" si="54"/>
        <v>1.840959018536039E-2</v>
      </c>
      <c r="V120" s="405">
        <f t="shared" si="54"/>
        <v>1.661465514228775E-2</v>
      </c>
      <c r="W120" s="405">
        <f t="shared" si="54"/>
        <v>1.5783922385173361E-2</v>
      </c>
      <c r="X120" s="405">
        <f t="shared" si="54"/>
        <v>1.4994726265914691E-2</v>
      </c>
      <c r="Y120" s="405">
        <f t="shared" si="54"/>
        <v>1.4244989952618956E-2</v>
      </c>
      <c r="Z120" s="405">
        <f t="shared" si="54"/>
        <v>1.3532740454988007E-2</v>
      </c>
      <c r="AA120" s="405">
        <f t="shared" si="54"/>
        <v>1.2856103432238607E-2</v>
      </c>
      <c r="AB120" s="405">
        <f t="shared" si="54"/>
        <v>1.2213298260626676E-2</v>
      </c>
      <c r="AC120" s="405">
        <f t="shared" si="54"/>
        <v>1.1602633347595341E-2</v>
      </c>
      <c r="AD120" s="405">
        <f t="shared" si="54"/>
        <v>1.1022501680215574E-2</v>
      </c>
      <c r="AE120" s="405">
        <f t="shared" si="54"/>
        <v>1.0471376596204795E-2</v>
      </c>
      <c r="AF120" s="405">
        <f t="shared" si="54"/>
        <v>9.9478077663945549E-3</v>
      </c>
      <c r="AG120" s="405">
        <f t="shared" si="54"/>
        <v>9.4504173780748275E-3</v>
      </c>
      <c r="AH120" s="405">
        <f t="shared" si="54"/>
        <v>8.9778965091710863E-3</v>
      </c>
      <c r="AI120" s="405">
        <f t="shared" si="54"/>
        <v>8.5290016837125324E-3</v>
      </c>
      <c r="AJ120" s="405">
        <f t="shared" si="54"/>
        <v>8.1025515995269051E-3</v>
      </c>
      <c r="AK120" s="405">
        <f t="shared" si="54"/>
        <v>7.6974240195505595E-3</v>
      </c>
      <c r="AL120" s="405">
        <f t="shared" si="54"/>
        <v>7.3125528185730313E-3</v>
      </c>
      <c r="AM120" s="405">
        <f t="shared" si="54"/>
        <v>6.9469251776443797E-3</v>
      </c>
      <c r="AN120" s="405">
        <f t="shared" si="54"/>
        <v>6.5995789187621601E-3</v>
      </c>
      <c r="AO120" s="405">
        <f t="shared" si="54"/>
        <v>6.269599972824052E-3</v>
      </c>
      <c r="AP120" s="405">
        <f t="shared" si="54"/>
        <v>5.9561199741828491E-3</v>
      </c>
      <c r="AQ120" s="405">
        <f t="shared" si="54"/>
        <v>5.658313975473706E-3</v>
      </c>
      <c r="AR120" s="405">
        <f t="shared" si="54"/>
        <v>5.3753982767000205E-3</v>
      </c>
      <c r="AS120" s="405">
        <f t="shared" si="54"/>
        <v>5.1066283628650195E-3</v>
      </c>
      <c r="AT120" s="405">
        <f t="shared" si="54"/>
        <v>4.8512969447217684E-3</v>
      </c>
      <c r="AU120" s="405">
        <f t="shared" si="54"/>
        <v>4.6087320974856801E-3</v>
      </c>
      <c r="AV120" s="405">
        <f t="shared" si="54"/>
        <v>4.378295492611396E-3</v>
      </c>
      <c r="AW120" s="405">
        <f t="shared" si="54"/>
        <v>4.1593807179808257E-3</v>
      </c>
      <c r="AX120" s="405">
        <f t="shared" si="54"/>
        <v>3.9514116820817844E-3</v>
      </c>
      <c r="AY120" s="405">
        <f t="shared" si="54"/>
        <v>3.7538410979776949E-3</v>
      </c>
      <c r="AZ120" s="405">
        <f t="shared" si="54"/>
        <v>3.5661490430788098E-3</v>
      </c>
      <c r="BA120" s="405">
        <f t="shared" si="54"/>
        <v>3.3878415909248693E-3</v>
      </c>
      <c r="BB120" s="405">
        <f t="shared" si="54"/>
        <v>3.2184495113786256E-3</v>
      </c>
      <c r="BC120" s="405">
        <f t="shared" si="54"/>
        <v>3.0575270358096942E-3</v>
      </c>
      <c r="BD120" s="405">
        <f t="shared" si="54"/>
        <v>2.9046506840192093E-3</v>
      </c>
      <c r="BE120" s="405">
        <f t="shared" si="54"/>
        <v>2.7594181498182485E-3</v>
      </c>
      <c r="BF120" s="405">
        <f t="shared" si="54"/>
        <v>2.621447242327336E-3</v>
      </c>
      <c r="BG120" s="405">
        <f t="shared" si="54"/>
        <v>2.4903748802109693E-3</v>
      </c>
      <c r="BH120" s="405">
        <f t="shared" si="54"/>
        <v>2.3658561362004207E-3</v>
      </c>
      <c r="BI120" s="405">
        <f t="shared" si="54"/>
        <v>2.2475633293903997E-3</v>
      </c>
    </row>
    <row r="121" spans="1:61" s="402" customFormat="1" ht="18" customHeight="1" x14ac:dyDescent="0.2">
      <c r="A121" s="404" t="s">
        <v>965</v>
      </c>
      <c r="B121" s="405">
        <f>+B119*(1-B122)</f>
        <v>0.38770030891268675</v>
      </c>
      <c r="C121" s="405">
        <f t="shared" ref="C121:BI121" si="55">+C119*(1-C122)</f>
        <v>0.34151373352683312</v>
      </c>
      <c r="D121" s="405">
        <f t="shared" si="55"/>
        <v>0.26738359536221723</v>
      </c>
      <c r="E121" s="405">
        <f t="shared" si="55"/>
        <v>0.20592770863216125</v>
      </c>
      <c r="F121" s="405">
        <f t="shared" si="55"/>
        <v>0.15154660821102767</v>
      </c>
      <c r="G121" s="405">
        <f t="shared" si="55"/>
        <v>0.11723719007178916</v>
      </c>
      <c r="H121" s="405">
        <f t="shared" si="55"/>
        <v>9.7517431723906436E-2</v>
      </c>
      <c r="I121" s="405">
        <f t="shared" si="55"/>
        <v>8.9211055755280599E-2</v>
      </c>
      <c r="J121" s="405">
        <f t="shared" si="55"/>
        <v>7.4436675094724347E-2</v>
      </c>
      <c r="K121" s="405">
        <f t="shared" si="55"/>
        <v>6.4083753114296982E-2</v>
      </c>
      <c r="L121" s="405">
        <f t="shared" si="55"/>
        <v>5.8060483510449006E-2</v>
      </c>
      <c r="M121" s="405">
        <f t="shared" si="55"/>
        <v>5.2128276482757384E-2</v>
      </c>
      <c r="N121" s="405">
        <f t="shared" si="55"/>
        <v>4.7074016366003647E-2</v>
      </c>
      <c r="O121" s="405">
        <f t="shared" si="55"/>
        <v>4.3456208029731866E-2</v>
      </c>
      <c r="P121" s="405">
        <f t="shared" si="55"/>
        <v>4.0697865566703177E-2</v>
      </c>
      <c r="Q121" s="405">
        <f t="shared" si="55"/>
        <v>3.8224638639601086E-2</v>
      </c>
      <c r="R121" s="405">
        <f t="shared" si="55"/>
        <v>3.597721792815084E-2</v>
      </c>
      <c r="S121" s="405">
        <f t="shared" si="55"/>
        <v>3.4109246681669238E-2</v>
      </c>
      <c r="T121" s="405">
        <f t="shared" si="55"/>
        <v>3.1587932188988505E-2</v>
      </c>
      <c r="U121" s="405">
        <f t="shared" si="55"/>
        <v>2.8024975865741188E-2</v>
      </c>
      <c r="V121" s="405">
        <f t="shared" si="55"/>
        <v>2.7535688545123657E-2</v>
      </c>
      <c r="W121" s="405">
        <f t="shared" si="55"/>
        <v>2.825090177188528E-2</v>
      </c>
      <c r="X121" s="405">
        <f t="shared" si="55"/>
        <v>2.9246896987700503E-2</v>
      </c>
      <c r="Y121" s="405">
        <f t="shared" si="55"/>
        <v>3.0353592925399221E-2</v>
      </c>
      <c r="Z121" s="405">
        <f t="shared" si="55"/>
        <v>3.087671938876712E-2</v>
      </c>
      <c r="AA121" s="405">
        <f t="shared" si="55"/>
        <v>3.1718169426665332E-2</v>
      </c>
      <c r="AB121" s="405">
        <f t="shared" si="55"/>
        <v>3.2246719215905238E-2</v>
      </c>
      <c r="AC121" s="405">
        <f t="shared" si="55"/>
        <v>3.3014286867066131E-2</v>
      </c>
      <c r="AD121" s="405">
        <f t="shared" si="55"/>
        <v>3.3394238395743236E-2</v>
      </c>
      <c r="AE121" s="405">
        <f t="shared" si="55"/>
        <v>3.337113151216918E-2</v>
      </c>
      <c r="AF121" s="405">
        <f t="shared" si="55"/>
        <v>3.2044899196453924E-2</v>
      </c>
      <c r="AG121" s="405">
        <f t="shared" si="55"/>
        <v>3.2878170628671627E-2</v>
      </c>
      <c r="AH121" s="405">
        <f t="shared" si="55"/>
        <v>3.316253492682731E-2</v>
      </c>
      <c r="AI121" s="405">
        <f t="shared" si="55"/>
        <v>0.14552879292531137</v>
      </c>
      <c r="AJ121" s="405">
        <f t="shared" si="55"/>
        <v>0.21165685740707271</v>
      </c>
      <c r="AK121" s="405">
        <f t="shared" si="55"/>
        <v>0.25163967839989548</v>
      </c>
      <c r="AL121" s="405">
        <f t="shared" si="55"/>
        <v>0.27738981481541419</v>
      </c>
      <c r="AM121" s="405">
        <f t="shared" si="55"/>
        <v>0.29557861090010812</v>
      </c>
      <c r="AN121" s="405">
        <f t="shared" si="55"/>
        <v>0.30965771206329212</v>
      </c>
      <c r="AO121" s="405">
        <f t="shared" si="55"/>
        <v>0.32145572194349814</v>
      </c>
      <c r="AP121" s="405">
        <f t="shared" si="55"/>
        <v>0.33195986752333989</v>
      </c>
      <c r="AQ121" s="405">
        <f t="shared" si="55"/>
        <v>0.34170903292277766</v>
      </c>
      <c r="AR121" s="405">
        <f t="shared" si="55"/>
        <v>0.3509992031064188</v>
      </c>
      <c r="AS121" s="405">
        <f t="shared" si="55"/>
        <v>0.35999361005984432</v>
      </c>
      <c r="AT121" s="405">
        <f t="shared" si="55"/>
        <v>0.36878263225891883</v>
      </c>
      <c r="AU121" s="405">
        <f t="shared" si="55"/>
        <v>0.37741660937768928</v>
      </c>
      <c r="AV121" s="405">
        <f t="shared" si="55"/>
        <v>0.38592388157075813</v>
      </c>
      <c r="AW121" s="405">
        <f t="shared" si="55"/>
        <v>0.39432071966824356</v>
      </c>
      <c r="AX121" s="405">
        <f t="shared" si="55"/>
        <v>0.402616792727163</v>
      </c>
      <c r="AY121" s="405">
        <f t="shared" si="55"/>
        <v>0.41081817726255282</v>
      </c>
      <c r="AZ121" s="405">
        <f t="shared" si="55"/>
        <v>0.41892901216066192</v>
      </c>
      <c r="BA121" s="405">
        <f t="shared" si="55"/>
        <v>0.42695240773368304</v>
      </c>
      <c r="BB121" s="405">
        <f t="shared" si="55"/>
        <v>0.4348909442051348</v>
      </c>
      <c r="BC121" s="405">
        <f t="shared" si="55"/>
        <v>0.44274694428417494</v>
      </c>
      <c r="BD121" s="405">
        <f t="shared" si="55"/>
        <v>0.45052262145558508</v>
      </c>
      <c r="BE121" s="405">
        <f t="shared" si="55"/>
        <v>0.42149222442308726</v>
      </c>
      <c r="BF121" s="405">
        <f t="shared" si="55"/>
        <v>0.3792311130898835</v>
      </c>
      <c r="BG121" s="405">
        <f t="shared" si="55"/>
        <v>0.31843448324513368</v>
      </c>
      <c r="BH121" s="405">
        <f t="shared" si="55"/>
        <v>0.23172094292444717</v>
      </c>
      <c r="BI121" s="405">
        <f t="shared" si="55"/>
        <v>0.10878511340348331</v>
      </c>
    </row>
    <row r="122" spans="1:61" s="401" customFormat="1" ht="18" customHeight="1" x14ac:dyDescent="0.2">
      <c r="A122" s="403" t="s">
        <v>951</v>
      </c>
      <c r="B122" s="406">
        <f t="shared" ref="B122:L122" si="56">+(B123/(1000*B$36))^(1/($B$38-1))</f>
        <v>0</v>
      </c>
      <c r="C122" s="406">
        <f t="shared" si="56"/>
        <v>5.7931509647504195E-2</v>
      </c>
      <c r="D122" s="406">
        <f t="shared" si="56"/>
        <v>0.14225050766644948</v>
      </c>
      <c r="E122" s="406">
        <f t="shared" si="56"/>
        <v>0.2317089417567588</v>
      </c>
      <c r="F122" s="406">
        <f t="shared" si="56"/>
        <v>0.36027861493227442</v>
      </c>
      <c r="G122" s="406">
        <f t="shared" si="56"/>
        <v>0.45449427972909989</v>
      </c>
      <c r="H122" s="406">
        <f t="shared" si="56"/>
        <v>0.50715356676564027</v>
      </c>
      <c r="I122" s="406">
        <f t="shared" si="56"/>
        <v>0.50425285320379531</v>
      </c>
      <c r="J122" s="406">
        <f t="shared" si="56"/>
        <v>0.5384974421700528</v>
      </c>
      <c r="K122" s="406">
        <f t="shared" si="56"/>
        <v>0.56401911953980821</v>
      </c>
      <c r="L122" s="406">
        <f t="shared" si="56"/>
        <v>0.58232942861638137</v>
      </c>
      <c r="M122" s="406">
        <f t="shared" ref="M122:BI122" si="57">+(M123/(1000*M$36))^(1/($B$38-1))</f>
        <v>0.59643968965522776</v>
      </c>
      <c r="N122" s="406">
        <f t="shared" si="57"/>
        <v>0.60851081061485091</v>
      </c>
      <c r="O122" s="406">
        <f t="shared" si="57"/>
        <v>0.61927021761646506</v>
      </c>
      <c r="P122" s="406">
        <f t="shared" si="57"/>
        <v>0.62833725224262682</v>
      </c>
      <c r="Q122" s="406">
        <f t="shared" si="57"/>
        <v>0.63616376650145878</v>
      </c>
      <c r="R122" s="406">
        <f t="shared" si="57"/>
        <v>0.6427839394510434</v>
      </c>
      <c r="S122" s="406">
        <f t="shared" si="57"/>
        <v>0.64819813404636439</v>
      </c>
      <c r="T122" s="406">
        <f t="shared" si="57"/>
        <v>0.65325450251423722</v>
      </c>
      <c r="U122" s="406">
        <f t="shared" si="57"/>
        <v>0.6579259070314647</v>
      </c>
      <c r="V122" s="406">
        <f t="shared" si="57"/>
        <v>0.66218424463037207</v>
      </c>
      <c r="W122" s="406">
        <f t="shared" si="57"/>
        <v>0.63818665603256297</v>
      </c>
      <c r="X122" s="406">
        <f t="shared" si="57"/>
        <v>0.61489201604648169</v>
      </c>
      <c r="Y122" s="406">
        <f t="shared" si="57"/>
        <v>0.59228290777256576</v>
      </c>
      <c r="Z122" s="406">
        <f t="shared" si="57"/>
        <v>0.57034252449959544</v>
      </c>
      <c r="AA122" s="406">
        <f t="shared" si="57"/>
        <v>0.54905464215353639</v>
      </c>
      <c r="AB122" s="406">
        <f t="shared" si="57"/>
        <v>0.52840359158619044</v>
      </c>
      <c r="AC122" s="406">
        <f t="shared" si="57"/>
        <v>0.50837423074427734</v>
      </c>
      <c r="AD122" s="406">
        <f t="shared" si="57"/>
        <v>0.48895191677230038</v>
      </c>
      <c r="AE122" s="406">
        <f t="shared" si="57"/>
        <v>0.4701224781151645</v>
      </c>
      <c r="AF122" s="406">
        <f t="shared" si="57"/>
        <v>0.45187218669872903</v>
      </c>
      <c r="AG122" s="406">
        <f t="shared" si="57"/>
        <v>0.43418773027803115</v>
      </c>
      <c r="AH122" s="406">
        <f t="shared" si="57"/>
        <v>0.41705618505348047</v>
      </c>
      <c r="AI122" s="406">
        <f t="shared" si="57"/>
        <v>0.40046498866464592</v>
      </c>
      <c r="AJ122" s="406">
        <f t="shared" si="57"/>
        <v>0.38440191367901394</v>
      </c>
      <c r="AK122" s="406">
        <f t="shared" si="57"/>
        <v>0.36885504169904426</v>
      </c>
      <c r="AL122" s="406">
        <f t="shared" si="57"/>
        <v>0.35381273821474785</v>
      </c>
      <c r="AM122" s="406">
        <f t="shared" si="57"/>
        <v>0.33926362833065105</v>
      </c>
      <c r="AN122" s="406">
        <f t="shared" si="57"/>
        <v>0.32519657349525605</v>
      </c>
      <c r="AO122" s="406">
        <f t="shared" si="57"/>
        <v>0.3116006493578562</v>
      </c>
      <c r="AP122" s="406">
        <f t="shared" si="57"/>
        <v>0.29846512487178845</v>
      </c>
      <c r="AQ122" s="406">
        <f t="shared" si="57"/>
        <v>0.28577944275493994</v>
      </c>
      <c r="AR122" s="406">
        <f t="shared" si="57"/>
        <v>0.27353320140767756</v>
      </c>
      <c r="AS122" s="406">
        <f t="shared" si="57"/>
        <v>0.26171613837550878</v>
      </c>
      <c r="AT122" s="406">
        <f t="shared" si="57"/>
        <v>0.25031811542894972</v>
      </c>
      <c r="AU122" s="406">
        <f t="shared" si="57"/>
        <v>0.23932910531656623</v>
      </c>
      <c r="AV122" s="406">
        <f t="shared" si="57"/>
        <v>0.2287391802293178</v>
      </c>
      <c r="AW122" s="406">
        <f t="shared" si="57"/>
        <v>0.21853850199554964</v>
      </c>
      <c r="AX122" s="406">
        <f t="shared" si="57"/>
        <v>0.20871731400667204</v>
      </c>
      <c r="AY122" s="406">
        <f t="shared" si="57"/>
        <v>0.19926593485415689</v>
      </c>
      <c r="AZ122" s="406">
        <f t="shared" si="57"/>
        <v>0.19017475363939945</v>
      </c>
      <c r="BA122" s="406">
        <f t="shared" si="57"/>
        <v>0.18143422689966071</v>
      </c>
      <c r="BB122" s="406">
        <f t="shared" si="57"/>
        <v>0.17303487707610113</v>
      </c>
      <c r="BC122" s="406">
        <f t="shared" si="57"/>
        <v>0.1649672924341983</v>
      </c>
      <c r="BD122" s="406">
        <f t="shared" si="57"/>
        <v>0.15722212833290483</v>
      </c>
      <c r="BE122" s="406">
        <f t="shared" si="57"/>
        <v>0.21793738194264398</v>
      </c>
      <c r="BF122" s="406">
        <f t="shared" si="57"/>
        <v>0.30209934792031018</v>
      </c>
      <c r="BG122" s="406">
        <f t="shared" si="57"/>
        <v>0.41876256014626817</v>
      </c>
      <c r="BH122" s="406">
        <f t="shared" si="57"/>
        <v>0.58047818701851361</v>
      </c>
      <c r="BI122" s="406">
        <f t="shared" si="57"/>
        <v>0.80464434424750519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9.9942147064251596</v>
      </c>
      <c r="D123" s="400">
        <f>+Global!D118*D46</f>
        <v>48.096041961936649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0.38770030891268675</v>
      </c>
      <c r="C124" s="405">
        <f t="shared" ref="C124:BI124" si="58">+C119*(1-C122)</f>
        <v>0.34151373352683312</v>
      </c>
      <c r="D124" s="405">
        <f t="shared" si="58"/>
        <v>0.26738359536221723</v>
      </c>
      <c r="E124" s="405">
        <f t="shared" si="58"/>
        <v>0.20592770863216125</v>
      </c>
      <c r="F124" s="405">
        <f t="shared" si="58"/>
        <v>0.15154660821102767</v>
      </c>
      <c r="G124" s="405">
        <f t="shared" si="58"/>
        <v>0.11723719007178916</v>
      </c>
      <c r="H124" s="405">
        <f t="shared" si="58"/>
        <v>9.7517431723906436E-2</v>
      </c>
      <c r="I124" s="405">
        <f t="shared" si="58"/>
        <v>8.9211055755280599E-2</v>
      </c>
      <c r="J124" s="405">
        <f t="shared" si="58"/>
        <v>7.4436675094724347E-2</v>
      </c>
      <c r="K124" s="405">
        <f t="shared" si="58"/>
        <v>6.4083753114296982E-2</v>
      </c>
      <c r="L124" s="405">
        <f t="shared" si="58"/>
        <v>5.8060483510449006E-2</v>
      </c>
      <c r="M124" s="405">
        <f t="shared" si="58"/>
        <v>5.2128276482757384E-2</v>
      </c>
      <c r="N124" s="405">
        <f t="shared" si="58"/>
        <v>4.7074016366003647E-2</v>
      </c>
      <c r="O124" s="405">
        <f t="shared" si="58"/>
        <v>4.3456208029731866E-2</v>
      </c>
      <c r="P124" s="405">
        <f t="shared" si="58"/>
        <v>4.0697865566703177E-2</v>
      </c>
      <c r="Q124" s="405">
        <f t="shared" si="58"/>
        <v>3.8224638639601086E-2</v>
      </c>
      <c r="R124" s="405">
        <f t="shared" si="58"/>
        <v>3.597721792815084E-2</v>
      </c>
      <c r="S124" s="405">
        <f t="shared" si="58"/>
        <v>3.4109246681669238E-2</v>
      </c>
      <c r="T124" s="405">
        <f t="shared" si="58"/>
        <v>3.1587932188988505E-2</v>
      </c>
      <c r="U124" s="405">
        <f t="shared" si="58"/>
        <v>2.8024975865741188E-2</v>
      </c>
      <c r="V124" s="405">
        <f t="shared" si="58"/>
        <v>2.7535688545123657E-2</v>
      </c>
      <c r="W124" s="405">
        <f t="shared" si="58"/>
        <v>2.825090177188528E-2</v>
      </c>
      <c r="X124" s="405">
        <f t="shared" si="58"/>
        <v>2.9246896987700503E-2</v>
      </c>
      <c r="Y124" s="405">
        <f t="shared" si="58"/>
        <v>3.0353592925399221E-2</v>
      </c>
      <c r="Z124" s="405">
        <f t="shared" si="58"/>
        <v>3.087671938876712E-2</v>
      </c>
      <c r="AA124" s="405">
        <f t="shared" si="58"/>
        <v>3.1718169426665332E-2</v>
      </c>
      <c r="AB124" s="405">
        <f t="shared" si="58"/>
        <v>3.2246719215905238E-2</v>
      </c>
      <c r="AC124" s="405">
        <f t="shared" si="58"/>
        <v>3.3014286867066131E-2</v>
      </c>
      <c r="AD124" s="405">
        <f t="shared" si="58"/>
        <v>3.3394238395743236E-2</v>
      </c>
      <c r="AE124" s="405">
        <f t="shared" si="58"/>
        <v>3.337113151216918E-2</v>
      </c>
      <c r="AF124" s="405">
        <f t="shared" si="58"/>
        <v>3.2044899196453924E-2</v>
      </c>
      <c r="AG124" s="405">
        <f t="shared" si="58"/>
        <v>3.2878170628671627E-2</v>
      </c>
      <c r="AH124" s="405">
        <f t="shared" si="58"/>
        <v>3.316253492682731E-2</v>
      </c>
      <c r="AI124" s="405">
        <f t="shared" si="58"/>
        <v>0.14552879292531137</v>
      </c>
      <c r="AJ124" s="405">
        <f t="shared" si="58"/>
        <v>0.21165685740707271</v>
      </c>
      <c r="AK124" s="405">
        <f t="shared" si="58"/>
        <v>0.25163967839989548</v>
      </c>
      <c r="AL124" s="405">
        <f t="shared" si="58"/>
        <v>0.27738981481541419</v>
      </c>
      <c r="AM124" s="405">
        <f t="shared" si="58"/>
        <v>0.29557861090010812</v>
      </c>
      <c r="AN124" s="405">
        <f t="shared" si="58"/>
        <v>0.30965771206329212</v>
      </c>
      <c r="AO124" s="405">
        <f t="shared" si="58"/>
        <v>0.32145572194349814</v>
      </c>
      <c r="AP124" s="405">
        <f t="shared" si="58"/>
        <v>0.33195986752333989</v>
      </c>
      <c r="AQ124" s="405">
        <f t="shared" si="58"/>
        <v>0.34170903292277766</v>
      </c>
      <c r="AR124" s="405">
        <f t="shared" si="58"/>
        <v>0.3509992031064188</v>
      </c>
      <c r="AS124" s="405">
        <f t="shared" si="58"/>
        <v>0.35999361005984432</v>
      </c>
      <c r="AT124" s="405">
        <f t="shared" si="58"/>
        <v>0.36878263225891883</v>
      </c>
      <c r="AU124" s="405">
        <f t="shared" si="58"/>
        <v>0.37741660937768928</v>
      </c>
      <c r="AV124" s="405">
        <f t="shared" si="58"/>
        <v>0.38592388157075813</v>
      </c>
      <c r="AW124" s="405">
        <f t="shared" si="58"/>
        <v>0.39432071966824356</v>
      </c>
      <c r="AX124" s="405">
        <f t="shared" si="58"/>
        <v>0.402616792727163</v>
      </c>
      <c r="AY124" s="405">
        <f t="shared" si="58"/>
        <v>0.41081817726255282</v>
      </c>
      <c r="AZ124" s="405">
        <f t="shared" si="58"/>
        <v>0.41892901216066192</v>
      </c>
      <c r="BA124" s="405">
        <f t="shared" si="58"/>
        <v>0.42695240773368304</v>
      </c>
      <c r="BB124" s="405">
        <f t="shared" si="58"/>
        <v>0.4348909442051348</v>
      </c>
      <c r="BC124" s="405">
        <f t="shared" si="58"/>
        <v>0.44274694428417494</v>
      </c>
      <c r="BD124" s="405">
        <f t="shared" si="58"/>
        <v>0.45052262145558508</v>
      </c>
      <c r="BE124" s="405">
        <f t="shared" si="58"/>
        <v>0.42149222442308726</v>
      </c>
      <c r="BF124" s="405">
        <f t="shared" si="58"/>
        <v>0.3792311130898835</v>
      </c>
      <c r="BG124" s="405">
        <f t="shared" si="58"/>
        <v>0.31843448324513368</v>
      </c>
      <c r="BH124" s="405">
        <f t="shared" si="58"/>
        <v>0.23172094292444717</v>
      </c>
      <c r="BI124" s="405">
        <f t="shared" si="58"/>
        <v>0.10878511340348331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9">+$B$7*C61/C74</f>
        <v>0.14614709298382866</v>
      </c>
      <c r="D128" s="23">
        <f t="shared" si="59"/>
        <v>0.12025872853452201</v>
      </c>
      <c r="E128" s="23">
        <f t="shared" si="59"/>
        <v>0.11376184663105884</v>
      </c>
      <c r="F128" s="23">
        <f t="shared" si="59"/>
        <v>0.11654449139479128</v>
      </c>
      <c r="G128" s="23">
        <f t="shared" si="59"/>
        <v>0.11446553704708687</v>
      </c>
      <c r="H128" s="23">
        <f t="shared" si="59"/>
        <v>0.11115980475757768</v>
      </c>
      <c r="I128" s="23">
        <f t="shared" si="59"/>
        <v>0.10711903188740206</v>
      </c>
      <c r="J128" s="23">
        <f t="shared" si="59"/>
        <v>0.10276437969598234</v>
      </c>
      <c r="K128" s="23">
        <f t="shared" si="59"/>
        <v>0.10153194224708147</v>
      </c>
      <c r="L128" s="23">
        <f t="shared" si="59"/>
        <v>0.10113622419421639</v>
      </c>
      <c r="M128" s="23">
        <f t="shared" si="59"/>
        <v>9.6348377421609094E-2</v>
      </c>
      <c r="N128" s="23">
        <f t="shared" si="59"/>
        <v>9.0805417419310419E-2</v>
      </c>
      <c r="O128" s="23">
        <f t="shared" si="59"/>
        <v>9.0367031774349071E-2</v>
      </c>
      <c r="P128" s="23">
        <f t="shared" si="59"/>
        <v>9.0795816868646406E-2</v>
      </c>
      <c r="Q128" s="23">
        <f t="shared" si="59"/>
        <v>9.0589937921903479E-2</v>
      </c>
      <c r="R128" s="23">
        <f t="shared" si="59"/>
        <v>9.0160956160116879E-2</v>
      </c>
      <c r="S128" s="23">
        <f t="shared" si="59"/>
        <v>9.0109946057609899E-2</v>
      </c>
      <c r="T128" s="23">
        <f t="shared" si="59"/>
        <v>8.7693288772313666E-2</v>
      </c>
      <c r="U128" s="23">
        <f t="shared" si="59"/>
        <v>8.292389932125796E-2</v>
      </c>
      <c r="V128" s="23">
        <f t="shared" si="59"/>
        <v>8.9747863000706182E-2</v>
      </c>
      <c r="W128" s="23">
        <f t="shared" si="59"/>
        <v>8.8693321573556472E-2</v>
      </c>
      <c r="X128" s="23">
        <f t="shared" si="59"/>
        <v>8.9507079143363782E-2</v>
      </c>
      <c r="Y128" s="23">
        <f t="shared" si="59"/>
        <v>9.0357137283245334E-2</v>
      </c>
      <c r="Z128" s="23">
        <f t="shared" si="59"/>
        <v>8.9139716397021215E-2</v>
      </c>
      <c r="AA128" s="23">
        <f t="shared" si="59"/>
        <v>8.9855633079819211E-2</v>
      </c>
      <c r="AB128" s="23">
        <f t="shared" si="59"/>
        <v>8.942310131452573E-2</v>
      </c>
      <c r="AC128" s="23">
        <f t="shared" si="59"/>
        <v>9.0285099144174152E-2</v>
      </c>
      <c r="AD128" s="23">
        <f t="shared" si="59"/>
        <v>8.963467544510359E-2</v>
      </c>
      <c r="AE128" s="23">
        <f t="shared" si="59"/>
        <v>8.8459284866831786E-2</v>
      </c>
      <c r="AF128" s="23">
        <f t="shared" si="59"/>
        <v>8.4764620665466126E-2</v>
      </c>
      <c r="AG128" s="23">
        <f t="shared" si="59"/>
        <v>8.9338353092180772E-2</v>
      </c>
      <c r="AH128" s="23">
        <f t="shared" si="59"/>
        <v>8.9540804135153848E-2</v>
      </c>
      <c r="AI128" s="23">
        <f t="shared" si="59"/>
        <v>0.3903523976608877</v>
      </c>
      <c r="AJ128" s="23">
        <f t="shared" si="59"/>
        <v>0.1767146544946564</v>
      </c>
      <c r="AK128" s="23">
        <f t="shared" si="59"/>
        <v>0.12758277528957876</v>
      </c>
      <c r="AL128" s="23">
        <f t="shared" si="59"/>
        <v>0.10951979496817663</v>
      </c>
      <c r="AM128" s="23">
        <f t="shared" si="59"/>
        <v>0.1014442620391134</v>
      </c>
      <c r="AN128" s="23">
        <f t="shared" si="59"/>
        <v>9.7482280579951605E-2</v>
      </c>
      <c r="AO128" s="23">
        <f t="shared" si="59"/>
        <v>9.5439277069429201E-2</v>
      </c>
      <c r="AP128" s="23">
        <f t="shared" si="59"/>
        <v>9.4352215330171046E-2</v>
      </c>
      <c r="AQ128" s="23">
        <f t="shared" si="59"/>
        <v>9.3758835223532552E-2</v>
      </c>
      <c r="AR128" s="23">
        <f t="shared" si="59"/>
        <v>9.3425915685239391E-2</v>
      </c>
      <c r="AS128" s="23">
        <f t="shared" si="59"/>
        <v>9.3232484000628488E-2</v>
      </c>
      <c r="AT128" s="23">
        <f t="shared" si="59"/>
        <v>9.3114790145483697E-2</v>
      </c>
      <c r="AU128" s="23">
        <f t="shared" si="59"/>
        <v>9.3038907545673552E-2</v>
      </c>
      <c r="AV128" s="23">
        <f t="shared" si="59"/>
        <v>9.2986647473781256E-2</v>
      </c>
      <c r="AW128" s="23">
        <f t="shared" si="59"/>
        <v>9.2948186489828402E-2</v>
      </c>
      <c r="AX128" s="23">
        <f t="shared" si="59"/>
        <v>9.2918168605220161E-2</v>
      </c>
      <c r="AY128" s="23">
        <f t="shared" si="59"/>
        <v>9.2893632741579149E-2</v>
      </c>
      <c r="AZ128" s="23">
        <f t="shared" si="59"/>
        <v>9.2872906957801246E-2</v>
      </c>
      <c r="BA128" s="23">
        <f t="shared" si="59"/>
        <v>9.2855017098774001E-2</v>
      </c>
      <c r="BB128" s="23">
        <f t="shared" si="59"/>
        <v>9.2839369903598312E-2</v>
      </c>
      <c r="BC128" s="23">
        <f t="shared" si="59"/>
        <v>9.2825582791562097E-2</v>
      </c>
      <c r="BD128" s="23">
        <f t="shared" si="59"/>
        <v>9.2813392132519934E-2</v>
      </c>
      <c r="BE128" s="23">
        <f t="shared" si="59"/>
        <v>9.2802603561120675E-2</v>
      </c>
      <c r="BF128" s="23">
        <f t="shared" si="59"/>
        <v>9.2781101531244206E-2</v>
      </c>
      <c r="BG128" s="23">
        <f t="shared" si="59"/>
        <v>9.276094648231889E-2</v>
      </c>
      <c r="BH128" s="23">
        <f t="shared" si="59"/>
        <v>9.2745132593278837E-2</v>
      </c>
      <c r="BI128" s="23">
        <f t="shared" si="59"/>
        <v>9.2733558979960343E-2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1.9273005015384273E-2</v>
      </c>
      <c r="D129" s="23">
        <f t="shared" ref="D129:BH129" si="60">+$B$14+LN(E56/D56)/10+$B$18*LN(E88/D88)/10</f>
        <v>1.8630051844790642E-2</v>
      </c>
      <c r="E129" s="23">
        <f t="shared" si="60"/>
        <v>1.8235511144558923E-2</v>
      </c>
      <c r="F129" s="23">
        <f t="shared" si="60"/>
        <v>2.0385339595888209E-2</v>
      </c>
      <c r="G129" s="23">
        <f t="shared" si="60"/>
        <v>2.1335780967058279E-2</v>
      </c>
      <c r="H129" s="23">
        <f t="shared" si="60"/>
        <v>1.805648390339866E-2</v>
      </c>
      <c r="I129" s="23">
        <f t="shared" si="60"/>
        <v>1.4607782864649537E-2</v>
      </c>
      <c r="J129" s="23">
        <f t="shared" si="60"/>
        <v>1.4882727239436715E-2</v>
      </c>
      <c r="K129" s="23">
        <f t="shared" si="60"/>
        <v>1.856468872907719E-2</v>
      </c>
      <c r="L129" s="23">
        <f t="shared" si="60"/>
        <v>1.2803752622520165E-2</v>
      </c>
      <c r="M129" s="23">
        <f t="shared" si="60"/>
        <v>1.4764992274732549E-2</v>
      </c>
      <c r="N129" s="23">
        <f t="shared" si="60"/>
        <v>1.7032621056939472E-2</v>
      </c>
      <c r="O129" s="23">
        <f t="shared" si="60"/>
        <v>1.8023688250817908E-2</v>
      </c>
      <c r="P129" s="23">
        <f t="shared" si="60"/>
        <v>1.7365651078739434E-2</v>
      </c>
      <c r="Q129" s="23">
        <f t="shared" si="60"/>
        <v>1.6800670686583318E-2</v>
      </c>
      <c r="R129" s="23">
        <f t="shared" si="60"/>
        <v>1.6943523702700466E-2</v>
      </c>
      <c r="S129" s="23">
        <f t="shared" si="60"/>
        <v>1.2945761230556276E-2</v>
      </c>
      <c r="T129" s="23">
        <f t="shared" si="60"/>
        <v>5.9050593562701859E-3</v>
      </c>
      <c r="U129" s="23">
        <f t="shared" si="60"/>
        <v>2.0708627918031915E-2</v>
      </c>
      <c r="V129" s="23">
        <f t="shared" si="60"/>
        <v>1.477211700804037E-2</v>
      </c>
      <c r="W129" s="23">
        <f t="shared" si="60"/>
        <v>1.671841966307672E-2</v>
      </c>
      <c r="X129" s="23">
        <f t="shared" si="60"/>
        <v>1.7651614810907254E-2</v>
      </c>
      <c r="Y129" s="23">
        <f t="shared" si="60"/>
        <v>1.5102139912341155E-2</v>
      </c>
      <c r="Z129" s="23">
        <f t="shared" si="60"/>
        <v>1.6925386363318029E-2</v>
      </c>
      <c r="AA129" s="23">
        <f t="shared" si="60"/>
        <v>1.532431801623709E-2</v>
      </c>
      <c r="AB129" s="23">
        <f t="shared" si="60"/>
        <v>1.7261555896563086E-2</v>
      </c>
      <c r="AC129" s="23">
        <f t="shared" si="60"/>
        <v>1.5714101687117347E-2</v>
      </c>
      <c r="AD129" s="23">
        <f t="shared" si="60"/>
        <v>1.4031421046977917E-2</v>
      </c>
      <c r="AE129" s="23">
        <f t="shared" si="60"/>
        <v>8.4913244999504228E-3</v>
      </c>
      <c r="AF129" s="23">
        <f t="shared" si="60"/>
        <v>1.8901316423867828E-2</v>
      </c>
      <c r="AG129" s="23">
        <f t="shared" si="60"/>
        <v>1.6416571525729489E-2</v>
      </c>
      <c r="AH129" s="23">
        <f t="shared" si="60"/>
        <v>0.23699038403489331</v>
      </c>
      <c r="AI129" s="23">
        <f t="shared" si="60"/>
        <v>7.2110484898046445E-2</v>
      </c>
      <c r="AJ129" s="23">
        <f t="shared" si="60"/>
        <v>4.1580053521184643E-2</v>
      </c>
      <c r="AK129" s="23">
        <f t="shared" si="60"/>
        <v>3.0395188976321451E-2</v>
      </c>
      <c r="AL129" s="23">
        <f t="shared" si="60"/>
        <v>2.5448616601017132E-2</v>
      </c>
      <c r="AM129" s="23">
        <f t="shared" si="60"/>
        <v>2.303227703951468E-2</v>
      </c>
      <c r="AN129" s="23">
        <f t="shared" si="60"/>
        <v>2.1783634429939212E-2</v>
      </c>
      <c r="AO129" s="23">
        <f t="shared" si="60"/>
        <v>2.1113572214018321E-2</v>
      </c>
      <c r="AP129" s="23">
        <f t="shared" si="60"/>
        <v>2.074191337162317E-2</v>
      </c>
      <c r="AQ129" s="23">
        <f t="shared" si="60"/>
        <v>2.0527999350958691E-2</v>
      </c>
      <c r="AR129" s="23">
        <f t="shared" si="60"/>
        <v>2.0399021886608255E-2</v>
      </c>
      <c r="AS129" s="23">
        <f t="shared" si="60"/>
        <v>2.0316615220677656E-2</v>
      </c>
      <c r="AT129" s="23">
        <f t="shared" si="60"/>
        <v>2.0260327343119E-2</v>
      </c>
      <c r="AU129" s="23">
        <f t="shared" si="60"/>
        <v>2.0219152808584342E-2</v>
      </c>
      <c r="AV129" s="23">
        <f t="shared" si="60"/>
        <v>2.0187108884192728E-2</v>
      </c>
      <c r="AW129" s="23">
        <f t="shared" si="60"/>
        <v>2.0160898471312944E-2</v>
      </c>
      <c r="AX129" s="23">
        <f t="shared" si="60"/>
        <v>2.0138667595700432E-2</v>
      </c>
      <c r="AY129" s="23">
        <f t="shared" si="60"/>
        <v>2.0119342247521946E-2</v>
      </c>
      <c r="AZ129" s="23">
        <f t="shared" si="60"/>
        <v>2.010227343364402E-2</v>
      </c>
      <c r="BA129" s="23">
        <f t="shared" si="60"/>
        <v>2.0087046685412328E-2</v>
      </c>
      <c r="BB129" s="23">
        <f t="shared" si="60"/>
        <v>2.0073379483645869E-2</v>
      </c>
      <c r="BC129" s="23">
        <f t="shared" si="60"/>
        <v>2.0061065753445732E-2</v>
      </c>
      <c r="BD129" s="23">
        <f t="shared" si="60"/>
        <v>2.0091623229139953E-2</v>
      </c>
      <c r="BE129" s="23">
        <f t="shared" si="60"/>
        <v>2.0066757094992942E-2</v>
      </c>
      <c r="BF129" s="23">
        <f t="shared" si="60"/>
        <v>2.0046338613875905E-2</v>
      </c>
      <c r="BG129" s="23">
        <f t="shared" si="60"/>
        <v>2.0030441900765916E-2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1.5634017388718859E-2</v>
      </c>
      <c r="D130" s="23">
        <f t="shared" ref="D130:BH130" si="61">+$B$14+LN(D56/C56)/10+$B$18*LN(D88/C88)/10</f>
        <v>1.9273005015384273E-2</v>
      </c>
      <c r="E130" s="23">
        <f t="shared" si="61"/>
        <v>1.8630051844790642E-2</v>
      </c>
      <c r="F130" s="23">
        <f t="shared" si="61"/>
        <v>1.8235511144558923E-2</v>
      </c>
      <c r="G130" s="23">
        <f t="shared" si="61"/>
        <v>2.0385339595888209E-2</v>
      </c>
      <c r="H130" s="23">
        <f t="shared" si="61"/>
        <v>2.1335780967058279E-2</v>
      </c>
      <c r="I130" s="23">
        <f t="shared" si="61"/>
        <v>1.805648390339866E-2</v>
      </c>
      <c r="J130" s="23">
        <f t="shared" si="61"/>
        <v>1.4607782864649537E-2</v>
      </c>
      <c r="K130" s="23">
        <f t="shared" si="61"/>
        <v>1.4882727239436715E-2</v>
      </c>
      <c r="L130" s="23">
        <f t="shared" si="61"/>
        <v>1.856468872907719E-2</v>
      </c>
      <c r="M130" s="23">
        <f t="shared" si="61"/>
        <v>1.2803752622520165E-2</v>
      </c>
      <c r="N130" s="23">
        <f t="shared" si="61"/>
        <v>1.4764992274732549E-2</v>
      </c>
      <c r="O130" s="23">
        <f t="shared" si="61"/>
        <v>1.7032621056939472E-2</v>
      </c>
      <c r="P130" s="23">
        <f t="shared" si="61"/>
        <v>1.8023688250817908E-2</v>
      </c>
      <c r="Q130" s="23">
        <f t="shared" si="61"/>
        <v>1.7365651078739434E-2</v>
      </c>
      <c r="R130" s="23">
        <f t="shared" si="61"/>
        <v>1.6800670686583318E-2</v>
      </c>
      <c r="S130" s="23">
        <f t="shared" si="61"/>
        <v>1.6943523702700466E-2</v>
      </c>
      <c r="T130" s="23">
        <f t="shared" si="61"/>
        <v>1.2945761230556276E-2</v>
      </c>
      <c r="U130" s="23">
        <f t="shared" si="61"/>
        <v>5.9050593562701859E-3</v>
      </c>
      <c r="V130" s="23">
        <f t="shared" si="61"/>
        <v>2.0708627918031915E-2</v>
      </c>
      <c r="W130" s="23">
        <f t="shared" si="61"/>
        <v>1.477211700804037E-2</v>
      </c>
      <c r="X130" s="23">
        <f t="shared" si="61"/>
        <v>1.671841966307672E-2</v>
      </c>
      <c r="Y130" s="23">
        <f t="shared" si="61"/>
        <v>1.7651614810907254E-2</v>
      </c>
      <c r="Z130" s="23">
        <f t="shared" si="61"/>
        <v>1.5102139912341155E-2</v>
      </c>
      <c r="AA130" s="23">
        <f t="shared" si="61"/>
        <v>1.6925386363318029E-2</v>
      </c>
      <c r="AB130" s="23">
        <f t="shared" si="61"/>
        <v>1.532431801623709E-2</v>
      </c>
      <c r="AC130" s="23">
        <f t="shared" si="61"/>
        <v>1.7261555896563086E-2</v>
      </c>
      <c r="AD130" s="23">
        <f t="shared" si="61"/>
        <v>1.5714101687117347E-2</v>
      </c>
      <c r="AE130" s="23">
        <f t="shared" si="61"/>
        <v>1.4031421046977917E-2</v>
      </c>
      <c r="AF130" s="23">
        <f t="shared" si="61"/>
        <v>8.4913244999504228E-3</v>
      </c>
      <c r="AG130" s="23">
        <f t="shared" si="61"/>
        <v>1.8901316423867828E-2</v>
      </c>
      <c r="AH130" s="23">
        <f t="shared" si="61"/>
        <v>1.6416571525729489E-2</v>
      </c>
      <c r="AI130" s="23">
        <f t="shared" si="61"/>
        <v>0.23699038403489331</v>
      </c>
      <c r="AJ130" s="23">
        <f t="shared" si="61"/>
        <v>7.2110484898046445E-2</v>
      </c>
      <c r="AK130" s="23">
        <f t="shared" si="61"/>
        <v>4.1580053521184643E-2</v>
      </c>
      <c r="AL130" s="23">
        <f t="shared" si="61"/>
        <v>3.0395188976321451E-2</v>
      </c>
      <c r="AM130" s="23">
        <f t="shared" si="61"/>
        <v>2.5448616601017132E-2</v>
      </c>
      <c r="AN130" s="23">
        <f t="shared" si="61"/>
        <v>2.303227703951468E-2</v>
      </c>
      <c r="AO130" s="23">
        <f t="shared" si="61"/>
        <v>2.1783634429939212E-2</v>
      </c>
      <c r="AP130" s="23">
        <f t="shared" si="61"/>
        <v>2.1113572214018321E-2</v>
      </c>
      <c r="AQ130" s="23">
        <f t="shared" si="61"/>
        <v>2.074191337162317E-2</v>
      </c>
      <c r="AR130" s="23">
        <f t="shared" si="61"/>
        <v>2.0527999350958691E-2</v>
      </c>
      <c r="AS130" s="23">
        <f t="shared" si="61"/>
        <v>2.0399021886608255E-2</v>
      </c>
      <c r="AT130" s="23">
        <f t="shared" si="61"/>
        <v>2.0316615220677656E-2</v>
      </c>
      <c r="AU130" s="23">
        <f t="shared" si="61"/>
        <v>2.0260327343119E-2</v>
      </c>
      <c r="AV130" s="23">
        <f t="shared" si="61"/>
        <v>2.0219152808584342E-2</v>
      </c>
      <c r="AW130" s="23">
        <f t="shared" si="61"/>
        <v>2.0187108884192728E-2</v>
      </c>
      <c r="AX130" s="23">
        <f t="shared" si="61"/>
        <v>2.0160898471312944E-2</v>
      </c>
      <c r="AY130" s="23">
        <f t="shared" si="61"/>
        <v>2.0138667595700432E-2</v>
      </c>
      <c r="AZ130" s="23">
        <f t="shared" si="61"/>
        <v>2.0119342247521946E-2</v>
      </c>
      <c r="BA130" s="23">
        <f t="shared" si="61"/>
        <v>2.010227343364402E-2</v>
      </c>
      <c r="BB130" s="23">
        <f t="shared" si="61"/>
        <v>2.0087046685412328E-2</v>
      </c>
      <c r="BC130" s="23">
        <f t="shared" si="61"/>
        <v>2.0073379483645869E-2</v>
      </c>
      <c r="BD130" s="23">
        <f t="shared" si="61"/>
        <v>2.0061065753445732E-2</v>
      </c>
      <c r="BE130" s="23">
        <f t="shared" si="61"/>
        <v>2.0091623229139953E-2</v>
      </c>
      <c r="BF130" s="23">
        <f t="shared" si="61"/>
        <v>2.0066757094992942E-2</v>
      </c>
      <c r="BG130" s="23">
        <f t="shared" si="61"/>
        <v>2.0046338613875905E-2</v>
      </c>
      <c r="BH130" s="23">
        <f t="shared" si="61"/>
        <v>2.0030441900765916E-2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2">+AVERAGE(C129:C130)</f>
        <v>1.7453511202051568E-2</v>
      </c>
      <c r="D131" s="23">
        <f t="shared" si="62"/>
        <v>1.8951528430087457E-2</v>
      </c>
      <c r="E131" s="23">
        <f t="shared" si="62"/>
        <v>1.8432781494674783E-2</v>
      </c>
      <c r="F131" s="23">
        <f t="shared" si="62"/>
        <v>1.9310425370223566E-2</v>
      </c>
      <c r="G131" s="23">
        <f t="shared" si="62"/>
        <v>2.0860560281473244E-2</v>
      </c>
      <c r="H131" s="23">
        <f t="shared" si="62"/>
        <v>1.9696132435228469E-2</v>
      </c>
      <c r="I131" s="23">
        <f t="shared" si="62"/>
        <v>1.6332133384024099E-2</v>
      </c>
      <c r="J131" s="23">
        <f t="shared" si="62"/>
        <v>1.4745255052043126E-2</v>
      </c>
      <c r="K131" s="23">
        <f t="shared" si="62"/>
        <v>1.6723707984256951E-2</v>
      </c>
      <c r="L131" s="23">
        <f t="shared" si="62"/>
        <v>1.568422067579868E-2</v>
      </c>
      <c r="M131" s="23">
        <f t="shared" si="62"/>
        <v>1.3784372448626358E-2</v>
      </c>
      <c r="N131" s="23">
        <f t="shared" si="62"/>
        <v>1.5898806665836009E-2</v>
      </c>
      <c r="O131" s="23">
        <f t="shared" si="62"/>
        <v>1.7528154653878691E-2</v>
      </c>
      <c r="P131" s="23">
        <f t="shared" si="62"/>
        <v>1.7694669664778673E-2</v>
      </c>
      <c r="Q131" s="23">
        <f t="shared" si="62"/>
        <v>1.7083160882661375E-2</v>
      </c>
      <c r="R131" s="23">
        <f t="shared" si="62"/>
        <v>1.6872097194641892E-2</v>
      </c>
      <c r="S131" s="23">
        <f t="shared" si="62"/>
        <v>1.4944642466628371E-2</v>
      </c>
      <c r="T131" s="23">
        <f t="shared" si="62"/>
        <v>9.4254102934132299E-3</v>
      </c>
      <c r="U131" s="23">
        <f t="shared" si="62"/>
        <v>1.3306843637151049E-2</v>
      </c>
      <c r="V131" s="23">
        <f t="shared" si="62"/>
        <v>1.7740372463036141E-2</v>
      </c>
      <c r="W131" s="23">
        <f t="shared" si="62"/>
        <v>1.5745268335558546E-2</v>
      </c>
      <c r="X131" s="23">
        <f t="shared" si="62"/>
        <v>1.7185017236991985E-2</v>
      </c>
      <c r="Y131" s="23">
        <f t="shared" si="62"/>
        <v>1.6376877361624204E-2</v>
      </c>
      <c r="Z131" s="23">
        <f t="shared" si="62"/>
        <v>1.6013763137829592E-2</v>
      </c>
      <c r="AA131" s="23">
        <f t="shared" si="62"/>
        <v>1.612485218977756E-2</v>
      </c>
      <c r="AB131" s="23">
        <f t="shared" si="62"/>
        <v>1.6292936956400089E-2</v>
      </c>
      <c r="AC131" s="23">
        <f t="shared" si="62"/>
        <v>1.6487828791840214E-2</v>
      </c>
      <c r="AD131" s="23">
        <f t="shared" si="62"/>
        <v>1.4872761367047632E-2</v>
      </c>
      <c r="AE131" s="23">
        <f t="shared" si="62"/>
        <v>1.126137277346417E-2</v>
      </c>
      <c r="AF131" s="23">
        <f t="shared" si="62"/>
        <v>1.3696320461909125E-2</v>
      </c>
      <c r="AG131" s="23">
        <f t="shared" si="62"/>
        <v>1.7658943974798658E-2</v>
      </c>
      <c r="AH131" s="23">
        <f t="shared" si="62"/>
        <v>0.12670347778031141</v>
      </c>
      <c r="AI131" s="23">
        <f t="shared" si="62"/>
        <v>0.15455043446646988</v>
      </c>
      <c r="AJ131" s="23">
        <f t="shared" si="62"/>
        <v>5.6845269209615544E-2</v>
      </c>
      <c r="AK131" s="23">
        <f t="shared" si="62"/>
        <v>3.5987621248753043E-2</v>
      </c>
      <c r="AL131" s="23">
        <f t="shared" si="62"/>
        <v>2.7921902788669292E-2</v>
      </c>
      <c r="AM131" s="23">
        <f t="shared" si="62"/>
        <v>2.4240446820265906E-2</v>
      </c>
      <c r="AN131" s="23">
        <f t="shared" si="62"/>
        <v>2.2407955734726946E-2</v>
      </c>
      <c r="AO131" s="23">
        <f t="shared" si="62"/>
        <v>2.1448603321978767E-2</v>
      </c>
      <c r="AP131" s="23">
        <f t="shared" si="62"/>
        <v>2.0927742792820746E-2</v>
      </c>
      <c r="AQ131" s="23">
        <f t="shared" si="62"/>
        <v>2.0634956361290931E-2</v>
      </c>
      <c r="AR131" s="23">
        <f t="shared" si="62"/>
        <v>2.0463510618783473E-2</v>
      </c>
      <c r="AS131" s="23">
        <f t="shared" si="62"/>
        <v>2.0357818553642958E-2</v>
      </c>
      <c r="AT131" s="23">
        <f t="shared" si="62"/>
        <v>2.0288471281898326E-2</v>
      </c>
      <c r="AU131" s="23">
        <f t="shared" si="62"/>
        <v>2.0239740075851671E-2</v>
      </c>
      <c r="AV131" s="23">
        <f t="shared" si="62"/>
        <v>2.0203130846388535E-2</v>
      </c>
      <c r="AW131" s="23">
        <f t="shared" si="62"/>
        <v>2.0174003677752836E-2</v>
      </c>
      <c r="AX131" s="23">
        <f t="shared" si="62"/>
        <v>2.0149783033506688E-2</v>
      </c>
      <c r="AY131" s="23">
        <f t="shared" si="62"/>
        <v>2.0129004921611189E-2</v>
      </c>
      <c r="AZ131" s="23">
        <f t="shared" si="62"/>
        <v>2.0110807840582983E-2</v>
      </c>
      <c r="BA131" s="23">
        <f t="shared" si="62"/>
        <v>2.0094660059528174E-2</v>
      </c>
      <c r="BB131" s="23">
        <f t="shared" si="62"/>
        <v>2.0080213084529099E-2</v>
      </c>
      <c r="BC131" s="23">
        <f>+AVERAGE(BC129:BC130)</f>
        <v>2.0067222618545801E-2</v>
      </c>
      <c r="BD131" s="23">
        <f>+AVERAGE(BD129:BD130)</f>
        <v>2.0076344491292843E-2</v>
      </c>
      <c r="BE131" s="23">
        <f>+AVERAGE(BE129:BE130)</f>
        <v>2.0079190162066447E-2</v>
      </c>
      <c r="BF131" s="23">
        <f>+AVERAGE(BF129:BF130)</f>
        <v>2.0056547854434423E-2</v>
      </c>
      <c r="BG131" s="23">
        <f>+AVERAGE(BG129:BG130)</f>
        <v>2.0038390257320911E-2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3">+B88^-$B$18</f>
        <v>7.1607972764563769E-3</v>
      </c>
      <c r="C132" s="23">
        <f t="shared" si="63"/>
        <v>7.022973243610172E-3</v>
      </c>
      <c r="D132" s="23">
        <f t="shared" si="63"/>
        <v>6.4618338448284209E-3</v>
      </c>
      <c r="E132" s="23">
        <f t="shared" si="63"/>
        <v>5.8672608839310456E-3</v>
      </c>
      <c r="F132" s="23">
        <f t="shared" si="63"/>
        <v>5.2812480269576736E-3</v>
      </c>
      <c r="G132" s="23">
        <f t="shared" si="63"/>
        <v>4.7162263715643292E-3</v>
      </c>
      <c r="H132" s="23">
        <f t="shared" si="63"/>
        <v>4.253615823047477E-3</v>
      </c>
      <c r="I132" s="23">
        <f t="shared" si="63"/>
        <v>3.964274231592982E-3</v>
      </c>
      <c r="J132" s="23">
        <f t="shared" si="63"/>
        <v>3.8242531620512094E-3</v>
      </c>
      <c r="K132" s="23">
        <f t="shared" si="63"/>
        <v>3.679048483865762E-3</v>
      </c>
      <c r="L132" s="23">
        <f t="shared" si="63"/>
        <v>3.4889258710643386E-3</v>
      </c>
      <c r="M132" s="23">
        <f t="shared" si="63"/>
        <v>3.5844729761911852E-3</v>
      </c>
      <c r="N132" s="23">
        <f t="shared" si="63"/>
        <v>3.6111150341803819E-3</v>
      </c>
      <c r="O132" s="23">
        <f t="shared" si="63"/>
        <v>3.5563881091209555E-3</v>
      </c>
      <c r="P132" s="23">
        <f t="shared" si="63"/>
        <v>3.4679499857068396E-3</v>
      </c>
      <c r="Q132" s="23">
        <f t="shared" si="63"/>
        <v>3.4040373815319245E-3</v>
      </c>
      <c r="R132" s="23">
        <f t="shared" si="63"/>
        <v>3.3602337881440689E-3</v>
      </c>
      <c r="S132" s="23">
        <f t="shared" si="63"/>
        <v>3.3122588221629382E-3</v>
      </c>
      <c r="T132" s="23">
        <f t="shared" si="63"/>
        <v>3.398138677345194E-3</v>
      </c>
      <c r="U132" s="23">
        <f t="shared" si="63"/>
        <v>3.740548678850365E-3</v>
      </c>
      <c r="V132" s="23">
        <f t="shared" si="63"/>
        <v>3.5528766286571718E-3</v>
      </c>
      <c r="W132" s="23">
        <f t="shared" si="63"/>
        <v>3.5830145162497294E-3</v>
      </c>
      <c r="X132" s="23">
        <f t="shared" si="63"/>
        <v>3.5437601746274739E-3</v>
      </c>
      <c r="Y132" s="23">
        <f t="shared" si="63"/>
        <v>3.4723801397414868E-3</v>
      </c>
      <c r="Z132" s="23">
        <f t="shared" si="63"/>
        <v>3.490297392950988E-3</v>
      </c>
      <c r="AA132" s="23">
        <f t="shared" si="63"/>
        <v>3.4449216061095338E-3</v>
      </c>
      <c r="AB132" s="23">
        <f t="shared" si="63"/>
        <v>3.4550123603127375E-3</v>
      </c>
      <c r="AC132" s="23">
        <f t="shared" si="63"/>
        <v>3.3986508440276937E-3</v>
      </c>
      <c r="AD132" s="23">
        <f t="shared" si="63"/>
        <v>3.3953457336434209E-3</v>
      </c>
      <c r="AE132" s="23">
        <f t="shared" si="63"/>
        <v>3.4496040212628003E-3</v>
      </c>
      <c r="AF132" s="23">
        <f t="shared" si="63"/>
        <v>3.6929671339430889E-3</v>
      </c>
      <c r="AG132" s="23">
        <f t="shared" si="63"/>
        <v>3.5516670046240877E-3</v>
      </c>
      <c r="AH132" s="23">
        <f t="shared" si="63"/>
        <v>3.5017097764788257E-3</v>
      </c>
      <c r="AI132" s="23">
        <f t="shared" si="63"/>
        <v>3.8035415115101473E-4</v>
      </c>
      <c r="AJ132" s="23">
        <f t="shared" si="63"/>
        <v>2.1486242646938879E-4</v>
      </c>
      <c r="AK132" s="23">
        <f t="shared" si="63"/>
        <v>1.6471182160814258E-4</v>
      </c>
      <c r="AL132" s="23">
        <f t="shared" si="63"/>
        <v>1.4120962965979159E-4</v>
      </c>
      <c r="AM132" s="23">
        <f t="shared" si="63"/>
        <v>1.2719983521775459E-4</v>
      </c>
      <c r="AN132" s="23">
        <f t="shared" si="63"/>
        <v>1.1738235348343134E-4</v>
      </c>
      <c r="AO132" s="23">
        <f t="shared" si="63"/>
        <v>1.0968364203956291E-4</v>
      </c>
      <c r="AP132" s="23">
        <f t="shared" si="63"/>
        <v>1.0317891484060311E-4</v>
      </c>
      <c r="AQ132" s="23">
        <f t="shared" si="63"/>
        <v>9.7421349911328998E-5</v>
      </c>
      <c r="AR132" s="23">
        <f t="shared" si="63"/>
        <v>9.2182046796142922E-5</v>
      </c>
      <c r="AS132" s="23">
        <f t="shared" si="63"/>
        <v>8.7337085029263979E-5</v>
      </c>
      <c r="AT132" s="23">
        <f t="shared" si="63"/>
        <v>8.2814984754568237E-5</v>
      </c>
      <c r="AU132" s="23">
        <f t="shared" si="63"/>
        <v>7.857124139183964E-5</v>
      </c>
      <c r="AV132" s="23">
        <f t="shared" si="63"/>
        <v>7.4575662855079944E-5</v>
      </c>
      <c r="AW132" s="23">
        <f t="shared" si="63"/>
        <v>7.0805956601829878E-5</v>
      </c>
      <c r="AX132" s="23">
        <f t="shared" si="63"/>
        <v>6.7244427005528438E-5</v>
      </c>
      <c r="AY132" s="23">
        <f t="shared" si="63"/>
        <v>6.3876240513149337E-5</v>
      </c>
      <c r="AZ132" s="23">
        <f t="shared" si="63"/>
        <v>6.0688489260315176E-5</v>
      </c>
      <c r="BA132" s="23">
        <f t="shared" si="63"/>
        <v>5.7669665794425817E-5</v>
      </c>
      <c r="BB132" s="23">
        <f t="shared" si="63"/>
        <v>5.480935250923162E-5</v>
      </c>
      <c r="BC132" s="23">
        <f t="shared" si="63"/>
        <v>5.2098025552823883E-5</v>
      </c>
      <c r="BD132" s="23">
        <f t="shared" si="63"/>
        <v>4.952692164013861E-5</v>
      </c>
      <c r="BE132" s="23">
        <f t="shared" si="63"/>
        <v>4.7068319891924362E-5</v>
      </c>
      <c r="BF132" s="23">
        <f t="shared" si="63"/>
        <v>4.4742891816142872E-5</v>
      </c>
      <c r="BG132" s="23">
        <f t="shared" si="63"/>
        <v>4.254103773749714E-5</v>
      </c>
      <c r="BH132" s="23">
        <f t="shared" si="63"/>
        <v>4.0453970012651644E-5</v>
      </c>
      <c r="BI132" s="23">
        <f t="shared" si="63"/>
        <v>4.0453970012651644E-5</v>
      </c>
    </row>
    <row r="133" spans="1:61" ht="18" customHeight="1" x14ac:dyDescent="0.2">
      <c r="A133" s="23" t="s">
        <v>14</v>
      </c>
      <c r="B133" s="23">
        <f t="shared" ref="B133:AG133" si="64">+B17*B132/$B132</f>
        <v>1</v>
      </c>
      <c r="C133" s="23">
        <f t="shared" si="64"/>
        <v>0.84508270233774918</v>
      </c>
      <c r="D133" s="23">
        <f t="shared" si="64"/>
        <v>0.66999808708961384</v>
      </c>
      <c r="E133" s="23">
        <f t="shared" si="64"/>
        <v>0.52419485360107576</v>
      </c>
      <c r="F133" s="23">
        <f t="shared" si="64"/>
        <v>0.40656828250675486</v>
      </c>
      <c r="G133" s="23">
        <f t="shared" si="64"/>
        <v>0.31284639220185684</v>
      </c>
      <c r="H133" s="23">
        <f t="shared" si="64"/>
        <v>0.24312764810047161</v>
      </c>
      <c r="I133" s="23">
        <f t="shared" si="64"/>
        <v>0.1952447447341841</v>
      </c>
      <c r="J133" s="23">
        <f t="shared" si="64"/>
        <v>0.16229378000265735</v>
      </c>
      <c r="K133" s="23">
        <f t="shared" si="64"/>
        <v>0.13453346559040977</v>
      </c>
      <c r="L133" s="23">
        <f t="shared" si="64"/>
        <v>0.10993250855326875</v>
      </c>
      <c r="M133" s="23">
        <f t="shared" si="64"/>
        <v>9.7319368952825391E-2</v>
      </c>
      <c r="N133" s="23">
        <f t="shared" si="64"/>
        <v>8.4480188553453239E-2</v>
      </c>
      <c r="O133" s="23">
        <f t="shared" si="64"/>
        <v>7.1690610402771443E-2</v>
      </c>
      <c r="P133" s="23">
        <f t="shared" si="64"/>
        <v>6.0237304759611233E-2</v>
      </c>
      <c r="Q133" s="23">
        <f t="shared" si="64"/>
        <v>5.0947937143334718E-2</v>
      </c>
      <c r="R133" s="23">
        <f t="shared" si="64"/>
        <v>4.3335254919808129E-2</v>
      </c>
      <c r="S133" s="23">
        <f t="shared" si="64"/>
        <v>3.6807447744846442E-2</v>
      </c>
      <c r="T133" s="23">
        <f t="shared" si="64"/>
        <v>3.2538094381955839E-2</v>
      </c>
      <c r="U133" s="23">
        <f t="shared" si="64"/>
        <v>3.0862130593690047E-2</v>
      </c>
      <c r="V133" s="23">
        <f t="shared" si="64"/>
        <v>2.5258659496576432E-2</v>
      </c>
      <c r="W133" s="23">
        <f t="shared" si="64"/>
        <v>2.1949180825426018E-2</v>
      </c>
      <c r="X133" s="23">
        <f t="shared" si="64"/>
        <v>1.8705686410525411E-2</v>
      </c>
      <c r="Y133" s="23">
        <f t="shared" si="64"/>
        <v>1.5793419362708214E-2</v>
      </c>
      <c r="Z133" s="23">
        <f t="shared" si="64"/>
        <v>1.3678891794131212E-2</v>
      </c>
      <c r="AA133" s="23">
        <f t="shared" si="64"/>
        <v>1.1633419852276941E-2</v>
      </c>
      <c r="AB133" s="23">
        <f t="shared" si="64"/>
        <v>1.0053499060172548E-2</v>
      </c>
      <c r="AC133" s="23">
        <f t="shared" si="64"/>
        <v>8.5214551774061304E-3</v>
      </c>
      <c r="AD133" s="23">
        <f t="shared" si="64"/>
        <v>7.3355181249501449E-3</v>
      </c>
      <c r="AE133" s="23">
        <f t="shared" si="64"/>
        <v>6.4217828238579402E-3</v>
      </c>
      <c r="AF133" s="23">
        <f t="shared" si="64"/>
        <v>5.9238136605092896E-3</v>
      </c>
      <c r="AG133" s="23">
        <f t="shared" si="64"/>
        <v>4.9090534919305692E-3</v>
      </c>
      <c r="AH133" s="23">
        <f t="shared" ref="AH133:BI133" si="65">+AH17*AH132/$B132</f>
        <v>4.1704723864951889E-3</v>
      </c>
      <c r="AI133" s="23">
        <f t="shared" si="65"/>
        <v>3.9033081580621142E-4</v>
      </c>
      <c r="AJ133" s="23">
        <f t="shared" si="65"/>
        <v>1.8999612007719548E-4</v>
      </c>
      <c r="AK133" s="23">
        <f t="shared" si="65"/>
        <v>1.2550140969726594E-4</v>
      </c>
      <c r="AL133" s="23">
        <f t="shared" si="65"/>
        <v>9.2710244276030473E-5</v>
      </c>
      <c r="AM133" s="23">
        <f t="shared" si="65"/>
        <v>7.1959732052082276E-5</v>
      </c>
      <c r="AN133" s="23">
        <f t="shared" si="65"/>
        <v>5.7219673993027319E-5</v>
      </c>
      <c r="AO133" s="23">
        <f t="shared" si="65"/>
        <v>4.6070614669603699E-5</v>
      </c>
      <c r="AP133" s="23">
        <f t="shared" si="65"/>
        <v>3.7343298602486058E-5</v>
      </c>
      <c r="AQ133" s="23">
        <f t="shared" si="65"/>
        <v>3.0381935815706223E-5</v>
      </c>
      <c r="AR133" s="23">
        <f t="shared" si="65"/>
        <v>2.4771210124773494E-5</v>
      </c>
      <c r="AS133" s="23">
        <f t="shared" si="65"/>
        <v>2.0222700346235578E-5</v>
      </c>
      <c r="AT133" s="23">
        <f t="shared" si="65"/>
        <v>1.6523002084262634E-5</v>
      </c>
      <c r="AU133" s="23">
        <f t="shared" si="65"/>
        <v>1.3507756519412947E-5</v>
      </c>
      <c r="AV133" s="23">
        <f t="shared" si="65"/>
        <v>1.1047304089759673E-5</v>
      </c>
      <c r="AW133" s="23">
        <f t="shared" si="65"/>
        <v>9.0379213665913494E-6</v>
      </c>
      <c r="AX133" s="23">
        <f t="shared" si="65"/>
        <v>7.3959614481913768E-6</v>
      </c>
      <c r="AY133" s="23">
        <f t="shared" si="65"/>
        <v>6.0536494199588698E-6</v>
      </c>
      <c r="AZ133" s="23">
        <f t="shared" si="65"/>
        <v>4.9559147026003198E-6</v>
      </c>
      <c r="BA133" s="23">
        <f t="shared" si="65"/>
        <v>4.0579296024470955E-6</v>
      </c>
      <c r="BB133" s="23">
        <f t="shared" si="65"/>
        <v>3.3231605454668661E-6</v>
      </c>
      <c r="BC133" s="23">
        <f t="shared" si="65"/>
        <v>2.7218080448334138E-6</v>
      </c>
      <c r="BD133" s="23">
        <f t="shared" si="65"/>
        <v>2.229549616482096E-6</v>
      </c>
      <c r="BE133" s="23">
        <f t="shared" si="65"/>
        <v>1.8257616494616629E-6</v>
      </c>
      <c r="BF133" s="23">
        <f t="shared" si="65"/>
        <v>1.4954744977055533E-6</v>
      </c>
      <c r="BG133" s="23">
        <f t="shared" si="65"/>
        <v>1.2251876735723287E-6</v>
      </c>
      <c r="BH133" s="23">
        <f t="shared" si="65"/>
        <v>1.0039111197780045E-6</v>
      </c>
      <c r="BI133" s="23">
        <f t="shared" si="65"/>
        <v>8.6503731547423164E-7</v>
      </c>
    </row>
    <row r="134" spans="1:61" ht="18" customHeight="1" x14ac:dyDescent="0.2">
      <c r="A134" s="23" t="s">
        <v>15</v>
      </c>
      <c r="B134" s="23"/>
      <c r="C134" s="23">
        <f>+(C133/B133)^-0.1-1</f>
        <v>1.6974535977256844E-2</v>
      </c>
      <c r="D134" s="23">
        <f t="shared" ref="D134:BI134" si="66">+(D133/C133)^-0.1-1</f>
        <v>2.3487551928296879E-2</v>
      </c>
      <c r="E134" s="23">
        <f t="shared" si="66"/>
        <v>2.4844750720931286E-2</v>
      </c>
      <c r="F134" s="23">
        <f t="shared" si="66"/>
        <v>2.5736773889055931E-2</v>
      </c>
      <c r="G134" s="23">
        <f t="shared" si="66"/>
        <v>2.6550300391330994E-2</v>
      </c>
      <c r="H134" s="23">
        <f t="shared" si="66"/>
        <v>2.5533095346281343E-2</v>
      </c>
      <c r="I134" s="23">
        <f t="shared" si="66"/>
        <v>2.2175575838794925E-2</v>
      </c>
      <c r="J134" s="23">
        <f t="shared" si="66"/>
        <v>1.8656469529293229E-2</v>
      </c>
      <c r="K134" s="23">
        <f t="shared" si="66"/>
        <v>1.8936581901326743E-2</v>
      </c>
      <c r="L134" s="23">
        <f t="shared" si="66"/>
        <v>2.0399927669393358E-2</v>
      </c>
      <c r="M134" s="23">
        <f t="shared" si="66"/>
        <v>1.2261420869765782E-2</v>
      </c>
      <c r="N134" s="23">
        <f t="shared" si="66"/>
        <v>1.4248656192151543E-2</v>
      </c>
      <c r="O134" s="23">
        <f t="shared" si="66"/>
        <v>1.6551205313908746E-2</v>
      </c>
      <c r="P134" s="23">
        <f t="shared" si="66"/>
        <v>1.7559175264864946E-2</v>
      </c>
      <c r="Q134" s="23">
        <f t="shared" si="66"/>
        <v>1.688980376257021E-2</v>
      </c>
      <c r="R134" s="23">
        <f t="shared" si="66"/>
        <v>1.6315443228958726E-2</v>
      </c>
      <c r="S134" s="23">
        <f t="shared" si="66"/>
        <v>1.6460637325810934E-2</v>
      </c>
      <c r="T134" s="23">
        <f t="shared" si="66"/>
        <v>1.2405180912452352E-2</v>
      </c>
      <c r="U134" s="23">
        <f t="shared" si="66"/>
        <v>5.3021722829489359E-3</v>
      </c>
      <c r="V134" s="23">
        <f t="shared" si="66"/>
        <v>2.0238153420836902E-2</v>
      </c>
      <c r="W134" s="23">
        <f t="shared" si="66"/>
        <v>1.414300201001284E-2</v>
      </c>
      <c r="X134" s="23">
        <f t="shared" si="66"/>
        <v>1.6118753308716371E-2</v>
      </c>
      <c r="Y134" s="23">
        <f t="shared" si="66"/>
        <v>1.7067432981710651E-2</v>
      </c>
      <c r="Z134" s="23">
        <f t="shared" si="66"/>
        <v>1.4477747662740459E-2</v>
      </c>
      <c r="AA134" s="23">
        <f t="shared" si="66"/>
        <v>1.6329077818475923E-2</v>
      </c>
      <c r="AB134" s="23">
        <f t="shared" si="66"/>
        <v>1.4703167445903498E-2</v>
      </c>
      <c r="AC134" s="23">
        <f t="shared" si="66"/>
        <v>1.6670794124276966E-2</v>
      </c>
      <c r="AD134" s="23">
        <f t="shared" si="66"/>
        <v>1.5098759263971306E-2</v>
      </c>
      <c r="AE134" s="23">
        <f t="shared" si="66"/>
        <v>1.3392108510705603E-2</v>
      </c>
      <c r="AF134" s="23">
        <f t="shared" si="66"/>
        <v>8.104196315164014E-3</v>
      </c>
      <c r="AG134" s="23">
        <f t="shared" si="66"/>
        <v>1.8967570511936538E-2</v>
      </c>
      <c r="AH134" s="23">
        <f t="shared" si="66"/>
        <v>1.6438838967163916E-2</v>
      </c>
      <c r="AI134" s="23">
        <f t="shared" si="66"/>
        <v>0.26728776227875417</v>
      </c>
      <c r="AJ134" s="23">
        <f t="shared" si="66"/>
        <v>7.4654374071522422E-2</v>
      </c>
      <c r="AK134" s="23">
        <f t="shared" si="66"/>
        <v>4.234050065809325E-2</v>
      </c>
      <c r="AL134" s="23">
        <f t="shared" si="66"/>
        <v>3.0747019967112266E-2</v>
      </c>
      <c r="AM134" s="23">
        <f t="shared" si="66"/>
        <v>2.5660944922121898E-2</v>
      </c>
      <c r="AN134" s="23">
        <f t="shared" si="66"/>
        <v>2.3185591655634719E-2</v>
      </c>
      <c r="AO134" s="23">
        <f t="shared" si="66"/>
        <v>2.1908795825117178E-2</v>
      </c>
      <c r="AP134" s="23">
        <f t="shared" si="66"/>
        <v>2.1224282711715947E-2</v>
      </c>
      <c r="AQ134" s="23">
        <f t="shared" si="66"/>
        <v>2.0844806199246113E-2</v>
      </c>
      <c r="AR134" s="23">
        <f t="shared" si="66"/>
        <v>2.0626456537137239E-2</v>
      </c>
      <c r="AS134" s="23">
        <f t="shared" si="66"/>
        <v>2.0494827213514588E-2</v>
      </c>
      <c r="AT134" s="23">
        <f t="shared" si="66"/>
        <v>2.0410735102127431E-2</v>
      </c>
      <c r="AU134" s="23">
        <f t="shared" si="66"/>
        <v>2.0353299964076754E-2</v>
      </c>
      <c r="AV134" s="23">
        <f t="shared" si="66"/>
        <v>2.0311288256801951E-2</v>
      </c>
      <c r="AW134" s="23">
        <f t="shared" si="66"/>
        <v>2.0278594002854033E-2</v>
      </c>
      <c r="AX134" s="23">
        <f t="shared" si="66"/>
        <v>2.0251852430108075E-2</v>
      </c>
      <c r="AY134" s="23">
        <f t="shared" si="66"/>
        <v>2.0229171590191664E-2</v>
      </c>
      <c r="AZ134" s="23">
        <f t="shared" si="66"/>
        <v>2.0209455496739803E-2</v>
      </c>
      <c r="BA134" s="23">
        <f t="shared" si="66"/>
        <v>2.0192041880042533E-2</v>
      </c>
      <c r="BB134" s="23">
        <f t="shared" si="66"/>
        <v>2.0176507790940157E-2</v>
      </c>
      <c r="BC134" s="23">
        <f t="shared" si="66"/>
        <v>2.0162564928050797E-2</v>
      </c>
      <c r="BD134" s="23">
        <f t="shared" si="66"/>
        <v>2.0150002998808425E-2</v>
      </c>
      <c r="BE134" s="23">
        <f t="shared" si="66"/>
        <v>2.018117668402164E-2</v>
      </c>
      <c r="BF134" s="23">
        <f t="shared" si="66"/>
        <v>2.0155809037426975E-2</v>
      </c>
      <c r="BG134" s="23">
        <f t="shared" si="66"/>
        <v>2.0134979217961035E-2</v>
      </c>
      <c r="BH134" s="23">
        <f t="shared" si="66"/>
        <v>2.0118762553759106E-2</v>
      </c>
      <c r="BI134" s="23">
        <f t="shared" si="66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 x14ac:dyDescent="0.2">
      <c r="A136" s="23" t="s">
        <v>207</v>
      </c>
      <c r="B136" s="23"/>
      <c r="C136" s="23">
        <f>+C134+C135</f>
        <v>1.5665087477214148E-2</v>
      </c>
      <c r="D136" s="23">
        <f t="shared" ref="D136:K136" si="68">+D134+D135</f>
        <v>1.9433205650810827E-2</v>
      </c>
      <c r="E136" s="23">
        <f t="shared" si="68"/>
        <v>1.8822276652022234E-2</v>
      </c>
      <c r="F136" s="23">
        <f t="shared" si="68"/>
        <v>1.8449739358510041E-2</v>
      </c>
      <c r="G136" s="23">
        <f t="shared" si="68"/>
        <v>2.0620294362164771E-2</v>
      </c>
      <c r="H136" s="23">
        <f t="shared" si="68"/>
        <v>2.1544918397455377E-2</v>
      </c>
      <c r="I136" s="23">
        <f t="shared" si="68"/>
        <v>1.818739888996896E-2</v>
      </c>
      <c r="J136" s="23">
        <f t="shared" si="68"/>
        <v>1.4668292580467262E-2</v>
      </c>
      <c r="K136" s="23">
        <f t="shared" si="68"/>
        <v>1.4948404952500776E-2</v>
      </c>
    </row>
    <row r="137" spans="1:61" ht="18" customHeight="1" x14ac:dyDescent="0.2">
      <c r="A137" s="23" t="s">
        <v>208</v>
      </c>
      <c r="B137" s="23"/>
      <c r="C137" s="23">
        <f>+C136-C129</f>
        <v>-3.6079175381701252E-3</v>
      </c>
      <c r="D137" s="23">
        <f t="shared" ref="D137:K137" si="69">+D136-D129</f>
        <v>8.0315380602018552E-4</v>
      </c>
      <c r="E137" s="23">
        <f t="shared" si="69"/>
        <v>5.8676550746331047E-4</v>
      </c>
      <c r="F137" s="23">
        <f t="shared" si="69"/>
        <v>-1.9356002373781683E-3</v>
      </c>
      <c r="G137" s="23">
        <f t="shared" si="69"/>
        <v>-7.154866048935081E-4</v>
      </c>
      <c r="H137" s="23">
        <f t="shared" si="69"/>
        <v>3.4884344940567177E-3</v>
      </c>
      <c r="I137" s="23">
        <f t="shared" si="69"/>
        <v>3.5796160253194226E-3</v>
      </c>
      <c r="J137" s="23">
        <f t="shared" si="69"/>
        <v>-2.1443465896945312E-4</v>
      </c>
      <c r="K137" s="23">
        <f t="shared" si="69"/>
        <v>-3.6162837765764139E-3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70">+$B$7*B68/B74-(1-(1-0.1)^10)/10</f>
        <v>0.1052926295766526</v>
      </c>
      <c r="C139" s="23">
        <f t="shared" si="70"/>
        <v>8.0889954103167364E-2</v>
      </c>
      <c r="D139" s="23">
        <f t="shared" si="70"/>
        <v>5.5061662278238097E-2</v>
      </c>
      <c r="E139" s="23">
        <f t="shared" si="70"/>
        <v>4.8563613887404045E-2</v>
      </c>
      <c r="F139" s="23">
        <f t="shared" si="70"/>
        <v>5.1325483345433173E-2</v>
      </c>
      <c r="G139" s="23">
        <f t="shared" si="70"/>
        <v>4.921389458057604E-2</v>
      </c>
      <c r="H139" s="23">
        <f t="shared" si="70"/>
        <v>4.5933989299501252E-2</v>
      </c>
      <c r="I139" s="23">
        <f t="shared" si="70"/>
        <v>4.186350370649107E-2</v>
      </c>
      <c r="J139" s="23">
        <f t="shared" si="70"/>
        <v>3.747340120707944E-2</v>
      </c>
      <c r="K139" s="23">
        <f t="shared" si="70"/>
        <v>3.6294420359786736E-2</v>
      </c>
      <c r="L139" s="23">
        <f t="shared" si="70"/>
        <v>3.5894140702044358E-2</v>
      </c>
      <c r="M139" s="23">
        <f t="shared" si="70"/>
        <v>3.1076641331441973E-2</v>
      </c>
      <c r="N139" s="23">
        <f t="shared" si="70"/>
        <v>2.5514401564290384E-2</v>
      </c>
      <c r="O139" s="23">
        <f t="shared" si="70"/>
        <v>2.5076892220612615E-2</v>
      </c>
      <c r="P139" s="23">
        <f t="shared" si="70"/>
        <v>2.5524626664768818E-2</v>
      </c>
      <c r="Q139" s="23">
        <f t="shared" si="70"/>
        <v>2.528088188131164E-2</v>
      </c>
      <c r="R139" s="23">
        <f t="shared" si="70"/>
        <v>2.4858074656562798E-2</v>
      </c>
      <c r="S139" s="23">
        <f t="shared" si="70"/>
        <v>2.479917340166328E-2</v>
      </c>
      <c r="T139" s="23">
        <f t="shared" si="70"/>
        <v>2.2414314589873099E-2</v>
      </c>
      <c r="U139" s="23">
        <f t="shared" si="70"/>
        <v>1.7625542514618189E-2</v>
      </c>
      <c r="V139" s="23">
        <f t="shared" si="70"/>
        <v>2.4414895403580175E-2</v>
      </c>
      <c r="W139" s="23">
        <f t="shared" si="70"/>
        <v>2.3389154015282312E-2</v>
      </c>
      <c r="X139" s="23">
        <f t="shared" si="70"/>
        <v>2.4188674213778794E-2</v>
      </c>
      <c r="Y139" s="23">
        <f t="shared" si="70"/>
        <v>2.5026218395920841E-2</v>
      </c>
      <c r="Z139" s="23">
        <f t="shared" si="70"/>
        <v>2.3791845880876669E-2</v>
      </c>
      <c r="AA139" s="23">
        <f t="shared" si="70"/>
        <v>2.4452817799343288E-2</v>
      </c>
      <c r="AB139" s="23">
        <f t="shared" si="70"/>
        <v>2.3728590257387785E-2</v>
      </c>
      <c r="AC139" s="23">
        <f t="shared" si="70"/>
        <v>2.4631700681631521E-2</v>
      </c>
      <c r="AD139" s="23">
        <f t="shared" si="70"/>
        <v>2.4020989116112695E-2</v>
      </c>
      <c r="AE139" s="23">
        <f t="shared" si="70"/>
        <v>2.2819244320147675E-2</v>
      </c>
      <c r="AF139" s="23">
        <f t="shared" si="70"/>
        <v>1.9145160732930586E-2</v>
      </c>
      <c r="AG139" s="23">
        <f t="shared" si="70"/>
        <v>2.3758140231766839E-2</v>
      </c>
      <c r="AH139" s="23">
        <f t="shared" si="70"/>
        <v>2.3954384603901521E-2</v>
      </c>
      <c r="AI139" s="23">
        <f t="shared" si="70"/>
        <v>0.32281269181627403</v>
      </c>
      <c r="AJ139" s="23">
        <f t="shared" si="70"/>
        <v>0.11101178464713572</v>
      </c>
      <c r="AK139" s="23">
        <f t="shared" si="70"/>
        <v>6.2031057685518545E-2</v>
      </c>
      <c r="AL139" s="23">
        <f t="shared" si="70"/>
        <v>4.4028652165460827E-2</v>
      </c>
      <c r="AM139" s="23">
        <f t="shared" si="70"/>
        <v>3.5983144129799111E-2</v>
      </c>
      <c r="AN139" s="23">
        <f t="shared" si="70"/>
        <v>3.2038203882858537E-2</v>
      </c>
      <c r="AO139" s="23">
        <f t="shared" si="70"/>
        <v>3.0005962063834643E-2</v>
      </c>
      <c r="AP139" s="23">
        <f t="shared" si="70"/>
        <v>2.8926342607945188E-2</v>
      </c>
      <c r="AQ139" s="23">
        <f t="shared" si="70"/>
        <v>2.8338508313685964E-2</v>
      </c>
      <c r="AR139" s="23">
        <f t="shared" si="70"/>
        <v>2.8009959859127201E-2</v>
      </c>
      <c r="AS139" s="23">
        <f t="shared" si="70"/>
        <v>2.7820105646090956E-2</v>
      </c>
      <c r="AT139" s="23">
        <f t="shared" si="70"/>
        <v>2.7705404822713553E-2</v>
      </c>
      <c r="AU139" s="23">
        <f t="shared" si="70"/>
        <v>2.7632050934063346E-2</v>
      </c>
      <c r="AV139" s="23">
        <f t="shared" si="70"/>
        <v>2.7581928275691017E-2</v>
      </c>
      <c r="AW139" s="23">
        <f t="shared" si="70"/>
        <v>2.7545260971427427E-2</v>
      </c>
      <c r="AX139" s="23">
        <f t="shared" si="70"/>
        <v>2.7516726445216078E-2</v>
      </c>
      <c r="AY139" s="23">
        <f t="shared" si="70"/>
        <v>2.7493388859899798E-2</v>
      </c>
      <c r="AZ139" s="23">
        <f t="shared" si="70"/>
        <v>2.7473596548972606E-2</v>
      </c>
      <c r="BA139" s="23">
        <f t="shared" si="70"/>
        <v>2.745639241323497E-2</v>
      </c>
      <c r="BB139" s="23">
        <f t="shared" si="70"/>
        <v>2.7441198006537923E-2</v>
      </c>
      <c r="BC139" s="23">
        <f t="shared" si="70"/>
        <v>2.7427643888203582E-2</v>
      </c>
      <c r="BD139" s="23">
        <f t="shared" si="70"/>
        <v>2.7415478237858462E-2</v>
      </c>
      <c r="BE139" s="23">
        <f t="shared" si="70"/>
        <v>2.7430232360219353E-2</v>
      </c>
      <c r="BF139" s="23">
        <f t="shared" si="70"/>
        <v>2.7419862160156419E-2</v>
      </c>
      <c r="BG139" s="23">
        <f t="shared" si="70"/>
        <v>2.7403769772532963E-2</v>
      </c>
      <c r="BH139" s="23">
        <f t="shared" si="70"/>
        <v>2.7388539908266021E-2</v>
      </c>
      <c r="BI139" s="23">
        <f t="shared" si="70"/>
        <v>2.7375823776333047E-2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71">+B140/(1+C131)^10</f>
        <v>0.84111281801470505</v>
      </c>
      <c r="D140" s="23">
        <f t="shared" si="71"/>
        <v>0.69713839221760365</v>
      </c>
      <c r="E140" s="23">
        <f t="shared" si="71"/>
        <v>0.58075813285290989</v>
      </c>
      <c r="F140" s="23">
        <f t="shared" si="71"/>
        <v>0.47965683661375824</v>
      </c>
      <c r="G140" s="23">
        <f t="shared" si="71"/>
        <v>0.39018123763717949</v>
      </c>
      <c r="H140" s="23">
        <f t="shared" si="71"/>
        <v>0.32103964100001825</v>
      </c>
      <c r="I140" s="23">
        <f t="shared" si="71"/>
        <v>0.27302479657231465</v>
      </c>
      <c r="J140" s="23">
        <f t="shared" si="71"/>
        <v>0.23584778391160865</v>
      </c>
      <c r="K140" s="23">
        <f t="shared" si="71"/>
        <v>0.19980313316450726</v>
      </c>
      <c r="L140" s="23">
        <f t="shared" si="71"/>
        <v>0.17100753217686024</v>
      </c>
      <c r="M140" s="23">
        <f t="shared" si="71"/>
        <v>0.14912804245348985</v>
      </c>
      <c r="N140" s="23">
        <f t="shared" si="71"/>
        <v>0.12736638287937543</v>
      </c>
      <c r="O140" s="23">
        <f t="shared" si="71"/>
        <v>0.10705093550342677</v>
      </c>
      <c r="P140" s="23">
        <f t="shared" si="71"/>
        <v>8.98287731971011E-2</v>
      </c>
      <c r="Q140" s="23">
        <f t="shared" si="71"/>
        <v>7.5831706229637405E-2</v>
      </c>
      <c r="R140" s="23">
        <f t="shared" si="71"/>
        <v>6.4148650207227875E-2</v>
      </c>
      <c r="S140" s="23">
        <f t="shared" si="71"/>
        <v>5.5304945449527618E-2</v>
      </c>
      <c r="T140" s="23">
        <f t="shared" si="71"/>
        <v>5.0352569534339107E-2</v>
      </c>
      <c r="U140" s="23">
        <f t="shared" si="71"/>
        <v>4.4117600127952177E-2</v>
      </c>
      <c r="V140" s="23">
        <f t="shared" si="71"/>
        <v>3.700341891304669E-2</v>
      </c>
      <c r="W140" s="23">
        <f t="shared" si="71"/>
        <v>3.1651461854040851E-2</v>
      </c>
      <c r="X140" s="23">
        <f t="shared" si="71"/>
        <v>2.669280584899348E-2</v>
      </c>
      <c r="Y140" s="23">
        <f t="shared" si="71"/>
        <v>2.2690625341778931E-2</v>
      </c>
      <c r="Z140" s="23">
        <f t="shared" si="71"/>
        <v>1.935755735190316E-2</v>
      </c>
      <c r="AA140" s="23">
        <f t="shared" si="71"/>
        <v>1.6496044548732137E-2</v>
      </c>
      <c r="AB140" s="23">
        <f t="shared" si="71"/>
        <v>1.4034299731115026E-2</v>
      </c>
      <c r="AC140" s="23">
        <f t="shared" si="71"/>
        <v>1.1917054321089478E-2</v>
      </c>
      <c r="AD140" s="23">
        <f t="shared" si="71"/>
        <v>1.0281416543733839E-2</v>
      </c>
      <c r="AE140" s="23">
        <f t="shared" si="71"/>
        <v>9.192185223112978E-3</v>
      </c>
      <c r="AF140" s="23">
        <f t="shared" si="71"/>
        <v>8.0230604787397356E-3</v>
      </c>
      <c r="AG140" s="23">
        <f t="shared" si="71"/>
        <v>6.7346887205719901E-3</v>
      </c>
      <c r="AH140" s="23">
        <f t="shared" si="71"/>
        <v>2.042778031915252E-3</v>
      </c>
      <c r="AI140" s="23">
        <f t="shared" ref="AI140:BG140" si="72">+AH140/(1+AI131)^10</f>
        <v>4.8539141226828407E-4</v>
      </c>
      <c r="AJ140" s="23">
        <f t="shared" si="72"/>
        <v>2.7924024564625403E-4</v>
      </c>
      <c r="AK140" s="23">
        <f t="shared" si="72"/>
        <v>1.9607957174892155E-4</v>
      </c>
      <c r="AL140" s="23">
        <f t="shared" si="72"/>
        <v>1.4887821372595728E-4</v>
      </c>
      <c r="AM140" s="23">
        <f t="shared" si="72"/>
        <v>1.1716878594805226E-4</v>
      </c>
      <c r="AN140" s="23">
        <f t="shared" si="72"/>
        <v>9.387927513381215E-5</v>
      </c>
      <c r="AO140" s="23">
        <f t="shared" si="72"/>
        <v>7.5928450702628033E-5</v>
      </c>
      <c r="AP140" s="23">
        <f t="shared" si="72"/>
        <v>6.172405974268242E-5</v>
      </c>
      <c r="AQ140" s="23">
        <f t="shared" si="72"/>
        <v>5.0321096542898677E-5</v>
      </c>
      <c r="AR140" s="23">
        <f t="shared" si="72"/>
        <v>4.1093704764270666E-5</v>
      </c>
      <c r="AS140" s="23">
        <f t="shared" si="72"/>
        <v>3.359311912963281E-5</v>
      </c>
      <c r="AT140" s="23">
        <f t="shared" si="72"/>
        <v>2.748024094285023E-5</v>
      </c>
      <c r="AU140" s="23">
        <f t="shared" si="72"/>
        <v>2.2490451594538152E-5</v>
      </c>
      <c r="AV140" s="23">
        <f t="shared" si="72"/>
        <v>1.8413301148962854E-5</v>
      </c>
      <c r="AW140" s="23">
        <f t="shared" si="72"/>
        <v>1.5079576009560606E-5</v>
      </c>
      <c r="AX140" s="23">
        <f t="shared" si="72"/>
        <v>1.2352353600317714E-5</v>
      </c>
      <c r="AY140" s="23">
        <f t="shared" si="72"/>
        <v>1.012042513859548E-5</v>
      </c>
      <c r="AZ140" s="23">
        <f t="shared" si="72"/>
        <v>8.2932597567019489E-6</v>
      </c>
      <c r="BA140" s="23">
        <f t="shared" si="72"/>
        <v>6.7970509730544799E-6</v>
      </c>
      <c r="BB140" s="23">
        <f t="shared" si="72"/>
        <v>5.5715661638826366E-6</v>
      </c>
      <c r="BC140" s="23">
        <f t="shared" si="72"/>
        <v>4.5676136730395014E-6</v>
      </c>
      <c r="BD140" s="23">
        <f t="shared" si="72"/>
        <v>3.7442307024761103E-6</v>
      </c>
      <c r="BE140" s="23">
        <f t="shared" si="72"/>
        <v>3.0691896190110122E-6</v>
      </c>
      <c r="BF140" s="23">
        <f t="shared" si="72"/>
        <v>2.5164090640041577E-6</v>
      </c>
      <c r="BG140" s="23">
        <f t="shared" si="72"/>
        <v>2.0635550951922073E-6</v>
      </c>
      <c r="BH140" s="23">
        <f>+BG140</f>
        <v>2.0635550951922073E-6</v>
      </c>
      <c r="BI140" s="23">
        <f>+BH140</f>
        <v>2.0635550951922073E-6</v>
      </c>
    </row>
    <row r="141" spans="1:61" ht="18" customHeight="1" x14ac:dyDescent="0.2">
      <c r="A141" s="23" t="s">
        <v>208</v>
      </c>
      <c r="B141" s="23">
        <f t="shared" ref="B141:K141" si="73">+B139-C131</f>
        <v>8.7839118374601038E-2</v>
      </c>
      <c r="C141" s="23">
        <f t="shared" si="73"/>
        <v>6.1938425673079903E-2</v>
      </c>
      <c r="D141" s="23">
        <f t="shared" si="73"/>
        <v>3.6628880783563314E-2</v>
      </c>
      <c r="E141" s="23">
        <f t="shared" si="73"/>
        <v>2.9253188517180478E-2</v>
      </c>
      <c r="F141" s="23">
        <f t="shared" si="73"/>
        <v>3.0464923063959929E-2</v>
      </c>
      <c r="G141" s="23">
        <f t="shared" si="73"/>
        <v>2.951776214534757E-2</v>
      </c>
      <c r="H141" s="23">
        <f t="shared" si="73"/>
        <v>2.9601855915477152E-2</v>
      </c>
      <c r="I141" s="23">
        <f t="shared" si="73"/>
        <v>2.7118248654447945E-2</v>
      </c>
      <c r="J141" s="23">
        <f t="shared" si="73"/>
        <v>2.0749693222822489E-2</v>
      </c>
      <c r="K141" s="23">
        <f t="shared" si="73"/>
        <v>2.0610199683988056E-2</v>
      </c>
    </row>
    <row r="142" spans="1:61" ht="18" customHeight="1" x14ac:dyDescent="0.2">
      <c r="A142" s="23" t="s">
        <v>13</v>
      </c>
      <c r="B142" s="23"/>
      <c r="C142" s="23">
        <f>+EXP(C128-0.1)</f>
        <v>1.047228439584323</v>
      </c>
      <c r="D142" s="23">
        <f>+EXP(D128-0.1)</f>
        <v>1.0204653293736941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210.57459092338948</v>
      </c>
    </row>
    <row r="145" spans="1:74" ht="18" customHeight="1" x14ac:dyDescent="0.2">
      <c r="A145" s="23" t="s">
        <v>150</v>
      </c>
      <c r="B145" s="23">
        <f>+SUMPRODUCT(B140:AE140*B84:AE84)*10</f>
        <v>218.34398648953828</v>
      </c>
    </row>
    <row r="146" spans="1:74" ht="18" customHeight="1" x14ac:dyDescent="0.2">
      <c r="A146" s="23" t="s">
        <v>151</v>
      </c>
      <c r="B146" s="23">
        <f>+SUMPRODUCT(B140:BI140*B84:BI84)*10</f>
        <v>219.55916648398815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4">+B148/(1+B79)^10</f>
        <v>0.84508270233774851</v>
      </c>
      <c r="D148" s="23">
        <f t="shared" si="74"/>
        <v>0.66999808708961395</v>
      </c>
      <c r="E148" s="23">
        <f t="shared" si="74"/>
        <v>0.5241948536010762</v>
      </c>
      <c r="F148" s="23">
        <f t="shared" si="74"/>
        <v>0.40656828250675509</v>
      </c>
      <c r="G148" s="23">
        <f t="shared" si="74"/>
        <v>0.31284639220185745</v>
      </c>
      <c r="H148" s="23">
        <f t="shared" si="74"/>
        <v>0.24312764810047205</v>
      </c>
      <c r="I148" s="23">
        <f t="shared" si="74"/>
        <v>0.19524474473418452</v>
      </c>
      <c r="J148" s="23">
        <f t="shared" si="74"/>
        <v>0.16229378000265771</v>
      </c>
      <c r="K148" s="23">
        <f t="shared" si="74"/>
        <v>0.13453346559041024</v>
      </c>
      <c r="L148" s="23">
        <f t="shared" si="74"/>
        <v>0.10993250855326914</v>
      </c>
      <c r="M148" s="23">
        <f t="shared" si="74"/>
        <v>9.7319368952825711E-2</v>
      </c>
      <c r="N148" s="23">
        <f t="shared" si="74"/>
        <v>8.4480188553453461E-2</v>
      </c>
      <c r="O148" s="23">
        <f t="shared" si="74"/>
        <v>7.1690610402771679E-2</v>
      </c>
      <c r="P148" s="23">
        <f t="shared" si="74"/>
        <v>6.0237304759611421E-2</v>
      </c>
      <c r="Q148" s="23">
        <f t="shared" si="74"/>
        <v>5.0947937143334961E-2</v>
      </c>
      <c r="R148" s="23">
        <f t="shared" si="74"/>
        <v>4.3335254919808386E-2</v>
      </c>
      <c r="S148" s="23">
        <f t="shared" si="74"/>
        <v>3.6807447744846601E-2</v>
      </c>
      <c r="T148" s="23">
        <f t="shared" si="74"/>
        <v>3.2538094381955991E-2</v>
      </c>
      <c r="U148" s="23">
        <f t="shared" si="74"/>
        <v>3.0862130593690165E-2</v>
      </c>
      <c r="V148" s="23">
        <f t="shared" si="74"/>
        <v>2.5258659496576533E-2</v>
      </c>
      <c r="W148" s="23">
        <f t="shared" si="74"/>
        <v>2.1949180825426084E-2</v>
      </c>
      <c r="X148" s="23">
        <f t="shared" si="74"/>
        <v>1.8705686410525467E-2</v>
      </c>
      <c r="Y148" s="23">
        <f t="shared" si="74"/>
        <v>1.579341936270828E-2</v>
      </c>
      <c r="Z148" s="23">
        <f t="shared" si="74"/>
        <v>1.367889179413128E-2</v>
      </c>
      <c r="AA148" s="23">
        <f t="shared" si="74"/>
        <v>1.1633419852277021E-2</v>
      </c>
      <c r="AB148" s="23">
        <f t="shared" si="74"/>
        <v>1.0053499060172614E-2</v>
      </c>
      <c r="AC148" s="23">
        <f t="shared" si="74"/>
        <v>8.5214551774061998E-3</v>
      </c>
      <c r="AD148" s="23">
        <f t="shared" si="74"/>
        <v>7.3355181249501978E-3</v>
      </c>
      <c r="AE148" s="23">
        <f t="shared" si="74"/>
        <v>6.4217828238579897E-3</v>
      </c>
      <c r="AF148" s="23">
        <f t="shared" si="74"/>
        <v>5.9238136605093287E-3</v>
      </c>
      <c r="AG148" s="23">
        <f t="shared" si="74"/>
        <v>4.9090534919305978E-3</v>
      </c>
      <c r="AH148" s="23">
        <f t="shared" si="74"/>
        <v>4.1704723864952132E-3</v>
      </c>
      <c r="AI148" s="23">
        <f t="shared" ref="AI148:BI148" si="75">+AH148/(1+AH79)^10</f>
        <v>3.9033081580621342E-4</v>
      </c>
      <c r="AJ148" s="23">
        <f t="shared" si="75"/>
        <v>1.8999612007719618E-4</v>
      </c>
      <c r="AK148" s="23">
        <f t="shared" si="75"/>
        <v>1.2550140969726659E-4</v>
      </c>
      <c r="AL148" s="23">
        <f t="shared" si="75"/>
        <v>9.2710244276030988E-5</v>
      </c>
      <c r="AM148" s="23">
        <f t="shared" si="75"/>
        <v>7.1959732052082656E-5</v>
      </c>
      <c r="AN148" s="23">
        <f t="shared" si="75"/>
        <v>5.7219673993027556E-5</v>
      </c>
      <c r="AO148" s="23">
        <f t="shared" si="75"/>
        <v>4.6070614669603937E-5</v>
      </c>
      <c r="AP148" s="23">
        <f t="shared" si="75"/>
        <v>3.7343298602486207E-5</v>
      </c>
      <c r="AQ148" s="23">
        <f t="shared" si="75"/>
        <v>3.0381935815706318E-5</v>
      </c>
      <c r="AR148" s="23">
        <f t="shared" si="75"/>
        <v>2.4771210124773579E-5</v>
      </c>
      <c r="AS148" s="23">
        <f t="shared" si="75"/>
        <v>2.0222700346235643E-5</v>
      </c>
      <c r="AT148" s="23">
        <f t="shared" si="75"/>
        <v>1.6523002084262695E-5</v>
      </c>
      <c r="AU148" s="23">
        <f t="shared" si="75"/>
        <v>1.3507756519412995E-5</v>
      </c>
      <c r="AV148" s="23">
        <f t="shared" si="75"/>
        <v>1.1047304089759713E-5</v>
      </c>
      <c r="AW148" s="23">
        <f t="shared" si="75"/>
        <v>9.0379213665913934E-6</v>
      </c>
      <c r="AX148" s="23">
        <f t="shared" si="75"/>
        <v>7.3959614481914175E-6</v>
      </c>
      <c r="AY148" s="23">
        <f t="shared" si="75"/>
        <v>6.0536494199589003E-6</v>
      </c>
      <c r="AZ148" s="23">
        <f t="shared" si="75"/>
        <v>4.9559147026003503E-6</v>
      </c>
      <c r="BA148" s="23">
        <f t="shared" si="75"/>
        <v>4.0579296024471268E-6</v>
      </c>
      <c r="BB148" s="23">
        <f t="shared" si="75"/>
        <v>3.3231605454668906E-6</v>
      </c>
      <c r="BC148" s="23">
        <f t="shared" si="75"/>
        <v>2.7218080448334341E-6</v>
      </c>
      <c r="BD148" s="23">
        <f t="shared" si="75"/>
        <v>2.2295496164821129E-6</v>
      </c>
      <c r="BE148" s="23">
        <f t="shared" si="75"/>
        <v>1.8257616494616752E-6</v>
      </c>
      <c r="BF148" s="23">
        <f t="shared" si="75"/>
        <v>1.4954744977055628E-6</v>
      </c>
      <c r="BG148" s="23">
        <f t="shared" si="75"/>
        <v>1.2251876735723364E-6</v>
      </c>
      <c r="BH148" s="23">
        <f t="shared" si="75"/>
        <v>1.0039111197780108E-6</v>
      </c>
      <c r="BI148" s="23">
        <f t="shared" si="75"/>
        <v>8.6503731547423704E-7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180.11476922675527</v>
      </c>
    </row>
    <row r="152" spans="1:74" ht="18" customHeight="1" x14ac:dyDescent="0.2">
      <c r="A152" s="23" t="s">
        <v>150</v>
      </c>
      <c r="B152" s="23">
        <f>+SUMPRODUCT(B148:AE148*B84:AE84)*10</f>
        <v>185.5485517482432</v>
      </c>
    </row>
    <row r="153" spans="1:74" ht="18" customHeight="1" x14ac:dyDescent="0.2">
      <c r="A153" s="23" t="s">
        <v>151</v>
      </c>
      <c r="B153" s="23">
        <f>+SUMPRODUCT(B148:BI148*B84:BI84)*10</f>
        <v>186.50315950251689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3.4002839974222147E-3</v>
      </c>
      <c r="C155" s="29">
        <f t="shared" ref="C155:BI155" si="76">+C63*C61</f>
        <v>3.5906738310325795E-3</v>
      </c>
      <c r="D155" s="29">
        <f t="shared" si="76"/>
        <v>2.2866834174312053E-3</v>
      </c>
      <c r="E155" s="29">
        <f t="shared" si="76"/>
        <v>2.4494149625364486E-3</v>
      </c>
      <c r="F155" s="29">
        <f t="shared" si="76"/>
        <v>3.176716377045352E-3</v>
      </c>
      <c r="G155" s="29">
        <f t="shared" si="76"/>
        <v>4.5668067803722864E-3</v>
      </c>
      <c r="H155" s="29">
        <f t="shared" si="76"/>
        <v>3.8016651604076291E-3</v>
      </c>
      <c r="I155" s="29">
        <f t="shared" si="76"/>
        <v>5.2476062581576274E-3</v>
      </c>
      <c r="J155" s="29">
        <f t="shared" si="76"/>
        <v>6.95228723471471E-3</v>
      </c>
      <c r="K155" s="29">
        <f t="shared" si="76"/>
        <v>4.6526779884263122E-3</v>
      </c>
      <c r="L155" s="29">
        <f t="shared" si="76"/>
        <v>5.0078231284233559E-3</v>
      </c>
      <c r="M155" s="29">
        <f t="shared" si="76"/>
        <v>6.7004204510363857E-3</v>
      </c>
      <c r="N155" s="29">
        <f t="shared" si="76"/>
        <v>8.0948273058040372E-3</v>
      </c>
      <c r="O155" s="29">
        <f t="shared" si="76"/>
        <v>8.2134072392744378E-3</v>
      </c>
      <c r="P155" s="29">
        <f t="shared" si="76"/>
        <v>7.351385617378939E-3</v>
      </c>
      <c r="Q155" s="29">
        <f t="shared" si="76"/>
        <v>9.5438976577372388E-3</v>
      </c>
      <c r="R155" s="29">
        <f t="shared" si="76"/>
        <v>9.3816064876412787E-3</v>
      </c>
      <c r="S155" s="29">
        <f t="shared" si="76"/>
        <v>9.9665302243043454E-3</v>
      </c>
      <c r="T155" s="29">
        <f t="shared" si="76"/>
        <v>8.3149265793226422E-3</v>
      </c>
      <c r="U155" s="29">
        <f t="shared" si="76"/>
        <v>9.387310493097642E-3</v>
      </c>
      <c r="V155" s="29">
        <f t="shared" si="76"/>
        <v>1.0909239690711137E-2</v>
      </c>
      <c r="W155" s="29">
        <f t="shared" si="76"/>
        <v>9.4580131883804843E-3</v>
      </c>
      <c r="X155" s="29">
        <f t="shared" si="76"/>
        <v>1.0287252590924278E-2</v>
      </c>
      <c r="Y155" s="29">
        <f t="shared" si="76"/>
        <v>1.109322246252838E-2</v>
      </c>
      <c r="Z155" s="29">
        <f t="shared" si="76"/>
        <v>1.2239889943678351E-2</v>
      </c>
      <c r="AA155" s="29">
        <f t="shared" si="76"/>
        <v>1.5472923286521943E-2</v>
      </c>
      <c r="AB155" s="29">
        <f t="shared" si="76"/>
        <v>1.802293671880115E-2</v>
      </c>
      <c r="AC155" s="29">
        <f t="shared" si="76"/>
        <v>1.6617811030609508E-2</v>
      </c>
      <c r="AD155" s="29">
        <f t="shared" si="76"/>
        <v>1.5523182574678376E-2</v>
      </c>
      <c r="AE155" s="29">
        <f t="shared" si="76"/>
        <v>1.8249451041663353E-2</v>
      </c>
      <c r="AF155" s="29">
        <f t="shared" si="76"/>
        <v>1.8268792461196264E-2</v>
      </c>
      <c r="AG155" s="29">
        <f t="shared" si="76"/>
        <v>1.562758263272156E-2</v>
      </c>
      <c r="AH155" s="29">
        <f t="shared" si="76"/>
        <v>1.6726128122851156E-2</v>
      </c>
      <c r="AI155" s="29">
        <f t="shared" si="76"/>
        <v>0.10136356930778702</v>
      </c>
      <c r="AJ155" s="29">
        <f t="shared" si="76"/>
        <v>5.2733977006354751E-2</v>
      </c>
      <c r="AK155" s="29">
        <f t="shared" si="76"/>
        <v>6.921526779574487E-2</v>
      </c>
      <c r="AL155" s="29">
        <f t="shared" si="76"/>
        <v>8.0208596875133847E-2</v>
      </c>
      <c r="AM155" s="29">
        <f t="shared" si="76"/>
        <v>8.8286622422267896E-2</v>
      </c>
      <c r="AN155" s="29">
        <f t="shared" si="76"/>
        <v>9.4858164222487884E-2</v>
      </c>
      <c r="AO155" s="29">
        <f t="shared" si="76"/>
        <v>0.1006873601452599</v>
      </c>
      <c r="AP155" s="29">
        <f t="shared" si="76"/>
        <v>0.10619783208093388</v>
      </c>
      <c r="AQ155" s="29">
        <f t="shared" si="76"/>
        <v>0.11162927754520843</v>
      </c>
      <c r="AR155" s="29">
        <f t="shared" si="76"/>
        <v>0.11712054926898118</v>
      </c>
      <c r="AS155" s="29">
        <f t="shared" si="76"/>
        <v>0.12275481094901451</v>
      </c>
      <c r="AT155" s="29">
        <f t="shared" si="76"/>
        <v>0.12858443723420049</v>
      </c>
      <c r="AU155" s="29">
        <f t="shared" si="76"/>
        <v>0.13464485819454625</v>
      </c>
      <c r="AV155" s="29">
        <f t="shared" si="76"/>
        <v>0.14096229560528914</v>
      </c>
      <c r="AW155" s="29">
        <f t="shared" si="76"/>
        <v>0.14755810213203974</v>
      </c>
      <c r="AX155" s="29">
        <f t="shared" si="76"/>
        <v>0.154451204764501</v>
      </c>
      <c r="AY155" s="29">
        <f t="shared" si="76"/>
        <v>0.16165948866673177</v>
      </c>
      <c r="AZ155" s="29">
        <f t="shared" si="76"/>
        <v>0.16920058856286269</v>
      </c>
      <c r="BA155" s="29">
        <f t="shared" si="76"/>
        <v>0.17709234903495624</v>
      </c>
      <c r="BB155" s="29">
        <f t="shared" si="76"/>
        <v>0.18535310011840056</v>
      </c>
      <c r="BC155" s="29">
        <f t="shared" si="76"/>
        <v>0.1940018302267271</v>
      </c>
      <c r="BD155" s="29">
        <f t="shared" si="76"/>
        <v>0.20305830240014064</v>
      </c>
      <c r="BE155" s="29">
        <f t="shared" si="76"/>
        <v>0.21254313968572552</v>
      </c>
      <c r="BF155" s="29">
        <f t="shared" si="76"/>
        <v>0.22249018794684314</v>
      </c>
      <c r="BG155" s="29">
        <f t="shared" si="76"/>
        <v>0.23291382852435619</v>
      </c>
      <c r="BH155" s="29">
        <f t="shared" si="76"/>
        <v>0.24383122799361701</v>
      </c>
      <c r="BI155" s="29">
        <f t="shared" si="76"/>
        <v>0.25526574418905607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CD35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11.6640625" defaultRowHeight="18" customHeight="1" x14ac:dyDescent="0.2"/>
  <cols>
    <col min="1" max="1" width="58.33203125" style="21" customWidth="1"/>
    <col min="2" max="2" width="11.6640625" style="29" customWidth="1"/>
    <col min="3" max="16384" width="11.6640625" style="23"/>
  </cols>
  <sheetData>
    <row r="1" spans="1:61" ht="18" customHeight="1" x14ac:dyDescent="0.2">
      <c r="A1" s="21" t="s">
        <v>52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+Parameters!I35</f>
        <v>0.3</v>
      </c>
    </row>
    <row r="8" spans="1:61" ht="18" customHeight="1" x14ac:dyDescent="0.2">
      <c r="A8" s="21" t="s">
        <v>108</v>
      </c>
      <c r="B8" s="31">
        <f>+Parameters!I36</f>
        <v>0.1</v>
      </c>
    </row>
    <row r="9" spans="1:61" ht="18" customHeight="1" x14ac:dyDescent="0.2">
      <c r="A9" s="23" t="s">
        <v>49</v>
      </c>
      <c r="B9" s="29">
        <f>Parameters!I37</f>
        <v>1.6979566948188101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 x14ac:dyDescent="0.2">
      <c r="A11" s="23" t="s">
        <v>38</v>
      </c>
      <c r="B11" s="29">
        <f>+Parameters!I39</f>
        <v>2.7871074321283404</v>
      </c>
    </row>
    <row r="12" spans="1:61" ht="18" customHeight="1" x14ac:dyDescent="0.2">
      <c r="A12" s="23" t="s">
        <v>162</v>
      </c>
      <c r="B12" s="29">
        <f>+Parameters!I40</f>
        <v>4.8677307749233343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+Parameters!I43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+Parameters!I45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 x14ac:dyDescent="0.2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 x14ac:dyDescent="0.2">
      <c r="A21" s="21" t="s">
        <v>190</v>
      </c>
      <c r="B21" s="29">
        <f>+Parameters!I40</f>
        <v>4.8677307749233343</v>
      </c>
    </row>
    <row r="22" spans="1:103" ht="18" customHeight="1" x14ac:dyDescent="0.2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+Parameters!I51</f>
        <v>0</v>
      </c>
    </row>
    <row r="25" spans="1:103" ht="18" customHeight="1" x14ac:dyDescent="0.2">
      <c r="A25" s="21" t="s">
        <v>182</v>
      </c>
      <c r="B25" s="29">
        <f>+Parameters!I52</f>
        <v>0.11505844305760014</v>
      </c>
    </row>
    <row r="26" spans="1:103" ht="18" customHeight="1" x14ac:dyDescent="0.2">
      <c r="A26" s="21" t="s">
        <v>47</v>
      </c>
      <c r="B26" s="29">
        <f>+Parameters!I53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+Parameters!I54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+Parameters!I55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2.8715095035391808E-3</v>
      </c>
      <c r="AB31" s="23">
        <f t="shared" si="7"/>
        <v>2.6721404459431621E-3</v>
      </c>
      <c r="AC31" s="23">
        <f t="shared" si="7"/>
        <v>2.490618716009617E-3</v>
      </c>
      <c r="AD31" s="23">
        <f t="shared" si="7"/>
        <v>2.3249466449192101E-3</v>
      </c>
      <c r="AE31" s="23">
        <f t="shared" si="7"/>
        <v>2.1734005459205616E-3</v>
      </c>
      <c r="AF31" s="23">
        <f t="shared" si="7"/>
        <v>2.0344864398236097E-3</v>
      </c>
      <c r="AG31" s="23">
        <f t="shared" si="7"/>
        <v>1.9069038572037678E-3</v>
      </c>
      <c r="AH31" s="23">
        <f t="shared" si="7"/>
        <v>1.7895161011231963E-3</v>
      </c>
      <c r="AI31" s="23">
        <f t="shared" si="7"/>
        <v>1.6813257036795664E-3</v>
      </c>
      <c r="AJ31" s="23">
        <f t="shared" si="7"/>
        <v>1.5814540781811603E-3</v>
      </c>
      <c r="AK31" s="23">
        <f t="shared" si="7"/>
        <v>1.4891245762227788E-3</v>
      </c>
      <c r="AL31" s="23">
        <f t="shared" si="7"/>
        <v>1.4036483201743592E-3</v>
      </c>
      <c r="AM31" s="23">
        <f t="shared" si="7"/>
        <v>1.32441230757827E-3</v>
      </c>
      <c r="AN31" s="23">
        <f t="shared" si="7"/>
        <v>1.2508693829005107E-3</v>
      </c>
      <c r="AO31" s="23">
        <f t="shared" si="7"/>
        <v>1.1825297501820299E-3</v>
      </c>
      <c r="AP31" s="23">
        <f t="shared" si="7"/>
        <v>1.118953762073515E-3</v>
      </c>
      <c r="AQ31" s="23">
        <f t="shared" si="7"/>
        <v>1.0597457700773345E-3</v>
      </c>
      <c r="AR31" s="23">
        <f t="shared" si="7"/>
        <v>1.0045488602951839E-3</v>
      </c>
      <c r="AS31" s="23">
        <f t="shared" si="7"/>
        <v>9.5304033069171104E-4</v>
      </c>
      <c r="AT31" s="23">
        <f t="shared" si="7"/>
        <v>9.0492779145958172E-4</v>
      </c>
      <c r="AU31" s="23">
        <f t="shared" si="7"/>
        <v>8.5994579077473007E-4</v>
      </c>
      <c r="AV31" s="23">
        <f t="shared" si="7"/>
        <v>8.1785288504990098E-4</v>
      </c>
      <c r="AW31" s="23">
        <f t="shared" si="7"/>
        <v>7.7842908650531373E-4</v>
      </c>
      <c r="AX31" s="23">
        <f t="shared" si="7"/>
        <v>7.4147363208852408E-4</v>
      </c>
      <c r="AY31" s="23">
        <f t="shared" si="7"/>
        <v>7.0680302697504534E-4</v>
      </c>
      <c r="AZ31" s="23">
        <f t="shared" si="7"/>
        <v>6.7424932345146768E-4</v>
      </c>
      <c r="BA31" s="23">
        <f t="shared" si="7"/>
        <v>6.4365860223042142E-4</v>
      </c>
      <c r="BB31" s="23">
        <f t="shared" si="7"/>
        <v>6.1488962841737855E-4</v>
      </c>
      <c r="BC31" s="23">
        <f t="shared" si="7"/>
        <v>5.8781265864036073E-4</v>
      </c>
      <c r="BD31" s="23">
        <f t="shared" si="7"/>
        <v>5.6230837942427788E-4</v>
      </c>
      <c r="BE31" s="23">
        <f t="shared" si="7"/>
        <v>2.7407552810029253E-4</v>
      </c>
      <c r="BF31" s="23">
        <f t="shared" si="7"/>
        <v>1.3359421662051269E-4</v>
      </c>
      <c r="BG31" s="23">
        <f t="shared" si="7"/>
        <v>6.5121527690121771E-5</v>
      </c>
      <c r="BH31" s="23">
        <f t="shared" si="7"/>
        <v>3.1745273612253245E-5</v>
      </c>
      <c r="BI31" s="23">
        <f t="shared" si="7"/>
        <v>1.5475667274416575E-5</v>
      </c>
    </row>
    <row r="32" spans="1:103" s="33" customFormat="1" ht="18" customHeight="1" x14ac:dyDescent="0.2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0.26433586555209565</v>
      </c>
      <c r="AB36" s="23">
        <f>+IF(AB4&gt;$B$37,AA36*Parameters!$B$105,$B$33*$B$32+(AA36-$B$33*$B$32)*(1-$B$34))</f>
        <v>0.25489907227449082</v>
      </c>
      <c r="AC36" s="23">
        <f>+IF(AC4&gt;$B$37,AB36*Parameters!$B$105,$B$33*$B$32+(AB36-$B$33*$B$32)*(1-$B$34))</f>
        <v>0.24593411866076628</v>
      </c>
      <c r="AD36" s="23">
        <f>+IF(AD4&gt;$B$37,AC36*Parameters!$B$105,$B$33*$B$32+(AC36-$B$33*$B$32)*(1-$B$34))</f>
        <v>0.23741741272772796</v>
      </c>
      <c r="AE36" s="23">
        <f>+IF(AE4&gt;$B$37,AD36*Parameters!$B$105,$B$33*$B$32+(AD36-$B$33*$B$32)*(1-$B$34))</f>
        <v>0.22932654209134154</v>
      </c>
      <c r="AF36" s="23">
        <f>+IF(AF4&gt;$B$37,AE36*Parameters!$B$105,$B$33*$B$32+(AE36-$B$33*$B$32)*(1-$B$34))</f>
        <v>0.22164021498677447</v>
      </c>
      <c r="AG36" s="23">
        <f>+IF(AG4&gt;$B$37,AF36*Parameters!$B$105,$B$33*$B$32+(AF36-$B$33*$B$32)*(1-$B$34))</f>
        <v>0.21433820423743574</v>
      </c>
      <c r="AH36" s="23">
        <f>+IF(AH4&gt;$B$37,AG36*Parameters!$B$105,$B$33*$B$32+(AG36-$B$33*$B$32)*(1-$B$34))</f>
        <v>0.20740129402556395</v>
      </c>
      <c r="AI36" s="23">
        <f>+IF(AI4&gt;$B$37,AH36*Parameters!$B$105,$B$33*$B$32+(AH36-$B$33*$B$32)*(1-$B$34))</f>
        <v>0.20081122932428574</v>
      </c>
      <c r="AJ36" s="23">
        <f>+IF(AJ4&gt;$B$37,AI36*Parameters!$B$105,$B$33*$B$32+(AI36-$B$33*$B$32)*(1-$B$34))</f>
        <v>0.19455066785807146</v>
      </c>
      <c r="AK36" s="23">
        <f>+IF(AK4&gt;$B$37,AJ36*Parameters!$B$105,$B$33*$B$32+(AJ36-$B$33*$B$32)*(1-$B$34))</f>
        <v>0.18860313446516788</v>
      </c>
      <c r="AL36" s="23">
        <f>+IF(AL4&gt;$B$37,AK36*Parameters!$B$105,$B$33*$B$32+(AK36-$B$33*$B$32)*(1-$B$34))</f>
        <v>0.18295297774190949</v>
      </c>
      <c r="AM36" s="23">
        <f>+IF(AM4&gt;$B$37,AL36*Parameters!$B$105,$B$33*$B$32+(AL36-$B$33*$B$32)*(1-$B$34))</f>
        <v>0.17758532885481401</v>
      </c>
      <c r="AN36" s="23">
        <f>+IF(AN4&gt;$B$37,AM36*Parameters!$B$105,$B$33*$B$32+(AM36-$B$33*$B$32)*(1-$B$34))</f>
        <v>0.17248606241207332</v>
      </c>
      <c r="AO36" s="23">
        <f>+IF(AO4&gt;$B$37,AN36*Parameters!$B$105,$B$33*$B$32+(AN36-$B$33*$B$32)*(1-$B$34))</f>
        <v>0.16764175929146963</v>
      </c>
      <c r="AP36" s="23">
        <f>+IF(AP4&gt;$B$37,AO36*Parameters!$B$105,$B$33*$B$32+(AO36-$B$33*$B$32)*(1-$B$34))</f>
        <v>0.16303967132689615</v>
      </c>
      <c r="AQ36" s="23">
        <f>+IF(AQ4&gt;$B$37,AP36*Parameters!$B$105,$B$33*$B$32+(AP36-$B$33*$B$32)*(1-$B$34))</f>
        <v>0.15866768776055135</v>
      </c>
      <c r="AR36" s="23">
        <f>+IF(AR4&gt;$B$37,AQ36*Parameters!$B$105,$B$33*$B$32+(AQ36-$B$33*$B$32)*(1-$B$34))</f>
        <v>0.15451430337252378</v>
      </c>
      <c r="AS36" s="23">
        <f>+IF(AS4&gt;$B$37,AR36*Parameters!$B$105,$B$33*$B$32+(AR36-$B$33*$B$32)*(1-$B$34))</f>
        <v>0.15056858820389757</v>
      </c>
      <c r="AT36" s="23">
        <f>+IF(AT4&gt;$B$37,AS36*Parameters!$B$105,$B$33*$B$32+(AS36-$B$33*$B$32)*(1-$B$34))</f>
        <v>0.14682015879370269</v>
      </c>
      <c r="AU36" s="23">
        <f>+IF(AU4&gt;$B$37,AT36*Parameters!$B$105,$B$33*$B$32+(AT36-$B$33*$B$32)*(1-$B$34))</f>
        <v>0.14325915085401755</v>
      </c>
      <c r="AV36" s="23">
        <f>+IF(AV4&gt;$B$37,AU36*Parameters!$B$105,$B$33*$B$32+(AU36-$B$33*$B$32)*(1-$B$34))</f>
        <v>0.13987619331131668</v>
      </c>
      <c r="AW36" s="23">
        <f>+IF(AW4&gt;$B$37,AV36*Parameters!$B$105,$B$33*$B$32+(AV36-$B$33*$B$32)*(1-$B$34))</f>
        <v>0.13666238364575084</v>
      </c>
      <c r="AX36" s="23">
        <f>+IF(AX4&gt;$B$37,AW36*Parameters!$B$105,$B$33*$B$32+(AW36-$B$33*$B$32)*(1-$B$34))</f>
        <v>0.1336092644634633</v>
      </c>
      <c r="AY36" s="23">
        <f>+IF(AY4&gt;$B$37,AX36*Parameters!$B$105,$B$33*$B$32+(AX36-$B$33*$B$32)*(1-$B$34))</f>
        <v>0.13070880124029013</v>
      </c>
      <c r="AZ36" s="23">
        <f>+IF(AZ4&gt;$B$37,AY36*Parameters!$B$105,$B$33*$B$32+(AY36-$B$33*$B$32)*(1-$B$34))</f>
        <v>0.12795336117827563</v>
      </c>
      <c r="BA36" s="23">
        <f>+IF(BA4&gt;$B$37,AZ36*Parameters!$B$105,$B$33*$B$32+(AZ36-$B$33*$B$32)*(1-$B$34))</f>
        <v>0.12533569311936185</v>
      </c>
      <c r="BB36" s="23">
        <f>+IF(BB4&gt;$B$37,BA36*Parameters!$B$105,$B$33*$B$32+(BA36-$B$33*$B$32)*(1-$B$34))</f>
        <v>0.12284890846339375</v>
      </c>
      <c r="BC36" s="23">
        <f>+IF(BC4&gt;$B$37,BB36*Parameters!$B$105,$B$33*$B$32+(BB36-$B$33*$B$32)*(1-$B$34))</f>
        <v>0.12048646304022406</v>
      </c>
      <c r="BD36" s="23">
        <f>+IF(BD4&gt;$B$37,BC36*Parameters!$B$105,$B$33*$B$32+(BC36-$B$33*$B$32)*(1-$B$34))</f>
        <v>0.11824213988821286</v>
      </c>
      <c r="BE36" s="23">
        <f>+IF(BE4&gt;$B$37,BD36*Parameters!$B$105,$B$33*$B$32+(BD36-$B$33*$B$32)*(1-$B$34))</f>
        <v>5.912106994410643E-2</v>
      </c>
      <c r="BF36" s="23">
        <f>+IF(BF4&gt;$B$37,BE36*Parameters!$B$105,$B$33*$B$32+(BE36-$B$33*$B$32)*(1-$B$34))</f>
        <v>2.9560534972053215E-2</v>
      </c>
      <c r="BG36" s="23">
        <f>+IF(BG4&gt;$B$37,BF36*Parameters!$B$105,$B$33*$B$32+(BF36-$B$33*$B$32)*(1-$B$34))</f>
        <v>1.4780267486026608E-2</v>
      </c>
      <c r="BH36" s="23">
        <f>+IF(BH4&gt;$B$37,BG36*Parameters!$B$105,$B$33*$B$32+(BG36-$B$33*$B$32)*(1-$B$34))</f>
        <v>7.3901337430133038E-3</v>
      </c>
      <c r="BI36" s="23">
        <f>+IF(BI4&gt;$B$37,BH36*Parameters!$B$105,$B$33*$B$32+(BH36-$B$33*$B$32)*(1-$B$34))</f>
        <v>3.6950668715066519E-3</v>
      </c>
    </row>
    <row r="37" spans="1:61 16384:16384" s="33" customFormat="1" ht="18" customHeight="1" x14ac:dyDescent="0.2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 x14ac:dyDescent="0.2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34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 x14ac:dyDescent="0.2">
      <c r="A41" s="21" t="s">
        <v>92</v>
      </c>
      <c r="B41" s="29">
        <f>+Parameters!I69</f>
        <v>0.25397360434546151</v>
      </c>
    </row>
    <row r="42" spans="1:61 16384:16384" s="45" customFormat="1" ht="18" customHeight="1" x14ac:dyDescent="0.2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 x14ac:dyDescent="0.2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 x14ac:dyDescent="0.2">
      <c r="A44" s="21" t="s">
        <v>23</v>
      </c>
      <c r="B44" s="29">
        <f>+Parameters!I70</f>
        <v>0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+Parameters!D134</f>
        <v>0</v>
      </c>
      <c r="C48" s="219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1.2285952438232585E-4</v>
      </c>
      <c r="D50" s="44">
        <f>100*$B$49*(Global!C135*$B$48+Global!C135^2*$C$48)*(C61/$B61)^(1/$C$49)</f>
        <v>1.6316032617510131E-4</v>
      </c>
      <c r="E50" s="44">
        <f>100*$B$49*(Global!D135*$B$48+Global!D135^2*$C$48)*(D61/$B61)^(1/$C$49)</f>
        <v>2.1122446856604169E-4</v>
      </c>
      <c r="F50" s="44">
        <f>100*$B$49*(Global!E135*$B$48+Global!E135^2*$C$48)*(E61/$B61)^(1/$C$49)</f>
        <v>2.6765885036266607E-4</v>
      </c>
      <c r="G50" s="44">
        <f>100*$B$49*(Global!F135*$B$48+Global!F135^2*$C$48)*(F61/$B61)^(1/$C$49)</f>
        <v>3.3083897546056933E-4</v>
      </c>
      <c r="H50" s="44">
        <f>100*$B$49*(Global!G135*$B$48+Global!G135^2*$C$48)*(G61/$B61)^(1/$C$49)</f>
        <v>4.1691775894352087E-4</v>
      </c>
      <c r="I50" s="44">
        <f>100*$B$49*(Global!H135*$B$48+Global!H135^2*$C$48)*(H61/$B61)^(1/$C$49)</f>
        <v>5.0178531246851486E-4</v>
      </c>
      <c r="J50" s="44">
        <f>100*$B$49*(Global!I135*$B$48+Global!I135^2*$C$48)*(I61/$B61)^(1/$C$49)</f>
        <v>6.1273759625217548E-4</v>
      </c>
      <c r="K50" s="44">
        <f>100*$B$49*(Global!J135*$B$48+Global!J135^2*$C$48)*(J61/$B61)^(1/$C$49)</f>
        <v>7.35696891178438E-4</v>
      </c>
      <c r="L50" s="44">
        <f>100*$B$49*(Global!K135*$B$48+Global!K135^2*$C$48)*(K61/$B61)^(1/$C$49)</f>
        <v>8.6715843670952546E-4</v>
      </c>
      <c r="M50" s="44">
        <f>100*$B$49*(Global!L135*$B$48+Global!L135^2*$C$48)*(L61/$B61)^(1/$C$49)</f>
        <v>1.020065919502723E-3</v>
      </c>
      <c r="N50" s="44">
        <f>100*$B$49*(Global!M135*$B$48+Global!M135^2*$C$48)*(M61/$B61)^(1/$C$49)</f>
        <v>1.1587325986600677E-3</v>
      </c>
      <c r="O50" s="44">
        <f>100*$B$49*(Global!N135*$B$48+Global!N135^2*$C$48)*(N61/$B61)^(1/$C$49)</f>
        <v>1.318525260444592E-3</v>
      </c>
      <c r="P50" s="44">
        <f>100*$B$49*(Global!O135*$B$48+Global!O135^2*$C$48)*(O61/$B61)^(1/$C$49)</f>
        <v>1.4958053542775819E-3</v>
      </c>
      <c r="Q50" s="44">
        <f>100*$B$49*(Global!P135*$B$48+Global!P135^2*$C$48)*(P61/$B61)^(1/$C$49)</f>
        <v>1.6706528941042174E-3</v>
      </c>
      <c r="R50" s="44">
        <f>100*$B$49*(Global!Q135*$B$48+Global!Q135^2*$C$48)*(Q61/$B61)^(1/$C$49)</f>
        <v>1.8753300950339724E-3</v>
      </c>
      <c r="S50" s="44">
        <f>100*$B$49*(Global!R135*$B$48+Global!R135^2*$C$48)*(R61/$B61)^(1/$C$49)</f>
        <v>2.0956621268386094E-3</v>
      </c>
      <c r="T50" s="44">
        <f>100*$B$49*(Global!S135*$B$48+Global!S135^2*$C$48)*(S61/$B61)^(1/$C$49)</f>
        <v>2.3348323890096442E-3</v>
      </c>
      <c r="U50" s="44">
        <f>100*$B$49*(Global!T135*$B$48+Global!T135^2*$C$48)*(T61/$B61)^(1/$C$49)</f>
        <v>2.5457547131576795E-3</v>
      </c>
      <c r="V50" s="44">
        <f>100*$B$49*(Global!U135*$B$48+Global!U135^2*$C$48)*(U61/$B61)^(1/$C$49)</f>
        <v>2.6972974707953198E-3</v>
      </c>
      <c r="W50" s="44">
        <f>100*$B$49*(Global!V135*$B$48+Global!V135^2*$C$48)*(V61/$B61)^(1/$C$49)</f>
        <v>2.9509253960173735E-3</v>
      </c>
      <c r="X50" s="44">
        <f>100*$B$49*(Global!W135*$B$48+Global!W135^2*$C$48)*(W61/$B61)^(1/$C$49)</f>
        <v>3.1905878112929646E-3</v>
      </c>
      <c r="Y50" s="44">
        <f>100*$B$49*(Global!X135*$B$48+Global!X135^2*$C$48)*(X61/$B61)^(1/$C$49)</f>
        <v>3.445381167526088E-3</v>
      </c>
      <c r="Z50" s="44">
        <f>100*$B$49*(Global!Y135*$B$48+Global!Y135^2*$C$48)*(Y61/$B61)^(1/$C$49)</f>
        <v>3.6953293558709987E-3</v>
      </c>
      <c r="AA50" s="44">
        <f>100*$B$49*(Global!Z135*$B$48+Global!Z135^2*$C$48)*(Z61/$B61)^(1/$C$49)</f>
        <v>3.9552374185899252E-3</v>
      </c>
      <c r="AB50" s="44">
        <f>100*$B$49*(Global!AA135*$B$48+Global!AA135^2*$C$48)*(AA61/$B61)^(1/$C$49)</f>
        <v>4.2289007061520074E-3</v>
      </c>
      <c r="AC50" s="44">
        <f>100*$B$49*(Global!AB135*$B$48+Global!AB135^2*$C$48)*(AB61/$B61)^(1/$C$49)</f>
        <v>4.5558779187683278E-3</v>
      </c>
      <c r="AD50" s="44">
        <f>100*$B$49*(Global!AC135*$B$48+Global!AC135^2*$C$48)*(AC61/$B61)^(1/$C$49)</f>
        <v>4.8864118344223474E-3</v>
      </c>
      <c r="AE50" s="44">
        <f>100*$B$49*(Global!AD135*$B$48+Global!AD135^2*$C$48)*(AD61/$B61)^(1/$C$49)</f>
        <v>5.2192039917543275E-3</v>
      </c>
      <c r="AF50" s="44">
        <f>100*$B$49*(Global!AE135*$B$48+Global!AE135^2*$C$48)*(AE61/$B61)^(1/$C$49)</f>
        <v>5.5856749383277858E-3</v>
      </c>
      <c r="AG50" s="44">
        <f>100*$B$49*(Global!AF135*$B$48+Global!AF135^2*$C$48)*(AF61/$B61)^(1/$C$49)</f>
        <v>5.8961560760865646E-3</v>
      </c>
      <c r="AH50" s="44">
        <f>100*$B$49*(Global!AG135*$B$48+Global!AG135^2*$C$48)*(AG61/$B61)^(1/$C$49)</f>
        <v>6.2904077371001583E-3</v>
      </c>
      <c r="AI50" s="44">
        <f>100*$B$49*(Global!AH135*$B$48+Global!AH135^2*$C$48)*(AH61/$B61)^(1/$C$49)</f>
        <v>6.5830332758833434E-3</v>
      </c>
      <c r="AJ50" s="44">
        <f>100*$B$49*(Global!AI135*$B$48+Global!AI135^2*$C$48)*(AI61/$B61)^(1/$C$49)</f>
        <v>1.017640602305553E-2</v>
      </c>
      <c r="AK50" s="44">
        <f>100*$B$49*(Global!AJ135*$B$48+Global!AJ135^2*$C$48)*(AJ61/$B61)^(1/$C$49)</f>
        <v>1.1204279024807419E-2</v>
      </c>
      <c r="AL50" s="44">
        <f>100*$B$49*(Global!AK135*$B$48+Global!AK135^2*$C$48)*(AK61/$B61)^(1/$C$49)</f>
        <v>1.1729221478306113E-2</v>
      </c>
      <c r="AM50" s="44">
        <f>100*$B$49*(Global!AL135*$B$48+Global!AL135^2*$C$48)*(AL61/$B61)^(1/$C$49)</f>
        <v>1.2054162129369963E-2</v>
      </c>
      <c r="AN50" s="44">
        <f>100*$B$49*(Global!AM135*$B$48+Global!AM135^2*$C$48)*(AM61/$B61)^(1/$C$49)</f>
        <v>1.2289864344089454E-2</v>
      </c>
      <c r="AO50" s="44">
        <f>100*$B$49*(Global!AN135*$B$48+Global!AN135^2*$C$48)*(AN61/$B61)^(1/$C$49)</f>
        <v>1.2483714371569463E-2</v>
      </c>
      <c r="AP50" s="44">
        <f>100*$B$49*(Global!AO135*$B$48+Global!AO135^2*$C$48)*(AO61/$B61)^(1/$C$49)</f>
        <v>1.2658308537951562E-2</v>
      </c>
      <c r="AQ50" s="44">
        <f>100*$B$49*(Global!AP135*$B$48+Global!AP135^2*$C$48)*(AP61/$B61)^(1/$C$49)</f>
        <v>1.2825106379481675E-2</v>
      </c>
      <c r="AR50" s="44">
        <f>100*$B$49*(Global!AQ135*$B$48+Global!AQ135^2*$C$48)*(AQ61/$B61)^(1/$C$49)</f>
        <v>1.2990134560721419E-2</v>
      </c>
      <c r="AS50" s="44">
        <f>100*$B$49*(Global!AR135*$B$48+Global!AR135^2*$C$48)*(AR61/$B61)^(1/$C$49)</f>
        <v>1.3156642243662134E-2</v>
      </c>
      <c r="AT50" s="44">
        <f>100*$B$49*(Global!AS135*$B$48+Global!AS135^2*$C$48)*(AS61/$B61)^(1/$C$49)</f>
        <v>1.3326420647686242E-2</v>
      </c>
      <c r="AU50" s="44">
        <f>100*$B$49*(Global!AT135*$B$48+Global!AT135^2*$C$48)*(AT61/$B61)^(1/$C$49)</f>
        <v>1.3500484035134938E-2</v>
      </c>
      <c r="AV50" s="44">
        <f>100*$B$49*(Global!AU135*$B$48+Global!AU135^2*$C$48)*(AU61/$B61)^(1/$C$49)</f>
        <v>1.3679428777588536E-2</v>
      </c>
      <c r="AW50" s="44">
        <f>100*$B$49*(Global!AV135*$B$48+Global!AV135^2*$C$48)*(AV61/$B61)^(1/$C$49)</f>
        <v>1.3863625032072793E-2</v>
      </c>
      <c r="AX50" s="44">
        <f>100*$B$49*(Global!AW135*$B$48+Global!AW135^2*$C$48)*(AW61/$B61)^(1/$C$49)</f>
        <v>1.405331982930144E-2</v>
      </c>
      <c r="AY50" s="44">
        <f>100*$B$49*(Global!AX135*$B$48+Global!AX135^2*$C$48)*(AX61/$B61)^(1/$C$49)</f>
        <v>1.4248692804651792E-2</v>
      </c>
      <c r="AZ50" s="44">
        <f>100*$B$49*(Global!AY135*$B$48+Global!AY135^2*$C$48)*(AY61/$B61)^(1/$C$49)</f>
        <v>1.4449886462903025E-2</v>
      </c>
      <c r="BA50" s="44">
        <f>100*$B$49*(Global!AZ135*$B$48+Global!AZ135^2*$C$48)*(AZ61/$B61)^(1/$C$49)</f>
        <v>1.465702269685684E-2</v>
      </c>
      <c r="BB50" s="44">
        <f>100*$B$49*(Global!BA135*$B$48+Global!BA135^2*$C$48)*(BA61/$B61)^(1/$C$49)</f>
        <v>1.4870211865090344E-2</v>
      </c>
      <c r="BC50" s="44">
        <f>100*$B$49*(Global!BB135*$B$48+Global!BB135^2*$C$48)*(BB61/$B61)^(1/$C$49)</f>
        <v>1.5089557831092554E-2</v>
      </c>
      <c r="BD50" s="44">
        <f>100*$B$49*(Global!BC135*$B$48+Global!BC135^2*$C$48)*(BC61/$B61)^(1/$C$49)</f>
        <v>1.5315160803368416E-2</v>
      </c>
      <c r="BE50" s="44">
        <f>100*$B$49*(Global!BD135*$B$48+Global!BD135^2*$C$48)*(BD61/$B61)^(1/$C$49)</f>
        <v>1.5547118972840871E-2</v>
      </c>
      <c r="BF50" s="44">
        <f>100*$B$49*(Global!BE135*$B$48+Global!BE135^2*$C$48)*(BE61/$B61)^(1/$C$49)</f>
        <v>1.5785529488099127E-2</v>
      </c>
      <c r="BG50" s="44">
        <f>100*$B$49*(Global!BF135*$B$48+Global!BF135^2*$C$48)*(BF61/$B61)^(1/$C$49)</f>
        <v>1.6030699766567808E-2</v>
      </c>
      <c r="BH50" s="44">
        <f>100*$B$49*(Global!BG135*$B$48+Global!BG135^2*$C$48)*(BG61/$B61)^(1/$C$49)</f>
        <v>1.628251847087242E-2</v>
      </c>
      <c r="BI50" s="44">
        <f>100*$B$49*(Global!BH135*$B$48+Global!BH135^2*$C$48)*(BH61/$B61)^(1/$C$49)</f>
        <v>1.6541026245206408E-2</v>
      </c>
      <c r="BJ50" s="44">
        <f>100*$B$49*(Global!BI135*$B$48+Global!BI135^2*$C$48)*(BI61/$B61)^(1/$C$49)</f>
        <v>1.6806317931948551E-2</v>
      </c>
      <c r="BK50" s="44">
        <f>100*$B$49*(Global!BJ80*$B$48+Global!BJ80^2*$C$48)*(BJ61/$B61)^(1/$C$49)</f>
        <v>1.693598099114043E-2</v>
      </c>
      <c r="BL50" s="44">
        <f>100*$B$49*(Global!BK80*$B$48+Global!BK80^2*$C$48)*(BK61/$B61)^(1/$C$49)</f>
        <v>1.7069440181795417E-2</v>
      </c>
      <c r="BM50" s="44">
        <f>100*$B$49*(Global!BL80*$B$48+Global!BL80^2*$C$48)*(BL61/$B61)^(1/$C$49)</f>
        <v>1.7206650736913357E-2</v>
      </c>
      <c r="BN50" s="44">
        <f>100*$B$49*(Global!BM80*$B$48+Global!BM80^2*$C$48)*(BM61/$B61)^(1/$C$49)</f>
        <v>1.7347569501100574E-2</v>
      </c>
      <c r="BO50" s="44">
        <f>100*$B$49*(Global!BN80*$B$48+Global!BN80^2*$C$48)*(BN61/$B61)^(1/$C$49)</f>
        <v>1.7492154846400765E-2</v>
      </c>
      <c r="BP50" s="44">
        <f>100*$B$49*(Global!BO80*$B$48+Global!BO80^2*$C$48)*(BO61/$B61)^(1/$C$49)</f>
        <v>1.7640366592713824E-2</v>
      </c>
      <c r="BQ50" s="44">
        <f>100*$B$49*(Global!BP80*$B$48+Global!BP80^2*$C$48)*(BP61/$B61)^(1/$C$49)</f>
        <v>1.7792165932560413E-2</v>
      </c>
      <c r="BR50" s="44">
        <f>100*$B$49*(Global!BQ80*$B$48+Global!BQ80^2*$C$48)*(BQ61/$B61)^(1/$C$49)</f>
        <v>1.7947515359962488E-2</v>
      </c>
      <c r="BS50" s="44">
        <f>100*$B$49*(Global!BR80*$B$48+Global!BR80^2*$C$48)*(BR61/$B61)^(1/$C$49)</f>
        <v>1.8106378603221823E-2</v>
      </c>
      <c r="BT50" s="44">
        <f>100*$B$49*(Global!BS80*$B$48+Global!BS80^2*$C$48)*(BS61/$B61)^(1/$C$49)</f>
        <v>1.8268720561389593E-2</v>
      </c>
      <c r="BU50" s="44">
        <f>100*$B$49*(Global!BT80*$B$48+Global!BT80^2*$C$48)*(BT61/$B61)^(1/$C$49)</f>
        <v>1.8434507244230562E-2</v>
      </c>
      <c r="BV50" s="44">
        <f>100*$B$49*(Global!BU80*$B$48+Global!BU80^2*$C$48)*(BU61/$B61)^(1/$C$49)</f>
        <v>1.8603705715495852E-2</v>
      </c>
      <c r="BW50" s="44">
        <f>100*$B$49*(Global!BV80*$B$48+Global!BV80^2*$C$48)*(BV61/$B61)^(1/$C$49)</f>
        <v>1.8776284039327358E-2</v>
      </c>
      <c r="BX50" s="44">
        <f>100*$B$49*(Global!BW80*$B$48+Global!BW80^2*$C$48)*(BW61/$B61)^(1/$C$49)</f>
        <v>1.8952211229626283E-2</v>
      </c>
      <c r="BY50" s="44">
        <f>100*$B$49*(Global!BX80*$B$48+Global!BX80^2*$C$48)*(BX61/$B61)^(1/$C$49)</f>
        <v>1.9131457202226788E-2</v>
      </c>
      <c r="BZ50" s="44">
        <f>100*$B$49*(Global!BY80*$B$48+Global!BY80^2*$C$48)*(BY61/$B61)^(1/$C$49)</f>
        <v>1.9313992729723901E-2</v>
      </c>
      <c r="CA50" s="44">
        <f>100*$B$49*(Global!BZ80*$B$48+Global!BZ80^2*$C$48)*(BZ61/$B61)^(1/$C$49)</f>
        <v>1.9499789398812636E-2</v>
      </c>
      <c r="CB50" s="44">
        <f>100*$B$49*(Global!CA80*$B$48+Global!CA80^2*$C$48)*(CA61/$B61)^(1/$C$49)</f>
        <v>1.9688819570002902E-2</v>
      </c>
      <c r="CC50" s="44">
        <f>100*$B$49*(Global!CB80*$B$48+Global!CB80^2*$C$48)*(CB61/$B61)^(1/$C$49)</f>
        <v>1.9881056339581187E-2</v>
      </c>
      <c r="CD50" s="44">
        <f>100*$B$49*(Global!CC80*$B$48+Global!CC80^2*$C$48)*(CC61/$B61)^(1/$C$49)</f>
        <v>2.0076473503697588E-2</v>
      </c>
      <c r="CE50" s="44">
        <f>100*$B$49*(Global!CD80*$B$48+Global!CD80^2*$C$48)*(CD61/$B61)^(1/$C$49)</f>
        <v>2.0275045524462122E-2</v>
      </c>
      <c r="CF50" s="44">
        <f>100*$B$49*(Global!CE80*$B$48+Global!CE80^2*$C$48)*(CE61/$B61)^(1/$C$49)</f>
        <v>2.0476747497941039E-2</v>
      </c>
      <c r="CG50" s="44">
        <f>100*$B$49*(Global!CF80*$B$48+Global!CF80^2*$C$48)*(CF61/$B61)^(1/$C$49)</f>
        <v>2.0681555123949237E-2</v>
      </c>
      <c r="CH50" s="44">
        <f>100*$B$49*(Global!CG80*$B$48+Global!CG80^2*$C$48)*(CG61/$B61)^(1/$C$49)</f>
        <v>2.0889444677540153E-2</v>
      </c>
      <c r="CI50" s="44">
        <f>100*$B$49*(Global!CH80*$B$48+Global!CH80^2*$C$48)*(CH61/$B61)^(1/$C$49)</f>
        <v>2.110039298210014E-2</v>
      </c>
      <c r="CJ50" s="44">
        <f>100*$B$49*(Global!CI80*$B$48+Global!CI80^2*$C$48)*(CI61/$B61)^(1/$C$49)</f>
        <v>2.1314377383958704E-2</v>
      </c>
      <c r="CK50" s="44">
        <f>100*$B$49*(Global!CJ80*$B$48+Global!CJ80^2*$C$48)*(CJ61/$B61)^(1/$C$49)</f>
        <v>2.1531375728430908E-2</v>
      </c>
      <c r="CL50" s="44">
        <f>100*$B$49*(Global!CK80*$B$48+Global!CK80^2*$C$48)*(CK61/$B61)^(1/$C$49)</f>
        <v>2.175136633721278E-2</v>
      </c>
      <c r="CM50" s="44">
        <f>100*$B$49*(Global!CL80*$B$48+Global!CL80^2*$C$48)*(CL61/$B61)^(1/$C$49)</f>
        <v>2.1974327987054298E-2</v>
      </c>
      <c r="CN50" s="44">
        <f>100*$B$49*(Global!CM80*$B$48+Global!CM80^2*$C$48)*(CM61/$B61)^(1/$C$49)</f>
        <v>2.2200239889638995E-2</v>
      </c>
      <c r="CO50" s="44">
        <f>100*$B$49*(Global!CN80*$B$48+Global!CN80^2*$C$48)*(CN61/$B61)^(1/$C$49)</f>
        <v>2.2429081672602758E-2</v>
      </c>
      <c r="CP50" s="44">
        <f>100*$B$49*(Global!CO80*$B$48+Global!CO80^2*$C$48)*(CO61/$B61)^(1/$C$49)</f>
        <v>2.2660833361627806E-2</v>
      </c>
      <c r="CQ50" s="44">
        <f>100*$B$49*(Global!CP80*$B$48+Global!CP80^2*$C$48)*(CP61/$B61)^(1/$C$49)</f>
        <v>2.2895475363551777E-2</v>
      </c>
      <c r="CR50" s="44">
        <f>100*$B$49*(Global!CQ80*$B$48+Global!CQ80^2*$C$48)*(CQ61/$B61)^(1/$C$49)</f>
        <v>2.3132988450434343E-2</v>
      </c>
      <c r="CS50" s="44">
        <f>100*$B$49*(Global!CR80*$B$48+Global!CR80^2*$C$48)*(CR61/$B61)^(1/$C$49)</f>
        <v>2.3373353744527512E-2</v>
      </c>
      <c r="CT50" s="44">
        <f>100*$B$49*(Global!CS80*$B$48+Global!CS80^2*$C$48)*(CS61/$B61)^(1/$C$49)</f>
        <v>2.3616552704098133E-2</v>
      </c>
      <c r="CU50" s="44">
        <f>100*$B$49*(Global!CT80*$B$48+Global!CT80^2*$C$48)*(CT61/$B61)^(1/$C$49)</f>
        <v>2.3862567110054383E-2</v>
      </c>
      <c r="CV50" s="44">
        <f>100*$B$49*(Global!CU80*$B$48+Global!CU80^2*$C$48)*(CU61/$B61)^(1/$C$49)</f>
        <v>2.4111379053330096E-2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35">
        <f>+Data!B237/1000</f>
        <v>2.9680666810329152E-2</v>
      </c>
      <c r="C52" s="114">
        <f>+B95-B92</f>
        <v>8.3853840803468529</v>
      </c>
    </row>
    <row r="53" spans="1:105" ht="18" customHeight="1" x14ac:dyDescent="0.2">
      <c r="A53" s="21" t="s">
        <v>121</v>
      </c>
      <c r="B53" s="135">
        <f>+Data!O172</f>
        <v>-90.960117330759886</v>
      </c>
      <c r="C53" s="114">
        <f>+Data!Q172</f>
        <v>-34.076238157336846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5" x14ac:dyDescent="0.2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5" x14ac:dyDescent="0.2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3.1787896424460942</v>
      </c>
      <c r="C61" s="682">
        <v>3.0183580539036825</v>
      </c>
      <c r="D61" s="682">
        <v>2.5797582183598742</v>
      </c>
      <c r="E61" s="682">
        <v>2.3561308364597</v>
      </c>
      <c r="F61" s="682">
        <v>2.0599709397421151</v>
      </c>
      <c r="G61" s="682">
        <v>1.9746154587137954</v>
      </c>
      <c r="H61" s="682">
        <v>1.9004672770985134</v>
      </c>
      <c r="I61" s="682">
        <v>1.9270722188850999</v>
      </c>
      <c r="J61" s="682">
        <v>1.82493813076686</v>
      </c>
      <c r="K61" s="682">
        <v>1.9417326143075169</v>
      </c>
      <c r="L61" s="682">
        <v>2.1359071730807302</v>
      </c>
      <c r="M61" s="682">
        <v>2.2448395330417967</v>
      </c>
      <c r="N61" s="682">
        <v>2.3503468094679958</v>
      </c>
      <c r="O61" s="682">
        <v>2.5219210065080127</v>
      </c>
      <c r="P61" s="682">
        <v>2.7034980042877836</v>
      </c>
      <c r="Q61" s="682">
        <v>2.8765209424494276</v>
      </c>
      <c r="R61" s="682">
        <v>3.1123976230870856</v>
      </c>
      <c r="S61" s="682">
        <v>3.3769507291375116</v>
      </c>
      <c r="T61" s="682">
        <v>3.5525511291147605</v>
      </c>
      <c r="U61" s="682">
        <v>3.2754523572978012</v>
      </c>
      <c r="V61" s="682">
        <v>3.4228477133502189</v>
      </c>
      <c r="W61" s="682">
        <v>3.5700311640055729</v>
      </c>
      <c r="X61" s="682">
        <v>3.7136922938936583</v>
      </c>
      <c r="Y61" s="682">
        <v>3.7788832709568285</v>
      </c>
      <c r="Z61" s="682">
        <v>3.80670594982967</v>
      </c>
      <c r="AA61" s="682">
        <v>3.7316103296875518</v>
      </c>
      <c r="AB61" s="682">
        <v>3.7388380883942891</v>
      </c>
      <c r="AC61" s="682">
        <v>3.8071014227219249</v>
      </c>
      <c r="AD61" s="682">
        <v>3.9139761026880211</v>
      </c>
      <c r="AE61" s="682">
        <v>4.0000082608275322</v>
      </c>
      <c r="AF61" s="682">
        <v>3.8938618615726019</v>
      </c>
      <c r="AG61" s="682">
        <v>4.1124745733131745</v>
      </c>
      <c r="AH61" s="682">
        <v>4.027358213095213</v>
      </c>
      <c r="AI61" s="45">
        <f t="shared" ref="B61:BI61" si="11">AI20*AI74^$B7*(AI56/1000)^(1-$B7)</f>
        <v>18.093192989797213</v>
      </c>
      <c r="AJ61" s="45">
        <f t="shared" si="11"/>
        <v>26.536938231987662</v>
      </c>
      <c r="AK61" s="45">
        <f t="shared" si="11"/>
        <v>31.759922878885583</v>
      </c>
      <c r="AL61" s="45">
        <f t="shared" si="11"/>
        <v>35.250572411041574</v>
      </c>
      <c r="AM61" s="45">
        <f t="shared" si="11"/>
        <v>37.841425106990819</v>
      </c>
      <c r="AN61" s="45">
        <f t="shared" si="11"/>
        <v>39.964922681784152</v>
      </c>
      <c r="AO61" s="45">
        <f t="shared" si="11"/>
        <v>41.851605852967047</v>
      </c>
      <c r="AP61" s="45">
        <f t="shared" si="11"/>
        <v>43.627246339786524</v>
      </c>
      <c r="AQ61" s="45">
        <f t="shared" si="11"/>
        <v>45.361681641831687</v>
      </c>
      <c r="AR61" s="45">
        <f t="shared" si="11"/>
        <v>47.0943593937047</v>
      </c>
      <c r="AS61" s="45">
        <f t="shared" si="11"/>
        <v>48.848059018853512</v>
      </c>
      <c r="AT61" s="45">
        <f t="shared" si="11"/>
        <v>50.63637771469525</v>
      </c>
      <c r="AU61" s="45">
        <f t="shared" si="11"/>
        <v>52.467849783476218</v>
      </c>
      <c r="AV61" s="45">
        <f t="shared" si="11"/>
        <v>54.348224134531563</v>
      </c>
      <c r="AW61" s="45">
        <f t="shared" si="11"/>
        <v>56.281726931602918</v>
      </c>
      <c r="AX61" s="45">
        <f t="shared" si="11"/>
        <v>58.271762962008765</v>
      </c>
      <c r="AY61" s="45">
        <f t="shared" si="11"/>
        <v>60.321306011547669</v>
      </c>
      <c r="AZ61" s="45">
        <f t="shared" si="11"/>
        <v>62.433116785591587</v>
      </c>
      <c r="BA61" s="45">
        <f t="shared" si="11"/>
        <v>64.609865182463807</v>
      </c>
      <c r="BB61" s="45">
        <f t="shared" si="11"/>
        <v>66.854199530078048</v>
      </c>
      <c r="BC61" s="45">
        <f t="shared" si="11"/>
        <v>69.168786431852311</v>
      </c>
      <c r="BD61" s="45">
        <f t="shared" si="11"/>
        <v>71.556334343966938</v>
      </c>
      <c r="BE61" s="45">
        <f t="shared" si="11"/>
        <v>74.019608165191158</v>
      </c>
      <c r="BF61" s="45">
        <f t="shared" si="11"/>
        <v>76.565464241698521</v>
      </c>
      <c r="BG61" s="45">
        <f t="shared" si="11"/>
        <v>79.192980881862681</v>
      </c>
      <c r="BH61" s="45">
        <f t="shared" si="11"/>
        <v>81.904029903470402</v>
      </c>
      <c r="BI61" s="45">
        <f t="shared" si="11"/>
        <v>84.701570451530486</v>
      </c>
      <c r="BJ61" s="45">
        <f>+BI61</f>
        <v>84.701570451530486</v>
      </c>
      <c r="BK61" s="45">
        <f t="shared" ref="BK61:CV61" si="12">+BJ61</f>
        <v>84.701570451530486</v>
      </c>
      <c r="BL61" s="45">
        <f t="shared" si="12"/>
        <v>84.701570451530486</v>
      </c>
      <c r="BM61" s="45">
        <f t="shared" si="12"/>
        <v>84.701570451530486</v>
      </c>
      <c r="BN61" s="45">
        <f t="shared" si="12"/>
        <v>84.701570451530486</v>
      </c>
      <c r="BO61" s="45">
        <f t="shared" si="12"/>
        <v>84.701570451530486</v>
      </c>
      <c r="BP61" s="45">
        <f t="shared" si="12"/>
        <v>84.701570451530486</v>
      </c>
      <c r="BQ61" s="45">
        <f t="shared" si="12"/>
        <v>84.701570451530486</v>
      </c>
      <c r="BR61" s="45">
        <f t="shared" si="12"/>
        <v>84.701570451530486</v>
      </c>
      <c r="BS61" s="45">
        <f t="shared" si="12"/>
        <v>84.701570451530486</v>
      </c>
      <c r="BT61" s="45">
        <f t="shared" si="12"/>
        <v>84.701570451530486</v>
      </c>
      <c r="BU61" s="45">
        <f t="shared" si="12"/>
        <v>84.701570451530486</v>
      </c>
      <c r="BV61" s="45">
        <f t="shared" si="12"/>
        <v>84.701570451530486</v>
      </c>
      <c r="BW61" s="45">
        <f t="shared" si="12"/>
        <v>84.701570451530486</v>
      </c>
      <c r="BX61" s="45">
        <f t="shared" si="12"/>
        <v>84.701570451530486</v>
      </c>
      <c r="BY61" s="45">
        <f t="shared" si="12"/>
        <v>84.701570451530486</v>
      </c>
      <c r="BZ61" s="45">
        <f t="shared" si="12"/>
        <v>84.701570451530486</v>
      </c>
      <c r="CA61" s="45">
        <f t="shared" si="12"/>
        <v>84.701570451530486</v>
      </c>
      <c r="CB61" s="45">
        <f t="shared" si="12"/>
        <v>84.701570451530486</v>
      </c>
      <c r="CC61" s="45">
        <f t="shared" si="12"/>
        <v>84.701570451530486</v>
      </c>
      <c r="CD61" s="45">
        <f t="shared" si="12"/>
        <v>84.701570451530486</v>
      </c>
      <c r="CE61" s="45">
        <f t="shared" si="12"/>
        <v>84.701570451530486</v>
      </c>
      <c r="CF61" s="45">
        <f t="shared" si="12"/>
        <v>84.701570451530486</v>
      </c>
      <c r="CG61" s="45">
        <f t="shared" si="12"/>
        <v>84.701570451530486</v>
      </c>
      <c r="CH61" s="45">
        <f t="shared" si="12"/>
        <v>84.701570451530486</v>
      </c>
      <c r="CI61" s="45">
        <f t="shared" si="12"/>
        <v>84.701570451530486</v>
      </c>
      <c r="CJ61" s="45">
        <f t="shared" si="12"/>
        <v>84.701570451530486</v>
      </c>
      <c r="CK61" s="45">
        <f t="shared" si="12"/>
        <v>84.701570451530486</v>
      </c>
      <c r="CL61" s="45">
        <f t="shared" si="12"/>
        <v>84.701570451530486</v>
      </c>
      <c r="CM61" s="45">
        <f t="shared" si="12"/>
        <v>84.701570451530486</v>
      </c>
      <c r="CN61" s="45">
        <f t="shared" si="12"/>
        <v>84.701570451530486</v>
      </c>
      <c r="CO61" s="45">
        <f t="shared" si="12"/>
        <v>84.701570451530486</v>
      </c>
      <c r="CP61" s="45">
        <f t="shared" si="12"/>
        <v>84.701570451530486</v>
      </c>
      <c r="CQ61" s="45">
        <f t="shared" si="12"/>
        <v>84.701570451530486</v>
      </c>
      <c r="CR61" s="45">
        <f t="shared" si="12"/>
        <v>84.701570451530486</v>
      </c>
      <c r="CS61" s="45">
        <f t="shared" si="12"/>
        <v>84.701570451530486</v>
      </c>
      <c r="CT61" s="45">
        <f t="shared" si="12"/>
        <v>84.701570451530486</v>
      </c>
      <c r="CU61" s="45">
        <f t="shared" si="12"/>
        <v>84.701570451530486</v>
      </c>
      <c r="CV61" s="45">
        <f t="shared" si="12"/>
        <v>84.701570451530486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5.964629688105992E-4</v>
      </c>
      <c r="C62" s="63">
        <f>($B24*C81+$B25*C81^$B$26+$B$29*(C81/$B$27)^$B$28)*Parameters!$B$116*0.01</f>
        <v>5.1649735088556711E-4</v>
      </c>
      <c r="D62" s="63">
        <f>($B24*D81+$B25*D81^$B$26+$B$29*(D81/$B$27)^$B$28)*Parameters!$B$116*0.01</f>
        <v>2.7625532178129794E-4</v>
      </c>
      <c r="E62" s="63">
        <f>($B24*E81+$B25*E81^$B$26+$B$29*(E81/$B$27)^$B$28)*Parameters!$B$116*0.01</f>
        <v>2.8764610764400034E-4</v>
      </c>
      <c r="F62" s="63">
        <f>($B24*F81+$B25*F81^$B$26+$B$29*(F81/$B$27)^$B$28)*Parameters!$B$116*0.01</f>
        <v>3.8705660244576687E-4</v>
      </c>
      <c r="G62" s="63">
        <f>($B24*G81+$B25*G81^$B$26+$B$29*(G81/$B$27)^$B$28)*Parameters!$B$116*0.01</f>
        <v>5.8000961145336237E-4</v>
      </c>
      <c r="H62" s="63">
        <f>($B24*H81+$B25*H81^$B$26+$B$29*(H81/$B$27)^$B$28)*Parameters!$B$116*0.01</f>
        <v>4.1421039500736051E-4</v>
      </c>
      <c r="I62" s="63">
        <f>($B24*I81+$B25*I81^$B$26+$B$29*(I81/$B$27)^$B$28)*Parameters!$B$116*0.01</f>
        <v>6.1314644305395113E-4</v>
      </c>
      <c r="J62" s="63">
        <f>($B24*J81+$B25*J81^$B$26+$B$29*(J81/$B$27)^$B$28)*Parameters!$B$116*0.01</f>
        <v>8.7087735550297563E-4</v>
      </c>
      <c r="K62" s="63">
        <f>($B24*K81+$B25*K81^$B$26+$B$29*(K81/$B$27)^$B$28)*Parameters!$B$116*0.01</f>
        <v>4.8612192191836067E-4</v>
      </c>
      <c r="L62" s="63">
        <f>($B24*L81+$B25*L81^$B$26+$B$29*(L81/$B$27)^$B$28)*Parameters!$B$116*0.01</f>
        <v>5.0119457795890626E-4</v>
      </c>
      <c r="M62" s="63">
        <f>($B24*M81+$B25*M81^$B$26+$B$29*(M81/$B$27)^$B$28)*Parameters!$B$116*0.01</f>
        <v>7.3637403556864106E-4</v>
      </c>
      <c r="N62" s="63">
        <f>($B24*N81+$B25*N81^$B$26+$B$29*(N81/$B$27)^$B$28)*Parameters!$B$116*0.01</f>
        <v>9.3197338876656126E-4</v>
      </c>
      <c r="O62" s="63">
        <f>($B24*O81+$B25*O81^$B$26+$B$29*(O81/$B$27)^$B$28)*Parameters!$B$116*0.01</f>
        <v>9.1137792745925078E-4</v>
      </c>
      <c r="P62" s="63">
        <f>($B24*P81+$B25*P81^$B$26+$B$29*(P81/$B$27)^$B$28)*Parameters!$B$116*0.01</f>
        <v>7.3637403556864106E-4</v>
      </c>
      <c r="Q62" s="63">
        <f>($B24*Q81+$B25*Q81^$B$26+$B$29*(Q81/$B$27)^$B$28)*Parameters!$B$116*0.01</f>
        <v>1.0166564028569549E-3</v>
      </c>
      <c r="R62" s="63">
        <f>($B24*R81+$B25*R81^$B$26+$B$29*(R81/$B$27)^$B$28)*Parameters!$B$116*0.01</f>
        <v>9.5279896695998694E-4</v>
      </c>
      <c r="S62" s="63">
        <f>($B24*S81+$B25*S81^$B$26+$B$29*(S81/$B$27)^$B$28)*Parameters!$B$116*0.01</f>
        <v>9.9514047400518389E-4</v>
      </c>
      <c r="T62" s="63">
        <f>($B24*T81+$B25*T81^$B$26+$B$29*(T81/$B$27)^$B$28)*Parameters!$B$116*0.01</f>
        <v>7.5489844490091466E-4</v>
      </c>
      <c r="U62" s="63">
        <f>($B24*U81+$B25*U81^$B$26+$B$29*(U81/$B$27)^$B$28)*Parameters!$B$116*0.01</f>
        <v>9.738546620395276E-4</v>
      </c>
      <c r="V62" s="63">
        <f>($B24*V81+$B25*V81^$B$26+$B$29*(V81/$B$27)^$B$28)*Parameters!$B$116*0.01</f>
        <v>1.1276878004075391E-3</v>
      </c>
      <c r="W62" s="63">
        <f>($B24*W81+$B25*W81^$B$26+$B$29*(W81/$B$27)^$B$28)*Parameters!$B$116*0.01</f>
        <v>8.910125830380555E-4</v>
      </c>
      <c r="X62" s="63">
        <f>($B24*X81+$B25*X81^$B$26+$B$29*(X81/$B$27)^$B$28)*Parameters!$B$116*0.01</f>
        <v>9.738546620395276E-4</v>
      </c>
      <c r="Y62" s="63">
        <f>($B24*Y81+$B25*Y81^$B$26+$B$29*(Y81/$B$27)^$B$28)*Parameters!$B$116*0.01</f>
        <v>1.0384024485948413E-3</v>
      </c>
      <c r="Z62" s="63">
        <f>($B24*Z81+$B25*Z81^$B$26+$B$29*(Z81/$B$27)^$B$28)*Parameters!$B$116*0.01</f>
        <v>1.1737111776305791E-3</v>
      </c>
      <c r="AA62" s="63">
        <f>($B24*AA81+$B25*AA81^$B$26+$B$29*(AA81/$B$27)^$B$28)*Parameters!$B$116*0.01</f>
        <v>1.5750350270154882E-3</v>
      </c>
      <c r="AB62" s="63">
        <f>($B24*AB81+$B25*AB81^$B$26+$B$29*(AB81/$B$27)^$B$28)*Parameters!$B$116*0.01</f>
        <v>1.8851175310557208E-3</v>
      </c>
      <c r="AC62" s="63">
        <f>($B24*AC81+$B25*AC81^$B$26+$B$29*(AC81/$B$27)^$B$28)*Parameters!$B$116*0.01</f>
        <v>1.6293426121386757E-3</v>
      </c>
      <c r="AD62" s="63">
        <f>($B24*AD81+$B25*AD81^$B$26+$B$29*(AD81/$B$27)^$B$28)*Parameters!$B$116*0.01</f>
        <v>1.4432931097145363E-3</v>
      </c>
      <c r="AE62" s="63">
        <f>($B24*AE81+$B25*AE81^$B$26+$B$29*(AE81/$B$27)^$B$28)*Parameters!$B$116*0.01</f>
        <v>1.7977881727750022E-3</v>
      </c>
      <c r="AF62" s="63">
        <f>($B24*AF81+$B25*AF81^$B$26+$B$29*(AF81/$B$27)^$B$28)*Parameters!$B$116*0.01</f>
        <v>1.8851175310557208E-3</v>
      </c>
      <c r="AG62" s="63">
        <f>($B24*AG81+$B25*AG81^$B$26+$B$29*(AG81/$B$27)^$B$28)*Parameters!$B$116*0.01</f>
        <v>1.4432931097145363E-3</v>
      </c>
      <c r="AH62" s="63">
        <f>($B24*AH81+$B25*AH81^$B$26+$B$29*(AH81/$B$27)^$B$28)*Parameters!$B$116*0.01</f>
        <v>1.5482264097830675E-3</v>
      </c>
      <c r="AI62" s="63">
        <f>($B24*AI81+$B25*AI81^$B$26+$B$29*(AI81/$B$27)^$B$28)*Parameters!$B$116*0.01</f>
        <v>2.3858518752423968E-3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5.964629688105992E-4</v>
      </c>
      <c r="C63" s="63">
        <f t="shared" si="13"/>
        <v>5.1772594612939035E-4</v>
      </c>
      <c r="D63" s="63">
        <f t="shared" si="13"/>
        <v>2.7788692504304897E-4</v>
      </c>
      <c r="E63" s="63">
        <f t="shared" si="13"/>
        <v>2.8975835232966077E-4</v>
      </c>
      <c r="F63" s="63">
        <f t="shared" si="13"/>
        <v>3.8973319094939352E-4</v>
      </c>
      <c r="G63" s="63">
        <f t="shared" si="13"/>
        <v>5.8331800120796807E-4</v>
      </c>
      <c r="H63" s="63">
        <f t="shared" si="13"/>
        <v>4.1837957259679574E-4</v>
      </c>
      <c r="I63" s="63">
        <f t="shared" si="13"/>
        <v>6.1816429617863624E-4</v>
      </c>
      <c r="J63" s="63">
        <f t="shared" si="13"/>
        <v>8.7700473146549735E-4</v>
      </c>
      <c r="K63" s="63">
        <f t="shared" si="13"/>
        <v>4.93478890830145E-4</v>
      </c>
      <c r="L63" s="63">
        <f t="shared" si="13"/>
        <v>5.0986616232600148E-4</v>
      </c>
      <c r="M63" s="63">
        <f t="shared" si="13"/>
        <v>7.4657469476366832E-4</v>
      </c>
      <c r="N63" s="63">
        <f t="shared" si="13"/>
        <v>9.435607147531619E-4</v>
      </c>
      <c r="O63" s="63">
        <f t="shared" si="13"/>
        <v>9.2456318006369669E-4</v>
      </c>
      <c r="P63" s="63">
        <f t="shared" si="13"/>
        <v>7.5133208911141688E-4</v>
      </c>
      <c r="Q63" s="63">
        <f t="shared" si="13"/>
        <v>1.0333629317979972E-3</v>
      </c>
      <c r="R63" s="63">
        <f t="shared" si="13"/>
        <v>9.7155226791032661E-4</v>
      </c>
      <c r="S63" s="63">
        <f t="shared" si="13"/>
        <v>1.0160970952735699E-3</v>
      </c>
      <c r="T63" s="63">
        <f t="shared" si="13"/>
        <v>7.7824676879101112E-4</v>
      </c>
      <c r="U63" s="63">
        <f t="shared" si="13"/>
        <v>9.993122091711043E-4</v>
      </c>
      <c r="V63" s="63">
        <f t="shared" si="13"/>
        <v>1.1546607751154923E-3</v>
      </c>
      <c r="W63" s="63">
        <f t="shared" si="13"/>
        <v>9.2052183699822918E-4</v>
      </c>
      <c r="X63" s="63">
        <f t="shared" si="13"/>
        <v>1.0057605401524573E-3</v>
      </c>
      <c r="Y63" s="63">
        <f t="shared" si="13"/>
        <v>1.0728562602701022E-3</v>
      </c>
      <c r="Z63" s="63">
        <f t="shared" si="13"/>
        <v>1.2106644711892892E-3</v>
      </c>
      <c r="AA63" s="63">
        <f t="shared" si="13"/>
        <v>1.6145874012013874E-3</v>
      </c>
      <c r="AB63" s="63">
        <f t="shared" si="13"/>
        <v>1.9274065381172409E-3</v>
      </c>
      <c r="AC63" s="63">
        <f t="shared" si="13"/>
        <v>1.674901391326359E-3</v>
      </c>
      <c r="AD63" s="63">
        <f t="shared" si="13"/>
        <v>1.4921572280587598E-3</v>
      </c>
      <c r="AE63" s="63">
        <f t="shared" si="13"/>
        <v>1.8499802126925454E-3</v>
      </c>
      <c r="AF63" s="63">
        <f t="shared" si="13"/>
        <v>1.9409742804389987E-3</v>
      </c>
      <c r="AG63" s="63">
        <f t="shared" si="13"/>
        <v>1.5022546704754019E-3</v>
      </c>
      <c r="AH63" s="63">
        <f t="shared" si="13"/>
        <v>1.6111304871540692E-3</v>
      </c>
      <c r="AI63" s="63">
        <f t="shared" si="13"/>
        <v>2.4516822080012301E-3</v>
      </c>
      <c r="AJ63" s="63">
        <f t="shared" si="13"/>
        <v>1.0176406023055531E-4</v>
      </c>
      <c r="AK63" s="63">
        <f t="shared" si="13"/>
        <v>1.120427902480742E-4</v>
      </c>
      <c r="AL63" s="63">
        <f t="shared" si="13"/>
        <v>1.1729221478306113E-4</v>
      </c>
      <c r="AM63" s="63">
        <f t="shared" si="13"/>
        <v>1.2054162129369963E-4</v>
      </c>
      <c r="AN63" s="63">
        <f t="shared" si="13"/>
        <v>1.2289864344089453E-4</v>
      </c>
      <c r="AO63" s="63">
        <f t="shared" si="13"/>
        <v>1.2483714371569463E-4</v>
      </c>
      <c r="AP63" s="63">
        <f t="shared" si="13"/>
        <v>1.2658308537951562E-4</v>
      </c>
      <c r="AQ63" s="63">
        <f t="shared" si="13"/>
        <v>1.2825106379481675E-4</v>
      </c>
      <c r="AR63" s="63">
        <f t="shared" si="13"/>
        <v>1.2990134560721418E-4</v>
      </c>
      <c r="AS63" s="63">
        <f t="shared" si="13"/>
        <v>1.3156642243662134E-4</v>
      </c>
      <c r="AT63" s="63">
        <f t="shared" si="13"/>
        <v>1.3326420647686243E-4</v>
      </c>
      <c r="AU63" s="63">
        <f t="shared" si="13"/>
        <v>1.3500484035134939E-4</v>
      </c>
      <c r="AV63" s="63">
        <f t="shared" si="13"/>
        <v>1.3679428777588535E-4</v>
      </c>
      <c r="AW63" s="63">
        <f t="shared" si="13"/>
        <v>1.3863625032072794E-4</v>
      </c>
      <c r="AX63" s="63">
        <f t="shared" si="13"/>
        <v>1.4053319829301439E-4</v>
      </c>
      <c r="AY63" s="63">
        <f t="shared" si="13"/>
        <v>1.4248692804651791E-4</v>
      </c>
      <c r="AZ63" s="63">
        <f t="shared" si="13"/>
        <v>1.4449886462903025E-4</v>
      </c>
      <c r="BA63" s="63">
        <f t="shared" si="13"/>
        <v>1.465702269685684E-4</v>
      </c>
      <c r="BB63" s="63">
        <f t="shared" si="13"/>
        <v>1.4870211865090343E-4</v>
      </c>
      <c r="BC63" s="63">
        <f t="shared" si="13"/>
        <v>1.5089557831092555E-4</v>
      </c>
      <c r="BD63" s="63">
        <f t="shared" si="13"/>
        <v>1.5315160803368416E-4</v>
      </c>
      <c r="BE63" s="63">
        <f t="shared" si="13"/>
        <v>1.554711897284087E-4</v>
      </c>
      <c r="BF63" s="63">
        <f t="shared" si="13"/>
        <v>1.5785529488099127E-4</v>
      </c>
      <c r="BG63" s="63">
        <f t="shared" si="13"/>
        <v>1.6030699766567808E-4</v>
      </c>
      <c r="BH63" s="63">
        <f t="shared" si="13"/>
        <v>1.6282518470872421E-4</v>
      </c>
      <c r="BI63" s="63">
        <f t="shared" si="13"/>
        <v>1.6541026245206407E-4</v>
      </c>
      <c r="BJ63" s="63">
        <f t="shared" si="13"/>
        <v>1.6806317931948551E-4</v>
      </c>
      <c r="BK63" s="63">
        <f t="shared" si="13"/>
        <v>1.693598099114043E-4</v>
      </c>
      <c r="BL63" s="63">
        <f t="shared" si="13"/>
        <v>1.7069440181795417E-4</v>
      </c>
      <c r="BM63" s="63">
        <f t="shared" si="13"/>
        <v>1.7206650736913357E-4</v>
      </c>
      <c r="BN63" s="63">
        <f t="shared" ref="BN63:CV63" si="14">+BN62+BN50/100</f>
        <v>1.7347569501100575E-4</v>
      </c>
      <c r="BO63" s="63">
        <f t="shared" si="14"/>
        <v>1.7492154846400764E-4</v>
      </c>
      <c r="BP63" s="63">
        <f t="shared" si="14"/>
        <v>1.7640366592713825E-4</v>
      </c>
      <c r="BQ63" s="63">
        <f t="shared" si="14"/>
        <v>1.7792165932560414E-4</v>
      </c>
      <c r="BR63" s="63">
        <f t="shared" si="14"/>
        <v>1.7947515359962487E-4</v>
      </c>
      <c r="BS63" s="63">
        <f t="shared" si="14"/>
        <v>1.8106378603221823E-4</v>
      </c>
      <c r="BT63" s="63">
        <f t="shared" si="14"/>
        <v>1.8268720561389593E-4</v>
      </c>
      <c r="BU63" s="63">
        <f t="shared" si="14"/>
        <v>1.8434507244230561E-4</v>
      </c>
      <c r="BV63" s="63">
        <f t="shared" si="14"/>
        <v>1.8603705715495851E-4</v>
      </c>
      <c r="BW63" s="63">
        <f t="shared" si="14"/>
        <v>1.8776284039327359E-4</v>
      </c>
      <c r="BX63" s="63">
        <f t="shared" si="14"/>
        <v>1.8952211229626283E-4</v>
      </c>
      <c r="BY63" s="63">
        <f t="shared" si="14"/>
        <v>1.913145720222679E-4</v>
      </c>
      <c r="BZ63" s="63">
        <f t="shared" si="14"/>
        <v>1.9313992729723902E-4</v>
      </c>
      <c r="CA63" s="63">
        <f t="shared" si="14"/>
        <v>1.9499789398812637E-4</v>
      </c>
      <c r="CB63" s="63">
        <f t="shared" si="14"/>
        <v>1.9688819570002903E-4</v>
      </c>
      <c r="CC63" s="63">
        <f t="shared" si="14"/>
        <v>1.9881056339581189E-4</v>
      </c>
      <c r="CD63" s="63">
        <f t="shared" si="14"/>
        <v>2.0076473503697587E-4</v>
      </c>
      <c r="CE63" s="63">
        <f t="shared" si="14"/>
        <v>2.0275045524462121E-4</v>
      </c>
      <c r="CF63" s="63">
        <f t="shared" si="14"/>
        <v>2.0476747497941039E-4</v>
      </c>
      <c r="CG63" s="63">
        <f t="shared" si="14"/>
        <v>2.0681555123949237E-4</v>
      </c>
      <c r="CH63" s="63">
        <f t="shared" si="14"/>
        <v>2.0889444677540153E-4</v>
      </c>
      <c r="CI63" s="63">
        <f t="shared" si="14"/>
        <v>2.1100392982100139E-4</v>
      </c>
      <c r="CJ63" s="63">
        <f t="shared" si="14"/>
        <v>2.1314377383958703E-4</v>
      </c>
      <c r="CK63" s="63">
        <f t="shared" si="14"/>
        <v>2.1531375728430909E-4</v>
      </c>
      <c r="CL63" s="63">
        <f t="shared" si="14"/>
        <v>2.1751366337212781E-4</v>
      </c>
      <c r="CM63" s="63">
        <f t="shared" si="14"/>
        <v>2.1974327987054297E-4</v>
      </c>
      <c r="CN63" s="63">
        <f t="shared" si="14"/>
        <v>2.2200239889638994E-4</v>
      </c>
      <c r="CO63" s="63">
        <f t="shared" si="14"/>
        <v>2.2429081672602758E-4</v>
      </c>
      <c r="CP63" s="63">
        <f t="shared" si="14"/>
        <v>2.2660833361627805E-4</v>
      </c>
      <c r="CQ63" s="63">
        <f t="shared" si="14"/>
        <v>2.2895475363551778E-4</v>
      </c>
      <c r="CR63" s="63">
        <f t="shared" si="14"/>
        <v>2.3132988450434342E-4</v>
      </c>
      <c r="CS63" s="63">
        <f t="shared" si="14"/>
        <v>2.3373353744527513E-4</v>
      </c>
      <c r="CT63" s="63">
        <f t="shared" si="14"/>
        <v>2.3616552704098132E-4</v>
      </c>
      <c r="CU63" s="63">
        <f t="shared" si="14"/>
        <v>2.3862567110054383E-4</v>
      </c>
      <c r="CV63" s="63">
        <f t="shared" si="14"/>
        <v>2.4111379053330095E-4</v>
      </c>
    </row>
    <row r="64" spans="1:105" s="143" customFormat="1" ht="18" customHeight="1" x14ac:dyDescent="0.2">
      <c r="A64" s="559" t="s">
        <v>1133</v>
      </c>
      <c r="B64" s="143">
        <f>+B61-B65</f>
        <v>1.8949000696366625E-3</v>
      </c>
      <c r="C64" s="143">
        <f>+C63*C61/(1+C63^Parameters!$B$125)</f>
        <v>1.5626822792145494E-3</v>
      </c>
      <c r="D64" s="143">
        <f>+D63*D61/(1+D63^Parameters!$B$125)</f>
        <v>7.1688107865455991E-4</v>
      </c>
      <c r="E64" s="143">
        <f>+E63*E61/(1+E63^Parameters!$B$125)</f>
        <v>6.8270858904566811E-4</v>
      </c>
      <c r="F64" s="143">
        <f>+F63*F61/(1+F63^Parameters!$B$125)</f>
        <v>8.0283904760871533E-4</v>
      </c>
      <c r="G64" s="143">
        <f>+G63*G61/(1+G63^Parameters!$B$125)</f>
        <v>1.1518287425312862E-3</v>
      </c>
      <c r="H64" s="143">
        <f>+H63*H61/(1+H63^Parameters!$B$125)</f>
        <v>7.9511668712667219E-4</v>
      </c>
      <c r="I64" s="143">
        <f>+I63*I61/(1+I63^Parameters!$B$125)</f>
        <v>1.1912472418725106E-3</v>
      </c>
      <c r="J64" s="143">
        <f>+J63*J61/(1+J63^Parameters!$B$125)</f>
        <v>1.6004793753143366E-3</v>
      </c>
      <c r="K64" s="143">
        <f>+K63*K61/(1+K63^Parameters!$B$125)</f>
        <v>9.5820405679719113E-4</v>
      </c>
      <c r="L64" s="143">
        <f>+L63*L61/(1+L63^Parameters!$B$125)</f>
        <v>1.0890267934232506E-3</v>
      </c>
      <c r="M64" s="143">
        <f>+M63*M61/(1+M63^Parameters!$B$125)</f>
        <v>1.6759403891740952E-3</v>
      </c>
      <c r="N64" s="143">
        <f>+N63*N61/(1+N63^Parameters!$B$125)</f>
        <v>2.2176949154594358E-3</v>
      </c>
      <c r="O64" s="143">
        <f>+O63*O61/(1+O63^Parameters!$B$125)</f>
        <v>2.3316753056464869E-3</v>
      </c>
      <c r="P64" s="143">
        <f>+P63*P61/(1+P63^Parameters!$B$125)</f>
        <v>2.0312248034700868E-3</v>
      </c>
      <c r="Q64" s="143">
        <f>+Q63*Q61/(1+Q63^Parameters!$B$125)</f>
        <v>2.9724901144678783E-3</v>
      </c>
      <c r="R64" s="143">
        <f>+R63*R61/(1+R63^Parameters!$B$125)</f>
        <v>3.023856969348968E-3</v>
      </c>
      <c r="S64" s="143">
        <f>+S63*S61/(1+S63^Parameters!$B$125)</f>
        <v>3.4313098267585895E-3</v>
      </c>
      <c r="T64" s="143">
        <f>+T63*T61/(1+T63^Parameters!$B$125)</f>
        <v>2.7647614371984204E-3</v>
      </c>
      <c r="U64" s="143">
        <f>+U63*U61/(1+U63^Parameters!$B$125)</f>
        <v>3.2731995312059669E-3</v>
      </c>
      <c r="V64" s="143">
        <f>+V63*V61/(1+V63^Parameters!$B$125)</f>
        <v>3.9522279937992538E-3</v>
      </c>
      <c r="W64" s="143">
        <f>+W63*W61/(1+W63^Parameters!$B$125)</f>
        <v>3.2862916452313365E-3</v>
      </c>
      <c r="X64" s="143">
        <f>+X63*X61/(1+X63^Parameters!$B$125)</f>
        <v>3.7350851674665042E-3</v>
      </c>
      <c r="Y64" s="143">
        <f>+Y63*Y61/(1+Y63^Parameters!$B$125)</f>
        <v>4.0541985740759944E-3</v>
      </c>
      <c r="Z64" s="143">
        <f>+Z63*Z61/(1+Z63^Parameters!$B$125)</f>
        <v>4.6086436457236585E-3</v>
      </c>
      <c r="AA64" s="143">
        <f>+AA63*AA61/(1+AA63^Parameters!$B$125)</f>
        <v>6.025011024506477E-3</v>
      </c>
      <c r="AB64" s="143">
        <f>+AB63*AB61/(1+AB63^Parameters!$B$125)</f>
        <v>7.2062609765329196E-3</v>
      </c>
      <c r="AC64" s="143">
        <f>+AC63*AC61/(1+AC63^Parameters!$B$125)</f>
        <v>6.3765194698375133E-3</v>
      </c>
      <c r="AD64" s="143">
        <f>+AD63*AD61/(1+AD63^Parameters!$B$125)</f>
        <v>5.8402677320751857E-3</v>
      </c>
      <c r="AE64" s="143">
        <f>+AE63*AE61/(1+AE63^Parameters!$B$125)</f>
        <v>7.3999361331376565E-3</v>
      </c>
      <c r="AF64" s="143">
        <f>+AF63*AF61/(1+AF63^Parameters!$B$125)</f>
        <v>7.5578857248947409E-3</v>
      </c>
      <c r="AG64" s="143">
        <f>+AG63*AG61/(1+AG63^Parameters!$B$125)</f>
        <v>6.1779841349710518E-3</v>
      </c>
      <c r="AH64" s="143">
        <f>+AH63*AH61/(1+AH63^Parameters!$B$125)</f>
        <v>6.4885995998080316E-3</v>
      </c>
      <c r="AI64" s="143">
        <f>+AI63*AI61/(1+AI63^Parameters!$B$125)</f>
        <v>4.4358759339018408E-2</v>
      </c>
      <c r="AJ64" s="143">
        <f>+AJ63*AJ61/(1+AJ63^Parameters!$B$125)</f>
        <v>2.7005065805745182E-3</v>
      </c>
      <c r="AK64" s="143">
        <f>+AK63*AK61/(1+AK63^Parameters!$B$125)</f>
        <v>3.55847037741399E-3</v>
      </c>
      <c r="AL64" s="143">
        <f>+AL63*AL61/(1+AL63^Parameters!$B$125)</f>
        <v>4.1346177104617373E-3</v>
      </c>
      <c r="AM64" s="143">
        <f>+AM63*AM61/(1+AM63^Parameters!$B$125)</f>
        <v>4.561466734460784E-3</v>
      </c>
      <c r="AN64" s="143">
        <f>+AN63*AN61/(1+AN63^Parameters!$B$125)</f>
        <v>4.911634782811509E-3</v>
      </c>
      <c r="AO64" s="143">
        <f>+AO63*AO61/(1+AO63^Parameters!$B$125)</f>
        <v>5.224634934599454E-3</v>
      </c>
      <c r="AP64" s="143">
        <f>+AP63*AP61/(1+AP63^Parameters!$B$125)</f>
        <v>5.5224714483023581E-3</v>
      </c>
      <c r="AQ64" s="143">
        <f>+AQ63*AQ61/(1+AQ63^Parameters!$B$125)</f>
        <v>5.8176839260867235E-3</v>
      </c>
      <c r="AR64" s="143">
        <f>+AR63*AR61/(1+AR63^Parameters!$B$125)</f>
        <v>6.1176206557519881E-3</v>
      </c>
      <c r="AS64" s="143">
        <f>+AS63*AS61/(1+AS63^Parameters!$B$125)</f>
        <v>6.4267643680834922E-3</v>
      </c>
      <c r="AT64" s="143">
        <f>+AT63*AT61/(1+AT63^Parameters!$B$125)</f>
        <v>6.748016695011543E-3</v>
      </c>
      <c r="AU64" s="143">
        <f>+AU63*AU61/(1+AU63^Parameters!$B$125)</f>
        <v>7.0834136835967888E-3</v>
      </c>
      <c r="AV64" s="143">
        <f>+AV63*AV61/(1+AV63^Parameters!$B$125)</f>
        <v>7.4345266123674279E-3</v>
      </c>
      <c r="AW64" s="143">
        <f>+AW63*AW61/(1+AW63^Parameters!$B$125)</f>
        <v>7.8026875833725568E-3</v>
      </c>
      <c r="AX64" s="143">
        <f>+AX63*AX61/(1+AX63^Parameters!$B$125)</f>
        <v>8.1891172192235101E-3</v>
      </c>
      <c r="AY64" s="143">
        <f>+AY63*AY61/(1+AY63^Parameters!$B$125)</f>
        <v>8.5949975893393812E-3</v>
      </c>
      <c r="AZ64" s="143">
        <f>+AZ63*AZ61/(1+AZ63^Parameters!$B$125)</f>
        <v>9.0215144907696346E-3</v>
      </c>
      <c r="BA64" s="143">
        <f>+BA63*BA61/(1+BA63^Parameters!$B$125)</f>
        <v>9.4698826042023242E-3</v>
      </c>
      <c r="BB64" s="143">
        <f>+BB63*BB61/(1+BB63^Parameters!$B$125)</f>
        <v>9.9413611108328387E-3</v>
      </c>
      <c r="BC64" s="143">
        <f>+BC63*BC61/(1+BC63^Parameters!$B$125)</f>
        <v>1.0437264029699255E-2</v>
      </c>
      <c r="BD64" s="143">
        <f>+BD63*BD61/(1+BD63^Parameters!$B$125)</f>
        <v>1.0958967669774477E-2</v>
      </c>
      <c r="BE64" s="143">
        <f>+BE63*BE61/(1+BE63^Parameters!$B$125)</f>
        <v>1.1507916544672904E-2</v>
      </c>
      <c r="BF64" s="143">
        <f>+BF63*BF61/(1+BF63^Parameters!$B$125)</f>
        <v>1.2086263935573313E-2</v>
      </c>
      <c r="BG64" s="143">
        <f>+BG63*BG61/(1+BG63^Parameters!$B$125)</f>
        <v>1.269518900136685E-2</v>
      </c>
      <c r="BH64" s="143">
        <f>+BH63*BH61/(1+BH63^Parameters!$B$125)</f>
        <v>1.3336038797421439E-2</v>
      </c>
      <c r="BI64" s="143">
        <f>+BI63*BI61/(1+BI63^Parameters!$B$125)</f>
        <v>1.4010508998489653E-2</v>
      </c>
      <c r="BJ64" s="143">
        <f>+BJ63*BJ61/(1+BJ63^Parameters!$B$125)</f>
        <v>1.4235215223437602E-2</v>
      </c>
      <c r="BK64" s="143">
        <f>+BK63*BK61/(1+BK63^Parameters!$B$125)</f>
        <v>1.4345041870868623E-2</v>
      </c>
      <c r="BL64" s="143">
        <f>+BL63*BL61/(1+BL63^Parameters!$B$125)</f>
        <v>1.4458083901265299E-2</v>
      </c>
      <c r="BM64" s="143">
        <f>+BM63*BM61/(1+BM63^Parameters!$B$125)</f>
        <v>1.4574303396275457E-2</v>
      </c>
      <c r="BN64" s="143">
        <f>+BN63*BN61/(1+BN63^Parameters!$B$125)</f>
        <v>1.4693663802602919E-2</v>
      </c>
      <c r="BO64" s="143">
        <f>+BO63*BO61/(1+BO63^Parameters!$B$125)</f>
        <v>1.4816129860714948E-2</v>
      </c>
      <c r="BP64" s="143">
        <f>+BP63*BP61/(1+BP63^Parameters!$B$125)</f>
        <v>1.4941667537435747E-2</v>
      </c>
      <c r="BQ64" s="143">
        <f>+BQ63*BQ61/(1+BQ63^Parameters!$B$125)</f>
        <v>1.5070243962220866E-2</v>
      </c>
      <c r="BR64" s="143">
        <f>+BR63*BR61/(1+BR63^Parameters!$B$125)</f>
        <v>1.5201827366917881E-2</v>
      </c>
      <c r="BS64" s="143">
        <f>+BS63*BS61/(1+BS63^Parameters!$B$125)</f>
        <v>1.5336387028828774E-2</v>
      </c>
      <c r="BT64" s="143">
        <f>+BT63*BT61/(1+BT63^Parameters!$B$125)</f>
        <v>1.5473893216898642E-2</v>
      </c>
      <c r="BU64" s="143">
        <f>+BU63*BU61/(1+BU63^Parameters!$B$125)</f>
        <v>1.5614317140864439E-2</v>
      </c>
      <c r="BV64" s="143">
        <f>+BV63*BV61/(1+BV63^Parameters!$B$125)</f>
        <v>1.5757630903206123E-2</v>
      </c>
      <c r="BW64" s="143">
        <f>+BW63*BW61/(1+BW63^Parameters!$B$125)</f>
        <v>1.5903807453750338E-2</v>
      </c>
      <c r="BX64" s="143">
        <f>+BX63*BX61/(1+BX63^Parameters!$B$125)</f>
        <v>1.605282054678478E-2</v>
      </c>
      <c r="BY64" s="143">
        <f>+BY63*BY61/(1+BY63^Parameters!$B$125)</f>
        <v>1.6204644700548526E-2</v>
      </c>
      <c r="BZ64" s="143">
        <f>+BZ63*BZ61/(1+BZ63^Parameters!$B$125)</f>
        <v>1.6359255158970566E-2</v>
      </c>
      <c r="CA64" s="143">
        <f>+CA63*CA61/(1+CA63^Parameters!$B$125)</f>
        <v>1.651662785553536E-2</v>
      </c>
      <c r="CB64" s="143">
        <f>+CB63*CB61/(1+CB63^Parameters!$B$125)</f>
        <v>1.667673937916073E-2</v>
      </c>
      <c r="CC64" s="143">
        <f>+CC63*CC61/(1+CC63^Parameters!$B$125)</f>
        <v>1.6839566941978829E-2</v>
      </c>
      <c r="CD64" s="143">
        <f>+CD63*CD61/(1+CD63^Parameters!$B$125)</f>
        <v>1.7005088348917261E-2</v>
      </c>
      <c r="CE64" s="143">
        <f>+CE63*CE61/(1+CE63^Parameters!$B$125)</f>
        <v>1.7173281968982164E-2</v>
      </c>
      <c r="CF64" s="143">
        <f>+CF63*CF61/(1+CF63^Parameters!$B$125)</f>
        <v>1.7344126708150536E-2</v>
      </c>
      <c r="CG64" s="143">
        <f>+CG63*CG61/(1+CG63^Parameters!$B$125)</f>
        <v>1.7517601983783975E-2</v>
      </c>
      <c r="CH64" s="143">
        <f>+CH63*CH61/(1+CH63^Parameters!$B$125)</f>
        <v>1.769368770048016E-2</v>
      </c>
      <c r="CI64" s="143">
        <f>+CI63*CI61/(1+CI63^Parameters!$B$125)</f>
        <v>1.7872364227283343E-2</v>
      </c>
      <c r="CJ64" s="143">
        <f>+CJ63*CJ61/(1+CJ63^Parameters!$B$125)</f>
        <v>1.8053612376178862E-2</v>
      </c>
      <c r="CK64" s="143">
        <f>+CK63*CK61/(1+CK63^Parameters!$B$125)</f>
        <v>1.8237413381800641E-2</v>
      </c>
      <c r="CL64" s="143">
        <f>+CL63*CL61/(1+CL63^Parameters!$B$125)</f>
        <v>1.842374888228477E-2</v>
      </c>
      <c r="CM64" s="143">
        <f>+CM63*CM61/(1+CM63^Parameters!$B$125)</f>
        <v>1.8612600901205176E-2</v>
      </c>
      <c r="CN64" s="143">
        <f>+CN63*CN61/(1+CN63^Parameters!$B$125)</f>
        <v>1.8803951830531348E-2</v>
      </c>
      <c r="CO64" s="143">
        <f>+CO63*CO61/(1+CO63^Parameters!$B$125)</f>
        <v>1.8997784414550939E-2</v>
      </c>
      <c r="CP64" s="143">
        <f>+CP63*CP61/(1+CP63^Parameters!$B$125)</f>
        <v>1.9194081734703099E-2</v>
      </c>
      <c r="CQ64" s="143">
        <f>+CQ63*CQ61/(1+CQ63^Parameters!$B$125)</f>
        <v>1.9392827195271616E-2</v>
      </c>
      <c r="CR64" s="143">
        <f>+CR63*CR61/(1+CR63^Parameters!$B$125)</f>
        <v>1.9594004509889056E-2</v>
      </c>
      <c r="CS64" s="143">
        <f>+CS63*CS61/(1+CS63^Parameters!$B$125)</f>
        <v>1.9797597688806411E-2</v>
      </c>
      <c r="CT64" s="143">
        <f>+CT63*CT61/(1+CT63^Parameters!$B$125)</f>
        <v>2.0003591026884506E-2</v>
      </c>
      <c r="CU64" s="143">
        <f>+CU63*CU61/(1+CU63^Parameters!$B$125)</f>
        <v>2.0211969092266455E-2</v>
      </c>
      <c r="CV64" s="143">
        <f>+CV63*CV61/(1+CV63^Parameters!$B$125)</f>
        <v>2.0422716715691954E-2</v>
      </c>
    </row>
    <row r="65" spans="1:237" s="45" customFormat="1" ht="18" customHeight="1" x14ac:dyDescent="0.2">
      <c r="A65" s="555" t="s">
        <v>21</v>
      </c>
      <c r="B65" s="45">
        <f>+B61/(1+B63)</f>
        <v>3.1768947423764575</v>
      </c>
      <c r="C65" s="45">
        <f t="shared" ref="C65:BN65" si="15">+C61-C64</f>
        <v>3.0167953716244678</v>
      </c>
      <c r="D65" s="45">
        <f t="shared" si="15"/>
        <v>2.5790413372812195</v>
      </c>
      <c r="E65" s="45">
        <f t="shared" si="15"/>
        <v>2.3554481278706545</v>
      </c>
      <c r="F65" s="45">
        <f t="shared" si="15"/>
        <v>2.0591681006945062</v>
      </c>
      <c r="G65" s="45">
        <f t="shared" si="15"/>
        <v>1.973463629971264</v>
      </c>
      <c r="H65" s="45">
        <f t="shared" si="15"/>
        <v>1.8996721604113866</v>
      </c>
      <c r="I65" s="45">
        <f t="shared" si="15"/>
        <v>1.9258809716432275</v>
      </c>
      <c r="J65" s="45">
        <f t="shared" si="15"/>
        <v>1.8233376513915456</v>
      </c>
      <c r="K65" s="45">
        <f t="shared" si="15"/>
        <v>1.9407744102507196</v>
      </c>
      <c r="L65" s="45">
        <f t="shared" si="15"/>
        <v>2.1348181462873068</v>
      </c>
      <c r="M65" s="45">
        <f t="shared" si="15"/>
        <v>2.2431635926526226</v>
      </c>
      <c r="N65" s="45">
        <f t="shared" si="15"/>
        <v>2.3481291145525365</v>
      </c>
      <c r="O65" s="45">
        <f t="shared" si="15"/>
        <v>2.5195893312023663</v>
      </c>
      <c r="P65" s="45">
        <f t="shared" si="15"/>
        <v>2.7014667794843135</v>
      </c>
      <c r="Q65" s="45">
        <f t="shared" si="15"/>
        <v>2.8735484523349597</v>
      </c>
      <c r="R65" s="45">
        <f t="shared" si="15"/>
        <v>3.1093737661177365</v>
      </c>
      <c r="S65" s="45">
        <f t="shared" si="15"/>
        <v>3.3735194193107532</v>
      </c>
      <c r="T65" s="45">
        <f t="shared" si="15"/>
        <v>3.5497863676775618</v>
      </c>
      <c r="U65" s="45">
        <f t="shared" si="15"/>
        <v>3.2721791577665953</v>
      </c>
      <c r="V65" s="45">
        <f t="shared" si="15"/>
        <v>3.4188954853564195</v>
      </c>
      <c r="W65" s="45">
        <f t="shared" si="15"/>
        <v>3.5667448723603417</v>
      </c>
      <c r="X65" s="45">
        <f t="shared" si="15"/>
        <v>3.7099572087261916</v>
      </c>
      <c r="Y65" s="45">
        <f t="shared" si="15"/>
        <v>3.7748290723827527</v>
      </c>
      <c r="Z65" s="45">
        <f t="shared" si="15"/>
        <v>3.8020973061839465</v>
      </c>
      <c r="AA65" s="45">
        <f t="shared" si="15"/>
        <v>3.7255853186630454</v>
      </c>
      <c r="AB65" s="45">
        <f t="shared" si="15"/>
        <v>3.7316318274177562</v>
      </c>
      <c r="AC65" s="45">
        <f t="shared" si="15"/>
        <v>3.8007249032520876</v>
      </c>
      <c r="AD65" s="45">
        <f t="shared" si="15"/>
        <v>3.9081358349559459</v>
      </c>
      <c r="AE65" s="45">
        <f t="shared" si="15"/>
        <v>3.9926083246943946</v>
      </c>
      <c r="AF65" s="45">
        <f t="shared" si="15"/>
        <v>3.8863039758477074</v>
      </c>
      <c r="AG65" s="45">
        <f t="shared" si="15"/>
        <v>4.1062965891782035</v>
      </c>
      <c r="AH65" s="45">
        <f t="shared" si="15"/>
        <v>4.0208696134954049</v>
      </c>
      <c r="AI65" s="45">
        <f t="shared" si="15"/>
        <v>18.048834230458194</v>
      </c>
      <c r="AJ65" s="45">
        <f t="shared" si="15"/>
        <v>26.534237725407088</v>
      </c>
      <c r="AK65" s="45">
        <f t="shared" si="15"/>
        <v>31.756364408508169</v>
      </c>
      <c r="AL65" s="45">
        <f t="shared" si="15"/>
        <v>35.246437793331111</v>
      </c>
      <c r="AM65" s="45">
        <f t="shared" si="15"/>
        <v>37.836863640256361</v>
      </c>
      <c r="AN65" s="45">
        <f t="shared" si="15"/>
        <v>39.960011047001338</v>
      </c>
      <c r="AO65" s="45">
        <f t="shared" si="15"/>
        <v>41.846381218032448</v>
      </c>
      <c r="AP65" s="45">
        <f t="shared" si="15"/>
        <v>43.621723868338222</v>
      </c>
      <c r="AQ65" s="45">
        <f t="shared" si="15"/>
        <v>45.355863957905598</v>
      </c>
      <c r="AR65" s="45">
        <f t="shared" si="15"/>
        <v>47.088241773048949</v>
      </c>
      <c r="AS65" s="45">
        <f t="shared" si="15"/>
        <v>48.841632254485425</v>
      </c>
      <c r="AT65" s="45">
        <f t="shared" si="15"/>
        <v>50.629629698000237</v>
      </c>
      <c r="AU65" s="45">
        <f t="shared" si="15"/>
        <v>52.460766369792623</v>
      </c>
      <c r="AV65" s="45">
        <f t="shared" si="15"/>
        <v>54.340789607919199</v>
      </c>
      <c r="AW65" s="45">
        <f t="shared" si="15"/>
        <v>56.273924244019547</v>
      </c>
      <c r="AX65" s="45">
        <f t="shared" si="15"/>
        <v>58.263573844789541</v>
      </c>
      <c r="AY65" s="45">
        <f t="shared" si="15"/>
        <v>60.312711013958328</v>
      </c>
      <c r="AZ65" s="45">
        <f t="shared" si="15"/>
        <v>62.424095271100818</v>
      </c>
      <c r="BA65" s="45">
        <f t="shared" si="15"/>
        <v>64.600395299859599</v>
      </c>
      <c r="BB65" s="45">
        <f t="shared" si="15"/>
        <v>66.844258168967215</v>
      </c>
      <c r="BC65" s="45">
        <f t="shared" si="15"/>
        <v>69.158349167822607</v>
      </c>
      <c r="BD65" s="45">
        <f t="shared" si="15"/>
        <v>71.545375376297159</v>
      </c>
      <c r="BE65" s="45">
        <f t="shared" si="15"/>
        <v>74.008100248646485</v>
      </c>
      <c r="BF65" s="45">
        <f t="shared" si="15"/>
        <v>76.553377977762949</v>
      </c>
      <c r="BG65" s="45">
        <f t="shared" si="15"/>
        <v>79.180285692861318</v>
      </c>
      <c r="BH65" s="45">
        <f t="shared" si="15"/>
        <v>81.890693864672983</v>
      </c>
      <c r="BI65" s="45">
        <f t="shared" si="15"/>
        <v>84.68755994253199</v>
      </c>
      <c r="BJ65" s="45">
        <f t="shared" si="15"/>
        <v>84.68733523630705</v>
      </c>
      <c r="BK65" s="45">
        <f t="shared" si="15"/>
        <v>84.687225409659618</v>
      </c>
      <c r="BL65" s="45">
        <f t="shared" si="15"/>
        <v>84.687112367629226</v>
      </c>
      <c r="BM65" s="45">
        <f t="shared" si="15"/>
        <v>84.686996148134213</v>
      </c>
      <c r="BN65" s="45">
        <f t="shared" si="15"/>
        <v>84.686876787727883</v>
      </c>
      <c r="BO65" s="45">
        <f t="shared" ref="BO65:CV65" si="16">+BO61-BO64</f>
        <v>84.686754321669767</v>
      </c>
      <c r="BP65" s="45">
        <f t="shared" si="16"/>
        <v>84.686628783993044</v>
      </c>
      <c r="BQ65" s="45">
        <f t="shared" si="16"/>
        <v>84.686500207568258</v>
      </c>
      <c r="BR65" s="45">
        <f t="shared" si="16"/>
        <v>84.686368624163563</v>
      </c>
      <c r="BS65" s="45">
        <f t="shared" si="16"/>
        <v>84.686234064501662</v>
      </c>
      <c r="BT65" s="45">
        <f t="shared" si="16"/>
        <v>84.686096558313594</v>
      </c>
      <c r="BU65" s="45">
        <f t="shared" si="16"/>
        <v>84.685956134389627</v>
      </c>
      <c r="BV65" s="45">
        <f t="shared" si="16"/>
        <v>84.685812820627277</v>
      </c>
      <c r="BW65" s="45">
        <f t="shared" si="16"/>
        <v>84.685666644076733</v>
      </c>
      <c r="BX65" s="45">
        <f t="shared" si="16"/>
        <v>84.685517630983696</v>
      </c>
      <c r="BY65" s="45">
        <f t="shared" si="16"/>
        <v>84.685365806829935</v>
      </c>
      <c r="BZ65" s="45">
        <f t="shared" si="16"/>
        <v>84.685211196371512</v>
      </c>
      <c r="CA65" s="45">
        <f t="shared" si="16"/>
        <v>84.685053823674949</v>
      </c>
      <c r="CB65" s="45">
        <f t="shared" si="16"/>
        <v>84.684893712151322</v>
      </c>
      <c r="CC65" s="45">
        <f t="shared" si="16"/>
        <v>84.684730884588504</v>
      </c>
      <c r="CD65" s="45">
        <f t="shared" si="16"/>
        <v>84.684565363181562</v>
      </c>
      <c r="CE65" s="45">
        <f t="shared" si="16"/>
        <v>84.684397169561507</v>
      </c>
      <c r="CF65" s="45">
        <f t="shared" si="16"/>
        <v>84.684226324822333</v>
      </c>
      <c r="CG65" s="45">
        <f t="shared" si="16"/>
        <v>84.684052849546703</v>
      </c>
      <c r="CH65" s="45">
        <f t="shared" si="16"/>
        <v>84.68387676383</v>
      </c>
      <c r="CI65" s="45">
        <f t="shared" si="16"/>
        <v>84.683698087303199</v>
      </c>
      <c r="CJ65" s="45">
        <f t="shared" si="16"/>
        <v>84.683516839154308</v>
      </c>
      <c r="CK65" s="45">
        <f t="shared" si="16"/>
        <v>84.683333038148689</v>
      </c>
      <c r="CL65" s="45">
        <f t="shared" si="16"/>
        <v>84.683146702648202</v>
      </c>
      <c r="CM65" s="45">
        <f t="shared" si="16"/>
        <v>84.682957850629279</v>
      </c>
      <c r="CN65" s="45">
        <f t="shared" si="16"/>
        <v>84.682766499699952</v>
      </c>
      <c r="CO65" s="45">
        <f t="shared" si="16"/>
        <v>84.682572667115934</v>
      </c>
      <c r="CP65" s="45">
        <f t="shared" si="16"/>
        <v>84.68237636979579</v>
      </c>
      <c r="CQ65" s="45">
        <f t="shared" si="16"/>
        <v>84.68217762433521</v>
      </c>
      <c r="CR65" s="45">
        <f t="shared" si="16"/>
        <v>84.681976447020602</v>
      </c>
      <c r="CS65" s="45">
        <f t="shared" si="16"/>
        <v>84.681772853841679</v>
      </c>
      <c r="CT65" s="45">
        <f t="shared" si="16"/>
        <v>84.681566860503608</v>
      </c>
      <c r="CU65" s="45">
        <f t="shared" si="16"/>
        <v>84.681358482438213</v>
      </c>
      <c r="CV65" s="45">
        <f t="shared" si="16"/>
        <v>84.6811477348148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3.2779046361119281E-11</v>
      </c>
      <c r="E66" s="33">
        <f t="shared" si="17"/>
        <v>2.9091090646969728E-11</v>
      </c>
      <c r="F66" s="33">
        <f t="shared" si="17"/>
        <v>2.6124975111805385E-11</v>
      </c>
      <c r="G66" s="33">
        <f t="shared" si="17"/>
        <v>2.371164650845984E-11</v>
      </c>
      <c r="H66" s="33">
        <f t="shared" si="17"/>
        <v>2.1727368860052532E-11</v>
      </c>
      <c r="I66" s="33">
        <f t="shared" si="17"/>
        <v>2.0080222620173616E-11</v>
      </c>
      <c r="J66" s="33">
        <f t="shared" si="17"/>
        <v>1.87009756428812E-11</v>
      </c>
      <c r="K66" s="33">
        <f t="shared" si="17"/>
        <v>1.7536809419477691E-11</v>
      </c>
      <c r="L66" s="33">
        <f t="shared" si="17"/>
        <v>1.6546941799945001E-11</v>
      </c>
      <c r="M66" s="33">
        <f t="shared" si="17"/>
        <v>1.5699529394975338E-11</v>
      </c>
      <c r="N66" s="33">
        <f t="shared" si="17"/>
        <v>1.4969446320149672E-11</v>
      </c>
      <c r="O66" s="33">
        <f t="shared" si="17"/>
        <v>1.4336671456698119E-11</v>
      </c>
      <c r="P66" s="33">
        <f t="shared" si="17"/>
        <v>1.3785103796668264E-11</v>
      </c>
      <c r="Q66" s="33">
        <f t="shared" si="17"/>
        <v>1.3301682656365091E-11</v>
      </c>
      <c r="R66" s="33">
        <f t="shared" si="17"/>
        <v>1.2875727525446398E-11</v>
      </c>
      <c r="S66" s="33">
        <f t="shared" si="17"/>
        <v>1.2498437886102361E-11</v>
      </c>
      <c r="T66" s="33">
        <f t="shared" si="17"/>
        <v>1.216251073724424E-11</v>
      </c>
      <c r="U66" s="33">
        <f t="shared" si="17"/>
        <v>1.1861845566018967E-11</v>
      </c>
      <c r="V66" s="33">
        <f t="shared" si="17"/>
        <v>1.1591314896313528E-11</v>
      </c>
      <c r="W66" s="33">
        <f t="shared" si="17"/>
        <v>1.1346584522826649E-11</v>
      </c>
      <c r="X66" s="33">
        <f t="shared" si="17"/>
        <v>1.1123971428851424E-11</v>
      </c>
      <c r="Y66" s="33">
        <f t="shared" si="17"/>
        <v>1.092033087702057E-11</v>
      </c>
      <c r="Z66" s="33">
        <f t="shared" si="17"/>
        <v>1.0732965997009687E-11</v>
      </c>
      <c r="AA66" s="33">
        <f t="shared" si="17"/>
        <v>1.0559554920679066E-11</v>
      </c>
      <c r="AB66" s="33">
        <f t="shared" si="17"/>
        <v>2.6721404459431621E-3</v>
      </c>
      <c r="AC66" s="33">
        <f t="shared" si="17"/>
        <v>2.490618716009617E-3</v>
      </c>
      <c r="AD66" s="33">
        <f t="shared" si="17"/>
        <v>2.3249466449192101E-3</v>
      </c>
      <c r="AE66" s="33">
        <f t="shared" si="17"/>
        <v>2.1734005459205616E-3</v>
      </c>
      <c r="AF66" s="33">
        <f t="shared" si="17"/>
        <v>2.0344864398236097E-3</v>
      </c>
      <c r="AG66" s="33">
        <f t="shared" si="17"/>
        <v>1.9069038572037678E-3</v>
      </c>
      <c r="AH66" s="33">
        <f t="shared" ref="AH66:BI66" si="18">(AH31*(AH103)^$B38)</f>
        <v>1.7895161011231963E-3</v>
      </c>
      <c r="AI66" s="33">
        <f t="shared" si="18"/>
        <v>1.6813257036795664E-3</v>
      </c>
      <c r="AJ66" s="33">
        <f t="shared" si="18"/>
        <v>1.5814540781811603E-3</v>
      </c>
      <c r="AK66" s="33">
        <f t="shared" si="18"/>
        <v>1.4891245762227788E-3</v>
      </c>
      <c r="AL66" s="33">
        <f t="shared" si="18"/>
        <v>1.4036483201743592E-3</v>
      </c>
      <c r="AM66" s="33">
        <f t="shared" si="18"/>
        <v>1.32441230757827E-3</v>
      </c>
      <c r="AN66" s="33">
        <f t="shared" si="18"/>
        <v>1.2508693829005107E-3</v>
      </c>
      <c r="AO66" s="33">
        <f t="shared" si="18"/>
        <v>1.1825297501820299E-3</v>
      </c>
      <c r="AP66" s="33">
        <f t="shared" si="18"/>
        <v>1.118953762073515E-3</v>
      </c>
      <c r="AQ66" s="33">
        <f t="shared" si="18"/>
        <v>1.0597457700773345E-3</v>
      </c>
      <c r="AR66" s="33">
        <f t="shared" si="18"/>
        <v>1.0045488602951839E-3</v>
      </c>
      <c r="AS66" s="33">
        <f t="shared" si="18"/>
        <v>9.5304033069171104E-4</v>
      </c>
      <c r="AT66" s="33">
        <f t="shared" si="18"/>
        <v>9.0492779145958172E-4</v>
      </c>
      <c r="AU66" s="33">
        <f t="shared" si="18"/>
        <v>8.5994579077473007E-4</v>
      </c>
      <c r="AV66" s="33">
        <f t="shared" si="18"/>
        <v>8.1785288504990098E-4</v>
      </c>
      <c r="AW66" s="33">
        <f t="shared" si="18"/>
        <v>7.7842908650531373E-4</v>
      </c>
      <c r="AX66" s="33">
        <f t="shared" si="18"/>
        <v>7.4147363208852408E-4</v>
      </c>
      <c r="AY66" s="33">
        <f t="shared" si="18"/>
        <v>7.0680302697504534E-4</v>
      </c>
      <c r="AZ66" s="33">
        <f t="shared" si="18"/>
        <v>6.7424932345146768E-4</v>
      </c>
      <c r="BA66" s="33">
        <f t="shared" si="18"/>
        <v>6.4365860223042142E-4</v>
      </c>
      <c r="BB66" s="33">
        <f t="shared" si="18"/>
        <v>6.1488962841737855E-4</v>
      </c>
      <c r="BC66" s="33">
        <f t="shared" si="18"/>
        <v>5.8781265864036073E-4</v>
      </c>
      <c r="BD66" s="33">
        <f t="shared" si="18"/>
        <v>5.6230837942427788E-4</v>
      </c>
      <c r="BE66" s="33">
        <f t="shared" si="18"/>
        <v>2.7407552810029253E-4</v>
      </c>
      <c r="BF66" s="33">
        <f t="shared" si="18"/>
        <v>1.3359421662051269E-4</v>
      </c>
      <c r="BG66" s="33">
        <f t="shared" si="18"/>
        <v>6.5121527690121771E-5</v>
      </c>
      <c r="BH66" s="33">
        <f t="shared" si="18"/>
        <v>3.1745273612253245E-5</v>
      </c>
      <c r="BI66" s="33">
        <f t="shared" si="18"/>
        <v>1.5475667274416575E-5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 t="shared" ref="B67:AG67" si="19">+B61*B66</f>
        <v>1.563316452320975E-10</v>
      </c>
      <c r="C67" s="23">
        <f t="shared" si="19"/>
        <v>1.1295761072708433E-10</v>
      </c>
      <c r="D67" s="23">
        <f t="shared" si="19"/>
        <v>8.4562014240096788E-11</v>
      </c>
      <c r="E67" s="23">
        <f t="shared" si="19"/>
        <v>6.8542415739569747E-11</v>
      </c>
      <c r="F67" s="23">
        <f t="shared" si="19"/>
        <v>5.3816689531805107E-11</v>
      </c>
      <c r="G67" s="23">
        <f t="shared" si="19"/>
        <v>4.6821383747161793E-11</v>
      </c>
      <c r="H67" s="23">
        <f t="shared" si="19"/>
        <v>4.1292153535979067E-11</v>
      </c>
      <c r="I67" s="23">
        <f t="shared" si="19"/>
        <v>3.8696039160364743E-11</v>
      </c>
      <c r="J67" s="23">
        <f t="shared" si="19"/>
        <v>3.4128123533236196E-11</v>
      </c>
      <c r="K67" s="23">
        <f t="shared" si="19"/>
        <v>3.4051794800695107E-11</v>
      </c>
      <c r="L67" s="23">
        <f t="shared" si="19"/>
        <v>3.5342731683051897E-11</v>
      </c>
      <c r="M67" s="23">
        <f t="shared" si="19"/>
        <v>3.52429242359924E-11</v>
      </c>
      <c r="N67" s="23">
        <f t="shared" si="19"/>
        <v>3.5183390398066214E-11</v>
      </c>
      <c r="O67" s="23">
        <f t="shared" si="19"/>
        <v>3.6155952910050814E-11</v>
      </c>
      <c r="P67" s="23">
        <f t="shared" si="19"/>
        <v>3.7268000603192601E-11</v>
      </c>
      <c r="Q67" s="23">
        <f t="shared" si="19"/>
        <v>3.8262568730850514E-11</v>
      </c>
      <c r="R67" s="23">
        <f t="shared" si="19"/>
        <v>4.0074383745716331E-11</v>
      </c>
      <c r="S67" s="23">
        <f t="shared" si="19"/>
        <v>4.2206608932553266E-11</v>
      </c>
      <c r="T67" s="23">
        <f t="shared" si="19"/>
        <v>4.3207941252467426E-11</v>
      </c>
      <c r="U67" s="23">
        <f t="shared" si="19"/>
        <v>3.8852910021119297E-11</v>
      </c>
      <c r="V67" s="23">
        <f t="shared" si="19"/>
        <v>3.9675305687569085E-11</v>
      </c>
      <c r="W67" s="23">
        <f t="shared" si="19"/>
        <v>4.0507660351514438E-11</v>
      </c>
      <c r="X67" s="23">
        <f t="shared" si="19"/>
        <v>4.1311006972818765E-11</v>
      </c>
      <c r="Y67" s="23">
        <f t="shared" si="19"/>
        <v>4.1266655664486346E-11</v>
      </c>
      <c r="Z67" s="23">
        <f t="shared" si="19"/>
        <v>4.0857245520136308E-11</v>
      </c>
      <c r="AA67" s="23">
        <f t="shared" si="19"/>
        <v>3.9404144218909021E-11</v>
      </c>
      <c r="AB67" s="23">
        <f t="shared" si="19"/>
        <v>9.990700476831196E-3</v>
      </c>
      <c r="AC67" s="23">
        <f t="shared" si="19"/>
        <v>9.482038057178066E-3</v>
      </c>
      <c r="AD67" s="23">
        <f t="shared" si="19"/>
        <v>9.0997856082384795E-3</v>
      </c>
      <c r="AE67" s="23">
        <f t="shared" si="19"/>
        <v>8.6936201377693142E-3</v>
      </c>
      <c r="AF67" s="23">
        <f t="shared" si="19"/>
        <v>7.9220091559157758E-3</v>
      </c>
      <c r="AG67" s="23">
        <f t="shared" si="19"/>
        <v>7.8420936265033107E-3</v>
      </c>
      <c r="AH67" s="23">
        <f t="shared" ref="AH67:BI67" si="20">+AH61*AH66</f>
        <v>7.2070223673246286E-3</v>
      </c>
      <c r="AI67" s="23">
        <f t="shared" si="20"/>
        <v>3.0420550435381E-2</v>
      </c>
      <c r="AJ67" s="23">
        <f t="shared" si="20"/>
        <v>4.1966949189418436E-2</v>
      </c>
      <c r="AK67" s="23">
        <f t="shared" si="20"/>
        <v>4.7294481697888628E-2</v>
      </c>
      <c r="AL67" s="23">
        <f t="shared" si="20"/>
        <v>4.9479406749943118E-2</v>
      </c>
      <c r="AM67" s="23">
        <f t="shared" si="20"/>
        <v>5.0117649147999994E-2</v>
      </c>
      <c r="AN67" s="23">
        <f t="shared" si="20"/>
        <v>4.9990898172629965E-2</v>
      </c>
      <c r="AO67" s="23">
        <f t="shared" si="20"/>
        <v>4.9490769014025902E-2</v>
      </c>
      <c r="AP67" s="23">
        <f t="shared" si="20"/>
        <v>4.8816871420812119E-2</v>
      </c>
      <c r="AQ67" s="23">
        <f t="shared" si="20"/>
        <v>4.807185024352581E-2</v>
      </c>
      <c r="AR67" s="23">
        <f t="shared" si="20"/>
        <v>4.7308585055277845E-2</v>
      </c>
      <c r="AS67" s="23">
        <f t="shared" si="20"/>
        <v>4.6554170320976369E-2</v>
      </c>
      <c r="AT67" s="23">
        <f t="shared" si="20"/>
        <v>4.5822265452872352E-2</v>
      </c>
      <c r="AU67" s="23">
        <f t="shared" si="20"/>
        <v>4.511950657230121E-2</v>
      </c>
      <c r="AV67" s="23">
        <f t="shared" si="20"/>
        <v>4.4448851905765294E-2</v>
      </c>
      <c r="AW67" s="23">
        <f t="shared" si="20"/>
        <v>4.3811333282309177E-2</v>
      </c>
      <c r="AX67" s="23">
        <f t="shared" si="20"/>
        <v>4.3206975731642172E-2</v>
      </c>
      <c r="AY67" s="23">
        <f t="shared" si="20"/>
        <v>4.2635281680049895E-2</v>
      </c>
      <c r="AZ67" s="23">
        <f t="shared" si="20"/>
        <v>4.2095486753651601E-2</v>
      </c>
      <c r="BA67" s="23">
        <f t="shared" si="20"/>
        <v>4.1586695513640623E-2</v>
      </c>
      <c r="BB67" s="23">
        <f t="shared" si="20"/>
        <v>4.1107953907190978E-2</v>
      </c>
      <c r="BC67" s="23">
        <f t="shared" si="20"/>
        <v>4.0658288247434421E-2</v>
      </c>
      <c r="BD67" s="23">
        <f t="shared" si="20"/>
        <v>4.0236726402497848E-2</v>
      </c>
      <c r="BE67" s="23">
        <f t="shared" si="20"/>
        <v>2.0286963197651491E-2</v>
      </c>
      <c r="BF67" s="23">
        <f t="shared" si="20"/>
        <v>1.0228703215555591E-2</v>
      </c>
      <c r="BG67" s="23">
        <f t="shared" si="20"/>
        <v>5.1571678973615044E-3</v>
      </c>
      <c r="BH67" s="23">
        <f t="shared" si="20"/>
        <v>2.6000658392318398E-3</v>
      </c>
      <c r="BI67" s="23">
        <f t="shared" si="20"/>
        <v>1.3108133219284404E-3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 t="shared" ref="B68:AG68" si="21">+B65-B67</f>
        <v>3.1768947422201257</v>
      </c>
      <c r="C68" s="23">
        <f t="shared" si="21"/>
        <v>3.0167953715115101</v>
      </c>
      <c r="D68" s="23">
        <f t="shared" si="21"/>
        <v>2.5790413371966574</v>
      </c>
      <c r="E68" s="23">
        <f t="shared" si="21"/>
        <v>2.355448127802112</v>
      </c>
      <c r="F68" s="23">
        <f t="shared" si="21"/>
        <v>2.0591681006406897</v>
      </c>
      <c r="G68" s="23">
        <f t="shared" si="21"/>
        <v>1.9734636299244426</v>
      </c>
      <c r="H68" s="23">
        <f t="shared" si="21"/>
        <v>1.8996721603700946</v>
      </c>
      <c r="I68" s="23">
        <f t="shared" si="21"/>
        <v>1.9258809716045315</v>
      </c>
      <c r="J68" s="23">
        <f t="shared" si="21"/>
        <v>1.8233376513574175</v>
      </c>
      <c r="K68" s="23">
        <f t="shared" si="21"/>
        <v>1.9407744102166677</v>
      </c>
      <c r="L68" s="23">
        <f t="shared" si="21"/>
        <v>2.134818146251964</v>
      </c>
      <c r="M68" s="23">
        <f t="shared" si="21"/>
        <v>2.2431635926173796</v>
      </c>
      <c r="N68" s="23">
        <f t="shared" si="21"/>
        <v>2.3481291145173531</v>
      </c>
      <c r="O68" s="23">
        <f t="shared" si="21"/>
        <v>2.5195893311662103</v>
      </c>
      <c r="P68" s="23">
        <f t="shared" si="21"/>
        <v>2.7014667794470455</v>
      </c>
      <c r="Q68" s="23">
        <f t="shared" si="21"/>
        <v>2.873548452296697</v>
      </c>
      <c r="R68" s="23">
        <f t="shared" si="21"/>
        <v>3.1093737660776624</v>
      </c>
      <c r="S68" s="23">
        <f t="shared" si="21"/>
        <v>3.3735194192685465</v>
      </c>
      <c r="T68" s="23">
        <f t="shared" si="21"/>
        <v>3.5497863676343537</v>
      </c>
      <c r="U68" s="23">
        <f t="shared" si="21"/>
        <v>3.2721791577277424</v>
      </c>
      <c r="V68" s="23">
        <f t="shared" si="21"/>
        <v>3.4188954853167441</v>
      </c>
      <c r="W68" s="23">
        <f t="shared" si="21"/>
        <v>3.5667448723198341</v>
      </c>
      <c r="X68" s="23">
        <f t="shared" si="21"/>
        <v>3.7099572086848807</v>
      </c>
      <c r="Y68" s="23">
        <f t="shared" si="21"/>
        <v>3.7748290723414861</v>
      </c>
      <c r="Z68" s="23">
        <f t="shared" si="21"/>
        <v>3.8020973061430894</v>
      </c>
      <c r="AA68" s="23">
        <f t="shared" si="21"/>
        <v>3.7255853186236414</v>
      </c>
      <c r="AB68" s="23">
        <f t="shared" si="21"/>
        <v>3.7216411269409249</v>
      </c>
      <c r="AC68" s="23">
        <f t="shared" si="21"/>
        <v>3.7912428651949095</v>
      </c>
      <c r="AD68" s="23">
        <f t="shared" si="21"/>
        <v>3.8990360493477074</v>
      </c>
      <c r="AE68" s="23">
        <f t="shared" si="21"/>
        <v>3.9839147045566254</v>
      </c>
      <c r="AF68" s="23">
        <f t="shared" si="21"/>
        <v>3.8783819666917916</v>
      </c>
      <c r="AG68" s="23">
        <f t="shared" si="21"/>
        <v>4.0984544955517004</v>
      </c>
      <c r="AH68" s="23">
        <f t="shared" ref="AH68:BI68" si="22">+AH65-AH67</f>
        <v>4.0136625911280799</v>
      </c>
      <c r="AI68" s="23">
        <f t="shared" si="22"/>
        <v>18.018413680022814</v>
      </c>
      <c r="AJ68" s="23">
        <f t="shared" si="22"/>
        <v>26.492270776217669</v>
      </c>
      <c r="AK68" s="23">
        <f t="shared" si="22"/>
        <v>31.70906992681028</v>
      </c>
      <c r="AL68" s="23">
        <f t="shared" si="22"/>
        <v>35.196958386581166</v>
      </c>
      <c r="AM68" s="23">
        <f t="shared" si="22"/>
        <v>37.786745991108361</v>
      </c>
      <c r="AN68" s="23">
        <f t="shared" si="22"/>
        <v>39.910020148828707</v>
      </c>
      <c r="AO68" s="23">
        <f t="shared" si="22"/>
        <v>41.79689044901842</v>
      </c>
      <c r="AP68" s="23">
        <f t="shared" si="22"/>
        <v>43.572906996917411</v>
      </c>
      <c r="AQ68" s="23">
        <f t="shared" si="22"/>
        <v>45.307792107662074</v>
      </c>
      <c r="AR68" s="23">
        <f t="shared" si="22"/>
        <v>47.040933187993673</v>
      </c>
      <c r="AS68" s="23">
        <f t="shared" si="22"/>
        <v>48.795078084164452</v>
      </c>
      <c r="AT68" s="23">
        <f t="shared" si="22"/>
        <v>50.583807432547367</v>
      </c>
      <c r="AU68" s="23">
        <f t="shared" si="22"/>
        <v>52.415646863220324</v>
      </c>
      <c r="AV68" s="23">
        <f t="shared" si="22"/>
        <v>54.296340756013436</v>
      </c>
      <c r="AW68" s="23">
        <f t="shared" si="22"/>
        <v>56.23011291073724</v>
      </c>
      <c r="AX68" s="23">
        <f t="shared" si="22"/>
        <v>58.220366869057898</v>
      </c>
      <c r="AY68" s="23">
        <f t="shared" si="22"/>
        <v>60.270075732278279</v>
      </c>
      <c r="AZ68" s="23">
        <f t="shared" si="22"/>
        <v>62.381999784347165</v>
      </c>
      <c r="BA68" s="23">
        <f t="shared" si="22"/>
        <v>64.558808604345955</v>
      </c>
      <c r="BB68" s="23">
        <f t="shared" si="22"/>
        <v>66.803150215060029</v>
      </c>
      <c r="BC68" s="23">
        <f t="shared" si="22"/>
        <v>69.117690879575179</v>
      </c>
      <c r="BD68" s="23">
        <f t="shared" si="22"/>
        <v>71.505138649894661</v>
      </c>
      <c r="BE68" s="23">
        <f t="shared" si="22"/>
        <v>73.987813285448837</v>
      </c>
      <c r="BF68" s="23">
        <f t="shared" si="22"/>
        <v>76.543149274547389</v>
      </c>
      <c r="BG68" s="23">
        <f t="shared" si="22"/>
        <v>79.175128524963952</v>
      </c>
      <c r="BH68" s="23">
        <f t="shared" si="22"/>
        <v>81.888093798833751</v>
      </c>
      <c r="BI68" s="23">
        <f t="shared" si="22"/>
        <v>84.686249129210069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3">+B71+B43</f>
        <v>0.80689093434140557</v>
      </c>
      <c r="C70" s="45">
        <f t="shared" si="23"/>
        <v>0.56828748614327362</v>
      </c>
      <c r="D70" s="45">
        <f t="shared" si="23"/>
        <v>0.41473621871269523</v>
      </c>
      <c r="E70" s="45">
        <f t="shared" si="23"/>
        <v>0.32776451972306964</v>
      </c>
      <c r="F70" s="45">
        <f t="shared" si="23"/>
        <v>0.25095147589457284</v>
      </c>
      <c r="G70" s="45">
        <f t="shared" si="23"/>
        <v>0.21293850319041679</v>
      </c>
      <c r="H70" s="45">
        <f t="shared" si="23"/>
        <v>0.18318261078490614</v>
      </c>
      <c r="I70" s="45">
        <f t="shared" si="23"/>
        <v>0.16747973824286308</v>
      </c>
      <c r="J70" s="45">
        <f t="shared" si="23"/>
        <v>0.14413261876654945</v>
      </c>
      <c r="K70" s="45">
        <f t="shared" si="23"/>
        <v>0.14035305444474158</v>
      </c>
      <c r="L70" s="45">
        <f t="shared" si="23"/>
        <v>0.14219840800114228</v>
      </c>
      <c r="M70" s="45">
        <f t="shared" si="23"/>
        <v>0.1384404536990787</v>
      </c>
      <c r="N70" s="45">
        <f t="shared" si="23"/>
        <v>0.13496212142970643</v>
      </c>
      <c r="O70" s="45">
        <f t="shared" si="23"/>
        <v>0.13546491988857742</v>
      </c>
      <c r="P70" s="45">
        <f t="shared" si="23"/>
        <v>0.13641078122154379</v>
      </c>
      <c r="Q70" s="45">
        <f t="shared" si="23"/>
        <v>0.13685104725280009</v>
      </c>
      <c r="R70" s="45">
        <f t="shared" si="23"/>
        <v>0.14008808327977532</v>
      </c>
      <c r="S70" s="45">
        <f t="shared" si="23"/>
        <v>0.14423717284060675</v>
      </c>
      <c r="T70" s="45">
        <f t="shared" si="23"/>
        <v>0.14438693934200589</v>
      </c>
      <c r="U70" s="45">
        <f t="shared" si="23"/>
        <v>0.12698833096314335</v>
      </c>
      <c r="V70" s="45">
        <f t="shared" si="23"/>
        <v>0.12686678354616365</v>
      </c>
      <c r="W70" s="45">
        <f t="shared" si="23"/>
        <v>0.12675548505433526</v>
      </c>
      <c r="X70" s="45">
        <f t="shared" si="23"/>
        <v>0.12653625918957145</v>
      </c>
      <c r="Y70" s="45">
        <f t="shared" si="23"/>
        <v>0.123762421150206</v>
      </c>
      <c r="Z70" s="45">
        <f t="shared" si="23"/>
        <v>0.12001143474527638</v>
      </c>
      <c r="AA70" s="45">
        <f t="shared" si="23"/>
        <v>0.11339296702987837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 x14ac:dyDescent="0.2">
      <c r="A71" s="43" t="s">
        <v>1</v>
      </c>
      <c r="B71" s="46">
        <f t="shared" ref="B71:AG71" si="25">+B102</f>
        <v>0.80689093434140557</v>
      </c>
      <c r="C71" s="46">
        <f t="shared" si="25"/>
        <v>0.56828748614327362</v>
      </c>
      <c r="D71" s="46">
        <f t="shared" si="25"/>
        <v>0.41473621871269523</v>
      </c>
      <c r="E71" s="46">
        <f t="shared" si="25"/>
        <v>0.32776451972306964</v>
      </c>
      <c r="F71" s="46">
        <f t="shared" si="25"/>
        <v>0.25095147589457284</v>
      </c>
      <c r="G71" s="46">
        <f t="shared" si="25"/>
        <v>0.21293850319041679</v>
      </c>
      <c r="H71" s="46">
        <f t="shared" si="25"/>
        <v>0.18318261078490614</v>
      </c>
      <c r="I71" s="46">
        <f t="shared" si="25"/>
        <v>0.16747973824286308</v>
      </c>
      <c r="J71" s="46">
        <f t="shared" si="25"/>
        <v>0.14413261876654945</v>
      </c>
      <c r="K71" s="46">
        <f t="shared" si="25"/>
        <v>0.14035305444474158</v>
      </c>
      <c r="L71" s="46">
        <f t="shared" si="25"/>
        <v>0.14219840800114228</v>
      </c>
      <c r="M71" s="46">
        <f t="shared" si="25"/>
        <v>0.1384404536990787</v>
      </c>
      <c r="N71" s="46">
        <f t="shared" si="25"/>
        <v>0.13496212142970643</v>
      </c>
      <c r="O71" s="46">
        <f t="shared" si="25"/>
        <v>0.13546491988857742</v>
      </c>
      <c r="P71" s="46">
        <f t="shared" si="25"/>
        <v>0.13641078122154379</v>
      </c>
      <c r="Q71" s="46">
        <f t="shared" si="25"/>
        <v>0.13685104725280009</v>
      </c>
      <c r="R71" s="46">
        <f t="shared" si="25"/>
        <v>0.14008808327977532</v>
      </c>
      <c r="S71" s="46">
        <f t="shared" si="25"/>
        <v>0.14423717284060675</v>
      </c>
      <c r="T71" s="46">
        <f t="shared" si="25"/>
        <v>0.14438693934200589</v>
      </c>
      <c r="U71" s="46">
        <f t="shared" si="25"/>
        <v>0.12698833096314335</v>
      </c>
      <c r="V71" s="46">
        <f t="shared" si="25"/>
        <v>0.12686678354616365</v>
      </c>
      <c r="W71" s="46">
        <f t="shared" si="25"/>
        <v>0.12675548505433526</v>
      </c>
      <c r="X71" s="46">
        <f t="shared" si="25"/>
        <v>0.12653625918957145</v>
      </c>
      <c r="Y71" s="46">
        <f t="shared" si="25"/>
        <v>0.123762421150206</v>
      </c>
      <c r="Z71" s="46">
        <f t="shared" si="25"/>
        <v>0.12001143474527638</v>
      </c>
      <c r="AA71" s="46">
        <f t="shared" si="25"/>
        <v>0.11339296702987837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 t="shared" ref="B73:AG73" si="27">(B97)*B68</f>
        <v>0.60732285114307605</v>
      </c>
      <c r="C73" s="45">
        <f t="shared" si="27"/>
        <v>0.57026947532866212</v>
      </c>
      <c r="D73" s="45">
        <f t="shared" si="27"/>
        <v>0.47746749600093907</v>
      </c>
      <c r="E73" s="45">
        <f t="shared" si="27"/>
        <v>0.43708607034082414</v>
      </c>
      <c r="F73" s="45">
        <f t="shared" si="27"/>
        <v>0.38686399902268503</v>
      </c>
      <c r="G73" s="45">
        <f t="shared" si="27"/>
        <v>0.37474335640548284</v>
      </c>
      <c r="H73" s="45">
        <f t="shared" si="27"/>
        <v>0.36216894840168684</v>
      </c>
      <c r="I73" s="45">
        <f t="shared" si="27"/>
        <v>0.36915941277298692</v>
      </c>
      <c r="J73" s="45">
        <f t="shared" si="27"/>
        <v>0.35205112532518257</v>
      </c>
      <c r="K73" s="45">
        <f t="shared" si="27"/>
        <v>0.39423881606708933</v>
      </c>
      <c r="L73" s="45">
        <f t="shared" si="27"/>
        <v>0.4534778781525538</v>
      </c>
      <c r="M73" s="45">
        <f t="shared" si="27"/>
        <v>0.49850548676922651</v>
      </c>
      <c r="N73" s="45">
        <f t="shared" si="27"/>
        <v>0.52183231356016824</v>
      </c>
      <c r="O73" s="45">
        <f t="shared" si="27"/>
        <v>0.55993647102929089</v>
      </c>
      <c r="P73" s="45">
        <f t="shared" si="27"/>
        <v>0.6003556835138294</v>
      </c>
      <c r="Q73" s="45">
        <f t="shared" si="27"/>
        <v>0.63859794920069524</v>
      </c>
      <c r="R73" s="45">
        <f t="shared" si="27"/>
        <v>0.6910061699946648</v>
      </c>
      <c r="S73" s="45">
        <f t="shared" si="27"/>
        <v>0.74970811124196002</v>
      </c>
      <c r="T73" s="45">
        <f t="shared" si="27"/>
        <v>0.78888048421806289</v>
      </c>
      <c r="U73" s="45">
        <f t="shared" si="27"/>
        <v>0.7271869377640271</v>
      </c>
      <c r="V73" s="45">
        <f t="shared" si="27"/>
        <v>0.75979218088693645</v>
      </c>
      <c r="W73" s="45">
        <f t="shared" si="27"/>
        <v>0.79264922746128275</v>
      </c>
      <c r="X73" s="45">
        <f t="shared" si="27"/>
        <v>0.82447576730259386</v>
      </c>
      <c r="Y73" s="45">
        <f t="shared" si="27"/>
        <v>0.838892450988169</v>
      </c>
      <c r="Z73" s="45">
        <f t="shared" si="27"/>
        <v>0.84495235861565698</v>
      </c>
      <c r="AA73" s="45">
        <f t="shared" si="27"/>
        <v>0.82794885262635065</v>
      </c>
      <c r="AB73" s="45">
        <f t="shared" si="27"/>
        <v>0.82707232217570725</v>
      </c>
      <c r="AC73" s="45">
        <f t="shared" si="27"/>
        <v>0.84254014116246323</v>
      </c>
      <c r="AD73" s="45">
        <f t="shared" si="27"/>
        <v>0.86649536846436304</v>
      </c>
      <c r="AE73" s="45">
        <f t="shared" si="27"/>
        <v>0.88535822602432712</v>
      </c>
      <c r="AF73" s="45">
        <f t="shared" si="27"/>
        <v>0.86190534499837701</v>
      </c>
      <c r="AG73" s="45">
        <f t="shared" si="27"/>
        <v>0.9108127735447874</v>
      </c>
      <c r="AH73" s="45">
        <f t="shared" ref="AH73:BI73" si="28">(AH97)*AH68</f>
        <v>0.89196919489189652</v>
      </c>
      <c r="AI73" s="45">
        <f t="shared" si="28"/>
        <v>4.0042902407703194</v>
      </c>
      <c r="AJ73" s="45">
        <f t="shared" si="28"/>
        <v>5.8874628593230769</v>
      </c>
      <c r="AK73" s="45">
        <f t="shared" si="28"/>
        <v>7.0468089758981085</v>
      </c>
      <c r="AL73" s="45">
        <f t="shared" si="28"/>
        <v>7.8219336882272961</v>
      </c>
      <c r="AM73" s="45">
        <f t="shared" si="28"/>
        <v>8.3974705481659608</v>
      </c>
      <c r="AN73" s="45">
        <f t="shared" si="28"/>
        <v>8.8693326187801933</v>
      </c>
      <c r="AO73" s="45">
        <f t="shared" si="28"/>
        <v>9.2886578969552627</v>
      </c>
      <c r="AP73" s="45">
        <f t="shared" si="28"/>
        <v>9.6833477878907406</v>
      </c>
      <c r="AQ73" s="45">
        <f t="shared" si="28"/>
        <v>10.068896906763218</v>
      </c>
      <c r="AR73" s="45">
        <f t="shared" si="28"/>
        <v>10.454058444126765</v>
      </c>
      <c r="AS73" s="45">
        <f t="shared" si="28"/>
        <v>10.843887727290655</v>
      </c>
      <c r="AT73" s="45">
        <f t="shared" si="28"/>
        <v>11.241402824918277</v>
      </c>
      <c r="AU73" s="45">
        <f t="shared" si="28"/>
        <v>11.648498415305049</v>
      </c>
      <c r="AV73" s="45">
        <f t="shared" si="28"/>
        <v>12.066451090525138</v>
      </c>
      <c r="AW73" s="45">
        <f t="shared" si="28"/>
        <v>12.496199519246092</v>
      </c>
      <c r="AX73" s="45">
        <f t="shared" si="28"/>
        <v>12.938500081519996</v>
      </c>
      <c r="AY73" s="45">
        <f t="shared" si="28"/>
        <v>13.394013499247423</v>
      </c>
      <c r="AZ73" s="45">
        <f t="shared" si="28"/>
        <v>13.863353199241303</v>
      </c>
      <c r="BA73" s="45">
        <f t="shared" si="28"/>
        <v>14.347112450679074</v>
      </c>
      <c r="BB73" s="45">
        <f t="shared" si="28"/>
        <v>14.845879732212913</v>
      </c>
      <c r="BC73" s="45">
        <f t="shared" si="28"/>
        <v>15.360247576095844</v>
      </c>
      <c r="BD73" s="45">
        <f t="shared" si="28"/>
        <v>15.89081780146693</v>
      </c>
      <c r="BE73" s="45">
        <f t="shared" si="28"/>
        <v>16.442550600519027</v>
      </c>
      <c r="BF73" s="45">
        <f t="shared" si="28"/>
        <v>17.010431166741188</v>
      </c>
      <c r="BG73" s="45">
        <f t="shared" si="28"/>
        <v>17.595344412352702</v>
      </c>
      <c r="BH73" s="45">
        <f t="shared" si="28"/>
        <v>18.198255443402569</v>
      </c>
      <c r="BI73" s="45">
        <f t="shared" si="28"/>
        <v>18.820098535728064</v>
      </c>
    </row>
    <row r="74" spans="1:237" s="45" customFormat="1" ht="18" customHeight="1" x14ac:dyDescent="0.2">
      <c r="A74" s="43" t="s">
        <v>35</v>
      </c>
      <c r="B74" s="44">
        <f>+B11</f>
        <v>2.7871074321283404</v>
      </c>
      <c r="C74" s="45">
        <f t="shared" ref="C74:AH74" si="29">+B74*(1-$B$8)^10+10*B73</f>
        <v>7.0450327832563868</v>
      </c>
      <c r="D74" s="45">
        <f t="shared" si="29"/>
        <v>8.1591457946058217</v>
      </c>
      <c r="E74" s="45">
        <f t="shared" si="29"/>
        <v>7.6195931882210246</v>
      </c>
      <c r="F74" s="45">
        <f t="shared" si="29"/>
        <v>7.027648570473735</v>
      </c>
      <c r="G74" s="45">
        <f t="shared" si="29"/>
        <v>6.3190295313506279</v>
      </c>
      <c r="H74" s="45">
        <f t="shared" si="29"/>
        <v>5.9507429239920011</v>
      </c>
      <c r="I74" s="45">
        <f t="shared" si="29"/>
        <v>5.6965852441905129</v>
      </c>
      <c r="J74" s="45">
        <f t="shared" si="29"/>
        <v>5.6778705845708952</v>
      </c>
      <c r="K74" s="45">
        <f t="shared" si="29"/>
        <v>5.5002623117696814</v>
      </c>
      <c r="L74" s="45">
        <f t="shared" si="29"/>
        <v>5.8602110436795662</v>
      </c>
      <c r="M74" s="45">
        <f t="shared" si="29"/>
        <v>6.5781080268925223</v>
      </c>
      <c r="N74" s="45">
        <f t="shared" si="29"/>
        <v>7.2786993133184401</v>
      </c>
      <c r="O74" s="45">
        <f t="shared" si="29"/>
        <v>7.7562486581264984</v>
      </c>
      <c r="P74" s="45">
        <f t="shared" si="29"/>
        <v>8.3038013934361743</v>
      </c>
      <c r="Q74" s="45">
        <f t="shared" si="29"/>
        <v>8.8989133519018271</v>
      </c>
      <c r="R74" s="45">
        <f t="shared" si="29"/>
        <v>9.4888387181331453</v>
      </c>
      <c r="S74" s="45">
        <f t="shared" si="29"/>
        <v>10.218615182545799</v>
      </c>
      <c r="T74" s="45">
        <f t="shared" si="29"/>
        <v>11.060091914251847</v>
      </c>
      <c r="U74" s="45">
        <f t="shared" si="29"/>
        <v>11.745220438204587</v>
      </c>
      <c r="V74" s="45">
        <f t="shared" si="29"/>
        <v>11.367174518664086</v>
      </c>
      <c r="W74" s="45">
        <f t="shared" si="29"/>
        <v>11.561410488381629</v>
      </c>
      <c r="X74" s="45">
        <f t="shared" si="29"/>
        <v>11.957706849057516</v>
      </c>
      <c r="Y74" s="45">
        <f t="shared" si="29"/>
        <v>12.414152244328402</v>
      </c>
      <c r="Z74" s="45">
        <f t="shared" si="29"/>
        <v>12.717471749598033</v>
      </c>
      <c r="AA74" s="45">
        <f t="shared" si="29"/>
        <v>12.883831797822232</v>
      </c>
      <c r="AB74" s="45">
        <f t="shared" si="29"/>
        <v>12.771802900038942</v>
      </c>
      <c r="AC74" s="45">
        <f t="shared" si="29"/>
        <v>12.723975534207309</v>
      </c>
      <c r="AD74" s="45">
        <f t="shared" si="29"/>
        <v>12.861977352762603</v>
      </c>
      <c r="AE74" s="45">
        <f t="shared" si="29"/>
        <v>13.149647884606425</v>
      </c>
      <c r="AF74" s="45">
        <f t="shared" si="29"/>
        <v>13.438580972512106</v>
      </c>
      <c r="AG74" s="45">
        <f t="shared" si="29"/>
        <v>13.304796900636834</v>
      </c>
      <c r="AH74" s="45">
        <f t="shared" si="29"/>
        <v>13.747223564609243</v>
      </c>
      <c r="AI74" s="45">
        <f t="shared" ref="AI74:BI74" si="30">+AH74*(1-$B$8)^10+10*AH73</f>
        <v>13.713052417132879</v>
      </c>
      <c r="AJ74" s="45">
        <f t="shared" si="30"/>
        <v>44.824348133518626</v>
      </c>
      <c r="AK74" s="45">
        <f t="shared" si="30"/>
        <v>74.503912378925392</v>
      </c>
      <c r="AL74" s="45">
        <f t="shared" si="30"/>
        <v>96.445997708611884</v>
      </c>
      <c r="AM74" s="45">
        <f t="shared" si="30"/>
        <v>111.84797691719993</v>
      </c>
      <c r="AN74" s="45">
        <f t="shared" si="30"/>
        <v>122.97368360148971</v>
      </c>
      <c r="AO74" s="45">
        <f t="shared" si="30"/>
        <v>131.57159835932032</v>
      </c>
      <c r="AP74" s="45">
        <f t="shared" si="30"/>
        <v>138.76275864694418</v>
      </c>
      <c r="AQ74" s="45">
        <f t="shared" si="30"/>
        <v>145.21706010789671</v>
      </c>
      <c r="AR74" s="45">
        <f t="shared" si="30"/>
        <v>151.32302706196157</v>
      </c>
      <c r="AS74" s="45">
        <f t="shared" si="30"/>
        <v>157.30366146844253</v>
      </c>
      <c r="AT74" s="45">
        <f t="shared" si="30"/>
        <v>163.28727257574158</v>
      </c>
      <c r="AU74" s="45">
        <f t="shared" si="30"/>
        <v>169.34877973907587</v>
      </c>
      <c r="AV74" s="45">
        <f t="shared" si="30"/>
        <v>175.53325250530997</v>
      </c>
      <c r="AW74" s="45">
        <f t="shared" si="30"/>
        <v>181.86917157448229</v>
      </c>
      <c r="AX74" s="45">
        <f t="shared" si="30"/>
        <v>188.37585423933069</v>
      </c>
      <c r="AY74" s="45">
        <f t="shared" si="30"/>
        <v>195.06759982387479</v>
      </c>
      <c r="AZ74" s="45">
        <f t="shared" si="30"/>
        <v>201.95600141311397</v>
      </c>
      <c r="BA74" s="45">
        <f t="shared" si="30"/>
        <v>209.05123553397101</v>
      </c>
      <c r="BB74" s="45">
        <f t="shared" si="30"/>
        <v>216.36278321375346</v>
      </c>
      <c r="BC74" s="45">
        <f t="shared" si="30"/>
        <v>223.8998350687952</v>
      </c>
      <c r="BD74" s="45">
        <f t="shared" si="30"/>
        <v>231.67152099139327</v>
      </c>
      <c r="BE74" s="45">
        <f t="shared" si="30"/>
        <v>239.68704256954277</v>
      </c>
      <c r="BF74" s="45">
        <f t="shared" si="30"/>
        <v>247.99921012052079</v>
      </c>
      <c r="BG74" s="45">
        <f t="shared" si="30"/>
        <v>256.57628939826725</v>
      </c>
      <c r="BH74" s="45">
        <f t="shared" si="30"/>
        <v>265.41606447756106</v>
      </c>
      <c r="BI74" s="45">
        <f t="shared" si="30"/>
        <v>274.52741377354278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AG77" si="32">+$B$7*B61/B74</f>
        <v>0.34216007669485315</v>
      </c>
      <c r="C77" s="23">
        <f t="shared" si="32"/>
        <v>0.12853132753664165</v>
      </c>
      <c r="D77" s="23">
        <f t="shared" si="32"/>
        <v>9.4853981653278158E-2</v>
      </c>
      <c r="E77" s="23">
        <f t="shared" si="32"/>
        <v>9.276600908702036E-2</v>
      </c>
      <c r="F77" s="23">
        <f t="shared" si="32"/>
        <v>8.7937135120713023E-2</v>
      </c>
      <c r="G77" s="23">
        <f t="shared" si="32"/>
        <v>9.3746141662281873E-2</v>
      </c>
      <c r="H77" s="23">
        <f t="shared" si="32"/>
        <v>9.5809916578799323E-2</v>
      </c>
      <c r="I77" s="23">
        <f t="shared" si="32"/>
        <v>0.10148565164632786</v>
      </c>
      <c r="J77" s="23">
        <f t="shared" si="32"/>
        <v>9.6423726302918872E-2</v>
      </c>
      <c r="K77" s="23">
        <f t="shared" si="32"/>
        <v>0.10590763699501311</v>
      </c>
      <c r="L77" s="23">
        <f t="shared" si="32"/>
        <v>0.10934284570097748</v>
      </c>
      <c r="M77" s="23">
        <f t="shared" si="32"/>
        <v>0.10237774405031709</v>
      </c>
      <c r="N77" s="23">
        <f t="shared" si="32"/>
        <v>9.6872258694655974E-2</v>
      </c>
      <c r="O77" s="23">
        <f t="shared" si="32"/>
        <v>9.7544100930765265E-2</v>
      </c>
      <c r="P77" s="23">
        <f t="shared" si="32"/>
        <v>9.7672061608727476E-2</v>
      </c>
      <c r="Q77" s="23">
        <f t="shared" si="32"/>
        <v>9.6973220056177076E-2</v>
      </c>
      <c r="R77" s="23">
        <f t="shared" si="32"/>
        <v>9.8401850285619305E-2</v>
      </c>
      <c r="S77" s="23">
        <f t="shared" si="32"/>
        <v>9.9141145903182931E-2</v>
      </c>
      <c r="T77" s="23">
        <f t="shared" si="32"/>
        <v>9.6361345547327767E-2</v>
      </c>
      <c r="U77" s="23">
        <f t="shared" si="32"/>
        <v>8.3662602363174479E-2</v>
      </c>
      <c r="V77" s="23">
        <f t="shared" si="32"/>
        <v>9.0335053123275666E-2</v>
      </c>
      <c r="W77" s="23">
        <f t="shared" si="32"/>
        <v>9.2636564567788501E-2</v>
      </c>
      <c r="X77" s="23">
        <f t="shared" si="32"/>
        <v>9.3170680819617963E-2</v>
      </c>
      <c r="Y77" s="23">
        <f t="shared" si="32"/>
        <v>9.1320370410712573E-2</v>
      </c>
      <c r="Z77" s="23">
        <f t="shared" si="32"/>
        <v>8.9798649246851839E-2</v>
      </c>
      <c r="AA77" s="23">
        <f t="shared" si="32"/>
        <v>8.6890539745752726E-2</v>
      </c>
      <c r="AB77" s="23">
        <f t="shared" si="32"/>
        <v>8.78224817041975E-2</v>
      </c>
      <c r="AC77" s="23">
        <f t="shared" si="32"/>
        <v>8.9762073476647178E-2</v>
      </c>
      <c r="AD77" s="23">
        <f t="shared" si="32"/>
        <v>9.1291781862312432E-2</v>
      </c>
      <c r="AE77" s="23">
        <f t="shared" si="32"/>
        <v>9.1257384895685079E-2</v>
      </c>
      <c r="AF77" s="23">
        <f t="shared" si="32"/>
        <v>8.6925737238268394E-2</v>
      </c>
      <c r="AG77" s="23">
        <f t="shared" si="32"/>
        <v>9.2729139813844064E-2</v>
      </c>
      <c r="AH77" s="23">
        <f t="shared" ref="AH77:BI77" si="33">+$B$7*AH61/AH74</f>
        <v>8.788738018627737E-2</v>
      </c>
      <c r="AI77" s="23">
        <f t="shared" si="33"/>
        <v>0.3958241922970816</v>
      </c>
      <c r="AJ77" s="23">
        <f t="shared" si="33"/>
        <v>0.17760618505555428</v>
      </c>
      <c r="AK77" s="23">
        <f t="shared" si="33"/>
        <v>0.12788559096341917</v>
      </c>
      <c r="AL77" s="23">
        <f t="shared" si="33"/>
        <v>0.10964863213155594</v>
      </c>
      <c r="AM77" s="23">
        <f t="shared" si="33"/>
        <v>0.1014987293020181</v>
      </c>
      <c r="AN77" s="23">
        <f t="shared" si="33"/>
        <v>9.7496280939168387E-2</v>
      </c>
      <c r="AO77" s="23">
        <f t="shared" si="33"/>
        <v>9.5426991177847184E-2</v>
      </c>
      <c r="AP77" s="23">
        <f t="shared" si="33"/>
        <v>9.4320508107195833E-2</v>
      </c>
      <c r="AQ77" s="23">
        <f t="shared" si="33"/>
        <v>9.3711472208832386E-2</v>
      </c>
      <c r="AR77" s="23">
        <f t="shared" si="33"/>
        <v>9.3365220696558976E-2</v>
      </c>
      <c r="AS77" s="23">
        <f t="shared" si="33"/>
        <v>9.3160054692026026E-2</v>
      </c>
      <c r="AT77" s="23">
        <f t="shared" si="33"/>
        <v>9.3031827127629904E-2</v>
      </c>
      <c r="AU77" s="23">
        <f t="shared" si="33"/>
        <v>9.2946373509716559E-2</v>
      </c>
      <c r="AV77" s="23">
        <f t="shared" si="33"/>
        <v>9.2885347976254529E-2</v>
      </c>
      <c r="AW77" s="23">
        <f t="shared" si="33"/>
        <v>9.2838813380562546E-2</v>
      </c>
      <c r="AX77" s="23">
        <f t="shared" si="33"/>
        <v>9.2801325091231832E-2</v>
      </c>
      <c r="AY77" s="23">
        <f t="shared" si="33"/>
        <v>9.2769849117964279E-2</v>
      </c>
      <c r="AZ77" s="23">
        <f t="shared" si="33"/>
        <v>9.2742651392489148E-2</v>
      </c>
      <c r="BA77" s="23">
        <f t="shared" si="33"/>
        <v>9.2718703648079576E-2</v>
      </c>
      <c r="BB77" s="23">
        <f t="shared" si="33"/>
        <v>9.2697364866161064E-2</v>
      </c>
      <c r="BC77" s="23">
        <f t="shared" si="33"/>
        <v>9.2678209982512388E-2</v>
      </c>
      <c r="BD77" s="23">
        <f t="shared" si="33"/>
        <v>9.2660937396735907E-2</v>
      </c>
      <c r="BE77" s="23">
        <f t="shared" si="33"/>
        <v>9.264531871018658E-2</v>
      </c>
      <c r="BF77" s="23">
        <f t="shared" si="33"/>
        <v>9.2619808189497638E-2</v>
      </c>
      <c r="BG77" s="23">
        <f t="shared" si="33"/>
        <v>9.2595829179215064E-2</v>
      </c>
      <c r="BH77" s="23">
        <f t="shared" si="33"/>
        <v>9.257619360533631E-2</v>
      </c>
      <c r="BI77" s="23">
        <f t="shared" si="33"/>
        <v>9.2560778489029882E-2</v>
      </c>
    </row>
    <row r="78" spans="1:237" s="37" customFormat="1" ht="18" customHeight="1" x14ac:dyDescent="0.2">
      <c r="A78" s="35" t="s">
        <v>72</v>
      </c>
      <c r="B78" s="29">
        <f t="shared" ref="B78:AG78" si="34">+$B$7*B61/B74*(1-(1-$B$8)^10)/$B$8/10</f>
        <v>0.22285623488839534</v>
      </c>
      <c r="C78" s="23">
        <f t="shared" si="34"/>
        <v>8.3715224747183237E-2</v>
      </c>
      <c r="D78" s="23">
        <f t="shared" si="34"/>
        <v>6.1780443293139087E-2</v>
      </c>
      <c r="E78" s="23">
        <f t="shared" si="34"/>
        <v>6.0420501744255652E-2</v>
      </c>
      <c r="F78" s="23">
        <f t="shared" si="34"/>
        <v>5.7275352019959869E-2</v>
      </c>
      <c r="G78" s="23">
        <f t="shared" si="34"/>
        <v>6.105888322208379E-2</v>
      </c>
      <c r="H78" s="23">
        <f t="shared" si="34"/>
        <v>6.240306431999243E-2</v>
      </c>
      <c r="I78" s="23">
        <f t="shared" si="34"/>
        <v>6.6099792937754254E-2</v>
      </c>
      <c r="J78" s="23">
        <f t="shared" si="34"/>
        <v>6.2802851826987763E-2</v>
      </c>
      <c r="K78" s="23">
        <f t="shared" si="34"/>
        <v>6.8979927332914873E-2</v>
      </c>
      <c r="L78" s="23">
        <f t="shared" si="34"/>
        <v>7.1217352825865637E-2</v>
      </c>
      <c r="M78" s="23">
        <f t="shared" si="34"/>
        <v>6.6680831953895459E-2</v>
      </c>
      <c r="N78" s="23">
        <f t="shared" si="34"/>
        <v>6.3094990644039645E-2</v>
      </c>
      <c r="O78" s="23">
        <f t="shared" si="34"/>
        <v>6.3532575977269051E-2</v>
      </c>
      <c r="P78" s="23">
        <f t="shared" si="34"/>
        <v>6.361591952564527E-2</v>
      </c>
      <c r="Q78" s="23">
        <f t="shared" si="34"/>
        <v>6.3160748955515184E-2</v>
      </c>
      <c r="R78" s="23">
        <f t="shared" si="34"/>
        <v>6.4091246625075815E-2</v>
      </c>
      <c r="S78" s="23">
        <f t="shared" si="34"/>
        <v>6.4572765799934567E-2</v>
      </c>
      <c r="T78" s="23">
        <f t="shared" si="34"/>
        <v>6.2762221895948406E-2</v>
      </c>
      <c r="U78" s="23">
        <f t="shared" si="34"/>
        <v>5.4491256676476217E-2</v>
      </c>
      <c r="V78" s="23">
        <f t="shared" si="34"/>
        <v>5.883716771390126E-2</v>
      </c>
      <c r="W78" s="23">
        <f t="shared" si="34"/>
        <v>6.0336191738069055E-2</v>
      </c>
      <c r="X78" s="23">
        <f t="shared" si="34"/>
        <v>6.0684073168378559E-2</v>
      </c>
      <c r="Y78" s="23">
        <f t="shared" si="34"/>
        <v>5.9478926106551103E-2</v>
      </c>
      <c r="Z78" s="23">
        <f t="shared" si="34"/>
        <v>5.8487796304372487E-2</v>
      </c>
      <c r="AA78" s="23">
        <f t="shared" si="34"/>
        <v>5.6593681887756597E-2</v>
      </c>
      <c r="AB78" s="23">
        <f t="shared" si="34"/>
        <v>5.7200675777867103E-2</v>
      </c>
      <c r="AC78" s="23">
        <f t="shared" si="34"/>
        <v>5.8463973716668241E-2</v>
      </c>
      <c r="AD78" s="23">
        <f t="shared" si="34"/>
        <v>5.9460305768611846E-2</v>
      </c>
      <c r="AE78" s="23">
        <f t="shared" si="34"/>
        <v>5.9437902282652291E-2</v>
      </c>
      <c r="AF78" s="23">
        <f t="shared" si="34"/>
        <v>5.6616606773486476E-2</v>
      </c>
      <c r="AG78" s="23">
        <f t="shared" si="34"/>
        <v>6.03964879917381E-2</v>
      </c>
      <c r="AH78" s="23">
        <f t="shared" ref="AH78:BI78" si="35">+$B$7*AH61/AH74*(1-(1-$B$8)^10)/$B$8/10</f>
        <v>5.7242945558450518E-2</v>
      </c>
      <c r="AI78" s="23">
        <f t="shared" si="35"/>
        <v>0.25780883037309266</v>
      </c>
      <c r="AJ78" s="23">
        <f t="shared" si="35"/>
        <v>0.11567873749827165</v>
      </c>
      <c r="AK78" s="23">
        <f t="shared" si="35"/>
        <v>8.3294642595027502E-2</v>
      </c>
      <c r="AL78" s="23">
        <f t="shared" si="35"/>
        <v>7.141651812082625E-2</v>
      </c>
      <c r="AM78" s="23">
        <f t="shared" si="35"/>
        <v>6.6108310696858255E-2</v>
      </c>
      <c r="AN78" s="23">
        <f t="shared" si="35"/>
        <v>6.3501429785747771E-2</v>
      </c>
      <c r="AO78" s="23">
        <f t="shared" si="35"/>
        <v>6.2153656750518947E-2</v>
      </c>
      <c r="AP78" s="23">
        <f t="shared" si="35"/>
        <v>6.1432980470939369E-2</v>
      </c>
      <c r="AQ78" s="23">
        <f t="shared" si="35"/>
        <v>6.1036302259582197E-2</v>
      </c>
      <c r="AR78" s="23">
        <f t="shared" si="35"/>
        <v>6.0810781184490535E-2</v>
      </c>
      <c r="AS78" s="23">
        <f t="shared" si="35"/>
        <v>6.0677152142379689E-2</v>
      </c>
      <c r="AT78" s="23">
        <f t="shared" si="35"/>
        <v>6.0593634765115034E-2</v>
      </c>
      <c r="AU78" s="23">
        <f t="shared" si="35"/>
        <v>6.0537976981396603E-2</v>
      </c>
      <c r="AV78" s="23">
        <f t="shared" si="35"/>
        <v>6.0498229735748386E-2</v>
      </c>
      <c r="AW78" s="23">
        <f t="shared" si="35"/>
        <v>6.0467920750292968E-2</v>
      </c>
      <c r="AX78" s="23">
        <f t="shared" si="35"/>
        <v>6.0443503819208114E-2</v>
      </c>
      <c r="AY78" s="23">
        <f t="shared" si="35"/>
        <v>6.0423002839200116E-2</v>
      </c>
      <c r="AZ78" s="23">
        <f t="shared" si="35"/>
        <v>6.0405288374217915E-2</v>
      </c>
      <c r="BA78" s="23">
        <f t="shared" si="35"/>
        <v>6.0389690691972996E-2</v>
      </c>
      <c r="BB78" s="23">
        <f t="shared" si="35"/>
        <v>6.0375792283247465E-2</v>
      </c>
      <c r="BC78" s="23">
        <f t="shared" si="35"/>
        <v>6.0363316294549697E-2</v>
      </c>
      <c r="BD78" s="23">
        <f t="shared" si="35"/>
        <v>6.0352066287038264E-2</v>
      </c>
      <c r="BE78" s="23">
        <f t="shared" si="35"/>
        <v>6.0341893499751366E-2</v>
      </c>
      <c r="BF78" s="23">
        <f t="shared" si="35"/>
        <v>6.032527794762238E-2</v>
      </c>
      <c r="BG78" s="23">
        <f t="shared" si="35"/>
        <v>6.0309659901240278E-2</v>
      </c>
      <c r="BH78" s="23">
        <f t="shared" si="35"/>
        <v>6.0296870828632033E-2</v>
      </c>
      <c r="BI78" s="23">
        <f t="shared" si="35"/>
        <v>6.0286830631033295E-2</v>
      </c>
    </row>
    <row r="79" spans="1:237" s="37" customFormat="1" ht="18" customHeight="1" x14ac:dyDescent="0.2">
      <c r="A79" s="35" t="s">
        <v>70</v>
      </c>
      <c r="B79" s="29">
        <f>+C134</f>
        <v>1.3149105131402106E-2</v>
      </c>
      <c r="C79" s="23">
        <f t="shared" ref="C79:BI79" si="36">+D134</f>
        <v>-1.6496500314076012E-3</v>
      </c>
      <c r="D79" s="23">
        <f t="shared" si="36"/>
        <v>9.3509231400499271E-3</v>
      </c>
      <c r="E79" s="23">
        <f t="shared" si="36"/>
        <v>2.0189860812982463E-3</v>
      </c>
      <c r="F79" s="23">
        <f t="shared" si="36"/>
        <v>1.5740480330727058E-2</v>
      </c>
      <c r="G79" s="23">
        <f t="shared" si="36"/>
        <v>1.6468213520094865E-2</v>
      </c>
      <c r="H79" s="23">
        <f t="shared" si="36"/>
        <v>2.4345599228894343E-2</v>
      </c>
      <c r="I79" s="23">
        <f t="shared" si="36"/>
        <v>1.3818512867052712E-2</v>
      </c>
      <c r="J79" s="23">
        <f t="shared" si="36"/>
        <v>3.0117272017767815E-2</v>
      </c>
      <c r="K79" s="23">
        <f t="shared" si="36"/>
        <v>3.0892797440860376E-2</v>
      </c>
      <c r="L79" s="23">
        <f t="shared" si="36"/>
        <v>1.9316936478735336E-2</v>
      </c>
      <c r="M79" s="23">
        <f t="shared" si="36"/>
        <v>2.0657864873597109E-2</v>
      </c>
      <c r="N79" s="23">
        <f t="shared" si="36"/>
        <v>2.4453382403215818E-2</v>
      </c>
      <c r="O79" s="23">
        <f t="shared" si="36"/>
        <v>2.4333823056036374E-2</v>
      </c>
      <c r="P79" s="23">
        <f t="shared" si="36"/>
        <v>2.31136209010947E-2</v>
      </c>
      <c r="Q79" s="23">
        <f t="shared" si="36"/>
        <v>2.5744491644493772E-2</v>
      </c>
      <c r="R79" s="23">
        <f t="shared" si="36"/>
        <v>2.6154077631468597E-2</v>
      </c>
      <c r="S79" s="23">
        <f t="shared" si="36"/>
        <v>2.1454163558747741E-2</v>
      </c>
      <c r="T79" s="23">
        <f t="shared" si="36"/>
        <v>1.3738848516260393E-3</v>
      </c>
      <c r="U79" s="23">
        <f t="shared" si="36"/>
        <v>2.0614511700480787E-2</v>
      </c>
      <c r="V79" s="23">
        <f t="shared" si="36"/>
        <v>2.0623945865744897E-2</v>
      </c>
      <c r="W79" s="23">
        <f t="shared" si="36"/>
        <v>2.0169531341481806E-2</v>
      </c>
      <c r="X79" s="23">
        <f t="shared" si="36"/>
        <v>1.6803609004419018E-2</v>
      </c>
      <c r="Y79" s="23">
        <f t="shared" si="36"/>
        <v>1.5258679183722812E-2</v>
      </c>
      <c r="Z79" s="23">
        <f t="shared" si="36"/>
        <v>1.107532878033779E-2</v>
      </c>
      <c r="AA79" s="23">
        <f t="shared" si="36"/>
        <v>1.4002013164854166E-2</v>
      </c>
      <c r="AB79" s="23">
        <f t="shared" si="36"/>
        <v>1.6985796412197329E-2</v>
      </c>
      <c r="AC79" s="23">
        <f t="shared" si="36"/>
        <v>1.8436995680864765E-2</v>
      </c>
      <c r="AD79" s="23">
        <f t="shared" si="36"/>
        <v>1.7444521323380702E-2</v>
      </c>
      <c r="AE79" s="23">
        <f t="shared" si="36"/>
        <v>1.0503945159099359E-2</v>
      </c>
      <c r="AF79" s="23">
        <f t="shared" si="36"/>
        <v>2.3437846534682061E-2</v>
      </c>
      <c r="AG79" s="23">
        <f t="shared" si="36"/>
        <v>1.18220831713578E-2</v>
      </c>
      <c r="AH79" s="23">
        <f t="shared" si="36"/>
        <v>0.27142982896300194</v>
      </c>
      <c r="AI79" s="23">
        <f t="shared" si="36"/>
        <v>7.54158598578476E-2</v>
      </c>
      <c r="AJ79" s="23">
        <f t="shared" si="36"/>
        <v>4.2739175042689759E-2</v>
      </c>
      <c r="AK79" s="23">
        <f t="shared" si="36"/>
        <v>3.1013345597844078E-2</v>
      </c>
      <c r="AL79" s="23">
        <f t="shared" si="36"/>
        <v>2.5867322394252934E-2</v>
      </c>
      <c r="AM79" s="23">
        <f t="shared" si="36"/>
        <v>2.3357578692689174E-2</v>
      </c>
      <c r="AN79" s="23">
        <f t="shared" si="36"/>
        <v>2.2057539160302619E-2</v>
      </c>
      <c r="AO79" s="23">
        <f t="shared" si="36"/>
        <v>2.1355487470939405E-2</v>
      </c>
      <c r="AP79" s="23">
        <f t="shared" si="36"/>
        <v>2.0961809125752184E-2</v>
      </c>
      <c r="AQ79" s="23">
        <f t="shared" si="36"/>
        <v>2.073145127994902E-2</v>
      </c>
      <c r="AR79" s="23">
        <f t="shared" si="36"/>
        <v>2.0589405141250738E-2</v>
      </c>
      <c r="AS79" s="23">
        <f t="shared" si="36"/>
        <v>2.0496141475808916E-2</v>
      </c>
      <c r="AT79" s="23">
        <f t="shared" si="36"/>
        <v>2.0430562234202698E-2</v>
      </c>
      <c r="AU79" s="23">
        <f t="shared" si="36"/>
        <v>2.0381283839507214E-2</v>
      </c>
      <c r="AV79" s="23">
        <f t="shared" si="36"/>
        <v>2.0342088294866834E-2</v>
      </c>
      <c r="AW79" s="23">
        <f t="shared" si="36"/>
        <v>2.0309521693759436E-2</v>
      </c>
      <c r="AX79" s="23">
        <f t="shared" si="36"/>
        <v>2.0281617872117685E-2</v>
      </c>
      <c r="AY79" s="23">
        <f t="shared" si="36"/>
        <v>2.0257217170329689E-2</v>
      </c>
      <c r="AZ79" s="23">
        <f t="shared" si="36"/>
        <v>2.0235601651122037E-2</v>
      </c>
      <c r="BA79" s="23">
        <f t="shared" si="36"/>
        <v>2.0216299132829407E-2</v>
      </c>
      <c r="BB79" s="23">
        <f t="shared" si="36"/>
        <v>2.0198977469235047E-2</v>
      </c>
      <c r="BC79" s="23">
        <f t="shared" si="36"/>
        <v>2.0183387158112076E-2</v>
      </c>
      <c r="BD79" s="23">
        <f t="shared" si="36"/>
        <v>2.0209781399643356E-2</v>
      </c>
      <c r="BE79" s="23">
        <f t="shared" si="36"/>
        <v>2.0182718503382713E-2</v>
      </c>
      <c r="BF79" s="23">
        <f t="shared" si="36"/>
        <v>2.0160278931477205E-2</v>
      </c>
      <c r="BG79" s="23">
        <f t="shared" si="36"/>
        <v>2.0142497478956134E-2</v>
      </c>
      <c r="BH79" s="23">
        <f t="shared" si="36"/>
        <v>1.4999999999999902E-2</v>
      </c>
      <c r="BI79" s="23">
        <f t="shared" si="36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2.5695718910770498</v>
      </c>
      <c r="C84" s="381">
        <f t="shared" ref="C84:BH84" si="37">C68-C73</f>
        <v>2.4465258961828482</v>
      </c>
      <c r="D84" s="381">
        <f>D68-D73</f>
        <v>2.1015738411957186</v>
      </c>
      <c r="E84" s="381">
        <f>E68-E73</f>
        <v>1.9183620574612879</v>
      </c>
      <c r="F84" s="381">
        <f t="shared" si="37"/>
        <v>1.6723041016180047</v>
      </c>
      <c r="G84" s="381">
        <f t="shared" si="37"/>
        <v>1.5987202735189596</v>
      </c>
      <c r="H84" s="381">
        <f t="shared" si="37"/>
        <v>1.5375032119684078</v>
      </c>
      <c r="I84" s="381">
        <f t="shared" si="37"/>
        <v>1.5567215588315446</v>
      </c>
      <c r="J84" s="381">
        <f>J68-J73</f>
        <v>1.471286526032235</v>
      </c>
      <c r="K84" s="381">
        <f t="shared" si="37"/>
        <v>1.5465355941495784</v>
      </c>
      <c r="L84" s="381">
        <f>L68-L73</f>
        <v>1.6813402680994103</v>
      </c>
      <c r="M84" s="381">
        <f t="shared" si="37"/>
        <v>1.7446581058481532</v>
      </c>
      <c r="N84" s="381">
        <f t="shared" si="37"/>
        <v>1.8262968009571847</v>
      </c>
      <c r="O84" s="381">
        <f t="shared" si="37"/>
        <v>1.9596528601369194</v>
      </c>
      <c r="P84" s="381">
        <f t="shared" si="37"/>
        <v>2.101111095933216</v>
      </c>
      <c r="Q84" s="381">
        <f t="shared" si="37"/>
        <v>2.2349505030960017</v>
      </c>
      <c r="R84" s="381">
        <f t="shared" si="37"/>
        <v>2.4183675960829976</v>
      </c>
      <c r="S84" s="381">
        <f t="shared" si="37"/>
        <v>2.6238113080265864</v>
      </c>
      <c r="T84" s="381">
        <f t="shared" si="37"/>
        <v>2.760905883416291</v>
      </c>
      <c r="U84" s="381">
        <f t="shared" si="37"/>
        <v>2.5449922199637154</v>
      </c>
      <c r="V84" s="381">
        <f t="shared" si="37"/>
        <v>2.6591033044298076</v>
      </c>
      <c r="W84" s="381">
        <f t="shared" si="37"/>
        <v>2.7740956448585514</v>
      </c>
      <c r="X84" s="381">
        <f t="shared" si="37"/>
        <v>2.8854814413822867</v>
      </c>
      <c r="Y84" s="381">
        <f t="shared" si="37"/>
        <v>2.9359366213533171</v>
      </c>
      <c r="Z84" s="381">
        <f t="shared" si="37"/>
        <v>2.9571449475274325</v>
      </c>
      <c r="AA84" s="381">
        <f t="shared" si="37"/>
        <v>2.8976364659972909</v>
      </c>
      <c r="AB84" s="381">
        <f t="shared" si="37"/>
        <v>2.8945688047652176</v>
      </c>
      <c r="AC84" s="381">
        <f t="shared" si="37"/>
        <v>2.9487027240324464</v>
      </c>
      <c r="AD84" s="381">
        <f t="shared" si="37"/>
        <v>3.0325406808833444</v>
      </c>
      <c r="AE84" s="381">
        <f t="shared" si="37"/>
        <v>3.0985564785322985</v>
      </c>
      <c r="AF84" s="381">
        <f t="shared" si="37"/>
        <v>3.0164766216934145</v>
      </c>
      <c r="AG84" s="381">
        <f t="shared" si="37"/>
        <v>3.1876417220069131</v>
      </c>
      <c r="AH84" s="381">
        <f t="shared" si="37"/>
        <v>3.1216933962361835</v>
      </c>
      <c r="AI84" s="381">
        <f t="shared" si="37"/>
        <v>14.014123439252494</v>
      </c>
      <c r="AJ84" s="381">
        <f t="shared" si="37"/>
        <v>20.604807916894593</v>
      </c>
      <c r="AK84" s="381">
        <f t="shared" si="37"/>
        <v>24.66226095091217</v>
      </c>
      <c r="AL84" s="381">
        <f t="shared" si="37"/>
        <v>27.375024698353869</v>
      </c>
      <c r="AM84" s="381">
        <f t="shared" si="37"/>
        <v>29.389275442942399</v>
      </c>
      <c r="AN84" s="381">
        <f t="shared" si="37"/>
        <v>31.040687530048515</v>
      </c>
      <c r="AO84" s="381">
        <f t="shared" si="37"/>
        <v>32.508232552063156</v>
      </c>
      <c r="AP84" s="381">
        <f t="shared" si="37"/>
        <v>33.889559209026672</v>
      </c>
      <c r="AQ84" s="381">
        <f t="shared" si="37"/>
        <v>35.238895200898853</v>
      </c>
      <c r="AR84" s="381">
        <f t="shared" si="37"/>
        <v>36.586874743866908</v>
      </c>
      <c r="AS84" s="381">
        <f t="shared" si="37"/>
        <v>37.951190356873795</v>
      </c>
      <c r="AT84" s="381">
        <f t="shared" si="37"/>
        <v>39.342404607629092</v>
      </c>
      <c r="AU84" s="381">
        <f t="shared" si="37"/>
        <v>40.767148447915275</v>
      </c>
      <c r="AV84" s="381">
        <f t="shared" si="37"/>
        <v>42.229889665488301</v>
      </c>
      <c r="AW84" s="381">
        <f t="shared" si="37"/>
        <v>43.73391339149115</v>
      </c>
      <c r="AX84" s="381">
        <f t="shared" si="37"/>
        <v>45.281866787537901</v>
      </c>
      <c r="AY84" s="381">
        <f t="shared" si="37"/>
        <v>46.876062233030858</v>
      </c>
      <c r="AZ84" s="381">
        <f t="shared" si="37"/>
        <v>48.518646585105863</v>
      </c>
      <c r="BA84" s="381">
        <f t="shared" si="37"/>
        <v>50.211696153666878</v>
      </c>
      <c r="BB84" s="381">
        <f t="shared" si="37"/>
        <v>51.957270482847115</v>
      </c>
      <c r="BC84" s="381">
        <f t="shared" si="37"/>
        <v>53.757443303479334</v>
      </c>
      <c r="BD84" s="381">
        <f t="shared" si="37"/>
        <v>55.614320848427731</v>
      </c>
      <c r="BE84" s="381">
        <f t="shared" si="37"/>
        <v>57.54526268492981</v>
      </c>
      <c r="BF84" s="381">
        <f t="shared" si="37"/>
        <v>59.532718107806204</v>
      </c>
      <c r="BG84" s="381">
        <f t="shared" si="37"/>
        <v>61.57978411261125</v>
      </c>
      <c r="BH84" s="381">
        <f t="shared" si="37"/>
        <v>63.689838355431178</v>
      </c>
      <c r="BI84" s="381">
        <f>+BH84</f>
        <v>63.689838355431178</v>
      </c>
    </row>
    <row r="85" spans="1:103" s="381" customFormat="1" ht="18" customHeight="1" x14ac:dyDescent="0.2">
      <c r="A85" s="411" t="s">
        <v>970</v>
      </c>
      <c r="B85" s="383">
        <f>+C85/C84*B84</f>
        <v>0.44720741822653864</v>
      </c>
      <c r="C85" s="383">
        <f>+(C74-B74)/10</f>
        <v>0.42579253511280457</v>
      </c>
      <c r="D85" s="383">
        <f t="shared" ref="D85:BI85" si="38">+(D74-C74)/10</f>
        <v>0.11141130113494349</v>
      </c>
      <c r="E85" s="383">
        <f t="shared" si="38"/>
        <v>-5.3955260638479705E-2</v>
      </c>
      <c r="F85" s="383">
        <f t="shared" si="38"/>
        <v>-5.9194461774728958E-2</v>
      </c>
      <c r="G85" s="383">
        <f t="shared" si="38"/>
        <v>-7.0861903912310703E-2</v>
      </c>
      <c r="H85" s="383">
        <f t="shared" si="38"/>
        <v>-3.6828660735862682E-2</v>
      </c>
      <c r="I85" s="383">
        <f t="shared" si="38"/>
        <v>-2.5415767980148819E-2</v>
      </c>
      <c r="J85" s="383">
        <f t="shared" si="38"/>
        <v>-1.8714659619617712E-3</v>
      </c>
      <c r="K85" s="383">
        <f t="shared" si="38"/>
        <v>-1.7760827280121384E-2</v>
      </c>
      <c r="L85" s="383">
        <f t="shared" si="38"/>
        <v>3.5994873190988486E-2</v>
      </c>
      <c r="M85" s="383">
        <f t="shared" si="38"/>
        <v>7.17896983212956E-2</v>
      </c>
      <c r="N85" s="383">
        <f t="shared" si="38"/>
        <v>7.0059128642591784E-2</v>
      </c>
      <c r="O85" s="383">
        <f t="shared" si="38"/>
        <v>4.7754934480805832E-2</v>
      </c>
      <c r="P85" s="383">
        <f t="shared" si="38"/>
        <v>5.4755273530967583E-2</v>
      </c>
      <c r="Q85" s="383">
        <f t="shared" si="38"/>
        <v>5.9511195846565279E-2</v>
      </c>
      <c r="R85" s="383">
        <f t="shared" si="38"/>
        <v>5.8992536623131822E-2</v>
      </c>
      <c r="S85" s="383">
        <f t="shared" si="38"/>
        <v>7.2977646441265337E-2</v>
      </c>
      <c r="T85" s="383">
        <f t="shared" si="38"/>
        <v>8.414767317060487E-2</v>
      </c>
      <c r="U85" s="383">
        <f t="shared" si="38"/>
        <v>6.8512852395273965E-2</v>
      </c>
      <c r="V85" s="383">
        <f t="shared" si="38"/>
        <v>-3.780459195405008E-2</v>
      </c>
      <c r="W85" s="383">
        <f t="shared" si="38"/>
        <v>1.9423596971754265E-2</v>
      </c>
      <c r="X85" s="383">
        <f t="shared" si="38"/>
        <v>3.9629636067588694E-2</v>
      </c>
      <c r="Y85" s="383">
        <f t="shared" si="38"/>
        <v>4.5644539527088669E-2</v>
      </c>
      <c r="Z85" s="383">
        <f t="shared" si="38"/>
        <v>3.033195052696307E-2</v>
      </c>
      <c r="AA85" s="383">
        <f t="shared" si="38"/>
        <v>1.6636004822419892E-2</v>
      </c>
      <c r="AB85" s="383">
        <f t="shared" si="38"/>
        <v>-1.1202889778328996E-2</v>
      </c>
      <c r="AC85" s="383">
        <f t="shared" si="38"/>
        <v>-4.7827365831633276E-3</v>
      </c>
      <c r="AD85" s="383">
        <f t="shared" si="38"/>
        <v>1.3800181855529382E-2</v>
      </c>
      <c r="AE85" s="383">
        <f t="shared" si="38"/>
        <v>2.8767053184382264E-2</v>
      </c>
      <c r="AF85" s="383">
        <f t="shared" si="38"/>
        <v>2.8893308790568107E-2</v>
      </c>
      <c r="AG85" s="383">
        <f t="shared" si="38"/>
        <v>-1.337840718752723E-2</v>
      </c>
      <c r="AH85" s="383">
        <f t="shared" si="38"/>
        <v>4.4242666397240879E-2</v>
      </c>
      <c r="AI85" s="383">
        <f t="shared" si="38"/>
        <v>-3.4171147476364182E-3</v>
      </c>
      <c r="AJ85" s="383">
        <f t="shared" si="38"/>
        <v>3.1111295716385747</v>
      </c>
      <c r="AK85" s="383">
        <f t="shared" si="38"/>
        <v>2.9679564245406764</v>
      </c>
      <c r="AL85" s="383">
        <f t="shared" si="38"/>
        <v>2.1942085329686494</v>
      </c>
      <c r="AM85" s="383">
        <f t="shared" si="38"/>
        <v>1.5401979208588046</v>
      </c>
      <c r="AN85" s="383">
        <f t="shared" si="38"/>
        <v>1.1125706684289782</v>
      </c>
      <c r="AO85" s="383">
        <f t="shared" si="38"/>
        <v>0.85979147578306081</v>
      </c>
      <c r="AP85" s="383">
        <f t="shared" si="38"/>
        <v>0.71911602876238589</v>
      </c>
      <c r="AQ85" s="383">
        <f t="shared" si="38"/>
        <v>0.64543014609525362</v>
      </c>
      <c r="AR85" s="383">
        <f t="shared" si="38"/>
        <v>0.61059669540648542</v>
      </c>
      <c r="AS85" s="383">
        <f t="shared" si="38"/>
        <v>0.59806344064809591</v>
      </c>
      <c r="AT85" s="383">
        <f t="shared" si="38"/>
        <v>0.5983611107299055</v>
      </c>
      <c r="AU85" s="383">
        <f t="shared" si="38"/>
        <v>0.60615071633342832</v>
      </c>
      <c r="AV85" s="383">
        <f t="shared" si="38"/>
        <v>0.61844727662341081</v>
      </c>
      <c r="AW85" s="383">
        <f t="shared" si="38"/>
        <v>0.633591906917232</v>
      </c>
      <c r="AX85" s="383">
        <f t="shared" si="38"/>
        <v>0.65066826648483977</v>
      </c>
      <c r="AY85" s="383">
        <f t="shared" si="38"/>
        <v>0.66917455845440943</v>
      </c>
      <c r="AZ85" s="383">
        <f t="shared" si="38"/>
        <v>0.68884015892391803</v>
      </c>
      <c r="BA85" s="383">
        <f t="shared" si="38"/>
        <v>0.70952341208570435</v>
      </c>
      <c r="BB85" s="383">
        <f t="shared" si="38"/>
        <v>0.73115476797824497</v>
      </c>
      <c r="BC85" s="383">
        <f t="shared" si="38"/>
        <v>0.75370518550417387</v>
      </c>
      <c r="BD85" s="383">
        <f t="shared" si="38"/>
        <v>0.77716859225980672</v>
      </c>
      <c r="BE85" s="383">
        <f t="shared" si="38"/>
        <v>0.80155215781495026</v>
      </c>
      <c r="BF85" s="383">
        <f t="shared" si="38"/>
        <v>0.8312167550978018</v>
      </c>
      <c r="BG85" s="383">
        <f t="shared" si="38"/>
        <v>0.85770792777464633</v>
      </c>
      <c r="BH85" s="383">
        <f t="shared" si="38"/>
        <v>0.88397750792938157</v>
      </c>
      <c r="BI85" s="383">
        <f t="shared" si="38"/>
        <v>0.91113492959817111</v>
      </c>
    </row>
    <row r="86" spans="1:103" s="381" customFormat="1" ht="19.5" customHeight="1" x14ac:dyDescent="0.2">
      <c r="A86" s="411" t="s">
        <v>973</v>
      </c>
      <c r="B86" s="383">
        <f t="shared" ref="B86:AG86" si="39">+(1-$B$98)*(1-$B$99)*B46*B123*(B120-B124)/1000</f>
        <v>0</v>
      </c>
      <c r="C86" s="383">
        <f t="shared" si="39"/>
        <v>0</v>
      </c>
      <c r="D86" s="383">
        <f t="shared" si="39"/>
        <v>0</v>
      </c>
      <c r="E86" s="383">
        <f t="shared" si="39"/>
        <v>0</v>
      </c>
      <c r="F86" s="383">
        <f t="shared" si="39"/>
        <v>0</v>
      </c>
      <c r="G86" s="383">
        <f t="shared" si="39"/>
        <v>0</v>
      </c>
      <c r="H86" s="383">
        <f t="shared" si="39"/>
        <v>0</v>
      </c>
      <c r="I86" s="383">
        <f t="shared" si="39"/>
        <v>0</v>
      </c>
      <c r="J86" s="383">
        <f t="shared" si="39"/>
        <v>0</v>
      </c>
      <c r="K86" s="383">
        <f t="shared" si="39"/>
        <v>0</v>
      </c>
      <c r="L86" s="383">
        <f t="shared" si="39"/>
        <v>0</v>
      </c>
      <c r="M86" s="383">
        <f t="shared" si="39"/>
        <v>0</v>
      </c>
      <c r="N86" s="383">
        <f t="shared" si="39"/>
        <v>0</v>
      </c>
      <c r="O86" s="383">
        <f t="shared" si="39"/>
        <v>0</v>
      </c>
      <c r="P86" s="383">
        <f t="shared" si="39"/>
        <v>0</v>
      </c>
      <c r="Q86" s="383">
        <f t="shared" si="39"/>
        <v>0</v>
      </c>
      <c r="R86" s="383">
        <f t="shared" si="39"/>
        <v>0</v>
      </c>
      <c r="S86" s="383">
        <f t="shared" si="39"/>
        <v>0</v>
      </c>
      <c r="T86" s="383">
        <f t="shared" si="39"/>
        <v>0</v>
      </c>
      <c r="U86" s="383">
        <f t="shared" si="39"/>
        <v>0</v>
      </c>
      <c r="V86" s="383">
        <f t="shared" si="39"/>
        <v>0</v>
      </c>
      <c r="W86" s="383">
        <f t="shared" si="39"/>
        <v>0</v>
      </c>
      <c r="X86" s="383">
        <f t="shared" si="39"/>
        <v>0</v>
      </c>
      <c r="Y86" s="383">
        <f t="shared" si="39"/>
        <v>0</v>
      </c>
      <c r="Z86" s="383">
        <f t="shared" si="39"/>
        <v>0</v>
      </c>
      <c r="AA86" s="383">
        <f t="shared" si="39"/>
        <v>0</v>
      </c>
      <c r="AB86" s="383">
        <f t="shared" si="39"/>
        <v>0</v>
      </c>
      <c r="AC86" s="383">
        <f t="shared" si="39"/>
        <v>0</v>
      </c>
      <c r="AD86" s="383">
        <f t="shared" si="39"/>
        <v>0</v>
      </c>
      <c r="AE86" s="383">
        <f t="shared" si="39"/>
        <v>0</v>
      </c>
      <c r="AF86" s="383">
        <f t="shared" si="39"/>
        <v>0</v>
      </c>
      <c r="AG86" s="383">
        <f t="shared" si="39"/>
        <v>0</v>
      </c>
      <c r="AH86" s="383">
        <f t="shared" ref="AH86:BI86" si="40">+(1-$B$98)*(1-$B$99)*AH46*AH123*(AH120-AH124)/1000</f>
        <v>0</v>
      </c>
      <c r="AI86" s="383">
        <f t="shared" si="40"/>
        <v>0</v>
      </c>
      <c r="AJ86" s="383">
        <f t="shared" si="40"/>
        <v>0</v>
      </c>
      <c r="AK86" s="383">
        <f t="shared" si="40"/>
        <v>0</v>
      </c>
      <c r="AL86" s="383">
        <f t="shared" si="40"/>
        <v>0</v>
      </c>
      <c r="AM86" s="383">
        <f t="shared" si="40"/>
        <v>0</v>
      </c>
      <c r="AN86" s="383">
        <f t="shared" si="40"/>
        <v>0</v>
      </c>
      <c r="AO86" s="383">
        <f t="shared" si="40"/>
        <v>0</v>
      </c>
      <c r="AP86" s="383">
        <f t="shared" si="40"/>
        <v>0</v>
      </c>
      <c r="AQ86" s="383">
        <f t="shared" si="40"/>
        <v>0</v>
      </c>
      <c r="AR86" s="383">
        <f t="shared" si="40"/>
        <v>0</v>
      </c>
      <c r="AS86" s="383">
        <f t="shared" si="40"/>
        <v>0</v>
      </c>
      <c r="AT86" s="383">
        <f t="shared" si="40"/>
        <v>0</v>
      </c>
      <c r="AU86" s="383">
        <f t="shared" si="40"/>
        <v>0</v>
      </c>
      <c r="AV86" s="383">
        <f t="shared" si="40"/>
        <v>0</v>
      </c>
      <c r="AW86" s="383">
        <f t="shared" si="40"/>
        <v>0</v>
      </c>
      <c r="AX86" s="383">
        <f t="shared" si="40"/>
        <v>0</v>
      </c>
      <c r="AY86" s="383">
        <f t="shared" si="40"/>
        <v>0</v>
      </c>
      <c r="AZ86" s="383">
        <f t="shared" si="40"/>
        <v>0</v>
      </c>
      <c r="BA86" s="383">
        <f t="shared" si="40"/>
        <v>0</v>
      </c>
      <c r="BB86" s="383">
        <f t="shared" si="40"/>
        <v>0</v>
      </c>
      <c r="BC86" s="383">
        <f t="shared" si="40"/>
        <v>0</v>
      </c>
      <c r="BD86" s="383">
        <f t="shared" si="40"/>
        <v>0</v>
      </c>
      <c r="BE86" s="383">
        <f t="shared" si="40"/>
        <v>0</v>
      </c>
      <c r="BF86" s="383">
        <f t="shared" si="40"/>
        <v>0</v>
      </c>
      <c r="BG86" s="383">
        <f t="shared" si="40"/>
        <v>0</v>
      </c>
      <c r="BH86" s="383">
        <f t="shared" si="40"/>
        <v>0</v>
      </c>
      <c r="BI86" s="383">
        <f t="shared" si="40"/>
        <v>0</v>
      </c>
    </row>
    <row r="87" spans="1:103" s="381" customFormat="1" ht="18" customHeight="1" x14ac:dyDescent="0.2">
      <c r="A87" s="410" t="s">
        <v>972</v>
      </c>
      <c r="B87" s="383">
        <f>+SUM(B84:B86)</f>
        <v>3.0167793093035886</v>
      </c>
      <c r="C87" s="383">
        <f>+SUM(C84:C86)</f>
        <v>2.8723184312956529</v>
      </c>
      <c r="D87" s="383">
        <f t="shared" ref="D87:BI87" si="41">+SUM(D84:D86)</f>
        <v>2.2129851423306621</v>
      </c>
      <c r="E87" s="383">
        <f t="shared" si="41"/>
        <v>1.8644067968228082</v>
      </c>
      <c r="F87" s="383">
        <f t="shared" si="41"/>
        <v>1.6131096398432758</v>
      </c>
      <c r="G87" s="383">
        <f t="shared" si="41"/>
        <v>1.527858369606649</v>
      </c>
      <c r="H87" s="383">
        <f t="shared" si="41"/>
        <v>1.500674551232545</v>
      </c>
      <c r="I87" s="383">
        <f t="shared" si="41"/>
        <v>1.5313057908513958</v>
      </c>
      <c r="J87" s="383">
        <f t="shared" si="41"/>
        <v>1.4694150600702731</v>
      </c>
      <c r="K87" s="383">
        <f t="shared" si="41"/>
        <v>1.5287747668694571</v>
      </c>
      <c r="L87" s="383">
        <f t="shared" si="41"/>
        <v>1.7173351412903988</v>
      </c>
      <c r="M87" s="383">
        <f t="shared" si="41"/>
        <v>1.8164478041694487</v>
      </c>
      <c r="N87" s="383">
        <f t="shared" si="41"/>
        <v>1.8963559295997765</v>
      </c>
      <c r="O87" s="383">
        <f t="shared" si="41"/>
        <v>2.0074077946177251</v>
      </c>
      <c r="P87" s="383">
        <f t="shared" si="41"/>
        <v>2.1558663694641838</v>
      </c>
      <c r="Q87" s="383">
        <f t="shared" si="41"/>
        <v>2.294461698942567</v>
      </c>
      <c r="R87" s="383">
        <f t="shared" si="41"/>
        <v>2.4773601327061292</v>
      </c>
      <c r="S87" s="383">
        <f t="shared" si="41"/>
        <v>2.6967889544678516</v>
      </c>
      <c r="T87" s="383">
        <f t="shared" si="41"/>
        <v>2.8450535565868957</v>
      </c>
      <c r="U87" s="383">
        <f t="shared" si="41"/>
        <v>2.6135050723589894</v>
      </c>
      <c r="V87" s="383">
        <f t="shared" si="41"/>
        <v>2.6212987124757574</v>
      </c>
      <c r="W87" s="383">
        <f t="shared" si="41"/>
        <v>2.7935192418303059</v>
      </c>
      <c r="X87" s="383">
        <f t="shared" si="41"/>
        <v>2.9251110774498752</v>
      </c>
      <c r="Y87" s="383">
        <f t="shared" si="41"/>
        <v>2.9815811608804057</v>
      </c>
      <c r="Z87" s="383">
        <f t="shared" si="41"/>
        <v>2.9874768980543958</v>
      </c>
      <c r="AA87" s="383">
        <f t="shared" si="41"/>
        <v>2.9142724708197107</v>
      </c>
      <c r="AB87" s="383">
        <f t="shared" si="41"/>
        <v>2.8833659149868884</v>
      </c>
      <c r="AC87" s="383">
        <f t="shared" si="41"/>
        <v>2.943919987449283</v>
      </c>
      <c r="AD87" s="383">
        <f t="shared" si="41"/>
        <v>3.0463408627388739</v>
      </c>
      <c r="AE87" s="383">
        <f t="shared" si="41"/>
        <v>3.127323531716681</v>
      </c>
      <c r="AF87" s="383">
        <f t="shared" si="41"/>
        <v>3.0453699304839827</v>
      </c>
      <c r="AG87" s="383">
        <f t="shared" si="41"/>
        <v>3.174263314819386</v>
      </c>
      <c r="AH87" s="383">
        <f t="shared" si="41"/>
        <v>3.1659360626334245</v>
      </c>
      <c r="AI87" s="383">
        <f t="shared" si="41"/>
        <v>14.010706324504858</v>
      </c>
      <c r="AJ87" s="383">
        <f t="shared" si="41"/>
        <v>23.715937488533168</v>
      </c>
      <c r="AK87" s="383">
        <f t="shared" si="41"/>
        <v>27.630217375452848</v>
      </c>
      <c r="AL87" s="383">
        <f t="shared" si="41"/>
        <v>29.569233231322517</v>
      </c>
      <c r="AM87" s="383">
        <f t="shared" si="41"/>
        <v>30.929473363801204</v>
      </c>
      <c r="AN87" s="383">
        <f t="shared" si="41"/>
        <v>32.153258198477495</v>
      </c>
      <c r="AO87" s="383">
        <f t="shared" si="41"/>
        <v>33.368024027846218</v>
      </c>
      <c r="AP87" s="383">
        <f t="shared" si="41"/>
        <v>34.608675237789058</v>
      </c>
      <c r="AQ87" s="383">
        <f t="shared" si="41"/>
        <v>35.884325346994103</v>
      </c>
      <c r="AR87" s="383">
        <f t="shared" si="41"/>
        <v>37.197471439273393</v>
      </c>
      <c r="AS87" s="383">
        <f t="shared" si="41"/>
        <v>38.549253797521892</v>
      </c>
      <c r="AT87" s="383">
        <f t="shared" si="41"/>
        <v>39.940765718358996</v>
      </c>
      <c r="AU87" s="383">
        <f t="shared" si="41"/>
        <v>41.373299164248706</v>
      </c>
      <c r="AV87" s="383">
        <f t="shared" si="41"/>
        <v>42.848336942111715</v>
      </c>
      <c r="AW87" s="383">
        <f t="shared" si="41"/>
        <v>44.367505298408382</v>
      </c>
      <c r="AX87" s="383">
        <f t="shared" si="41"/>
        <v>45.932535054022743</v>
      </c>
      <c r="AY87" s="383">
        <f t="shared" si="41"/>
        <v>47.545236791485266</v>
      </c>
      <c r="AZ87" s="383">
        <f t="shared" si="41"/>
        <v>49.207486744029779</v>
      </c>
      <c r="BA87" s="383">
        <f t="shared" si="41"/>
        <v>50.92121956575258</v>
      </c>
      <c r="BB87" s="383">
        <f t="shared" si="41"/>
        <v>52.688425250825361</v>
      </c>
      <c r="BC87" s="383">
        <f t="shared" si="41"/>
        <v>54.511148488983508</v>
      </c>
      <c r="BD87" s="383">
        <f t="shared" si="41"/>
        <v>56.391489440687536</v>
      </c>
      <c r="BE87" s="383">
        <f t="shared" si="41"/>
        <v>58.346814842744763</v>
      </c>
      <c r="BF87" s="383">
        <f t="shared" si="41"/>
        <v>60.363934862904003</v>
      </c>
      <c r="BG87" s="383">
        <f t="shared" si="41"/>
        <v>62.437492040385898</v>
      </c>
      <c r="BH87" s="383">
        <f t="shared" si="41"/>
        <v>64.573815863360565</v>
      </c>
      <c r="BI87" s="383">
        <f t="shared" si="41"/>
        <v>64.600973285029355</v>
      </c>
    </row>
    <row r="88" spans="1:103" ht="18" customHeight="1" x14ac:dyDescent="0.2">
      <c r="A88" s="21" t="s">
        <v>153</v>
      </c>
      <c r="B88" s="29">
        <f t="shared" ref="B88:AG88" si="42">(B84/B56)*1000</f>
        <v>17.950205316640236</v>
      </c>
      <c r="C88" s="23">
        <f t="shared" si="42"/>
        <v>17.733109941745358</v>
      </c>
      <c r="D88" s="23">
        <f t="shared" si="42"/>
        <v>15.881729265296949</v>
      </c>
      <c r="E88" s="23">
        <f t="shared" si="42"/>
        <v>15.301666669637051</v>
      </c>
      <c r="F88" s="23">
        <f t="shared" si="42"/>
        <v>14.043373904035676</v>
      </c>
      <c r="G88" s="23">
        <f t="shared" si="42"/>
        <v>14.111816342134203</v>
      </c>
      <c r="H88" s="23">
        <f t="shared" si="42"/>
        <v>14.248461777599355</v>
      </c>
      <c r="I88" s="23">
        <f t="shared" si="42"/>
        <v>15.146225085894276</v>
      </c>
      <c r="J88" s="23">
        <f t="shared" si="42"/>
        <v>15.029074626071216</v>
      </c>
      <c r="K88" s="23">
        <f t="shared" si="42"/>
        <v>16.585799830512883</v>
      </c>
      <c r="L88" s="23">
        <f t="shared" si="42"/>
        <v>18.395835060442483</v>
      </c>
      <c r="M88" s="23">
        <f t="shared" si="42"/>
        <v>18.923762723078724</v>
      </c>
      <c r="N88" s="23">
        <f t="shared" si="42"/>
        <v>19.638204975111286</v>
      </c>
      <c r="O88" s="23">
        <f t="shared" si="42"/>
        <v>20.890211882680564</v>
      </c>
      <c r="P88" s="23">
        <f t="shared" si="42"/>
        <v>22.204754933436739</v>
      </c>
      <c r="Q88" s="23">
        <f t="shared" si="42"/>
        <v>23.415214811390335</v>
      </c>
      <c r="R88" s="23">
        <f t="shared" si="42"/>
        <v>25.118044236107629</v>
      </c>
      <c r="S88" s="23">
        <f t="shared" si="42"/>
        <v>27.016517974897038</v>
      </c>
      <c r="T88" s="23">
        <f t="shared" si="42"/>
        <v>28.182638236217997</v>
      </c>
      <c r="U88" s="23">
        <f t="shared" si="42"/>
        <v>25.754301264873799</v>
      </c>
      <c r="V88" s="23">
        <f t="shared" si="42"/>
        <v>26.719054383799861</v>
      </c>
      <c r="W88" s="23">
        <f t="shared" si="42"/>
        <v>27.721655303042436</v>
      </c>
      <c r="X88" s="23">
        <f t="shared" si="42"/>
        <v>28.676613852453208</v>
      </c>
      <c r="Y88" s="23">
        <f t="shared" si="42"/>
        <v>29.018042567773115</v>
      </c>
      <c r="Z88" s="23">
        <f t="shared" si="42"/>
        <v>29.067381063709341</v>
      </c>
      <c r="AA88" s="23">
        <f t="shared" si="42"/>
        <v>28.326247438727989</v>
      </c>
      <c r="AB88" s="23">
        <f t="shared" si="42"/>
        <v>28.141087577986593</v>
      </c>
      <c r="AC88" s="23">
        <f t="shared" si="42"/>
        <v>28.510172550332783</v>
      </c>
      <c r="AD88" s="23">
        <f t="shared" si="42"/>
        <v>29.159988252947038</v>
      </c>
      <c r="AE88" s="23">
        <f t="shared" si="42"/>
        <v>29.631386965836608</v>
      </c>
      <c r="AF88" s="23">
        <f t="shared" si="42"/>
        <v>28.767257082210598</v>
      </c>
      <c r="AG88" s="23">
        <f t="shared" si="42"/>
        <v>30.3996086836815</v>
      </c>
      <c r="AH88" s="23">
        <f t="shared" ref="AH88:BI88" si="43">(AH84/AH56)*1000</f>
        <v>29.770678750015076</v>
      </c>
      <c r="AI88" s="23">
        <f t="shared" si="43"/>
        <v>133.648604752815</v>
      </c>
      <c r="AJ88" s="23">
        <f t="shared" si="43"/>
        <v>196.50203890594571</v>
      </c>
      <c r="AK88" s="23">
        <f t="shared" si="43"/>
        <v>235.19678418895495</v>
      </c>
      <c r="AL88" s="23">
        <f t="shared" si="43"/>
        <v>261.06762023811564</v>
      </c>
      <c r="AM88" s="23">
        <f t="shared" si="43"/>
        <v>280.2769416632832</v>
      </c>
      <c r="AN88" s="23">
        <f t="shared" si="43"/>
        <v>296.02597671855307</v>
      </c>
      <c r="AO88" s="23">
        <f t="shared" si="43"/>
        <v>310.02152524175472</v>
      </c>
      <c r="AP88" s="23">
        <f t="shared" si="43"/>
        <v>323.19483438315694</v>
      </c>
      <c r="AQ88" s="23">
        <f t="shared" si="43"/>
        <v>336.06305788912113</v>
      </c>
      <c r="AR88" s="23">
        <f t="shared" si="43"/>
        <v>348.91834533781133</v>
      </c>
      <c r="AS88" s="23">
        <f t="shared" si="43"/>
        <v>361.92942511823736</v>
      </c>
      <c r="AT88" s="23">
        <f t="shared" si="43"/>
        <v>375.19702935560917</v>
      </c>
      <c r="AU88" s="23">
        <f t="shared" si="43"/>
        <v>388.78439550161283</v>
      </c>
      <c r="AV88" s="23">
        <f t="shared" si="43"/>
        <v>402.7341315440047</v>
      </c>
      <c r="AW88" s="23">
        <f t="shared" si="43"/>
        <v>417.07756681962064</v>
      </c>
      <c r="AX88" s="23">
        <f t="shared" si="43"/>
        <v>431.83994653611217</v>
      </c>
      <c r="AY88" s="23">
        <f t="shared" si="43"/>
        <v>447.04332318089439</v>
      </c>
      <c r="AZ88" s="23">
        <f t="shared" si="43"/>
        <v>462.70817070384021</v>
      </c>
      <c r="BA88" s="23">
        <f t="shared" si="43"/>
        <v>478.85429026646369</v>
      </c>
      <c r="BB88" s="23">
        <f t="shared" si="43"/>
        <v>495.50132314001695</v>
      </c>
      <c r="BC88" s="23">
        <f t="shared" si="43"/>
        <v>512.66904589016485</v>
      </c>
      <c r="BD88" s="23">
        <f t="shared" si="43"/>
        <v>530.37754504495911</v>
      </c>
      <c r="BE88" s="23">
        <f t="shared" si="43"/>
        <v>548.7923737301777</v>
      </c>
      <c r="BF88" s="23">
        <f t="shared" si="43"/>
        <v>567.74615599328115</v>
      </c>
      <c r="BG88" s="23">
        <f t="shared" si="43"/>
        <v>587.26842697691006</v>
      </c>
      <c r="BH88" s="23">
        <f t="shared" si="43"/>
        <v>607.39139840127791</v>
      </c>
      <c r="BI88" s="23">
        <f t="shared" si="43"/>
        <v>607.39139840127791</v>
      </c>
    </row>
    <row r="89" spans="1:103" ht="18" customHeight="1" x14ac:dyDescent="0.2">
      <c r="A89" s="21" t="s">
        <v>166</v>
      </c>
      <c r="C89" s="23">
        <f>+LN(C88/B88)/10</f>
        <v>-1.2168042791665394E-3</v>
      </c>
      <c r="D89" s="23">
        <f>+LN(D88/C88)/10</f>
        <v>-1.1026416464031562E-2</v>
      </c>
      <c r="E89" s="23">
        <f>+LN(E88/D88)/10</f>
        <v>-3.7207590568153182E-3</v>
      </c>
      <c r="F89" s="23">
        <f>+LN(F88/E88)/10</f>
        <v>-8.5811078837758088E-3</v>
      </c>
    </row>
    <row r="90" spans="1:103" s="33" customFormat="1" ht="18" customHeight="1" x14ac:dyDescent="0.2">
      <c r="A90" s="32" t="s">
        <v>5</v>
      </c>
      <c r="B90" s="44">
        <f t="shared" ref="B90:AG90" si="44">+(1/(1-$B$18))*(B88)^(1-$B$18)+1</f>
        <v>0.52794208327622338</v>
      </c>
      <c r="C90" s="33">
        <f t="shared" si="44"/>
        <v>0.52506131837919867</v>
      </c>
      <c r="D90" s="33">
        <f t="shared" si="44"/>
        <v>0.49814171115746053</v>
      </c>
      <c r="E90" s="33">
        <f t="shared" si="44"/>
        <v>0.48871785433779813</v>
      </c>
      <c r="F90" s="33">
        <f t="shared" si="44"/>
        <v>0.46630360883505673</v>
      </c>
      <c r="G90" s="33">
        <f t="shared" si="44"/>
        <v>0.46759939807699047</v>
      </c>
      <c r="H90" s="33">
        <f t="shared" si="44"/>
        <v>0.47015845941531687</v>
      </c>
      <c r="I90" s="33">
        <f t="shared" si="44"/>
        <v>0.48610097655601259</v>
      </c>
      <c r="J90" s="33">
        <f t="shared" si="44"/>
        <v>0.48410196320939258</v>
      </c>
      <c r="K90" s="33">
        <f t="shared" si="44"/>
        <v>0.50890921402538036</v>
      </c>
      <c r="L90" s="33">
        <f t="shared" si="44"/>
        <v>0.53369481754245707</v>
      </c>
      <c r="M90" s="33">
        <f t="shared" si="44"/>
        <v>0.54024522481914128</v>
      </c>
      <c r="N90" s="33">
        <f t="shared" si="44"/>
        <v>0.54868569287541868</v>
      </c>
      <c r="O90" s="33">
        <f t="shared" si="44"/>
        <v>0.56241888234520754</v>
      </c>
      <c r="P90" s="33">
        <f t="shared" si="44"/>
        <v>0.57556909120818256</v>
      </c>
      <c r="Q90" s="33">
        <f t="shared" si="44"/>
        <v>0.58668523265897621</v>
      </c>
      <c r="R90" s="33">
        <f t="shared" si="44"/>
        <v>0.60094102272776528</v>
      </c>
      <c r="S90" s="33">
        <f t="shared" si="44"/>
        <v>0.61521750305572231</v>
      </c>
      <c r="T90" s="33">
        <f t="shared" si="44"/>
        <v>0.62326222136286713</v>
      </c>
      <c r="U90" s="33">
        <f t="shared" si="44"/>
        <v>0.60590120237569711</v>
      </c>
      <c r="V90" s="33">
        <f t="shared" si="44"/>
        <v>0.61308153718346103</v>
      </c>
      <c r="W90" s="33">
        <f t="shared" si="44"/>
        <v>0.62014275324185675</v>
      </c>
      <c r="X90" s="33">
        <f t="shared" si="44"/>
        <v>0.62652110818763518</v>
      </c>
      <c r="Y90" s="33">
        <f t="shared" si="44"/>
        <v>0.62872480151373289</v>
      </c>
      <c r="Z90" s="33">
        <f t="shared" si="44"/>
        <v>0.62904003355461913</v>
      </c>
      <c r="AA90" s="33">
        <f t="shared" si="44"/>
        <v>0.62421843272979682</v>
      </c>
      <c r="AB90" s="33">
        <f t="shared" si="44"/>
        <v>0.62298419499517799</v>
      </c>
      <c r="AC90" s="33">
        <f t="shared" si="44"/>
        <v>0.62543251688716373</v>
      </c>
      <c r="AD90" s="33">
        <f t="shared" si="44"/>
        <v>0.62962955502809204</v>
      </c>
      <c r="AE90" s="33">
        <f t="shared" si="44"/>
        <v>0.63258743405843254</v>
      </c>
      <c r="AF90" s="33">
        <f t="shared" si="44"/>
        <v>0.6271099728516718</v>
      </c>
      <c r="AG90" s="33">
        <f t="shared" si="44"/>
        <v>0.63725954029502607</v>
      </c>
      <c r="AH90" s="33">
        <f t="shared" ref="AH90:BI90" si="45">+(1/(1-$B$18))*(AH88)^(1-$B$18)+1</f>
        <v>0.63344797129074426</v>
      </c>
      <c r="AI90" s="33">
        <f t="shared" si="45"/>
        <v>0.82699933160299288</v>
      </c>
      <c r="AJ90" s="33">
        <f t="shared" si="45"/>
        <v>0.85732546520024933</v>
      </c>
      <c r="AK90" s="33">
        <f t="shared" si="45"/>
        <v>0.86958897572443794</v>
      </c>
      <c r="AL90" s="33">
        <f t="shared" si="45"/>
        <v>0.87621914150085889</v>
      </c>
      <c r="AM90" s="33">
        <f t="shared" si="45"/>
        <v>0.8805362039337834</v>
      </c>
      <c r="AN90" s="33">
        <f t="shared" si="45"/>
        <v>0.8837574618194437</v>
      </c>
      <c r="AO90" s="33">
        <f t="shared" si="45"/>
        <v>0.88641157665999215</v>
      </c>
      <c r="AP90" s="33">
        <f t="shared" si="45"/>
        <v>0.88875057108941591</v>
      </c>
      <c r="AQ90" s="33">
        <f t="shared" si="45"/>
        <v>0.89090129180387956</v>
      </c>
      <c r="AR90" s="33">
        <f t="shared" si="45"/>
        <v>0.89292992829361861</v>
      </c>
      <c r="AS90" s="33">
        <f t="shared" si="45"/>
        <v>0.89487208547851915</v>
      </c>
      <c r="AT90" s="33">
        <f t="shared" si="45"/>
        <v>0.89674756555328738</v>
      </c>
      <c r="AU90" s="33">
        <f t="shared" si="45"/>
        <v>0.89856786124707921</v>
      </c>
      <c r="AV90" s="33">
        <f t="shared" si="45"/>
        <v>0.90034002429910054</v>
      </c>
      <c r="AW90" s="33">
        <f t="shared" si="45"/>
        <v>0.9020686863797085</v>
      </c>
      <c r="AX90" s="33">
        <f t="shared" si="45"/>
        <v>0.90375712477326564</v>
      </c>
      <c r="AY90" s="33">
        <f t="shared" si="45"/>
        <v>0.90540782985116808</v>
      </c>
      <c r="AZ90" s="33">
        <f t="shared" si="45"/>
        <v>0.90702281111241689</v>
      </c>
      <c r="BA90" s="33">
        <f t="shared" si="45"/>
        <v>0.908603765295528</v>
      </c>
      <c r="BB90" s="33">
        <f t="shared" si="45"/>
        <v>0.91015217126434922</v>
      </c>
      <c r="BC90" s="33">
        <f t="shared" si="45"/>
        <v>0.91166934567961855</v>
      </c>
      <c r="BD90" s="33">
        <f t="shared" si="45"/>
        <v>0.91315647739523176</v>
      </c>
      <c r="BE90" s="33">
        <f t="shared" si="45"/>
        <v>0.91462593471233955</v>
      </c>
      <c r="BF90" s="33">
        <f t="shared" si="45"/>
        <v>0.9160631060201837</v>
      </c>
      <c r="BG90" s="33">
        <f t="shared" si="45"/>
        <v>0.91747003340778033</v>
      </c>
      <c r="BH90" s="33">
        <f t="shared" si="45"/>
        <v>0.91884866344878102</v>
      </c>
      <c r="BI90" s="33">
        <f t="shared" si="45"/>
        <v>0.91884866344878102</v>
      </c>
    </row>
    <row r="91" spans="1:103" ht="18" customHeight="1" x14ac:dyDescent="0.2">
      <c r="A91" s="28" t="s">
        <v>115</v>
      </c>
      <c r="B91" s="29">
        <f t="shared" ref="B91:BH91" si="46">B$17*B$56*B90</f>
        <v>75.574909220991387</v>
      </c>
      <c r="C91" s="29">
        <f t="shared" si="46"/>
        <v>62.418670296936412</v>
      </c>
      <c r="D91" s="29">
        <f t="shared" si="46"/>
        <v>48.941686293187836</v>
      </c>
      <c r="E91" s="29">
        <f t="shared" si="46"/>
        <v>39.198439404775314</v>
      </c>
      <c r="F91" s="29">
        <f t="shared" si="46"/>
        <v>30.610532348483517</v>
      </c>
      <c r="G91" s="29">
        <f t="shared" si="46"/>
        <v>25.1629409004107</v>
      </c>
      <c r="H91" s="29">
        <f t="shared" si="46"/>
        <v>20.764896449190005</v>
      </c>
      <c r="I91" s="29">
        <f t="shared" si="46"/>
        <v>17.620168999586486</v>
      </c>
      <c r="J91" s="29">
        <f t="shared" si="46"/>
        <v>14.401856548061048</v>
      </c>
      <c r="K91" s="29">
        <f t="shared" si="46"/>
        <v>12.42567561806103</v>
      </c>
      <c r="L91" s="29">
        <f t="shared" si="46"/>
        <v>11.005882404333072</v>
      </c>
      <c r="M91" s="36">
        <f t="shared" si="46"/>
        <v>9.6834280064851068</v>
      </c>
      <c r="N91" s="29">
        <f t="shared" si="46"/>
        <v>8.5480712959610887</v>
      </c>
      <c r="O91" s="29">
        <f t="shared" si="46"/>
        <v>7.615715318650925</v>
      </c>
      <c r="P91" s="29">
        <f t="shared" si="46"/>
        <v>6.774146439470818</v>
      </c>
      <c r="Q91" s="29">
        <f t="shared" si="46"/>
        <v>6.00162122110138</v>
      </c>
      <c r="R91" s="29">
        <f t="shared" si="46"/>
        <v>5.3432019136679338</v>
      </c>
      <c r="S91" s="29">
        <f t="shared" si="46"/>
        <v>4.7544986188405707</v>
      </c>
      <c r="T91" s="29">
        <f t="shared" si="46"/>
        <v>4.1865198495171851</v>
      </c>
      <c r="U91" s="29">
        <f t="shared" si="46"/>
        <v>3.5374513386583946</v>
      </c>
      <c r="V91" s="29">
        <f t="shared" si="46"/>
        <v>3.1061606499321059</v>
      </c>
      <c r="W91" s="29">
        <f t="shared" si="46"/>
        <v>2.7222316070493351</v>
      </c>
      <c r="X91" s="29">
        <f t="shared" si="46"/>
        <v>2.3828506870477653</v>
      </c>
      <c r="Y91" s="29">
        <f t="shared" si="46"/>
        <v>2.0718076761194584</v>
      </c>
      <c r="Z91" s="29">
        <f t="shared" si="46"/>
        <v>1.7959525340177094</v>
      </c>
      <c r="AA91" s="29">
        <f t="shared" si="46"/>
        <v>1.5441194042133515</v>
      </c>
      <c r="AB91" s="29">
        <f t="shared" si="46"/>
        <v>1.3352083622340767</v>
      </c>
      <c r="AC91" s="29">
        <f t="shared" si="46"/>
        <v>1.1613956494419402</v>
      </c>
      <c r="AD91" s="29">
        <f t="shared" si="46"/>
        <v>1.0130072809151189</v>
      </c>
      <c r="AE91" s="29">
        <f t="shared" si="46"/>
        <v>0.88181147276659699</v>
      </c>
      <c r="AF91" s="29">
        <f t="shared" si="46"/>
        <v>0.75532270866887496</v>
      </c>
      <c r="AG91" s="29">
        <f t="shared" si="46"/>
        <v>0.66137040617083431</v>
      </c>
      <c r="AH91" s="29">
        <f t="shared" si="46"/>
        <v>0.56647264049057555</v>
      </c>
      <c r="AI91" s="29">
        <f t="shared" si="46"/>
        <v>0.63725422804858611</v>
      </c>
      <c r="AJ91" s="29">
        <f t="shared" si="46"/>
        <v>0.56923666865210421</v>
      </c>
      <c r="AK91" s="29">
        <f t="shared" si="46"/>
        <v>0.49750877752359984</v>
      </c>
      <c r="AL91" s="29">
        <f t="shared" si="46"/>
        <v>0.43195552762572337</v>
      </c>
      <c r="AM91" s="29">
        <f t="shared" si="46"/>
        <v>0.37403573316678967</v>
      </c>
      <c r="AN91" s="29">
        <f t="shared" si="46"/>
        <v>0.32347338130614678</v>
      </c>
      <c r="AO91" s="29">
        <f t="shared" si="46"/>
        <v>0.27956348872085118</v>
      </c>
      <c r="AP91" s="29">
        <f t="shared" si="46"/>
        <v>0.24152634119007407</v>
      </c>
      <c r="AQ91" s="29">
        <f t="shared" si="46"/>
        <v>0.20861895987357468</v>
      </c>
      <c r="AR91" s="29">
        <f t="shared" si="46"/>
        <v>0.1801694463818572</v>
      </c>
      <c r="AS91" s="29">
        <f t="shared" si="46"/>
        <v>0.15558377440391941</v>
      </c>
      <c r="AT91" s="29">
        <f t="shared" si="46"/>
        <v>0.13434240723021601</v>
      </c>
      <c r="AU91" s="29">
        <f t="shared" si="46"/>
        <v>0.11599342664538663</v>
      </c>
      <c r="AV91" s="29">
        <f t="shared" si="46"/>
        <v>0.10014485259415587</v>
      </c>
      <c r="AW91" s="29">
        <f t="shared" si="46"/>
        <v>8.6457218543824488E-2</v>
      </c>
      <c r="AX91" s="29">
        <f t="shared" si="46"/>
        <v>7.4636791867945695E-2</v>
      </c>
      <c r="AY91" s="29">
        <f t="shared" si="46"/>
        <v>6.4429543323419755E-2</v>
      </c>
      <c r="AZ91" s="29">
        <f t="shared" si="46"/>
        <v>5.5615851925482178E-2</v>
      </c>
      <c r="BA91" s="29">
        <f t="shared" si="46"/>
        <v>4.8005886546265274E-2</v>
      </c>
      <c r="BB91" s="29">
        <f t="shared" si="46"/>
        <v>4.1435592104235641E-2</v>
      </c>
      <c r="BC91" s="29">
        <f t="shared" si="46"/>
        <v>3.5763208065537698E-2</v>
      </c>
      <c r="BD91" s="29">
        <f t="shared" si="46"/>
        <v>3.0866252089015386E-2</v>
      </c>
      <c r="BE91" s="29">
        <f t="shared" si="46"/>
        <v>2.6639237151437317E-2</v>
      </c>
      <c r="BF91" s="29">
        <f t="shared" si="46"/>
        <v>2.2990226090823445E-2</v>
      </c>
      <c r="BG91" s="29">
        <f t="shared" si="46"/>
        <v>1.9840349368954215E-2</v>
      </c>
      <c r="BH91" s="29">
        <f t="shared" si="46"/>
        <v>1.7121467771858311E-2</v>
      </c>
      <c r="BI91" s="29">
        <f>BI$17*BI$56*BI90/(1-(BJ17/BI17))</f>
        <v>0.10664868434042392</v>
      </c>
    </row>
    <row r="92" spans="1:103" ht="18" customHeight="1" x14ac:dyDescent="0.2">
      <c r="A92" s="57" t="s">
        <v>62</v>
      </c>
      <c r="B92" s="194">
        <f>SUM(B91:AO91)*10*B52+B53</f>
        <v>38.946537218458417</v>
      </c>
      <c r="C92" s="174">
        <v>40.363692962961636</v>
      </c>
      <c r="D92" s="195">
        <f>+B92-C92</f>
        <v>-1.4171557445032192</v>
      </c>
      <c r="I92" s="33"/>
    </row>
    <row r="93" spans="1:103" s="33" customFormat="1" ht="18" customHeight="1" x14ac:dyDescent="0.2">
      <c r="A93" s="32" t="s">
        <v>270</v>
      </c>
      <c r="B93" s="33">
        <f>+B90*Data!B362</f>
        <v>0.52794208327622338</v>
      </c>
      <c r="C93" s="33">
        <f>+C90*Data!C362</f>
        <v>0.50905063093019387</v>
      </c>
      <c r="D93" s="33">
        <f>+D90*Data!D362</f>
        <v>0.45894115922298351</v>
      </c>
      <c r="E93" s="33">
        <f>+E90*Data!E362</f>
        <v>0.42306414585747909</v>
      </c>
      <c r="F93" s="33">
        <f>+F90*Data!F362</f>
        <v>0.37714877104019534</v>
      </c>
      <c r="G93" s="33">
        <f>+G90*Data!G362</f>
        <v>0.35545802021061318</v>
      </c>
      <c r="H93" s="33">
        <f>+H90*Data!H362</f>
        <v>0.338368984817213</v>
      </c>
      <c r="I93" s="33">
        <f>+I90*Data!I362</f>
        <v>0.33165017916124734</v>
      </c>
      <c r="J93" s="33">
        <f>+J90*Data!J362</f>
        <v>0.31378988659973761</v>
      </c>
      <c r="K93" s="33">
        <f>+K90*Data!K362</f>
        <v>0.30965839702889031</v>
      </c>
      <c r="L93" s="33">
        <f>+L90*Data!L362</f>
        <v>0.30701695162889736</v>
      </c>
      <c r="M93" s="33">
        <f>+M90*Data!M362</f>
        <v>0.29556287391967573</v>
      </c>
      <c r="N93" s="33">
        <f>+N90*Data!N362</f>
        <v>0.29653047902019136</v>
      </c>
      <c r="O93" s="33">
        <f>+O90*Data!O362</f>
        <v>0.29827028856997517</v>
      </c>
      <c r="P93" s="33">
        <f>+P90*Data!P362</f>
        <v>0.29914227379716446</v>
      </c>
      <c r="Q93" s="33">
        <f>+Q90*Data!Q362</f>
        <v>0.29920030983864637</v>
      </c>
      <c r="R93" s="33">
        <f>+R90*Data!R362</f>
        <v>0.3014680956950857</v>
      </c>
      <c r="S93" s="33">
        <f>+S90*Data!S362</f>
        <v>0.3045067667677796</v>
      </c>
      <c r="T93" s="33">
        <f>+T90*Data!T362</f>
        <v>0.30533805931704866</v>
      </c>
      <c r="U93" s="33">
        <f>+U90*Data!U362</f>
        <v>0.29473817418726472</v>
      </c>
      <c r="V93" s="33">
        <f>+V90*Data!V362</f>
        <v>0.29779965208709336</v>
      </c>
      <c r="W93" s="33">
        <f>+W90*Data!W362</f>
        <v>0.30171669691820352</v>
      </c>
      <c r="X93" s="33">
        <f>+X90*Data!X362</f>
        <v>0.30519016450071446</v>
      </c>
      <c r="Y93" s="33">
        <f>+Y90*Data!Y362</f>
        <v>0.3066429069183273</v>
      </c>
      <c r="Z93" s="33">
        <f>+Z90*Data!Z362</f>
        <v>0.307529632014788</v>
      </c>
      <c r="AA93" s="33">
        <f>+AA90*Data!AA362</f>
        <v>0.30639598462224543</v>
      </c>
      <c r="AB93" s="33">
        <f>+AB90*Data!AB362</f>
        <v>0.30740055309776182</v>
      </c>
      <c r="AC93" s="33">
        <f>+AC90*Data!AC362</f>
        <v>0.31035729421307745</v>
      </c>
      <c r="AD93" s="33">
        <f>+AD90*Data!AD362</f>
        <v>0.31433529377518027</v>
      </c>
      <c r="AE93" s="33">
        <f>+AE90*Data!AE362</f>
        <v>0.31789978397206531</v>
      </c>
      <c r="AF93" s="33">
        <f>+AF90*Data!AF362</f>
        <v>0.31745339570075504</v>
      </c>
      <c r="AG93" s="33">
        <f>+AG90*Data!AG362</f>
        <v>0.32517341576537756</v>
      </c>
      <c r="AH93" s="33">
        <f>+AH90*Data!AH362</f>
        <v>0.32601759121307167</v>
      </c>
      <c r="AI93" s="33">
        <f>+AI90*Data!AI362</f>
        <v>0.42960378533272503</v>
      </c>
      <c r="AJ93" s="33">
        <f>+AJ90*Data!AJ362</f>
        <v>0.44983151877650379</v>
      </c>
      <c r="AK93" s="33">
        <f>+AK90*Data!AK362</f>
        <v>0.46117024877415075</v>
      </c>
      <c r="AL93" s="33">
        <f>+AL90*Data!AL362</f>
        <v>0.46999138959322895</v>
      </c>
      <c r="AM93" s="33">
        <f>+AM90*Data!AM362</f>
        <v>0.47799224266342033</v>
      </c>
      <c r="AN93" s="33">
        <f>+AN90*Data!AN362</f>
        <v>0.48578785667792573</v>
      </c>
      <c r="AO93" s="33">
        <f>+AO90*Data!AO362</f>
        <v>0.49363731372785763</v>
      </c>
      <c r="AP93" s="33">
        <f>+AP90*Data!AP362</f>
        <v>0.50165578409198652</v>
      </c>
      <c r="AQ93" s="33">
        <f>+AQ90*Data!AQ362</f>
        <v>0.50989278574120878</v>
      </c>
      <c r="AR93" s="33">
        <f>+AR90*Data!AR362</f>
        <v>0.51836572003304104</v>
      </c>
      <c r="AS93" s="33">
        <f>+AS90*Data!AS362</f>
        <v>0.52707563223513576</v>
      </c>
      <c r="AT93" s="33">
        <f>+AT90*Data!AT362</f>
        <v>0.53601504314183712</v>
      </c>
      <c r="AU93" s="33">
        <f>+AU90*Data!AU362</f>
        <v>0.54517197783878923</v>
      </c>
      <c r="AV93" s="33">
        <f>+AV90*Data!AV362</f>
        <v>0.55453208877790305</v>
      </c>
      <c r="AW93" s="33">
        <f>+AW90*Data!AW362</f>
        <v>0.56407979485302251</v>
      </c>
      <c r="AX93" s="33">
        <f>+AX90*Data!AX362</f>
        <v>0.57379889273859963</v>
      </c>
      <c r="AY93" s="33">
        <f>+AY90*Data!AY362</f>
        <v>0.58367285755153431</v>
      </c>
      <c r="AZ93" s="33">
        <f>+AZ90*Data!AZ362</f>
        <v>0.5936849146179235</v>
      </c>
      <c r="BA93" s="33">
        <f>+BA90*Data!BA362</f>
        <v>0.60381787473998694</v>
      </c>
      <c r="BB93" s="33">
        <f>+BB90*Data!BB362</f>
        <v>0.61405365341194196</v>
      </c>
      <c r="BC93" s="33">
        <f>+BC90*Data!BC362</f>
        <v>0.6243723294386424</v>
      </c>
      <c r="BD93" s="33">
        <f>+BD90*Data!BD362</f>
        <v>0.63475054707420653</v>
      </c>
      <c r="BE93" s="33">
        <f>+BE90*Data!BE362</f>
        <v>0.6451670172890045</v>
      </c>
      <c r="BF93" s="33">
        <f>+BF90*Data!BF362</f>
        <v>0.65557234375156004</v>
      </c>
      <c r="BG93" s="33">
        <f>+BG90*Data!BG362</f>
        <v>0.66591505885070457</v>
      </c>
      <c r="BH93" s="33">
        <f>+BH90*Data!BH362</f>
        <v>0.67612574877247211</v>
      </c>
      <c r="BI93" s="33">
        <f>+BI90*Data!BI362</f>
        <v>0.67579684097854675</v>
      </c>
    </row>
    <row r="94" spans="1:103" ht="18" customHeight="1" x14ac:dyDescent="0.2">
      <c r="A94" s="21" t="s">
        <v>271</v>
      </c>
      <c r="B94" s="29">
        <f>B$17*B$56*B93</f>
        <v>75.574909220991387</v>
      </c>
      <c r="C94" s="29">
        <f t="shared" ref="C94:BH94" si="47">C$17*C$56*C93</f>
        <v>60.51533865523092</v>
      </c>
      <c r="D94" s="29">
        <f t="shared" si="47"/>
        <v>45.090290049257263</v>
      </c>
      <c r="E94" s="29">
        <f t="shared" si="47"/>
        <v>33.932573034798644</v>
      </c>
      <c r="F94" s="29">
        <f t="shared" si="47"/>
        <v>24.757956913433112</v>
      </c>
      <c r="G94" s="29">
        <f t="shared" si="47"/>
        <v>19.128273457836993</v>
      </c>
      <c r="H94" s="29">
        <f t="shared" si="47"/>
        <v>14.944316731181786</v>
      </c>
      <c r="I94" s="29">
        <f t="shared" si="47"/>
        <v>12.021642595673638</v>
      </c>
      <c r="J94" s="29">
        <f t="shared" si="47"/>
        <v>9.3351344891924288</v>
      </c>
      <c r="K94" s="29">
        <f t="shared" si="47"/>
        <v>7.5607096272732273</v>
      </c>
      <c r="L94" s="29">
        <f t="shared" si="47"/>
        <v>6.3313196131900797</v>
      </c>
      <c r="M94" s="29">
        <f t="shared" si="47"/>
        <v>5.2977086691495536</v>
      </c>
      <c r="N94" s="29">
        <f t="shared" si="47"/>
        <v>4.6197006938644893</v>
      </c>
      <c r="O94" s="29">
        <f t="shared" si="47"/>
        <v>4.0388786313304124</v>
      </c>
      <c r="P94" s="29">
        <f t="shared" si="47"/>
        <v>3.5207477258456672</v>
      </c>
      <c r="Q94" s="29">
        <f t="shared" si="47"/>
        <v>3.0607331306931171</v>
      </c>
      <c r="R94" s="29">
        <f t="shared" si="47"/>
        <v>2.6804708696971868</v>
      </c>
      <c r="S94" s="29">
        <f t="shared" si="47"/>
        <v>2.3532766783032923</v>
      </c>
      <c r="T94" s="29">
        <f t="shared" si="47"/>
        <v>2.05098881711241</v>
      </c>
      <c r="U94" s="29">
        <f t="shared" si="47"/>
        <v>1.7207788080703941</v>
      </c>
      <c r="V94" s="29">
        <f t="shared" si="47"/>
        <v>1.5087936999799034</v>
      </c>
      <c r="W94" s="29">
        <f t="shared" si="47"/>
        <v>1.3244413877798444</v>
      </c>
      <c r="X94" s="29">
        <f t="shared" si="47"/>
        <v>1.1607311927038122</v>
      </c>
      <c r="Y94" s="29">
        <f t="shared" si="47"/>
        <v>1.0104661480689152</v>
      </c>
      <c r="Z94" s="29">
        <f t="shared" si="47"/>
        <v>0.87801823801495071</v>
      </c>
      <c r="AA94" s="29">
        <f t="shared" si="47"/>
        <v>0.75792696982573582</v>
      </c>
      <c r="AB94" s="29">
        <f t="shared" si="47"/>
        <v>0.65883499509114962</v>
      </c>
      <c r="AC94" s="29">
        <f t="shared" si="47"/>
        <v>0.57631735085604752</v>
      </c>
      <c r="AD94" s="29">
        <f t="shared" si="47"/>
        <v>0.50573220189551527</v>
      </c>
      <c r="AE94" s="29">
        <f t="shared" si="47"/>
        <v>0.44314455457661817</v>
      </c>
      <c r="AF94" s="29">
        <f t="shared" si="47"/>
        <v>0.38235679401887107</v>
      </c>
      <c r="AG94" s="29">
        <f t="shared" si="47"/>
        <v>0.33747642908749703</v>
      </c>
      <c r="AH94" s="29">
        <f t="shared" si="47"/>
        <v>0.29154730003244428</v>
      </c>
      <c r="AI94" s="29">
        <f t="shared" si="47"/>
        <v>0.33103633597660509</v>
      </c>
      <c r="AJ94" s="29">
        <f t="shared" si="47"/>
        <v>0.2986737308021572</v>
      </c>
      <c r="AK94" s="29">
        <f t="shared" si="47"/>
        <v>0.26384447492189422</v>
      </c>
      <c r="AL94" s="29">
        <f t="shared" si="47"/>
        <v>0.23169475426381234</v>
      </c>
      <c r="AM94" s="29">
        <f t="shared" si="47"/>
        <v>0.20304239409342359</v>
      </c>
      <c r="AN94" s="29">
        <f t="shared" si="47"/>
        <v>0.17780833247343925</v>
      </c>
      <c r="AO94" s="29">
        <f t="shared" si="47"/>
        <v>0.15568723742140847</v>
      </c>
      <c r="AP94" s="29">
        <f t="shared" si="47"/>
        <v>0.13632968575205026</v>
      </c>
      <c r="AQ94" s="29">
        <f t="shared" si="47"/>
        <v>0.11939965020478066</v>
      </c>
      <c r="AR94" s="29">
        <f t="shared" si="47"/>
        <v>0.1045923782397576</v>
      </c>
      <c r="AS94" s="29">
        <f t="shared" si="47"/>
        <v>9.1638143138216166E-2</v>
      </c>
      <c r="AT94" s="29">
        <f t="shared" si="47"/>
        <v>8.030080478986644E-2</v>
      </c>
      <c r="AU94" s="29">
        <f t="shared" si="47"/>
        <v>7.0374613368434105E-2</v>
      </c>
      <c r="AV94" s="29">
        <f t="shared" si="47"/>
        <v>6.168062375392494E-2</v>
      </c>
      <c r="AW94" s="29">
        <f t="shared" si="47"/>
        <v>5.4063255754379633E-2</v>
      </c>
      <c r="AX94" s="29">
        <f t="shared" si="47"/>
        <v>4.7387187727159399E-2</v>
      </c>
      <c r="AY94" s="29">
        <f t="shared" si="47"/>
        <v>4.153462607950107E-2</v>
      </c>
      <c r="AZ94" s="29">
        <f t="shared" si="47"/>
        <v>3.6402934851536665E-2</v>
      </c>
      <c r="BA94" s="29">
        <f t="shared" si="47"/>
        <v>3.1902588891370841E-2</v>
      </c>
      <c r="BB94" s="29">
        <f t="shared" si="47"/>
        <v>2.7955409563598044E-2</v>
      </c>
      <c r="BC94" s="29">
        <f t="shared" si="47"/>
        <v>2.4493044143578932E-2</v>
      </c>
      <c r="BD94" s="29">
        <f t="shared" si="47"/>
        <v>2.1455655065296033E-2</v>
      </c>
      <c r="BE94" s="29">
        <f t="shared" si="47"/>
        <v>1.8791023218965124E-2</v>
      </c>
      <c r="BF94" s="29">
        <f t="shared" si="47"/>
        <v>1.6452749054831288E-2</v>
      </c>
      <c r="BG94" s="29">
        <f t="shared" si="47"/>
        <v>1.4400456621533558E-2</v>
      </c>
      <c r="BH94" s="29">
        <f t="shared" si="47"/>
        <v>1.2598663607869241E-2</v>
      </c>
      <c r="BI94" s="29">
        <f>BI$17*BI$56*BI93/(1-(BJ17/BI17))</f>
        <v>7.8438209510215198E-2</v>
      </c>
    </row>
    <row r="95" spans="1:103" ht="39" customHeight="1" x14ac:dyDescent="0.2">
      <c r="A95" s="57" t="s">
        <v>62</v>
      </c>
      <c r="B95" s="191">
        <f>SUM(B94:BI94)*10*B52+B53-C53</f>
        <v>47.33192129880527</v>
      </c>
      <c r="C95" s="84">
        <v>53.694779841061916</v>
      </c>
      <c r="D95" s="183">
        <f>+B95-C95</f>
        <v>-6.3628585422566459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+Controls!B31</f>
        <v>0.19116870416633872</v>
      </c>
      <c r="C97" s="385">
        <f>+Controls!C31</f>
        <v>0.18903154012827164</v>
      </c>
      <c r="D97" s="385">
        <f>+Controls!D31</f>
        <v>0.18513371193962028</v>
      </c>
      <c r="E97" s="385">
        <f>+Controls!E31</f>
        <v>0.185563870068611</v>
      </c>
      <c r="F97" s="385">
        <f>+Controls!F31</f>
        <v>0.1878739277780751</v>
      </c>
      <c r="G97" s="385">
        <f>+Controls!G31</f>
        <v>0.18989118964398169</v>
      </c>
      <c r="H97" s="385">
        <f>+Controls!H31</f>
        <v>0.19064813179718809</v>
      </c>
      <c r="I97" s="385">
        <f>+Controls!I31</f>
        <v>0.19168340007296758</v>
      </c>
      <c r="J97" s="385">
        <f>+Controls!J31</f>
        <v>0.19308059868291075</v>
      </c>
      <c r="K97" s="385">
        <f>+Controls!K31</f>
        <v>0.20313479711589796</v>
      </c>
      <c r="L97" s="385">
        <f>+Controls!L31</f>
        <v>0.21241990984042894</v>
      </c>
      <c r="M97" s="385">
        <f>+Controls!M31</f>
        <v>0.22223322828967537</v>
      </c>
      <c r="N97" s="385">
        <f>+Controls!N31</f>
        <v>0.22223322828967537</v>
      </c>
      <c r="O97" s="385">
        <f>+Controls!O31</f>
        <v>0.22223322828967537</v>
      </c>
      <c r="P97" s="385">
        <f>+Controls!P31</f>
        <v>0.22223322828967537</v>
      </c>
      <c r="Q97" s="385">
        <f>+Controls!Q31</f>
        <v>0.22223322828967537</v>
      </c>
      <c r="R97" s="385">
        <f>+Controls!R31</f>
        <v>0.22223322828967537</v>
      </c>
      <c r="S97" s="385">
        <f>+Controls!S31</f>
        <v>0.22223322828967537</v>
      </c>
      <c r="T97" s="385">
        <f>+Controls!T31</f>
        <v>0.22223322828967537</v>
      </c>
      <c r="U97" s="385">
        <f>+Controls!U31</f>
        <v>0.22223322828967537</v>
      </c>
      <c r="V97" s="385">
        <f>+Controls!V31</f>
        <v>0.22223322828967537</v>
      </c>
      <c r="W97" s="385">
        <f>+Controls!W31</f>
        <v>0.22223322828967537</v>
      </c>
      <c r="X97" s="385">
        <f>+Controls!X31</f>
        <v>0.22223322828967537</v>
      </c>
      <c r="Y97" s="385">
        <f>+Controls!Y31</f>
        <v>0.22223322828967537</v>
      </c>
      <c r="Z97" s="385">
        <f>+Controls!Z31</f>
        <v>0.22223322828967537</v>
      </c>
      <c r="AA97" s="385">
        <f>+Controls!AA31</f>
        <v>0.22223322828967537</v>
      </c>
      <c r="AB97" s="385">
        <f>+Controls!AB31</f>
        <v>0.22223322828967537</v>
      </c>
      <c r="AC97" s="385">
        <f>+Controls!AC31</f>
        <v>0.22223322828967537</v>
      </c>
      <c r="AD97" s="385">
        <f>+Controls!AD31</f>
        <v>0.22223322828967537</v>
      </c>
      <c r="AE97" s="385">
        <f>+Controls!AE31</f>
        <v>0.22223322828967537</v>
      </c>
      <c r="AF97" s="385">
        <f>+Controls!AF31</f>
        <v>0.22223322828967537</v>
      </c>
      <c r="AG97" s="385">
        <f>+Controls!AG31</f>
        <v>0.22223322828967537</v>
      </c>
      <c r="AH97" s="385">
        <f>+Controls!AH31</f>
        <v>0.22223322828967537</v>
      </c>
      <c r="AI97" s="385">
        <f>+Controls!AI31</f>
        <v>0.22223322828967537</v>
      </c>
      <c r="AJ97" s="385">
        <f>+Controls!AJ31</f>
        <v>0.22223322828967537</v>
      </c>
      <c r="AK97" s="385">
        <f>+Controls!AK31</f>
        <v>0.22223322828967537</v>
      </c>
      <c r="AL97" s="385">
        <f>+Controls!AL31</f>
        <v>0.22223322828967537</v>
      </c>
      <c r="AM97" s="385">
        <f>+Controls!AM31</f>
        <v>0.22223322828967537</v>
      </c>
      <c r="AN97" s="385">
        <f>+Controls!AN31</f>
        <v>0.22223322828967537</v>
      </c>
      <c r="AO97" s="385">
        <f>+Controls!AO31</f>
        <v>0.22223322828967537</v>
      </c>
      <c r="AP97" s="385">
        <f>+Controls!AP31</f>
        <v>0.22223322828967537</v>
      </c>
      <c r="AQ97" s="385">
        <f>+Controls!AQ31</f>
        <v>0.22223322828967537</v>
      </c>
      <c r="AR97" s="385">
        <f>+Controls!AR31</f>
        <v>0.22223322828967537</v>
      </c>
      <c r="AS97" s="385">
        <f>+Controls!AS31</f>
        <v>0.22223322828967537</v>
      </c>
      <c r="AT97" s="385">
        <f>+Controls!AT31</f>
        <v>0.22223322828967537</v>
      </c>
      <c r="AU97" s="385">
        <f>+Controls!AU31</f>
        <v>0.22223322828967537</v>
      </c>
      <c r="AV97" s="385">
        <f>+Controls!AV31</f>
        <v>0.22223322828967537</v>
      </c>
      <c r="AW97" s="385">
        <f>+Controls!AW31</f>
        <v>0.22223322828967537</v>
      </c>
      <c r="AX97" s="385">
        <f>+Controls!AX31</f>
        <v>0.22223322828967537</v>
      </c>
      <c r="AY97" s="385">
        <f>+Controls!AY31</f>
        <v>0.22223322828967537</v>
      </c>
      <c r="AZ97" s="385">
        <f>+Controls!AZ31</f>
        <v>0.22223322828967537</v>
      </c>
      <c r="BA97" s="385">
        <f>+Controls!BA31</f>
        <v>0.22223322828967537</v>
      </c>
      <c r="BB97" s="385">
        <f>+Controls!BB31</f>
        <v>0.22223322828967537</v>
      </c>
      <c r="BC97" s="385">
        <f>+Controls!BC31</f>
        <v>0.22223322828967537</v>
      </c>
      <c r="BD97" s="385">
        <f>+Controls!BD31</f>
        <v>0.22223322828967537</v>
      </c>
      <c r="BE97" s="385">
        <f>+Controls!BE31</f>
        <v>0.22223322828967537</v>
      </c>
      <c r="BF97" s="385">
        <f>+Controls!BF31</f>
        <v>0.22223322828967537</v>
      </c>
      <c r="BG97" s="385">
        <f>+Controls!BG31</f>
        <v>0.22223322828967537</v>
      </c>
      <c r="BH97" s="385">
        <f>+Controls!BH31</f>
        <v>0.22223322828967537</v>
      </c>
      <c r="BI97" s="385">
        <f>+Controls!BI31</f>
        <v>0.22223322828967537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8">+B$36*1000*B103^($B$38-1)</f>
        <v>1.0000000000000015E-3</v>
      </c>
      <c r="C101" s="463">
        <f t="shared" si="48"/>
        <v>1.0000000000000002E-3</v>
      </c>
      <c r="D101" s="463">
        <f t="shared" si="48"/>
        <v>1.0000000000000024E-3</v>
      </c>
      <c r="E101" s="463">
        <f t="shared" si="48"/>
        <v>1.000000000000023E-3</v>
      </c>
      <c r="F101" s="463">
        <f t="shared" si="48"/>
        <v>1.0000000000003001E-3</v>
      </c>
      <c r="G101" s="463">
        <f t="shared" si="48"/>
        <v>1.0000000000020108E-3</v>
      </c>
      <c r="H101" s="463">
        <f t="shared" si="48"/>
        <v>1.0000000000091719E-3</v>
      </c>
      <c r="I101" s="463">
        <f t="shared" si="48"/>
        <v>1.0000000000319864E-3</v>
      </c>
      <c r="J101" s="463">
        <f t="shared" si="48"/>
        <v>1.0000000000922246E-3</v>
      </c>
      <c r="K101" s="463">
        <f t="shared" si="48"/>
        <v>1.0000000002275554E-3</v>
      </c>
      <c r="L101" s="463">
        <f t="shared" si="48"/>
        <v>1.0000000005053185E-3</v>
      </c>
      <c r="M101" s="463">
        <f t="shared" si="48"/>
        <v>1.0000000010417344E-3</v>
      </c>
      <c r="N101" s="463">
        <f t="shared" si="48"/>
        <v>1.0000000019921502E-3</v>
      </c>
      <c r="O101" s="463">
        <f t="shared" si="48"/>
        <v>1.0000000035927925E-3</v>
      </c>
      <c r="P101" s="463">
        <f t="shared" si="48"/>
        <v>1.0000000062096897E-3</v>
      </c>
      <c r="Q101" s="463">
        <f t="shared" si="48"/>
        <v>1.0000000104204644E-3</v>
      </c>
      <c r="R101" s="463">
        <f t="shared" si="48"/>
        <v>1.0000000170144604E-3</v>
      </c>
      <c r="S101" s="463">
        <f t="shared" si="48"/>
        <v>1.0000000272142174E-3</v>
      </c>
      <c r="T101" s="463">
        <f t="shared" si="48"/>
        <v>1.0000000427819878E-3</v>
      </c>
      <c r="U101" s="463">
        <f t="shared" si="48"/>
        <v>1.000000065604336E-3</v>
      </c>
      <c r="V101" s="463">
        <f t="shared" si="48"/>
        <v>1.0000000970886364E-3</v>
      </c>
      <c r="W101" s="463">
        <f t="shared" si="48"/>
        <v>1.0000001421883787E-3</v>
      </c>
      <c r="X101" s="463">
        <f t="shared" si="48"/>
        <v>1.0000002055977517E-3</v>
      </c>
      <c r="Y101" s="463">
        <f t="shared" si="48"/>
        <v>1.000000293249745E-3</v>
      </c>
      <c r="Z101" s="463">
        <f t="shared" si="48"/>
        <v>1.0000004131003599E-3</v>
      </c>
      <c r="AA101" s="463">
        <f t="shared" si="48"/>
        <v>1.0000005755955608E-3</v>
      </c>
      <c r="AB101" s="463">
        <f t="shared" si="48"/>
        <v>254.89907227449083</v>
      </c>
      <c r="AC101" s="463">
        <f t="shared" si="48"/>
        <v>245.93411866076627</v>
      </c>
      <c r="AD101" s="463">
        <f t="shared" si="48"/>
        <v>237.41741272772796</v>
      </c>
      <c r="AE101" s="463">
        <f t="shared" si="48"/>
        <v>229.32654209134154</v>
      </c>
      <c r="AF101" s="463">
        <f t="shared" si="48"/>
        <v>221.64021498677448</v>
      </c>
      <c r="AG101" s="463">
        <f t="shared" si="48"/>
        <v>214.33820423743575</v>
      </c>
      <c r="AH101" s="463">
        <f t="shared" ref="AH101:BI101" si="49">+AH$36*1000*AH103^($B$38-1)</f>
        <v>207.40129402556394</v>
      </c>
      <c r="AI101" s="463">
        <f t="shared" si="49"/>
        <v>200.81122932428573</v>
      </c>
      <c r="AJ101" s="463">
        <f t="shared" si="49"/>
        <v>194.55066785807145</v>
      </c>
      <c r="AK101" s="463">
        <f t="shared" si="49"/>
        <v>188.60313446516787</v>
      </c>
      <c r="AL101" s="463">
        <f t="shared" si="49"/>
        <v>182.95297774190951</v>
      </c>
      <c r="AM101" s="463">
        <f t="shared" si="49"/>
        <v>177.58532885481401</v>
      </c>
      <c r="AN101" s="463">
        <f t="shared" si="49"/>
        <v>172.48606241207332</v>
      </c>
      <c r="AO101" s="463">
        <f t="shared" si="49"/>
        <v>167.64175929146964</v>
      </c>
      <c r="AP101" s="463">
        <f t="shared" si="49"/>
        <v>163.03967132689615</v>
      </c>
      <c r="AQ101" s="463">
        <f t="shared" si="49"/>
        <v>158.66768776055136</v>
      </c>
      <c r="AR101" s="463">
        <f t="shared" si="49"/>
        <v>154.51430337252378</v>
      </c>
      <c r="AS101" s="463">
        <f t="shared" si="49"/>
        <v>150.56858820389758</v>
      </c>
      <c r="AT101" s="463">
        <f t="shared" si="49"/>
        <v>146.82015879370269</v>
      </c>
      <c r="AU101" s="463">
        <f t="shared" si="49"/>
        <v>143.25915085401755</v>
      </c>
      <c r="AV101" s="463">
        <f t="shared" si="49"/>
        <v>139.87619331131668</v>
      </c>
      <c r="AW101" s="463">
        <f t="shared" si="49"/>
        <v>136.66238364575085</v>
      </c>
      <c r="AX101" s="463">
        <f t="shared" si="49"/>
        <v>133.60926446346329</v>
      </c>
      <c r="AY101" s="463">
        <f t="shared" si="49"/>
        <v>130.70880124029014</v>
      </c>
      <c r="AZ101" s="463">
        <f t="shared" si="49"/>
        <v>127.95336117827563</v>
      </c>
      <c r="BA101" s="463">
        <f t="shared" si="49"/>
        <v>125.33569311936185</v>
      </c>
      <c r="BB101" s="463">
        <f t="shared" si="49"/>
        <v>122.84890846339374</v>
      </c>
      <c r="BC101" s="463">
        <f t="shared" si="49"/>
        <v>120.48646304022407</v>
      </c>
      <c r="BD101" s="463">
        <f t="shared" si="49"/>
        <v>118.24213988821286</v>
      </c>
      <c r="BE101" s="463">
        <f t="shared" si="49"/>
        <v>59.121069944106431</v>
      </c>
      <c r="BF101" s="463">
        <f t="shared" si="49"/>
        <v>29.560534972053215</v>
      </c>
      <c r="BG101" s="463">
        <f t="shared" si="49"/>
        <v>14.780267486026608</v>
      </c>
      <c r="BH101" s="463">
        <f t="shared" si="49"/>
        <v>7.3901337430133038</v>
      </c>
      <c r="BI101" s="463">
        <f t="shared" si="49"/>
        <v>3.6950668715066519</v>
      </c>
    </row>
    <row r="102" spans="1:61" s="467" customFormat="1" ht="18" customHeight="1" x14ac:dyDescent="0.2">
      <c r="A102" s="612" t="s">
        <v>955</v>
      </c>
      <c r="B102" s="465">
        <f>+B119*(1-MIN(B103,1))</f>
        <v>0.80689093434140557</v>
      </c>
      <c r="C102" s="465">
        <f>+C119*(1-MIN(C103,1))</f>
        <v>0.56828748614327362</v>
      </c>
      <c r="D102" s="465">
        <f t="shared" ref="D102:BI102" si="50">+D119*(1-MIN(D103,1))</f>
        <v>0.41473621871269523</v>
      </c>
      <c r="E102" s="465">
        <f t="shared" si="50"/>
        <v>0.32776451972306964</v>
      </c>
      <c r="F102" s="465">
        <f t="shared" si="50"/>
        <v>0.25095147589457284</v>
      </c>
      <c r="G102" s="465">
        <f t="shared" si="50"/>
        <v>0.21293850319041679</v>
      </c>
      <c r="H102" s="465">
        <f t="shared" si="50"/>
        <v>0.18318261078490614</v>
      </c>
      <c r="I102" s="465">
        <f t="shared" si="50"/>
        <v>0.16747973824286308</v>
      </c>
      <c r="J102" s="465">
        <f t="shared" si="50"/>
        <v>0.14413261876654945</v>
      </c>
      <c r="K102" s="465">
        <f t="shared" si="50"/>
        <v>0.14035305444474158</v>
      </c>
      <c r="L102" s="465">
        <f t="shared" si="50"/>
        <v>0.14219840800114228</v>
      </c>
      <c r="M102" s="465">
        <f t="shared" si="50"/>
        <v>0.1384404536990787</v>
      </c>
      <c r="N102" s="465">
        <f t="shared" si="50"/>
        <v>0.13496212142970643</v>
      </c>
      <c r="O102" s="465">
        <f t="shared" si="50"/>
        <v>0.13546491988857742</v>
      </c>
      <c r="P102" s="465">
        <f t="shared" si="50"/>
        <v>0.13641078122154379</v>
      </c>
      <c r="Q102" s="465">
        <f t="shared" si="50"/>
        <v>0.13685104725280009</v>
      </c>
      <c r="R102" s="465">
        <f t="shared" si="50"/>
        <v>0.14008808327977532</v>
      </c>
      <c r="S102" s="465">
        <f t="shared" si="50"/>
        <v>0.14423717284060675</v>
      </c>
      <c r="T102" s="465">
        <f t="shared" si="50"/>
        <v>0.14438693934200589</v>
      </c>
      <c r="U102" s="465">
        <f t="shared" si="50"/>
        <v>0.12698833096314335</v>
      </c>
      <c r="V102" s="465">
        <f t="shared" si="50"/>
        <v>0.12686678354616365</v>
      </c>
      <c r="W102" s="465">
        <f t="shared" si="50"/>
        <v>0.12675548505433526</v>
      </c>
      <c r="X102" s="465">
        <f t="shared" si="50"/>
        <v>0.12653625918957145</v>
      </c>
      <c r="Y102" s="465">
        <f t="shared" si="50"/>
        <v>0.123762421150206</v>
      </c>
      <c r="Z102" s="465">
        <f t="shared" si="50"/>
        <v>0.12001143474527638</v>
      </c>
      <c r="AA102" s="465">
        <f t="shared" si="50"/>
        <v>0.11339296702987837</v>
      </c>
      <c r="AB102" s="465">
        <f t="shared" si="50"/>
        <v>0</v>
      </c>
      <c r="AC102" s="465">
        <f t="shared" si="50"/>
        <v>0</v>
      </c>
      <c r="AD102" s="465">
        <f t="shared" si="50"/>
        <v>0</v>
      </c>
      <c r="AE102" s="465">
        <f t="shared" si="50"/>
        <v>0</v>
      </c>
      <c r="AF102" s="465">
        <f t="shared" si="50"/>
        <v>0</v>
      </c>
      <c r="AG102" s="465">
        <f t="shared" si="50"/>
        <v>0</v>
      </c>
      <c r="AH102" s="465">
        <f t="shared" si="50"/>
        <v>0</v>
      </c>
      <c r="AI102" s="465">
        <f t="shared" si="50"/>
        <v>0</v>
      </c>
      <c r="AJ102" s="465">
        <f t="shared" si="50"/>
        <v>0</v>
      </c>
      <c r="AK102" s="465">
        <f t="shared" si="50"/>
        <v>0</v>
      </c>
      <c r="AL102" s="465">
        <f t="shared" si="50"/>
        <v>0</v>
      </c>
      <c r="AM102" s="465">
        <f t="shared" si="50"/>
        <v>0</v>
      </c>
      <c r="AN102" s="465">
        <f t="shared" si="50"/>
        <v>0</v>
      </c>
      <c r="AO102" s="465">
        <f t="shared" si="50"/>
        <v>0</v>
      </c>
      <c r="AP102" s="465">
        <f t="shared" si="50"/>
        <v>0</v>
      </c>
      <c r="AQ102" s="465">
        <f t="shared" si="50"/>
        <v>0</v>
      </c>
      <c r="AR102" s="465">
        <f t="shared" si="50"/>
        <v>0</v>
      </c>
      <c r="AS102" s="465">
        <f t="shared" si="50"/>
        <v>0</v>
      </c>
      <c r="AT102" s="465">
        <f t="shared" si="50"/>
        <v>0</v>
      </c>
      <c r="AU102" s="465">
        <f t="shared" si="50"/>
        <v>0</v>
      </c>
      <c r="AV102" s="465">
        <f t="shared" si="50"/>
        <v>0</v>
      </c>
      <c r="AW102" s="465">
        <f t="shared" si="50"/>
        <v>0</v>
      </c>
      <c r="AX102" s="465">
        <f t="shared" si="50"/>
        <v>0</v>
      </c>
      <c r="AY102" s="465">
        <f t="shared" si="50"/>
        <v>0</v>
      </c>
      <c r="AZ102" s="465">
        <f t="shared" si="50"/>
        <v>0</v>
      </c>
      <c r="BA102" s="465">
        <f t="shared" si="50"/>
        <v>0</v>
      </c>
      <c r="BB102" s="465">
        <f t="shared" si="50"/>
        <v>0</v>
      </c>
      <c r="BC102" s="465">
        <f t="shared" si="50"/>
        <v>0</v>
      </c>
      <c r="BD102" s="465">
        <f t="shared" si="50"/>
        <v>0</v>
      </c>
      <c r="BE102" s="465">
        <f t="shared" si="50"/>
        <v>0</v>
      </c>
      <c r="BF102" s="465">
        <f t="shared" si="50"/>
        <v>0</v>
      </c>
      <c r="BG102" s="465">
        <f t="shared" si="50"/>
        <v>0</v>
      </c>
      <c r="BH102" s="465">
        <f t="shared" si="50"/>
        <v>0</v>
      </c>
      <c r="BI102" s="465">
        <f t="shared" si="50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5.4219381367119363E-4</v>
      </c>
      <c r="C103" s="468">
        <f>+IF($B$98&gt;0,C109,IF($B$99&gt;0,C114,C122))</f>
        <v>5.5624202325005984E-4</v>
      </c>
      <c r="D103" s="468">
        <f t="shared" ref="D103:BI103" si="51">+IF($B$98&gt;0,D109,IF($B$99&gt;0,D114,D122))</f>
        <v>5.7057602358638344E-4</v>
      </c>
      <c r="E103" s="468">
        <f t="shared" si="51"/>
        <v>5.8519590271229331E-4</v>
      </c>
      <c r="F103" s="468">
        <f t="shared" si="51"/>
        <v>6.0010128592118117E-4</v>
      </c>
      <c r="G103" s="468">
        <f t="shared" si="51"/>
        <v>6.1529130671845057E-4</v>
      </c>
      <c r="H103" s="468">
        <f t="shared" si="51"/>
        <v>6.3076457774447327E-4</v>
      </c>
      <c r="I103" s="468">
        <f t="shared" si="51"/>
        <v>6.4651916187190522E-4</v>
      </c>
      <c r="J103" s="468">
        <f t="shared" si="51"/>
        <v>6.6255254370118082E-4</v>
      </c>
      <c r="K103" s="468">
        <f t="shared" si="51"/>
        <v>6.7886160169810844E-4</v>
      </c>
      <c r="L103" s="468">
        <f t="shared" si="51"/>
        <v>6.9544258124352597E-4</v>
      </c>
      <c r="M103" s="468">
        <f t="shared" si="51"/>
        <v>7.1229106888011471E-4</v>
      </c>
      <c r="N103" s="468">
        <f t="shared" si="51"/>
        <v>7.2940196804768072E-4</v>
      </c>
      <c r="O103" s="468">
        <f t="shared" si="51"/>
        <v>7.4676947666013269E-4</v>
      </c>
      <c r="P103" s="468">
        <f t="shared" si="51"/>
        <v>7.6438706684506545E-4</v>
      </c>
      <c r="Q103" s="468">
        <f t="shared" si="51"/>
        <v>7.8224746720545306E-4</v>
      </c>
      <c r="R103" s="468">
        <f t="shared" si="51"/>
        <v>8.003426479105529E-4</v>
      </c>
      <c r="S103" s="468">
        <f t="shared" si="51"/>
        <v>8.1866380910744247E-4</v>
      </c>
      <c r="T103" s="468">
        <f t="shared" si="51"/>
        <v>8.3720137287067713E-4</v>
      </c>
      <c r="U103" s="468">
        <f t="shared" si="51"/>
        <v>8.5594497884004556E-4</v>
      </c>
      <c r="V103" s="468">
        <f t="shared" si="51"/>
        <v>8.7488348400911395E-4</v>
      </c>
      <c r="W103" s="468">
        <f t="shared" si="51"/>
        <v>8.9400496936166787E-4</v>
      </c>
      <c r="X103" s="468">
        <f t="shared" si="51"/>
        <v>9.132967476741154E-4</v>
      </c>
      <c r="Y103" s="468">
        <f t="shared" si="51"/>
        <v>9.3274537896602297E-4</v>
      </c>
      <c r="Z103" s="468">
        <f t="shared" si="51"/>
        <v>9.5233669103265766E-4</v>
      </c>
      <c r="AA103" s="468">
        <f t="shared" si="51"/>
        <v>9.7205580539473765E-4</v>
      </c>
      <c r="AB103" s="468">
        <f t="shared" si="51"/>
        <v>1</v>
      </c>
      <c r="AC103" s="468">
        <f t="shared" si="51"/>
        <v>1</v>
      </c>
      <c r="AD103" s="468">
        <f t="shared" si="51"/>
        <v>1</v>
      </c>
      <c r="AE103" s="468">
        <f t="shared" si="51"/>
        <v>1</v>
      </c>
      <c r="AF103" s="468">
        <f t="shared" si="51"/>
        <v>1</v>
      </c>
      <c r="AG103" s="468">
        <f t="shared" si="51"/>
        <v>1</v>
      </c>
      <c r="AH103" s="468">
        <f t="shared" si="51"/>
        <v>1</v>
      </c>
      <c r="AI103" s="468">
        <f t="shared" si="51"/>
        <v>1</v>
      </c>
      <c r="AJ103" s="468">
        <f t="shared" si="51"/>
        <v>1</v>
      </c>
      <c r="AK103" s="468">
        <f t="shared" si="51"/>
        <v>1</v>
      </c>
      <c r="AL103" s="468">
        <f t="shared" si="51"/>
        <v>1</v>
      </c>
      <c r="AM103" s="468">
        <f t="shared" si="51"/>
        <v>1</v>
      </c>
      <c r="AN103" s="468">
        <f t="shared" si="51"/>
        <v>1</v>
      </c>
      <c r="AO103" s="468">
        <f t="shared" si="51"/>
        <v>1</v>
      </c>
      <c r="AP103" s="468">
        <f t="shared" si="51"/>
        <v>1</v>
      </c>
      <c r="AQ103" s="468">
        <f t="shared" si="51"/>
        <v>1</v>
      </c>
      <c r="AR103" s="468">
        <f t="shared" si="51"/>
        <v>1</v>
      </c>
      <c r="AS103" s="468">
        <f t="shared" si="51"/>
        <v>1</v>
      </c>
      <c r="AT103" s="468">
        <f t="shared" si="51"/>
        <v>1</v>
      </c>
      <c r="AU103" s="468">
        <f t="shared" si="51"/>
        <v>1</v>
      </c>
      <c r="AV103" s="468">
        <f t="shared" si="51"/>
        <v>1</v>
      </c>
      <c r="AW103" s="468">
        <f t="shared" si="51"/>
        <v>1</v>
      </c>
      <c r="AX103" s="468">
        <f t="shared" si="51"/>
        <v>1</v>
      </c>
      <c r="AY103" s="468">
        <f t="shared" si="51"/>
        <v>1</v>
      </c>
      <c r="AZ103" s="468">
        <f t="shared" si="51"/>
        <v>1</v>
      </c>
      <c r="BA103" s="468">
        <f t="shared" si="51"/>
        <v>1</v>
      </c>
      <c r="BB103" s="468">
        <f t="shared" si="51"/>
        <v>1</v>
      </c>
      <c r="BC103" s="468">
        <f t="shared" si="51"/>
        <v>1</v>
      </c>
      <c r="BD103" s="468">
        <f t="shared" si="51"/>
        <v>1</v>
      </c>
      <c r="BE103" s="468">
        <f t="shared" si="51"/>
        <v>1</v>
      </c>
      <c r="BF103" s="468">
        <f t="shared" si="51"/>
        <v>1</v>
      </c>
      <c r="BG103" s="468">
        <f t="shared" si="51"/>
        <v>1</v>
      </c>
      <c r="BH103" s="468">
        <f t="shared" si="51"/>
        <v>1</v>
      </c>
      <c r="BI103" s="468">
        <f t="shared" si="51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52">+MIN(B107+B108,B36*1000)</f>
        <v>1E-3</v>
      </c>
      <c r="C106" s="373">
        <f t="shared" si="52"/>
        <v>1E-3</v>
      </c>
      <c r="D106" s="373">
        <f t="shared" si="52"/>
        <v>1.0000000000000005E-3</v>
      </c>
      <c r="E106" s="373">
        <f t="shared" si="52"/>
        <v>1.000000000000023E-3</v>
      </c>
      <c r="F106" s="373">
        <f t="shared" si="52"/>
        <v>1.0000000000003001E-3</v>
      </c>
      <c r="G106" s="373">
        <f t="shared" si="52"/>
        <v>1.0000000000020112E-3</v>
      </c>
      <c r="H106" s="373">
        <f t="shared" si="52"/>
        <v>1.0000000000091702E-3</v>
      </c>
      <c r="I106" s="373">
        <f t="shared" si="52"/>
        <v>1.0000000000319844E-3</v>
      </c>
      <c r="J106" s="373">
        <f t="shared" si="52"/>
        <v>1.0000000000922251E-3</v>
      </c>
      <c r="K106" s="373">
        <f t="shared" si="52"/>
        <v>1.0000000002275561E-3</v>
      </c>
      <c r="L106" s="373">
        <f t="shared" si="52"/>
        <v>1.0000000005053185E-3</v>
      </c>
      <c r="M106" s="450">
        <f t="shared" si="52"/>
        <v>1.0000000010417327E-3</v>
      </c>
      <c r="N106" s="373">
        <f t="shared" si="52"/>
        <v>1.0000000019921491E-3</v>
      </c>
      <c r="O106" s="373">
        <f t="shared" si="52"/>
        <v>1.0000000035927906E-3</v>
      </c>
      <c r="P106" s="373">
        <f t="shared" si="52"/>
        <v>1.0000000062096877E-3</v>
      </c>
      <c r="Q106" s="373">
        <f t="shared" si="52"/>
        <v>1.0000000104204644E-3</v>
      </c>
      <c r="R106" s="373">
        <f t="shared" si="52"/>
        <v>1.0000000170144582E-3</v>
      </c>
      <c r="S106" s="373">
        <f t="shared" si="52"/>
        <v>1.0000000272142174E-3</v>
      </c>
      <c r="T106" s="373">
        <f t="shared" si="52"/>
        <v>1.0000000427819878E-3</v>
      </c>
      <c r="U106" s="373">
        <f t="shared" si="52"/>
        <v>1.0000000656043364E-3</v>
      </c>
      <c r="V106" s="373">
        <f t="shared" si="52"/>
        <v>1.0000000970886349E-3</v>
      </c>
      <c r="W106" s="373">
        <f t="shared" si="52"/>
        <v>1.0000001421883765E-3</v>
      </c>
      <c r="X106" s="373">
        <f t="shared" si="52"/>
        <v>1.0000002055977509E-3</v>
      </c>
      <c r="Y106" s="373">
        <f t="shared" si="52"/>
        <v>1.0000002932497453E-3</v>
      </c>
      <c r="Z106" s="373">
        <f t="shared" si="52"/>
        <v>1.0000004131003601E-3</v>
      </c>
      <c r="AA106" s="373">
        <f t="shared" si="52"/>
        <v>1.0000005755955613E-3</v>
      </c>
      <c r="AB106" s="373">
        <f t="shared" si="52"/>
        <v>254.89907227449083</v>
      </c>
      <c r="AC106" s="373">
        <f t="shared" si="52"/>
        <v>245.93411866076627</v>
      </c>
      <c r="AD106" s="373">
        <f t="shared" si="52"/>
        <v>237.41741272772796</v>
      </c>
      <c r="AE106" s="373">
        <f t="shared" si="52"/>
        <v>229.32654209134154</v>
      </c>
      <c r="AF106" s="373">
        <f t="shared" si="52"/>
        <v>221.64021498677448</v>
      </c>
      <c r="AG106" s="373">
        <f t="shared" si="52"/>
        <v>214.33820423743575</v>
      </c>
      <c r="AH106" s="373">
        <f t="shared" si="52"/>
        <v>207.40129402556394</v>
      </c>
      <c r="AI106" s="373">
        <f t="shared" si="52"/>
        <v>200.81122932428573</v>
      </c>
      <c r="AJ106" s="373">
        <f t="shared" si="52"/>
        <v>194.55066785807145</v>
      </c>
      <c r="AK106" s="373">
        <f t="shared" si="52"/>
        <v>188.60313446516787</v>
      </c>
      <c r="AL106" s="373">
        <f t="shared" si="52"/>
        <v>182.95297774190951</v>
      </c>
      <c r="AM106" s="373">
        <f t="shared" si="52"/>
        <v>177.58532885481401</v>
      </c>
      <c r="AN106" s="373">
        <f t="shared" si="52"/>
        <v>172.48606241207332</v>
      </c>
      <c r="AO106" s="373">
        <f t="shared" si="52"/>
        <v>167.64175929146964</v>
      </c>
      <c r="AP106" s="373">
        <f t="shared" si="52"/>
        <v>163.03967132689615</v>
      </c>
      <c r="AQ106" s="373">
        <f t="shared" si="52"/>
        <v>158.66768776055136</v>
      </c>
      <c r="AR106" s="373">
        <f t="shared" si="52"/>
        <v>154.51430337252378</v>
      </c>
      <c r="AS106" s="373">
        <f t="shared" si="52"/>
        <v>150.56858820389758</v>
      </c>
      <c r="AT106" s="373">
        <f t="shared" si="52"/>
        <v>146.82015879370269</v>
      </c>
      <c r="AU106" s="373">
        <f t="shared" si="52"/>
        <v>143.25915085401755</v>
      </c>
      <c r="AV106" s="373">
        <f t="shared" si="52"/>
        <v>139.87619331131668</v>
      </c>
      <c r="AW106" s="373">
        <f t="shared" si="52"/>
        <v>136.66238364575085</v>
      </c>
      <c r="AX106" s="373">
        <f t="shared" si="52"/>
        <v>133.60926446346329</v>
      </c>
      <c r="AY106" s="373">
        <f t="shared" si="52"/>
        <v>130.70880124029014</v>
      </c>
      <c r="AZ106" s="373">
        <f t="shared" si="52"/>
        <v>127.95336117827563</v>
      </c>
      <c r="BA106" s="373">
        <f t="shared" si="52"/>
        <v>125.33569311936185</v>
      </c>
      <c r="BB106" s="373">
        <f t="shared" si="52"/>
        <v>122.84890846339374</v>
      </c>
      <c r="BC106" s="373">
        <f t="shared" si="52"/>
        <v>120.48646304022407</v>
      </c>
      <c r="BD106" s="373">
        <f t="shared" si="52"/>
        <v>118.24213988821286</v>
      </c>
      <c r="BE106" s="373">
        <f t="shared" si="52"/>
        <v>59.121069944106431</v>
      </c>
      <c r="BF106" s="373">
        <f t="shared" si="52"/>
        <v>29.560534972053215</v>
      </c>
      <c r="BG106" s="373">
        <f t="shared" si="52"/>
        <v>14.780267486026608</v>
      </c>
      <c r="BH106" s="373">
        <f t="shared" si="52"/>
        <v>7.3901337430133038</v>
      </c>
      <c r="BI106" s="373">
        <f t="shared" si="52"/>
        <v>3.6950668715066519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+Controls!B14</f>
        <v>1E-3</v>
      </c>
      <c r="C108" s="373">
        <f>+Controls!C14</f>
        <v>1E-3</v>
      </c>
      <c r="D108" s="373">
        <f>+Controls!D14</f>
        <v>1E-3</v>
      </c>
      <c r="E108" s="373">
        <f>+Controls!E14</f>
        <v>1E-3</v>
      </c>
      <c r="F108" s="373">
        <f>+Controls!F14</f>
        <v>1E-3</v>
      </c>
      <c r="G108" s="373">
        <f>+Controls!G14</f>
        <v>1E-3</v>
      </c>
      <c r="H108" s="373">
        <f>+Controls!H14</f>
        <v>1E-3</v>
      </c>
      <c r="I108" s="373">
        <f>+Controls!I14</f>
        <v>1E-3</v>
      </c>
      <c r="J108" s="373">
        <f>+Controls!J14</f>
        <v>1E-3</v>
      </c>
      <c r="K108" s="373">
        <f>+Controls!K14</f>
        <v>1E-3</v>
      </c>
      <c r="L108" s="373">
        <f>+Controls!L14</f>
        <v>1E-3</v>
      </c>
      <c r="M108" s="373">
        <f>+Controls!M14</f>
        <v>1E-3</v>
      </c>
      <c r="N108" s="373">
        <f>+Controls!N14</f>
        <v>1E-3</v>
      </c>
      <c r="O108" s="373">
        <f>+Controls!O14</f>
        <v>1E-3</v>
      </c>
      <c r="P108" s="373">
        <f>+Controls!P14</f>
        <v>1E-3</v>
      </c>
      <c r="Q108" s="373">
        <f>+Controls!Q14</f>
        <v>1E-3</v>
      </c>
      <c r="R108" s="373">
        <f>+Controls!R14</f>
        <v>1E-3</v>
      </c>
      <c r="S108" s="373">
        <f>+Controls!S14</f>
        <v>1E-3</v>
      </c>
      <c r="T108" s="373">
        <f>+Controls!T14</f>
        <v>1E-3</v>
      </c>
      <c r="U108" s="373">
        <f>+Controls!U14</f>
        <v>1E-3</v>
      </c>
      <c r="V108" s="373">
        <f>+Controls!V14</f>
        <v>1E-3</v>
      </c>
      <c r="W108" s="373">
        <f>+Controls!W14</f>
        <v>1E-3</v>
      </c>
      <c r="X108" s="373">
        <f>+Controls!X14</f>
        <v>1E-3</v>
      </c>
      <c r="Y108" s="373">
        <f>+Controls!Y14</f>
        <v>1E-3</v>
      </c>
      <c r="Z108" s="373">
        <f>+Controls!Z14</f>
        <v>1E-3</v>
      </c>
      <c r="AA108" s="373">
        <f>+Controls!AA14</f>
        <v>1E-3</v>
      </c>
      <c r="AB108" s="373">
        <f>+Controls!AB14</f>
        <v>1200</v>
      </c>
      <c r="AC108" s="373">
        <f>+Controls!AC14</f>
        <v>1200</v>
      </c>
      <c r="AD108" s="373">
        <f>+Controls!AD14</f>
        <v>1200</v>
      </c>
      <c r="AE108" s="373">
        <f>+Controls!AE14</f>
        <v>1200</v>
      </c>
      <c r="AF108" s="373">
        <f>+Controls!AF14</f>
        <v>1200</v>
      </c>
      <c r="AG108" s="373">
        <f>+Controls!AG14</f>
        <v>1200</v>
      </c>
      <c r="AH108" s="373">
        <f>+Controls!AH14</f>
        <v>1200</v>
      </c>
      <c r="AI108" s="373">
        <f>+Controls!AI14</f>
        <v>1200</v>
      </c>
      <c r="AJ108" s="373">
        <f>+Controls!AJ14</f>
        <v>1200</v>
      </c>
      <c r="AK108" s="373">
        <f>+Controls!AK14</f>
        <v>1200</v>
      </c>
      <c r="AL108" s="373">
        <f>+Controls!AL14</f>
        <v>1200</v>
      </c>
      <c r="AM108" s="373">
        <f>+Controls!AM14</f>
        <v>1200</v>
      </c>
      <c r="AN108" s="373">
        <f>+Controls!AN14</f>
        <v>1200</v>
      </c>
      <c r="AO108" s="373">
        <f>+Controls!AO14</f>
        <v>1200</v>
      </c>
      <c r="AP108" s="373">
        <f>+Controls!AP14</f>
        <v>1200</v>
      </c>
      <c r="AQ108" s="373">
        <f>+Controls!AQ14</f>
        <v>1200</v>
      </c>
      <c r="AR108" s="373">
        <f>+Controls!AR14</f>
        <v>1200</v>
      </c>
      <c r="AS108" s="373">
        <f>+Controls!AS14</f>
        <v>1200</v>
      </c>
      <c r="AT108" s="373">
        <f>+Controls!AT14</f>
        <v>1200</v>
      </c>
      <c r="AU108" s="373">
        <f>+Controls!AU14</f>
        <v>1200</v>
      </c>
      <c r="AV108" s="373">
        <f>+Controls!AV14</f>
        <v>1200</v>
      </c>
      <c r="AW108" s="373">
        <f>+Controls!AW14</f>
        <v>1200</v>
      </c>
      <c r="AX108" s="373">
        <f>+Controls!AX14</f>
        <v>1200</v>
      </c>
      <c r="AY108" s="373">
        <f>+Controls!AY14</f>
        <v>1200</v>
      </c>
      <c r="AZ108" s="373">
        <f>+Controls!AZ14</f>
        <v>1200</v>
      </c>
      <c r="BA108" s="373">
        <f>+Controls!BA14</f>
        <v>1200</v>
      </c>
      <c r="BB108" s="373">
        <f>+Controls!BB14</f>
        <v>1200</v>
      </c>
      <c r="BC108" s="373">
        <f>+Controls!BC14</f>
        <v>1200</v>
      </c>
      <c r="BD108" s="373">
        <f>+Controls!BD14</f>
        <v>1200</v>
      </c>
      <c r="BE108" s="373">
        <f>+Controls!BE14</f>
        <v>1200</v>
      </c>
      <c r="BF108" s="373">
        <f>+Controls!BF14</f>
        <v>1200</v>
      </c>
      <c r="BG108" s="373">
        <f>+Controls!BG14</f>
        <v>1200</v>
      </c>
      <c r="BH108" s="373">
        <f>+Controls!BH14</f>
        <v>1200</v>
      </c>
      <c r="BI108" s="373">
        <f>+Controls!BI14</f>
        <v>1200</v>
      </c>
    </row>
    <row r="109" spans="1:61" ht="18" customHeight="1" x14ac:dyDescent="0.2">
      <c r="A109" s="372" t="s">
        <v>193</v>
      </c>
      <c r="B109" s="375">
        <f>+(B106/(1000*B$36))^(1/($B$38-1))</f>
        <v>5.4219381367119363E-4</v>
      </c>
      <c r="C109" s="375">
        <f t="shared" ref="C109:BI109" si="53">+(C106/(1000*C$36))^(1/($B$38-1))</f>
        <v>5.5624202325005984E-4</v>
      </c>
      <c r="D109" s="375">
        <f t="shared" si="53"/>
        <v>5.7057602358638344E-4</v>
      </c>
      <c r="E109" s="375">
        <f t="shared" si="53"/>
        <v>5.8519590271229331E-4</v>
      </c>
      <c r="F109" s="375">
        <f t="shared" si="53"/>
        <v>6.0010128592118117E-4</v>
      </c>
      <c r="G109" s="375">
        <f t="shared" si="53"/>
        <v>6.1529130671845057E-4</v>
      </c>
      <c r="H109" s="375">
        <f t="shared" si="53"/>
        <v>6.3076457774447327E-4</v>
      </c>
      <c r="I109" s="375">
        <f t="shared" si="53"/>
        <v>6.4651916187190522E-4</v>
      </c>
      <c r="J109" s="375">
        <f t="shared" si="53"/>
        <v>6.6255254370118082E-4</v>
      </c>
      <c r="K109" s="375">
        <f t="shared" si="53"/>
        <v>6.7886160169810844E-4</v>
      </c>
      <c r="L109" s="375">
        <f t="shared" si="53"/>
        <v>6.9544258124352597E-4</v>
      </c>
      <c r="M109" s="375">
        <f t="shared" si="53"/>
        <v>7.1229106888011471E-4</v>
      </c>
      <c r="N109" s="375">
        <f t="shared" si="53"/>
        <v>7.2940196804768072E-4</v>
      </c>
      <c r="O109" s="375">
        <f t="shared" si="53"/>
        <v>7.4676947666013269E-4</v>
      </c>
      <c r="P109" s="375">
        <f t="shared" si="53"/>
        <v>7.6438706684506545E-4</v>
      </c>
      <c r="Q109" s="375">
        <f t="shared" si="53"/>
        <v>7.8224746720545306E-4</v>
      </c>
      <c r="R109" s="375">
        <f t="shared" si="53"/>
        <v>8.003426479105529E-4</v>
      </c>
      <c r="S109" s="375">
        <f t="shared" si="53"/>
        <v>8.1866380910744247E-4</v>
      </c>
      <c r="T109" s="375">
        <f t="shared" si="53"/>
        <v>8.3720137287067713E-4</v>
      </c>
      <c r="U109" s="375">
        <f t="shared" si="53"/>
        <v>8.5594497884004556E-4</v>
      </c>
      <c r="V109" s="375">
        <f t="shared" si="53"/>
        <v>8.7488348400911395E-4</v>
      </c>
      <c r="W109" s="375">
        <f t="shared" si="53"/>
        <v>8.9400496936166787E-4</v>
      </c>
      <c r="X109" s="375">
        <f t="shared" si="53"/>
        <v>9.132967476741154E-4</v>
      </c>
      <c r="Y109" s="375">
        <f t="shared" si="53"/>
        <v>9.3274537896602297E-4</v>
      </c>
      <c r="Z109" s="375">
        <f t="shared" si="53"/>
        <v>9.5233669103265766E-4</v>
      </c>
      <c r="AA109" s="375">
        <f t="shared" si="53"/>
        <v>9.7205580539473765E-4</v>
      </c>
      <c r="AB109" s="375">
        <f t="shared" si="53"/>
        <v>1</v>
      </c>
      <c r="AC109" s="375">
        <f t="shared" si="53"/>
        <v>1</v>
      </c>
      <c r="AD109" s="375">
        <f t="shared" si="53"/>
        <v>1</v>
      </c>
      <c r="AE109" s="375">
        <f t="shared" si="53"/>
        <v>1</v>
      </c>
      <c r="AF109" s="375">
        <f t="shared" si="53"/>
        <v>1</v>
      </c>
      <c r="AG109" s="375">
        <f t="shared" si="53"/>
        <v>1</v>
      </c>
      <c r="AH109" s="375">
        <f t="shared" si="53"/>
        <v>1</v>
      </c>
      <c r="AI109" s="375">
        <f t="shared" si="53"/>
        <v>1</v>
      </c>
      <c r="AJ109" s="375">
        <f t="shared" si="53"/>
        <v>1</v>
      </c>
      <c r="AK109" s="375">
        <f t="shared" si="53"/>
        <v>1</v>
      </c>
      <c r="AL109" s="375">
        <f t="shared" si="53"/>
        <v>1</v>
      </c>
      <c r="AM109" s="375">
        <f t="shared" si="53"/>
        <v>1</v>
      </c>
      <c r="AN109" s="375">
        <f t="shared" si="53"/>
        <v>1</v>
      </c>
      <c r="AO109" s="375">
        <f t="shared" si="53"/>
        <v>1</v>
      </c>
      <c r="AP109" s="375">
        <f t="shared" si="53"/>
        <v>1</v>
      </c>
      <c r="AQ109" s="375">
        <f t="shared" si="53"/>
        <v>1</v>
      </c>
      <c r="AR109" s="375">
        <f t="shared" si="53"/>
        <v>1</v>
      </c>
      <c r="AS109" s="375">
        <f t="shared" si="53"/>
        <v>1</v>
      </c>
      <c r="AT109" s="375">
        <f t="shared" si="53"/>
        <v>1</v>
      </c>
      <c r="AU109" s="375">
        <f t="shared" si="53"/>
        <v>1</v>
      </c>
      <c r="AV109" s="375">
        <f t="shared" si="53"/>
        <v>1</v>
      </c>
      <c r="AW109" s="375">
        <f t="shared" si="53"/>
        <v>1</v>
      </c>
      <c r="AX109" s="375">
        <f t="shared" si="53"/>
        <v>1</v>
      </c>
      <c r="AY109" s="375">
        <f t="shared" si="53"/>
        <v>1</v>
      </c>
      <c r="AZ109" s="375">
        <f t="shared" si="53"/>
        <v>1</v>
      </c>
      <c r="BA109" s="375">
        <f t="shared" si="53"/>
        <v>1</v>
      </c>
      <c r="BB109" s="375">
        <f t="shared" si="53"/>
        <v>1</v>
      </c>
      <c r="BC109" s="375">
        <f t="shared" si="53"/>
        <v>1</v>
      </c>
      <c r="BD109" s="375">
        <f t="shared" si="53"/>
        <v>1</v>
      </c>
      <c r="BE109" s="375">
        <f t="shared" si="53"/>
        <v>1</v>
      </c>
      <c r="BF109" s="375">
        <f t="shared" si="53"/>
        <v>1</v>
      </c>
      <c r="BG109" s="375">
        <f t="shared" si="53"/>
        <v>1</v>
      </c>
      <c r="BH109" s="375">
        <f t="shared" si="53"/>
        <v>1</v>
      </c>
      <c r="BI109" s="375">
        <f t="shared" si="53"/>
        <v>1</v>
      </c>
    </row>
    <row r="110" spans="1:6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0.80732866294805539</v>
      </c>
      <c r="C112" s="455">
        <f>+C40*C61</f>
        <v>0.56860376745330954</v>
      </c>
      <c r="D112" s="455">
        <f t="shared" ref="D112:BI112" si="54">+D40*D61</f>
        <v>0.41497299235256746</v>
      </c>
      <c r="E112" s="455">
        <f t="shared" si="54"/>
        <v>0.32795643848714046</v>
      </c>
      <c r="F112" s="455">
        <f t="shared" si="54"/>
        <v>0.25110216262526186</v>
      </c>
      <c r="G112" s="455">
        <f t="shared" si="54"/>
        <v>0.21306960306490857</v>
      </c>
      <c r="H112" s="455">
        <f t="shared" si="54"/>
        <v>0.18329822881480581</v>
      </c>
      <c r="I112" s="455">
        <f t="shared" si="54"/>
        <v>0.16758808715250864</v>
      </c>
      <c r="J112" s="455">
        <f t="shared" si="54"/>
        <v>0.14422817751243369</v>
      </c>
      <c r="K112" s="455">
        <f t="shared" si="54"/>
        <v>0.14044839947016183</v>
      </c>
      <c r="L112" s="455">
        <f t="shared" si="54"/>
        <v>0.14229736764980483</v>
      </c>
      <c r="M112" s="455">
        <f t="shared" si="54"/>
        <v>0.1385391338868367</v>
      </c>
      <c r="N112" s="455">
        <f t="shared" si="54"/>
        <v>0.13506063492262477</v>
      </c>
      <c r="O112" s="455">
        <f t="shared" si="54"/>
        <v>0.13556615655636184</v>
      </c>
      <c r="P112" s="455">
        <f t="shared" si="54"/>
        <v>0.13651513162258475</v>
      </c>
      <c r="Q112" s="455">
        <f t="shared" si="54"/>
        <v>0.13695818244413008</v>
      </c>
      <c r="R112" s="455">
        <f t="shared" si="54"/>
        <v>0.14020029155235414</v>
      </c>
      <c r="S112" s="455">
        <f t="shared" si="54"/>
        <v>0.14435535134240177</v>
      </c>
      <c r="T112" s="455">
        <f t="shared" si="54"/>
        <v>0.14450792157233694</v>
      </c>
      <c r="U112" s="455">
        <f t="shared" si="54"/>
        <v>0.12709711910406551</v>
      </c>
      <c r="V112" s="455">
        <f t="shared" si="54"/>
        <v>0.12697787439130317</v>
      </c>
      <c r="W112" s="455">
        <f t="shared" si="54"/>
        <v>0.12686890648719229</v>
      </c>
      <c r="X112" s="455">
        <f t="shared" si="54"/>
        <v>0.12665192998531369</v>
      </c>
      <c r="Y112" s="455">
        <f t="shared" si="54"/>
        <v>0.12387796775218254</v>
      </c>
      <c r="Z112" s="455">
        <f t="shared" si="54"/>
        <v>0.12012583498547398</v>
      </c>
      <c r="AA112" s="455">
        <f t="shared" si="54"/>
        <v>0.11350329857018497</v>
      </c>
      <c r="AB112" s="455">
        <f t="shared" si="54"/>
        <v>0.10974524577713364</v>
      </c>
      <c r="AC112" s="455">
        <f t="shared" si="54"/>
        <v>0.10795454776537292</v>
      </c>
      <c r="AD112" s="455">
        <f t="shared" si="54"/>
        <v>0.10731900162810597</v>
      </c>
      <c r="AE112" s="455">
        <f t="shared" si="54"/>
        <v>0.10614617986983174</v>
      </c>
      <c r="AF112" s="455">
        <f t="shared" si="54"/>
        <v>0.10007942664145032</v>
      </c>
      <c r="AG112" s="455">
        <f t="shared" si="54"/>
        <v>0.1024449291825044</v>
      </c>
      <c r="AH112" s="455">
        <f t="shared" si="54"/>
        <v>9.7297669830457498E-2</v>
      </c>
      <c r="AI112" s="455">
        <f t="shared" si="54"/>
        <v>0.42416722165230814</v>
      </c>
      <c r="AJ112" s="455">
        <f t="shared" si="54"/>
        <v>0.60399411127231706</v>
      </c>
      <c r="AK112" s="455">
        <f t="shared" si="54"/>
        <v>0.70213334009326844</v>
      </c>
      <c r="AL112" s="455">
        <f t="shared" si="54"/>
        <v>0.75725653995794173</v>
      </c>
      <c r="AM112" s="455">
        <f t="shared" si="54"/>
        <v>0.79020839457479719</v>
      </c>
      <c r="AN112" s="455">
        <f t="shared" si="54"/>
        <v>0.81151203132553074</v>
      </c>
      <c r="AO112" s="455">
        <f t="shared" si="54"/>
        <v>0.82660879857709646</v>
      </c>
      <c r="AP112" s="455">
        <f t="shared" si="54"/>
        <v>0.83836798041756755</v>
      </c>
      <c r="AQ112" s="455">
        <f t="shared" si="54"/>
        <v>0.84832130966073982</v>
      </c>
      <c r="AR112" s="455">
        <f t="shared" si="54"/>
        <v>0.85729304836857667</v>
      </c>
      <c r="AS112" s="455">
        <f t="shared" si="54"/>
        <v>0.86572955523906281</v>
      </c>
      <c r="AT112" s="455">
        <f t="shared" si="54"/>
        <v>0.87387416225533765</v>
      </c>
      <c r="AU112" s="455">
        <f t="shared" si="54"/>
        <v>0.88186072337661392</v>
      </c>
      <c r="AV112" s="455">
        <f t="shared" si="54"/>
        <v>0.88976388611852264</v>
      </c>
      <c r="AW112" s="455">
        <f t="shared" si="54"/>
        <v>0.89762617860119431</v>
      </c>
      <c r="AX112" s="455">
        <f t="shared" si="54"/>
        <v>0.90547262971933407</v>
      </c>
      <c r="AY112" s="455">
        <f t="shared" si="54"/>
        <v>0.91331867151530388</v>
      </c>
      <c r="AZ112" s="455">
        <f t="shared" si="54"/>
        <v>0.92117441718472337</v>
      </c>
      <c r="BA112" s="455">
        <f t="shared" si="54"/>
        <v>0.9290469820699917</v>
      </c>
      <c r="BB112" s="455">
        <f t="shared" si="54"/>
        <v>0.93694174722303414</v>
      </c>
      <c r="BC112" s="455">
        <f t="shared" si="54"/>
        <v>0.94486305116957525</v>
      </c>
      <c r="BD112" s="455">
        <f t="shared" si="54"/>
        <v>0.95281457214413046</v>
      </c>
      <c r="BE112" s="455">
        <f t="shared" si="54"/>
        <v>0.96079954248335986</v>
      </c>
      <c r="BF112" s="455">
        <f t="shared" si="54"/>
        <v>0.96887180934419848</v>
      </c>
      <c r="BG112" s="455">
        <f t="shared" si="54"/>
        <v>0.97698300293035822</v>
      </c>
      <c r="BH112" s="455">
        <f t="shared" si="54"/>
        <v>0.9851221375705006</v>
      </c>
      <c r="BI112" s="455">
        <f t="shared" si="54"/>
        <v>0.99329117145397949</v>
      </c>
    </row>
    <row r="113" spans="1:61" ht="18" customHeight="1" x14ac:dyDescent="0.2">
      <c r="A113" s="382" t="s">
        <v>949</v>
      </c>
      <c r="B113" s="383">
        <f>+Controls!B73</f>
        <v>0.43123618180564005</v>
      </c>
      <c r="C113" s="383">
        <f>+Controls!C73</f>
        <v>0.65</v>
      </c>
      <c r="D113" s="383">
        <f>+Controls!D73</f>
        <v>0.62712759012947861</v>
      </c>
      <c r="E113" s="383">
        <f>+Controls!E73</f>
        <v>0.4936746036508568</v>
      </c>
      <c r="F113" s="383">
        <f>+Controls!F73</f>
        <v>0.35491890991154296</v>
      </c>
      <c r="G113" s="383">
        <f>+Controls!G73</f>
        <v>0.2499071981512217</v>
      </c>
      <c r="H113" s="383">
        <f>+Controls!H73</f>
        <v>0.20301783905531562</v>
      </c>
      <c r="I113" s="383">
        <f>+Controls!I73</f>
        <v>0.16829209311917059</v>
      </c>
      <c r="J113" s="383">
        <f>+Controls!J73</f>
        <v>0.14260930513491779</v>
      </c>
      <c r="K113" s="383">
        <f>+Controls!K73</f>
        <v>0.12359594599234115</v>
      </c>
      <c r="L113" s="383">
        <f>+Controls!L73</f>
        <v>0.11008121525189475</v>
      </c>
      <c r="M113" s="383">
        <f>+Controls!M73</f>
        <v>9.9348296764835003E-2</v>
      </c>
      <c r="N113" s="383">
        <f>+Controls!N73</f>
        <v>8.9661837830263574E-2</v>
      </c>
      <c r="O113" s="383">
        <f>+Controls!O73</f>
        <v>8.0919808641812876E-2</v>
      </c>
      <c r="P113" s="383">
        <f>+Controls!P73</f>
        <v>7.3030127299236108E-2</v>
      </c>
      <c r="Q113" s="383">
        <f>+Controls!Q73</f>
        <v>6.5909689887560574E-2</v>
      </c>
      <c r="R113" s="383">
        <f>+Controls!R73</f>
        <v>5.9483495123523418E-2</v>
      </c>
      <c r="S113" s="383">
        <f>+Controls!S73</f>
        <v>5.3683854348979883E-2</v>
      </c>
      <c r="T113" s="383">
        <f>+Controls!T73</f>
        <v>4.8449678549954335E-2</v>
      </c>
      <c r="U113" s="383">
        <f>+Controls!U73</f>
        <v>4.3725834891333783E-2</v>
      </c>
      <c r="V113" s="383">
        <f>+Controls!V73</f>
        <v>3.9462565989428731E-2</v>
      </c>
      <c r="W113" s="383">
        <f>+Controls!W73</f>
        <v>3.7489437689957293E-2</v>
      </c>
      <c r="X113" s="383">
        <f>+Controls!X73</f>
        <v>3.5614965805459427E-2</v>
      </c>
      <c r="Y113" s="383">
        <f>+Controls!Y73</f>
        <v>3.3834217515186456E-2</v>
      </c>
      <c r="Z113" s="383">
        <f>+Controls!Z73</f>
        <v>3.2142506639427131E-2</v>
      </c>
      <c r="AA113" s="383">
        <f>+Controls!AA73</f>
        <v>3.0535381307455773E-2</v>
      </c>
      <c r="AB113" s="383">
        <f>+Controls!AB73</f>
        <v>2.9008612242082982E-2</v>
      </c>
      <c r="AC113" s="383">
        <f>+Controls!AC73</f>
        <v>2.7558181629978831E-2</v>
      </c>
      <c r="AD113" s="383">
        <f>+Controls!AD73</f>
        <v>2.6180272548479887E-2</v>
      </c>
      <c r="AE113" s="383">
        <f>+Controls!AE73</f>
        <v>2.4871258921055892E-2</v>
      </c>
      <c r="AF113" s="383">
        <f>+Controls!AF73</f>
        <v>2.3627695975003096E-2</v>
      </c>
      <c r="AG113" s="383">
        <f>+Controls!AG73</f>
        <v>2.2446311176252939E-2</v>
      </c>
      <c r="AH113" s="383">
        <f>+Controls!AH73</f>
        <v>2.1323995617440292E-2</v>
      </c>
      <c r="AI113" s="383">
        <f>+Controls!AI73</f>
        <v>2.0257795836568275E-2</v>
      </c>
      <c r="AJ113" s="383">
        <f>+Controls!AJ73</f>
        <v>1.924490604473986E-2</v>
      </c>
      <c r="AK113" s="383">
        <f>+Controls!AK73</f>
        <v>1.8282660742502867E-2</v>
      </c>
      <c r="AL113" s="383">
        <f>+Controls!AL73</f>
        <v>1.7368527705377723E-2</v>
      </c>
      <c r="AM113" s="383">
        <f>+Controls!AM73</f>
        <v>1.6500101320108835E-2</v>
      </c>
      <c r="AN113" s="383">
        <f>+Controls!AN73</f>
        <v>1.5675096254103394E-2</v>
      </c>
      <c r="AO113" s="383">
        <f>+Controls!AO73</f>
        <v>1.4891341441398224E-2</v>
      </c>
      <c r="AP113" s="383">
        <f>+Controls!AP73</f>
        <v>1.4146774369328312E-2</v>
      </c>
      <c r="AQ113" s="383">
        <f>+Controls!AQ73</f>
        <v>1.3439435650861895E-2</v>
      </c>
      <c r="AR113" s="383">
        <f>+Controls!AR73</f>
        <v>1.27674638683188E-2</v>
      </c>
      <c r="AS113" s="383">
        <f>+Controls!AS73</f>
        <v>1.212909067490286E-2</v>
      </c>
      <c r="AT113" s="383">
        <f>+Controls!AT73</f>
        <v>1.1522636141157717E-2</v>
      </c>
      <c r="AU113" s="383">
        <f>+Controls!AU73</f>
        <v>1.094650433409983E-2</v>
      </c>
      <c r="AV113" s="383">
        <f>+Controls!AV73</f>
        <v>1.0399179117394838E-2</v>
      </c>
      <c r="AW113" s="383">
        <f>+Controls!AW73</f>
        <v>9.8792201615250964E-3</v>
      </c>
      <c r="AX113" s="383">
        <f>+Controls!AX73</f>
        <v>9.3852591534488404E-3</v>
      </c>
      <c r="AY113" s="383">
        <f>+Controls!AY73</f>
        <v>8.9159961957763975E-3</v>
      </c>
      <c r="AZ113" s="383">
        <f>+Controls!AZ73</f>
        <v>8.470196385987578E-3</v>
      </c>
      <c r="BA113" s="383">
        <f>+Controls!BA73</f>
        <v>8.0466865666881989E-3</v>
      </c>
      <c r="BB113" s="383">
        <f>+Controls!BB73</f>
        <v>7.6443522383537882E-3</v>
      </c>
      <c r="BC113" s="383">
        <f>+Controls!BC73</f>
        <v>7.2621346264360983E-3</v>
      </c>
      <c r="BD113" s="383">
        <f>+Controls!BD73</f>
        <v>6.8990278951142929E-3</v>
      </c>
      <c r="BE113" s="383">
        <f>+Controls!BE73</f>
        <v>6.5540765003585782E-3</v>
      </c>
      <c r="BF113" s="383">
        <f>+Controls!BF73</f>
        <v>6.2263726753406488E-3</v>
      </c>
      <c r="BG113" s="383">
        <f>+Controls!BG73</f>
        <v>5.9150540415736164E-3</v>
      </c>
      <c r="BH113" s="383">
        <f>+Controls!BH73</f>
        <v>5.6193013394949349E-3</v>
      </c>
      <c r="BI113" s="383">
        <f>+Controls!BI73</f>
        <v>5.3383362725201878E-3</v>
      </c>
    </row>
    <row r="114" spans="1:61" ht="18" customHeight="1" x14ac:dyDescent="0.2">
      <c r="A114" s="382" t="s">
        <v>951</v>
      </c>
      <c r="B114" s="383">
        <f>IF(1-(B113/B112)&lt;0,0,1-(B113/B112))</f>
        <v>0.46584804727367102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55">IF(1-(F113/F112)&lt;0,0,1-(F113/F112))</f>
        <v>0</v>
      </c>
      <c r="G114" s="383">
        <f t="shared" si="55"/>
        <v>0</v>
      </c>
      <c r="H114" s="383">
        <f t="shared" si="55"/>
        <v>0</v>
      </c>
      <c r="I114" s="383">
        <f t="shared" si="55"/>
        <v>0</v>
      </c>
      <c r="J114" s="383">
        <f t="shared" si="55"/>
        <v>1.1224383511164726E-2</v>
      </c>
      <c r="K114" s="383">
        <f t="shared" si="55"/>
        <v>0.11999035618345344</v>
      </c>
      <c r="L114" s="383">
        <f t="shared" si="55"/>
        <v>0.22640019931496091</v>
      </c>
      <c r="M114" s="383">
        <f t="shared" si="55"/>
        <v>0.28288640200402904</v>
      </c>
      <c r="N114" s="383">
        <f t="shared" si="55"/>
        <v>0.33613641101546599</v>
      </c>
      <c r="O114" s="383">
        <f t="shared" si="55"/>
        <v>0.40309727222981095</v>
      </c>
      <c r="P114" s="383">
        <f t="shared" si="55"/>
        <v>0.46504005503845425</v>
      </c>
      <c r="Q114" s="383">
        <f t="shared" si="55"/>
        <v>0.51876048067119029</v>
      </c>
      <c r="R114" s="383">
        <f t="shared" si="55"/>
        <v>0.5757248828451198</v>
      </c>
      <c r="S114" s="383">
        <f t="shared" si="55"/>
        <v>0.62811316761201896</v>
      </c>
      <c r="T114" s="383">
        <f t="shared" si="55"/>
        <v>0.6647264868057654</v>
      </c>
      <c r="U114" s="383">
        <f t="shared" si="55"/>
        <v>0.6559651768697321</v>
      </c>
      <c r="V114" s="383">
        <f t="shared" si="55"/>
        <v>0.68921699013626303</v>
      </c>
      <c r="W114" s="383">
        <f t="shared" si="55"/>
        <v>0.70450255521243932</v>
      </c>
      <c r="X114" s="383">
        <f t="shared" si="55"/>
        <v>0.71879650148569185</v>
      </c>
      <c r="Y114" s="383">
        <f t="shared" si="55"/>
        <v>0.72687461596987379</v>
      </c>
      <c r="Z114" s="383">
        <f t="shared" si="55"/>
        <v>0.7324263623781353</v>
      </c>
      <c r="AA114" s="383">
        <f t="shared" si="55"/>
        <v>0.73097362198179494</v>
      </c>
      <c r="AB114" s="383">
        <f t="shared" si="55"/>
        <v>0.73567317621218375</v>
      </c>
      <c r="AC114" s="383">
        <f t="shared" si="55"/>
        <v>0.74472421773399078</v>
      </c>
      <c r="AD114" s="383">
        <f t="shared" si="55"/>
        <v>0.7560518440228996</v>
      </c>
      <c r="AE114" s="383">
        <f t="shared" si="55"/>
        <v>0.76568861025845869</v>
      </c>
      <c r="AF114" s="383">
        <f t="shared" si="55"/>
        <v>0.76391055816443787</v>
      </c>
      <c r="AG114" s="383">
        <f t="shared" si="55"/>
        <v>0.7808938777607517</v>
      </c>
      <c r="AH114" s="383">
        <f t="shared" si="55"/>
        <v>0.7808375508416836</v>
      </c>
      <c r="AI114" s="383">
        <f t="shared" si="55"/>
        <v>0.95224101532962468</v>
      </c>
      <c r="AJ114" s="383">
        <f t="shared" si="55"/>
        <v>0.96813726212628071</v>
      </c>
      <c r="AK114" s="383">
        <f t="shared" si="55"/>
        <v>0.97396126960717422</v>
      </c>
      <c r="AL114" s="383">
        <f t="shared" si="55"/>
        <v>0.97706387889850066</v>
      </c>
      <c r="AM114" s="383">
        <f t="shared" si="55"/>
        <v>0.97911930392869673</v>
      </c>
      <c r="AN114" s="383">
        <f t="shared" si="55"/>
        <v>0.98068408643492377</v>
      </c>
      <c r="AO114" s="383">
        <f t="shared" si="55"/>
        <v>0.98198501943478966</v>
      </c>
      <c r="AP114" s="383">
        <f t="shared" si="55"/>
        <v>0.98312581742174576</v>
      </c>
      <c r="AQ114" s="383">
        <f t="shared" si="55"/>
        <v>0.98415761162921089</v>
      </c>
      <c r="AR114" s="383">
        <f t="shared" si="55"/>
        <v>0.98510723504335518</v>
      </c>
      <c r="AS114" s="383">
        <f t="shared" si="55"/>
        <v>0.98598974633417302</v>
      </c>
      <c r="AT114" s="383">
        <f t="shared" si="55"/>
        <v>0.98681430732381481</v>
      </c>
      <c r="AU114" s="383">
        <f t="shared" si="55"/>
        <v>0.98758703722262853</v>
      </c>
      <c r="AV114" s="383">
        <f t="shared" si="55"/>
        <v>0.98831242840978872</v>
      </c>
      <c r="AW114" s="383">
        <f t="shared" si="55"/>
        <v>0.98899405966866938</v>
      </c>
      <c r="AX114" s="383">
        <f t="shared" si="55"/>
        <v>0.98963496096358217</v>
      </c>
      <c r="AY114" s="383">
        <f t="shared" si="55"/>
        <v>0.99023780365621594</v>
      </c>
      <c r="AZ114" s="383">
        <f t="shared" si="55"/>
        <v>0.99080500258368653</v>
      </c>
      <c r="BA114" s="383">
        <f t="shared" si="55"/>
        <v>0.99133877325691377</v>
      </c>
      <c r="BB114" s="383">
        <f t="shared" si="55"/>
        <v>0.9918411659412012</v>
      </c>
      <c r="BC114" s="383">
        <f t="shared" si="55"/>
        <v>0.99231408761571649</v>
      </c>
      <c r="BD114" s="383">
        <f t="shared" si="55"/>
        <v>0.99275931739835876</v>
      </c>
      <c r="BE114" s="383">
        <f t="shared" si="55"/>
        <v>0.99317851829589932</v>
      </c>
      <c r="BF114" s="383">
        <f t="shared" si="55"/>
        <v>0.99357358464216738</v>
      </c>
      <c r="BG114" s="383">
        <f t="shared" si="55"/>
        <v>0.99394559165939222</v>
      </c>
      <c r="BH114" s="383">
        <f t="shared" si="55"/>
        <v>0.99429583284631773</v>
      </c>
      <c r="BI114" s="383">
        <f t="shared" si="55"/>
        <v>0.99462560785201992</v>
      </c>
    </row>
    <row r="115" spans="1:61" s="40" customFormat="1" ht="18" customHeight="1" x14ac:dyDescent="0.2">
      <c r="A115" s="382" t="s">
        <v>952</v>
      </c>
      <c r="B115" s="384">
        <f t="shared" ref="B115:BI115" si="56">+B$36*1000*B114^($B$38-1)</f>
        <v>191.14436454498588</v>
      </c>
      <c r="C115" s="384">
        <f t="shared" si="56"/>
        <v>0</v>
      </c>
      <c r="D115" s="384">
        <f t="shared" si="56"/>
        <v>0</v>
      </c>
      <c r="E115" s="384">
        <f t="shared" si="56"/>
        <v>0</v>
      </c>
      <c r="F115" s="384">
        <f t="shared" si="56"/>
        <v>0</v>
      </c>
      <c r="G115" s="384">
        <f t="shared" si="56"/>
        <v>0</v>
      </c>
      <c r="H115" s="384">
        <f t="shared" si="56"/>
        <v>0</v>
      </c>
      <c r="I115" s="384">
        <f t="shared" si="56"/>
        <v>0</v>
      </c>
      <c r="J115" s="384">
        <f t="shared" si="56"/>
        <v>0.16296558824311808</v>
      </c>
      <c r="K115" s="384">
        <f t="shared" si="56"/>
        <v>11.098318308894928</v>
      </c>
      <c r="L115" s="384">
        <f t="shared" si="56"/>
        <v>33.320226698826801</v>
      </c>
      <c r="M115" s="384">
        <f t="shared" si="56"/>
        <v>47.656070755711809</v>
      </c>
      <c r="N115" s="384">
        <f t="shared" si="56"/>
        <v>62.285582615958987</v>
      </c>
      <c r="O115" s="384">
        <f t="shared" si="56"/>
        <v>82.794586830291351</v>
      </c>
      <c r="P115" s="384">
        <f t="shared" si="56"/>
        <v>102.68775482723271</v>
      </c>
      <c r="Q115" s="384">
        <f t="shared" si="56"/>
        <v>119.92808460873587</v>
      </c>
      <c r="R115" s="384">
        <f t="shared" si="56"/>
        <v>138.83222370889317</v>
      </c>
      <c r="S115" s="384">
        <f t="shared" si="56"/>
        <v>155.91150465394435</v>
      </c>
      <c r="T115" s="384">
        <f t="shared" si="56"/>
        <v>165.83015727884319</v>
      </c>
      <c r="U115" s="384">
        <f t="shared" si="56"/>
        <v>155.5904415834824</v>
      </c>
      <c r="V115" s="384">
        <f t="shared" si="56"/>
        <v>163.50476149407501</v>
      </c>
      <c r="W115" s="384">
        <f t="shared" si="56"/>
        <v>163.5975567290497</v>
      </c>
      <c r="X115" s="384">
        <f t="shared" si="56"/>
        <v>163.22601116928561</v>
      </c>
      <c r="Y115" s="384">
        <f t="shared" si="56"/>
        <v>160.34434247076058</v>
      </c>
      <c r="Z115" s="384">
        <f t="shared" si="56"/>
        <v>156.58580547173503</v>
      </c>
      <c r="AA115" s="384">
        <f t="shared" si="56"/>
        <v>150.37621951095531</v>
      </c>
      <c r="AB115" s="384">
        <f t="shared" si="56"/>
        <v>146.69020419673723</v>
      </c>
      <c r="AC115" s="384">
        <f t="shared" si="56"/>
        <v>144.68071336770231</v>
      </c>
      <c r="AD115" s="384">
        <f t="shared" si="56"/>
        <v>143.51768040251997</v>
      </c>
      <c r="AE115" s="384">
        <f t="shared" si="56"/>
        <v>141.82351963776929</v>
      </c>
      <c r="AF115" s="384">
        <f t="shared" si="56"/>
        <v>136.4976219878443</v>
      </c>
      <c r="AG115" s="384">
        <f t="shared" si="56"/>
        <v>137.3299367765369</v>
      </c>
      <c r="AH115" s="384">
        <f t="shared" si="56"/>
        <v>132.8680939108531</v>
      </c>
      <c r="AI115" s="384">
        <f t="shared" si="56"/>
        <v>183.87910676482235</v>
      </c>
      <c r="AJ115" s="384">
        <f t="shared" si="56"/>
        <v>183.5351328031023</v>
      </c>
      <c r="AK115" s="384">
        <f t="shared" si="56"/>
        <v>179.85559105799769</v>
      </c>
      <c r="AL115" s="384">
        <f t="shared" si="56"/>
        <v>175.46916406177459</v>
      </c>
      <c r="AM115" s="384">
        <f t="shared" si="56"/>
        <v>170.96656547784184</v>
      </c>
      <c r="AN115" s="384">
        <f t="shared" si="56"/>
        <v>166.53535169468771</v>
      </c>
      <c r="AO115" s="384">
        <f t="shared" si="56"/>
        <v>162.24486572136257</v>
      </c>
      <c r="AP115" s="384">
        <f t="shared" si="56"/>
        <v>158.1210439824938</v>
      </c>
      <c r="AQ115" s="384">
        <f t="shared" si="56"/>
        <v>154.17177523619145</v>
      </c>
      <c r="AR115" s="384">
        <f t="shared" si="56"/>
        <v>150.39694131491567</v>
      </c>
      <c r="AS115" s="384">
        <f t="shared" si="56"/>
        <v>146.79278013172021</v>
      </c>
      <c r="AT115" s="384">
        <f t="shared" si="56"/>
        <v>143.35388822089979</v>
      </c>
      <c r="AU115" s="384">
        <f t="shared" si="56"/>
        <v>140.07417013852486</v>
      </c>
      <c r="AV115" s="384">
        <f t="shared" si="56"/>
        <v>136.94729766247428</v>
      </c>
      <c r="AW115" s="384">
        <f t="shared" si="56"/>
        <v>133.96693483767061</v>
      </c>
      <c r="AX115" s="384">
        <f t="shared" si="56"/>
        <v>131.12684920331765</v>
      </c>
      <c r="AY115" s="384">
        <f t="shared" si="56"/>
        <v>128.42096688766119</v>
      </c>
      <c r="AZ115" s="384">
        <f t="shared" si="56"/>
        <v>125.84339958290967</v>
      </c>
      <c r="BA115" s="384">
        <f t="shared" si="56"/>
        <v>123.38845714354223</v>
      </c>
      <c r="BB115" s="384">
        <f t="shared" si="56"/>
        <v>121.05065262281174</v>
      </c>
      <c r="BC115" s="384">
        <f t="shared" si="56"/>
        <v>118.8247031743041</v>
      </c>
      <c r="BD115" s="384">
        <f t="shared" si="56"/>
        <v>116.7055285776422</v>
      </c>
      <c r="BE115" s="384">
        <f t="shared" si="56"/>
        <v>58.397123673875804</v>
      </c>
      <c r="BF115" s="384">
        <f t="shared" si="56"/>
        <v>29.219471439522401</v>
      </c>
      <c r="BG115" s="384">
        <f t="shared" si="56"/>
        <v>14.619583333286135</v>
      </c>
      <c r="BH115" s="384">
        <f t="shared" si="56"/>
        <v>7.3144287330636359</v>
      </c>
      <c r="BI115" s="384">
        <f t="shared" si="56"/>
        <v>3.6593980146254372</v>
      </c>
    </row>
    <row r="116" spans="1:61" s="379" customFormat="1" ht="18" customHeight="1" x14ac:dyDescent="0.2">
      <c r="A116" s="382" t="s">
        <v>969</v>
      </c>
      <c r="B116" s="383">
        <f t="shared" ref="B116:AG116" si="57">+B112*(1-B103)</f>
        <v>0.80689093434140557</v>
      </c>
      <c r="C116" s="383">
        <f t="shared" si="57"/>
        <v>0.56828748614327362</v>
      </c>
      <c r="D116" s="383">
        <f t="shared" si="57"/>
        <v>0.41473621871269523</v>
      </c>
      <c r="E116" s="383">
        <f t="shared" si="57"/>
        <v>0.32776451972306964</v>
      </c>
      <c r="F116" s="383">
        <f t="shared" si="57"/>
        <v>0.25095147589457284</v>
      </c>
      <c r="G116" s="383">
        <f t="shared" si="57"/>
        <v>0.21293850319041679</v>
      </c>
      <c r="H116" s="383">
        <f t="shared" si="57"/>
        <v>0.18318261078490614</v>
      </c>
      <c r="I116" s="383">
        <f t="shared" si="57"/>
        <v>0.16747973824286308</v>
      </c>
      <c r="J116" s="383">
        <f t="shared" si="57"/>
        <v>0.14413261876654945</v>
      </c>
      <c r="K116" s="383">
        <f t="shared" si="57"/>
        <v>0.14035305444474158</v>
      </c>
      <c r="L116" s="383">
        <f t="shared" si="57"/>
        <v>0.14219840800114228</v>
      </c>
      <c r="M116" s="383">
        <f t="shared" si="57"/>
        <v>0.1384404536990787</v>
      </c>
      <c r="N116" s="383">
        <f t="shared" si="57"/>
        <v>0.13496212142970643</v>
      </c>
      <c r="O116" s="383">
        <f t="shared" si="57"/>
        <v>0.13546491988857742</v>
      </c>
      <c r="P116" s="383">
        <f t="shared" si="57"/>
        <v>0.13641078122154379</v>
      </c>
      <c r="Q116" s="383">
        <f t="shared" si="57"/>
        <v>0.13685104725280009</v>
      </c>
      <c r="R116" s="383">
        <f t="shared" si="57"/>
        <v>0.14008808327977532</v>
      </c>
      <c r="S116" s="383">
        <f t="shared" si="57"/>
        <v>0.14423717284060675</v>
      </c>
      <c r="T116" s="383">
        <f t="shared" si="57"/>
        <v>0.14438693934200589</v>
      </c>
      <c r="U116" s="383">
        <f t="shared" si="57"/>
        <v>0.12698833096314335</v>
      </c>
      <c r="V116" s="383">
        <f t="shared" si="57"/>
        <v>0.12686678354616365</v>
      </c>
      <c r="W116" s="383">
        <f t="shared" si="57"/>
        <v>0.12675548505433526</v>
      </c>
      <c r="X116" s="383">
        <f t="shared" si="57"/>
        <v>0.12653625918957145</v>
      </c>
      <c r="Y116" s="383">
        <f t="shared" si="57"/>
        <v>0.123762421150206</v>
      </c>
      <c r="Z116" s="383">
        <f t="shared" si="57"/>
        <v>0.12001143474527638</v>
      </c>
      <c r="AA116" s="383">
        <f t="shared" si="57"/>
        <v>0.11339296702987837</v>
      </c>
      <c r="AB116" s="383">
        <f t="shared" si="57"/>
        <v>0</v>
      </c>
      <c r="AC116" s="383">
        <f t="shared" si="57"/>
        <v>0</v>
      </c>
      <c r="AD116" s="383">
        <f t="shared" si="57"/>
        <v>0</v>
      </c>
      <c r="AE116" s="383">
        <f t="shared" si="57"/>
        <v>0</v>
      </c>
      <c r="AF116" s="383">
        <f t="shared" si="57"/>
        <v>0</v>
      </c>
      <c r="AG116" s="383">
        <f t="shared" si="57"/>
        <v>0</v>
      </c>
      <c r="AH116" s="383">
        <f t="shared" ref="AH116:BI116" si="58">+AH112*(1-AH103)</f>
        <v>0</v>
      </c>
      <c r="AI116" s="383">
        <f t="shared" si="58"/>
        <v>0</v>
      </c>
      <c r="AJ116" s="383">
        <f t="shared" si="58"/>
        <v>0</v>
      </c>
      <c r="AK116" s="383">
        <f t="shared" si="58"/>
        <v>0</v>
      </c>
      <c r="AL116" s="383">
        <f t="shared" si="58"/>
        <v>0</v>
      </c>
      <c r="AM116" s="383">
        <f t="shared" si="58"/>
        <v>0</v>
      </c>
      <c r="AN116" s="383">
        <f t="shared" si="58"/>
        <v>0</v>
      </c>
      <c r="AO116" s="383">
        <f t="shared" si="58"/>
        <v>0</v>
      </c>
      <c r="AP116" s="383">
        <f t="shared" si="58"/>
        <v>0</v>
      </c>
      <c r="AQ116" s="383">
        <f t="shared" si="58"/>
        <v>0</v>
      </c>
      <c r="AR116" s="383">
        <f t="shared" si="58"/>
        <v>0</v>
      </c>
      <c r="AS116" s="383">
        <f t="shared" si="58"/>
        <v>0</v>
      </c>
      <c r="AT116" s="383">
        <f t="shared" si="58"/>
        <v>0</v>
      </c>
      <c r="AU116" s="383">
        <f t="shared" si="58"/>
        <v>0</v>
      </c>
      <c r="AV116" s="383">
        <f t="shared" si="58"/>
        <v>0</v>
      </c>
      <c r="AW116" s="383">
        <f t="shared" si="58"/>
        <v>0</v>
      </c>
      <c r="AX116" s="383">
        <f t="shared" si="58"/>
        <v>0</v>
      </c>
      <c r="AY116" s="383">
        <f t="shared" si="58"/>
        <v>0</v>
      </c>
      <c r="AZ116" s="383">
        <f t="shared" si="58"/>
        <v>0</v>
      </c>
      <c r="BA116" s="383">
        <f t="shared" si="58"/>
        <v>0</v>
      </c>
      <c r="BB116" s="383">
        <f t="shared" si="58"/>
        <v>0</v>
      </c>
      <c r="BC116" s="383">
        <f t="shared" si="58"/>
        <v>0</v>
      </c>
      <c r="BD116" s="383">
        <f t="shared" si="58"/>
        <v>0</v>
      </c>
      <c r="BE116" s="383">
        <f t="shared" si="58"/>
        <v>0</v>
      </c>
      <c r="BF116" s="383">
        <f t="shared" si="58"/>
        <v>0</v>
      </c>
      <c r="BG116" s="383">
        <f t="shared" si="58"/>
        <v>0</v>
      </c>
      <c r="BH116" s="383">
        <f t="shared" si="58"/>
        <v>0</v>
      </c>
      <c r="BI116" s="383">
        <f t="shared" si="58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0.80732866294805539</v>
      </c>
      <c r="C119" s="405">
        <f t="shared" ref="C119:BI120" si="59">+C112</f>
        <v>0.56860376745330954</v>
      </c>
      <c r="D119" s="405">
        <f t="shared" si="59"/>
        <v>0.41497299235256746</v>
      </c>
      <c r="E119" s="405">
        <f t="shared" si="59"/>
        <v>0.32795643848714046</v>
      </c>
      <c r="F119" s="405">
        <f t="shared" si="59"/>
        <v>0.25110216262526186</v>
      </c>
      <c r="G119" s="405">
        <f t="shared" si="59"/>
        <v>0.21306960306490857</v>
      </c>
      <c r="H119" s="405">
        <f t="shared" si="59"/>
        <v>0.18329822881480581</v>
      </c>
      <c r="I119" s="405">
        <f t="shared" si="59"/>
        <v>0.16758808715250864</v>
      </c>
      <c r="J119" s="405">
        <f t="shared" si="59"/>
        <v>0.14422817751243369</v>
      </c>
      <c r="K119" s="405">
        <f t="shared" si="59"/>
        <v>0.14044839947016183</v>
      </c>
      <c r="L119" s="405">
        <f t="shared" si="59"/>
        <v>0.14229736764980483</v>
      </c>
      <c r="M119" s="405">
        <f t="shared" si="59"/>
        <v>0.1385391338868367</v>
      </c>
      <c r="N119" s="405">
        <f t="shared" si="59"/>
        <v>0.13506063492262477</v>
      </c>
      <c r="O119" s="405">
        <f t="shared" si="59"/>
        <v>0.13556615655636184</v>
      </c>
      <c r="P119" s="405">
        <f t="shared" si="59"/>
        <v>0.13651513162258475</v>
      </c>
      <c r="Q119" s="405">
        <f t="shared" si="59"/>
        <v>0.13695818244413008</v>
      </c>
      <c r="R119" s="405">
        <f t="shared" si="59"/>
        <v>0.14020029155235414</v>
      </c>
      <c r="S119" s="405">
        <f t="shared" si="59"/>
        <v>0.14435535134240177</v>
      </c>
      <c r="T119" s="405">
        <f t="shared" si="59"/>
        <v>0.14450792157233694</v>
      </c>
      <c r="U119" s="405">
        <f t="shared" si="59"/>
        <v>0.12709711910406551</v>
      </c>
      <c r="V119" s="405">
        <f t="shared" si="59"/>
        <v>0.12697787439130317</v>
      </c>
      <c r="W119" s="405">
        <f t="shared" si="59"/>
        <v>0.12686890648719229</v>
      </c>
      <c r="X119" s="405">
        <f t="shared" si="59"/>
        <v>0.12665192998531369</v>
      </c>
      <c r="Y119" s="405">
        <f t="shared" si="59"/>
        <v>0.12387796775218254</v>
      </c>
      <c r="Z119" s="405">
        <f t="shared" si="59"/>
        <v>0.12012583498547398</v>
      </c>
      <c r="AA119" s="405">
        <f t="shared" si="59"/>
        <v>0.11350329857018497</v>
      </c>
      <c r="AB119" s="405">
        <f t="shared" si="59"/>
        <v>0.10974524577713364</v>
      </c>
      <c r="AC119" s="405">
        <f t="shared" si="59"/>
        <v>0.10795454776537292</v>
      </c>
      <c r="AD119" s="405">
        <f t="shared" si="59"/>
        <v>0.10731900162810597</v>
      </c>
      <c r="AE119" s="405">
        <f t="shared" si="59"/>
        <v>0.10614617986983174</v>
      </c>
      <c r="AF119" s="405">
        <f t="shared" si="59"/>
        <v>0.10007942664145032</v>
      </c>
      <c r="AG119" s="405">
        <f t="shared" si="59"/>
        <v>0.1024449291825044</v>
      </c>
      <c r="AH119" s="405">
        <f t="shared" si="59"/>
        <v>9.7297669830457498E-2</v>
      </c>
      <c r="AI119" s="405">
        <f t="shared" si="59"/>
        <v>0.42416722165230814</v>
      </c>
      <c r="AJ119" s="405">
        <f t="shared" si="59"/>
        <v>0.60399411127231706</v>
      </c>
      <c r="AK119" s="405">
        <f t="shared" si="59"/>
        <v>0.70213334009326844</v>
      </c>
      <c r="AL119" s="405">
        <f t="shared" si="59"/>
        <v>0.75725653995794173</v>
      </c>
      <c r="AM119" s="405">
        <f t="shared" si="59"/>
        <v>0.79020839457479719</v>
      </c>
      <c r="AN119" s="405">
        <f t="shared" si="59"/>
        <v>0.81151203132553074</v>
      </c>
      <c r="AO119" s="405">
        <f t="shared" si="59"/>
        <v>0.82660879857709646</v>
      </c>
      <c r="AP119" s="405">
        <f t="shared" si="59"/>
        <v>0.83836798041756755</v>
      </c>
      <c r="AQ119" s="405">
        <f t="shared" si="59"/>
        <v>0.84832130966073982</v>
      </c>
      <c r="AR119" s="405">
        <f t="shared" si="59"/>
        <v>0.85729304836857667</v>
      </c>
      <c r="AS119" s="405">
        <f t="shared" si="59"/>
        <v>0.86572955523906281</v>
      </c>
      <c r="AT119" s="405">
        <f t="shared" si="59"/>
        <v>0.87387416225533765</v>
      </c>
      <c r="AU119" s="405">
        <f t="shared" si="59"/>
        <v>0.88186072337661392</v>
      </c>
      <c r="AV119" s="405">
        <f t="shared" si="59"/>
        <v>0.88976388611852264</v>
      </c>
      <c r="AW119" s="405">
        <f t="shared" si="59"/>
        <v>0.89762617860119431</v>
      </c>
      <c r="AX119" s="405">
        <f t="shared" si="59"/>
        <v>0.90547262971933407</v>
      </c>
      <c r="AY119" s="405">
        <f t="shared" si="59"/>
        <v>0.91331867151530388</v>
      </c>
      <c r="AZ119" s="405">
        <f t="shared" si="59"/>
        <v>0.92117441718472337</v>
      </c>
      <c r="BA119" s="405">
        <f t="shared" si="59"/>
        <v>0.9290469820699917</v>
      </c>
      <c r="BB119" s="405">
        <f t="shared" si="59"/>
        <v>0.93694174722303414</v>
      </c>
      <c r="BC119" s="405">
        <f t="shared" si="59"/>
        <v>0.94486305116957525</v>
      </c>
      <c r="BD119" s="405">
        <f t="shared" si="59"/>
        <v>0.95281457214413046</v>
      </c>
      <c r="BE119" s="405">
        <f t="shared" si="59"/>
        <v>0.96079954248335986</v>
      </c>
      <c r="BF119" s="405">
        <f t="shared" si="59"/>
        <v>0.96887180934419848</v>
      </c>
      <c r="BG119" s="405">
        <f t="shared" si="59"/>
        <v>0.97698300293035822</v>
      </c>
      <c r="BH119" s="405">
        <f t="shared" si="59"/>
        <v>0.9851221375705006</v>
      </c>
      <c r="BI119" s="405">
        <f t="shared" si="59"/>
        <v>0.99329117145397949</v>
      </c>
    </row>
    <row r="120" spans="1:61" s="401" customFormat="1" ht="18" customHeight="1" x14ac:dyDescent="0.2">
      <c r="A120" s="403" t="s">
        <v>949</v>
      </c>
      <c r="B120" s="405">
        <f>+B113</f>
        <v>0.43123618180564005</v>
      </c>
      <c r="C120" s="405">
        <f t="shared" si="59"/>
        <v>0.65</v>
      </c>
      <c r="D120" s="405">
        <f t="shared" si="59"/>
        <v>0.62712759012947861</v>
      </c>
      <c r="E120" s="405">
        <f t="shared" si="59"/>
        <v>0.4936746036508568</v>
      </c>
      <c r="F120" s="405">
        <f t="shared" si="59"/>
        <v>0.35491890991154296</v>
      </c>
      <c r="G120" s="405">
        <f t="shared" si="59"/>
        <v>0.2499071981512217</v>
      </c>
      <c r="H120" s="405">
        <f t="shared" si="59"/>
        <v>0.20301783905531562</v>
      </c>
      <c r="I120" s="405">
        <f t="shared" si="59"/>
        <v>0.16829209311917059</v>
      </c>
      <c r="J120" s="405">
        <f t="shared" si="59"/>
        <v>0.14260930513491779</v>
      </c>
      <c r="K120" s="405">
        <f t="shared" si="59"/>
        <v>0.12359594599234115</v>
      </c>
      <c r="L120" s="405">
        <f t="shared" si="59"/>
        <v>0.11008121525189475</v>
      </c>
      <c r="M120" s="405">
        <f t="shared" si="59"/>
        <v>9.9348296764835003E-2</v>
      </c>
      <c r="N120" s="405">
        <f t="shared" si="59"/>
        <v>8.9661837830263574E-2</v>
      </c>
      <c r="O120" s="405">
        <f t="shared" si="59"/>
        <v>8.0919808641812876E-2</v>
      </c>
      <c r="P120" s="405">
        <f t="shared" si="59"/>
        <v>7.3030127299236108E-2</v>
      </c>
      <c r="Q120" s="405">
        <f t="shared" si="59"/>
        <v>6.5909689887560574E-2</v>
      </c>
      <c r="R120" s="405">
        <f t="shared" si="59"/>
        <v>5.9483495123523418E-2</v>
      </c>
      <c r="S120" s="405">
        <f t="shared" si="59"/>
        <v>5.3683854348979883E-2</v>
      </c>
      <c r="T120" s="405">
        <f t="shared" si="59"/>
        <v>4.8449678549954335E-2</v>
      </c>
      <c r="U120" s="405">
        <f t="shared" si="59"/>
        <v>4.3725834891333783E-2</v>
      </c>
      <c r="V120" s="405">
        <f t="shared" si="59"/>
        <v>3.9462565989428731E-2</v>
      </c>
      <c r="W120" s="405">
        <f t="shared" si="59"/>
        <v>3.7489437689957293E-2</v>
      </c>
      <c r="X120" s="405">
        <f t="shared" si="59"/>
        <v>3.5614965805459427E-2</v>
      </c>
      <c r="Y120" s="405">
        <f t="shared" si="59"/>
        <v>3.3834217515186456E-2</v>
      </c>
      <c r="Z120" s="405">
        <f t="shared" si="59"/>
        <v>3.2142506639427131E-2</v>
      </c>
      <c r="AA120" s="405">
        <f t="shared" si="59"/>
        <v>3.0535381307455773E-2</v>
      </c>
      <c r="AB120" s="405">
        <f t="shared" si="59"/>
        <v>2.9008612242082982E-2</v>
      </c>
      <c r="AC120" s="405">
        <f t="shared" si="59"/>
        <v>2.7558181629978831E-2</v>
      </c>
      <c r="AD120" s="405">
        <f t="shared" si="59"/>
        <v>2.6180272548479887E-2</v>
      </c>
      <c r="AE120" s="405">
        <f t="shared" si="59"/>
        <v>2.4871258921055892E-2</v>
      </c>
      <c r="AF120" s="405">
        <f t="shared" si="59"/>
        <v>2.3627695975003096E-2</v>
      </c>
      <c r="AG120" s="405">
        <f t="shared" si="59"/>
        <v>2.2446311176252939E-2</v>
      </c>
      <c r="AH120" s="405">
        <f t="shared" si="59"/>
        <v>2.1323995617440292E-2</v>
      </c>
      <c r="AI120" s="405">
        <f t="shared" si="59"/>
        <v>2.0257795836568275E-2</v>
      </c>
      <c r="AJ120" s="405">
        <f t="shared" si="59"/>
        <v>1.924490604473986E-2</v>
      </c>
      <c r="AK120" s="405">
        <f t="shared" si="59"/>
        <v>1.8282660742502867E-2</v>
      </c>
      <c r="AL120" s="405">
        <f t="shared" si="59"/>
        <v>1.7368527705377723E-2</v>
      </c>
      <c r="AM120" s="405">
        <f t="shared" si="59"/>
        <v>1.6500101320108835E-2</v>
      </c>
      <c r="AN120" s="405">
        <f t="shared" si="59"/>
        <v>1.5675096254103394E-2</v>
      </c>
      <c r="AO120" s="405">
        <f t="shared" si="59"/>
        <v>1.4891341441398224E-2</v>
      </c>
      <c r="AP120" s="405">
        <f t="shared" si="59"/>
        <v>1.4146774369328312E-2</v>
      </c>
      <c r="AQ120" s="405">
        <f t="shared" si="59"/>
        <v>1.3439435650861895E-2</v>
      </c>
      <c r="AR120" s="405">
        <f t="shared" si="59"/>
        <v>1.27674638683188E-2</v>
      </c>
      <c r="AS120" s="405">
        <f t="shared" si="59"/>
        <v>1.212909067490286E-2</v>
      </c>
      <c r="AT120" s="405">
        <f t="shared" si="59"/>
        <v>1.1522636141157717E-2</v>
      </c>
      <c r="AU120" s="405">
        <f t="shared" si="59"/>
        <v>1.094650433409983E-2</v>
      </c>
      <c r="AV120" s="405">
        <f t="shared" si="59"/>
        <v>1.0399179117394838E-2</v>
      </c>
      <c r="AW120" s="405">
        <f t="shared" si="59"/>
        <v>9.8792201615250964E-3</v>
      </c>
      <c r="AX120" s="405">
        <f t="shared" si="59"/>
        <v>9.3852591534488404E-3</v>
      </c>
      <c r="AY120" s="405">
        <f t="shared" si="59"/>
        <v>8.9159961957763975E-3</v>
      </c>
      <c r="AZ120" s="405">
        <f t="shared" si="59"/>
        <v>8.470196385987578E-3</v>
      </c>
      <c r="BA120" s="405">
        <f t="shared" si="59"/>
        <v>8.0466865666881989E-3</v>
      </c>
      <c r="BB120" s="405">
        <f t="shared" si="59"/>
        <v>7.6443522383537882E-3</v>
      </c>
      <c r="BC120" s="405">
        <f t="shared" si="59"/>
        <v>7.2621346264360983E-3</v>
      </c>
      <c r="BD120" s="405">
        <f t="shared" si="59"/>
        <v>6.8990278951142929E-3</v>
      </c>
      <c r="BE120" s="405">
        <f t="shared" si="59"/>
        <v>6.5540765003585782E-3</v>
      </c>
      <c r="BF120" s="405">
        <f t="shared" si="59"/>
        <v>6.2263726753406488E-3</v>
      </c>
      <c r="BG120" s="405">
        <f t="shared" si="59"/>
        <v>5.9150540415736164E-3</v>
      </c>
      <c r="BH120" s="405">
        <f t="shared" si="59"/>
        <v>5.6193013394949349E-3</v>
      </c>
      <c r="BI120" s="405">
        <f t="shared" si="59"/>
        <v>5.3383362725201878E-3</v>
      </c>
    </row>
    <row r="121" spans="1:61" s="402" customFormat="1" ht="18" customHeight="1" x14ac:dyDescent="0.2">
      <c r="A121" s="404" t="s">
        <v>965</v>
      </c>
      <c r="B121" s="405">
        <f>+B119*(1-B122)</f>
        <v>0.80732866294805539</v>
      </c>
      <c r="C121" s="405">
        <f t="shared" ref="C121:BI121" si="60">+C119*(1-C122)</f>
        <v>0.51586182430170824</v>
      </c>
      <c r="D121" s="405">
        <f t="shared" si="60"/>
        <v>0.32045702037596918</v>
      </c>
      <c r="E121" s="405">
        <f t="shared" si="60"/>
        <v>0.20628447891605431</v>
      </c>
      <c r="F121" s="405">
        <f t="shared" si="60"/>
        <v>0.10625150043170456</v>
      </c>
      <c r="G121" s="405">
        <f t="shared" si="60"/>
        <v>5.8016141692188161E-2</v>
      </c>
      <c r="H121" s="405">
        <f t="shared" si="60"/>
        <v>3.4454925441485242E-2</v>
      </c>
      <c r="I121" s="405">
        <f t="shared" si="60"/>
        <v>3.2280217740465154E-2</v>
      </c>
      <c r="J121" s="405">
        <f t="shared" si="60"/>
        <v>1.9872588784471928E-2</v>
      </c>
      <c r="K121" s="405">
        <f t="shared" si="60"/>
        <v>1.3612507310934129E-2</v>
      </c>
      <c r="L121" s="405">
        <f t="shared" si="60"/>
        <v>9.6199067273853248E-3</v>
      </c>
      <c r="M121" s="405">
        <f t="shared" si="60"/>
        <v>6.2358721627521147E-3</v>
      </c>
      <c r="N121" s="405">
        <f t="shared" si="60"/>
        <v>3.4688939941991811E-3</v>
      </c>
      <c r="O121" s="405">
        <f t="shared" si="60"/>
        <v>1.1464246095161566E-3</v>
      </c>
      <c r="P121" s="405">
        <f t="shared" si="60"/>
        <v>-8.2743149785873091E-4</v>
      </c>
      <c r="Q121" s="405">
        <f t="shared" si="60"/>
        <v>-2.5463959648780641E-3</v>
      </c>
      <c r="R121" s="405">
        <f t="shared" si="60"/>
        <v>-4.0927809419327391E-3</v>
      </c>
      <c r="S121" s="405">
        <f t="shared" si="60"/>
        <v>-5.4654832317141636E-3</v>
      </c>
      <c r="T121" s="405">
        <f t="shared" si="60"/>
        <v>-6.6411952335982145E-3</v>
      </c>
      <c r="U121" s="405">
        <f t="shared" si="60"/>
        <v>-6.7916786377599488E-3</v>
      </c>
      <c r="V121" s="405">
        <f t="shared" si="60"/>
        <v>-7.651070898653127E-3</v>
      </c>
      <c r="W121" s="405">
        <f t="shared" si="60"/>
        <v>-2.7697325746650478E-3</v>
      </c>
      <c r="X121" s="405">
        <f t="shared" si="60"/>
        <v>1.9588898381833787E-3</v>
      </c>
      <c r="Y121" s="405">
        <f t="shared" si="60"/>
        <v>6.400434369302199E-3</v>
      </c>
      <c r="Z121" s="405">
        <f t="shared" si="60"/>
        <v>1.0426569309747391E-2</v>
      </c>
      <c r="AA121" s="405">
        <f t="shared" si="60"/>
        <v>1.3720518878588691E-2</v>
      </c>
      <c r="AB121" s="405">
        <f t="shared" si="60"/>
        <v>1.6895007259332562E-2</v>
      </c>
      <c r="AC121" s="405">
        <f t="shared" si="60"/>
        <v>2.0081433541602203E-2</v>
      </c>
      <c r="AD121" s="405">
        <f t="shared" si="60"/>
        <v>2.3300617610118091E-2</v>
      </c>
      <c r="AE121" s="405">
        <f t="shared" si="60"/>
        <v>2.6246151605301998E-2</v>
      </c>
      <c r="AF121" s="405">
        <f t="shared" si="60"/>
        <v>2.7670523835830817E-2</v>
      </c>
      <c r="AG121" s="405">
        <f t="shared" si="60"/>
        <v>3.1225324205941676E-2</v>
      </c>
      <c r="AH121" s="405">
        <f t="shared" si="60"/>
        <v>3.2325323114458945E-2</v>
      </c>
      <c r="AI121" s="405">
        <f t="shared" si="60"/>
        <v>0.15218957911634998</v>
      </c>
      <c r="AJ121" s="405">
        <f t="shared" si="60"/>
        <v>0.23224512503272085</v>
      </c>
      <c r="AK121" s="405">
        <f t="shared" si="60"/>
        <v>0.28745928192270181</v>
      </c>
      <c r="AL121" s="405">
        <f t="shared" si="60"/>
        <v>0.32826567453933619</v>
      </c>
      <c r="AM121" s="405">
        <f t="shared" si="60"/>
        <v>0.36095821175190224</v>
      </c>
      <c r="AN121" s="405">
        <f t="shared" si="60"/>
        <v>0.38896751368017563</v>
      </c>
      <c r="AO121" s="405">
        <f t="shared" si="60"/>
        <v>0.41419809802568558</v>
      </c>
      <c r="AP121" s="405">
        <f t="shared" si="60"/>
        <v>0.43772289264073488</v>
      </c>
      <c r="AQ121" s="405">
        <f t="shared" si="60"/>
        <v>0.4601504682516005</v>
      </c>
      <c r="AR121" s="405">
        <f t="shared" si="60"/>
        <v>0.48182680456336674</v>
      </c>
      <c r="AS121" s="405">
        <f t="shared" si="60"/>
        <v>0.50294875434570163</v>
      </c>
      <c r="AT121" s="405">
        <f t="shared" si="60"/>
        <v>0.52362853117282337</v>
      </c>
      <c r="AU121" s="405">
        <f t="shared" si="60"/>
        <v>0.54393047700088415</v>
      </c>
      <c r="AV121" s="405">
        <f t="shared" si="60"/>
        <v>0.5638920090163283</v>
      </c>
      <c r="AW121" s="405">
        <f t="shared" si="60"/>
        <v>0.58353552074123993</v>
      </c>
      <c r="AX121" s="405">
        <f t="shared" si="60"/>
        <v>0.60287511852243947</v>
      </c>
      <c r="AY121" s="405">
        <f t="shared" si="60"/>
        <v>0.62192041788442631</v>
      </c>
      <c r="AZ121" s="405">
        <f t="shared" si="60"/>
        <v>0.6406786719389217</v>
      </c>
      <c r="BA121" s="405">
        <f t="shared" si="60"/>
        <v>0.65915595701047758</v>
      </c>
      <c r="BB121" s="405">
        <f t="shared" si="60"/>
        <v>0.67735782729275174</v>
      </c>
      <c r="BC121" s="405">
        <f t="shared" si="60"/>
        <v>0.69528967152555743</v>
      </c>
      <c r="BD121" s="405">
        <f t="shared" si="60"/>
        <v>0.7129569030265851</v>
      </c>
      <c r="BE121" s="405">
        <f t="shared" si="60"/>
        <v>0.62552848486339796</v>
      </c>
      <c r="BF121" s="405">
        <f t="shared" si="60"/>
        <v>0.500222852222588</v>
      </c>
      <c r="BG121" s="405">
        <f t="shared" si="60"/>
        <v>0.32191497719899803</v>
      </c>
      <c r="BH121" s="405">
        <f t="shared" si="60"/>
        <v>6.9518455255318343E-2</v>
      </c>
      <c r="BI121" s="405">
        <f t="shared" si="60"/>
        <v>0</v>
      </c>
    </row>
    <row r="122" spans="1:61" s="401" customFormat="1" ht="18" customHeight="1" x14ac:dyDescent="0.2">
      <c r="A122" s="403" t="s">
        <v>951</v>
      </c>
      <c r="B122" s="406">
        <f t="shared" ref="B122:L122" si="61">+(B123/(1000*B$36))^(1/($B$38-1))</f>
        <v>0</v>
      </c>
      <c r="C122" s="406">
        <f t="shared" si="61"/>
        <v>9.275693579700417E-2</v>
      </c>
      <c r="D122" s="406">
        <f t="shared" si="61"/>
        <v>0.22776415265188169</v>
      </c>
      <c r="E122" s="406">
        <f t="shared" si="61"/>
        <v>0.371000368623216</v>
      </c>
      <c r="F122" s="406">
        <f t="shared" si="61"/>
        <v>0.57685947695213025</v>
      </c>
      <c r="G122" s="406">
        <f t="shared" si="61"/>
        <v>0.7277127245855225</v>
      </c>
      <c r="H122" s="406">
        <f t="shared" si="61"/>
        <v>0.8120280503294085</v>
      </c>
      <c r="I122" s="406">
        <f t="shared" si="61"/>
        <v>0.80738357786082082</v>
      </c>
      <c r="J122" s="406">
        <f t="shared" si="61"/>
        <v>0.862214241854656</v>
      </c>
      <c r="K122" s="406">
        <f t="shared" si="61"/>
        <v>0.90307823113480123</v>
      </c>
      <c r="L122" s="406">
        <f t="shared" si="61"/>
        <v>0.93239575062934399</v>
      </c>
      <c r="M122" s="406">
        <f t="shared" ref="M122:BI122" si="62">+(M123/(1000*M$36))^(1/($B$38-1))</f>
        <v>0.9549883705217489</v>
      </c>
      <c r="N122" s="406">
        <f t="shared" si="62"/>
        <v>0.97431602482702317</v>
      </c>
      <c r="O122" s="406">
        <f t="shared" si="62"/>
        <v>0.99154343061249561</v>
      </c>
      <c r="P122" s="406">
        <f t="shared" si="62"/>
        <v>1.0060610973159099</v>
      </c>
      <c r="Q122" s="406">
        <f t="shared" si="62"/>
        <v>1.0185925069932702</v>
      </c>
      <c r="R122" s="406">
        <f t="shared" si="62"/>
        <v>1.0291923853839091</v>
      </c>
      <c r="S122" s="406">
        <f t="shared" si="62"/>
        <v>1.0378613136325676</v>
      </c>
      <c r="T122" s="406">
        <f t="shared" si="62"/>
        <v>1.0459573092003389</v>
      </c>
      <c r="U122" s="406">
        <f t="shared" si="62"/>
        <v>1.0534369204088647</v>
      </c>
      <c r="V122" s="406">
        <f t="shared" si="62"/>
        <v>1.0602551502403883</v>
      </c>
      <c r="W122" s="406">
        <f t="shared" si="62"/>
        <v>1.0218314530435766</v>
      </c>
      <c r="X122" s="406">
        <f t="shared" si="62"/>
        <v>0.98453328079240066</v>
      </c>
      <c r="Y122" s="406">
        <f t="shared" si="62"/>
        <v>0.94833274644845444</v>
      </c>
      <c r="Z122" s="406">
        <f t="shared" si="62"/>
        <v>0.91320293997533331</v>
      </c>
      <c r="AA122" s="406">
        <f t="shared" si="62"/>
        <v>0.87911788422514803</v>
      </c>
      <c r="AB122" s="406">
        <f t="shared" si="62"/>
        <v>0.84605249056854559</v>
      </c>
      <c r="AC122" s="406">
        <f t="shared" si="62"/>
        <v>0.81398251433328273</v>
      </c>
      <c r="AD122" s="406">
        <f t="shared" si="62"/>
        <v>0.78288451013677851</v>
      </c>
      <c r="AE122" s="406">
        <f t="shared" si="62"/>
        <v>0.75273578721826873</v>
      </c>
      <c r="AF122" s="406">
        <f t="shared" si="62"/>
        <v>0.72351436489574772</v>
      </c>
      <c r="AG122" s="406">
        <f t="shared" si="62"/>
        <v>0.69519892829137364</v>
      </c>
      <c r="AH122" s="406">
        <f t="shared" si="62"/>
        <v>0.66776878448593624</v>
      </c>
      <c r="AI122" s="406">
        <f t="shared" si="62"/>
        <v>0.64120381927790615</v>
      </c>
      <c r="AJ122" s="406">
        <f t="shared" si="62"/>
        <v>0.61548445473500535</v>
      </c>
      <c r="AK122" s="406">
        <f t="shared" si="62"/>
        <v>0.5905916077357658</v>
      </c>
      <c r="AL122" s="406">
        <f t="shared" si="62"/>
        <v>0.56650664970477749</v>
      </c>
      <c r="AM122" s="406">
        <f t="shared" si="62"/>
        <v>0.54321136774795964</v>
      </c>
      <c r="AN122" s="406">
        <f t="shared" si="62"/>
        <v>0.52068792739297687</v>
      </c>
      <c r="AO122" s="406">
        <f t="shared" si="62"/>
        <v>0.49891883713471752</v>
      </c>
      <c r="AP122" s="406">
        <f t="shared" si="62"/>
        <v>0.47788691497650299</v>
      </c>
      <c r="AQ122" s="406">
        <f t="shared" si="62"/>
        <v>0.45757525714446146</v>
      </c>
      <c r="AR122" s="406">
        <f t="shared" si="62"/>
        <v>0.4379672091354524</v>
      </c>
      <c r="AS122" s="406">
        <f t="shared" si="62"/>
        <v>0.41904633923833501</v>
      </c>
      <c r="AT122" s="406">
        <f t="shared" si="62"/>
        <v>0.40079641464462457</v>
      </c>
      <c r="AU122" s="406">
        <f t="shared" si="62"/>
        <v>0.38320138023814765</v>
      </c>
      <c r="AV122" s="406">
        <f t="shared" si="62"/>
        <v>0.36624534012474624</v>
      </c>
      <c r="AW122" s="406">
        <f t="shared" si="62"/>
        <v>0.34991254193300608</v>
      </c>
      <c r="AX122" s="406">
        <f t="shared" si="62"/>
        <v>0.33418736388607306</v>
      </c>
      <c r="AY122" s="406">
        <f t="shared" si="62"/>
        <v>0.31905430461354017</v>
      </c>
      <c r="AZ122" s="406">
        <f t="shared" si="62"/>
        <v>0.30449797564184178</v>
      </c>
      <c r="BA122" s="406">
        <f t="shared" si="62"/>
        <v>0.29050309647223133</v>
      </c>
      <c r="BB122" s="406">
        <f t="shared" si="62"/>
        <v>0.27705449212787592</v>
      </c>
      <c r="BC122" s="406">
        <f t="shared" si="62"/>
        <v>0.2641370930264334</v>
      </c>
      <c r="BD122" s="406">
        <f t="shared" si="62"/>
        <v>0.25173593701216246</v>
      </c>
      <c r="BE122" s="406">
        <f t="shared" si="62"/>
        <v>0.34895005960701575</v>
      </c>
      <c r="BF122" s="406">
        <f t="shared" si="62"/>
        <v>0.48370584488243645</v>
      </c>
      <c r="BG122" s="406">
        <f t="shared" si="62"/>
        <v>0.67050094399447302</v>
      </c>
      <c r="BH122" s="406">
        <f t="shared" si="62"/>
        <v>0.92943163836845233</v>
      </c>
      <c r="BI122" s="406">
        <f t="shared" si="62"/>
        <v>1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9.9942147064251596</v>
      </c>
      <c r="D123" s="400">
        <f>+Global!D118*D46</f>
        <v>48.096041961936649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3.6950668715066519</v>
      </c>
    </row>
    <row r="124" spans="1:61" s="401" customFormat="1" ht="18" customHeight="1" x14ac:dyDescent="0.2">
      <c r="A124" s="403" t="s">
        <v>969</v>
      </c>
      <c r="B124" s="405">
        <f>+B119*(1-B122)</f>
        <v>0.80732866294805539</v>
      </c>
      <c r="C124" s="405">
        <f t="shared" ref="C124:BI124" si="63">+C119*(1-C122)</f>
        <v>0.51586182430170824</v>
      </c>
      <c r="D124" s="405">
        <f t="shared" si="63"/>
        <v>0.32045702037596918</v>
      </c>
      <c r="E124" s="405">
        <f t="shared" si="63"/>
        <v>0.20628447891605431</v>
      </c>
      <c r="F124" s="405">
        <f t="shared" si="63"/>
        <v>0.10625150043170456</v>
      </c>
      <c r="G124" s="405">
        <f t="shared" si="63"/>
        <v>5.8016141692188161E-2</v>
      </c>
      <c r="H124" s="405">
        <f t="shared" si="63"/>
        <v>3.4454925441485242E-2</v>
      </c>
      <c r="I124" s="405">
        <f t="shared" si="63"/>
        <v>3.2280217740465154E-2</v>
      </c>
      <c r="J124" s="405">
        <f t="shared" si="63"/>
        <v>1.9872588784471928E-2</v>
      </c>
      <c r="K124" s="405">
        <f t="shared" si="63"/>
        <v>1.3612507310934129E-2</v>
      </c>
      <c r="L124" s="405">
        <f t="shared" si="63"/>
        <v>9.6199067273853248E-3</v>
      </c>
      <c r="M124" s="405">
        <f t="shared" si="63"/>
        <v>6.2358721627521147E-3</v>
      </c>
      <c r="N124" s="405">
        <f t="shared" si="63"/>
        <v>3.4688939941991811E-3</v>
      </c>
      <c r="O124" s="405">
        <f t="shared" si="63"/>
        <v>1.1464246095161566E-3</v>
      </c>
      <c r="P124" s="405">
        <f t="shared" si="63"/>
        <v>-8.2743149785873091E-4</v>
      </c>
      <c r="Q124" s="405">
        <f t="shared" si="63"/>
        <v>-2.5463959648780641E-3</v>
      </c>
      <c r="R124" s="405">
        <f t="shared" si="63"/>
        <v>-4.0927809419327391E-3</v>
      </c>
      <c r="S124" s="405">
        <f t="shared" si="63"/>
        <v>-5.4654832317141636E-3</v>
      </c>
      <c r="T124" s="405">
        <f t="shared" si="63"/>
        <v>-6.6411952335982145E-3</v>
      </c>
      <c r="U124" s="405">
        <f t="shared" si="63"/>
        <v>-6.7916786377599488E-3</v>
      </c>
      <c r="V124" s="405">
        <f t="shared" si="63"/>
        <v>-7.651070898653127E-3</v>
      </c>
      <c r="W124" s="405">
        <f t="shared" si="63"/>
        <v>-2.7697325746650478E-3</v>
      </c>
      <c r="X124" s="405">
        <f t="shared" si="63"/>
        <v>1.9588898381833787E-3</v>
      </c>
      <c r="Y124" s="405">
        <f t="shared" si="63"/>
        <v>6.400434369302199E-3</v>
      </c>
      <c r="Z124" s="405">
        <f t="shared" si="63"/>
        <v>1.0426569309747391E-2</v>
      </c>
      <c r="AA124" s="405">
        <f t="shared" si="63"/>
        <v>1.3720518878588691E-2</v>
      </c>
      <c r="AB124" s="405">
        <f t="shared" si="63"/>
        <v>1.6895007259332562E-2</v>
      </c>
      <c r="AC124" s="405">
        <f t="shared" si="63"/>
        <v>2.0081433541602203E-2</v>
      </c>
      <c r="AD124" s="405">
        <f t="shared" si="63"/>
        <v>2.3300617610118091E-2</v>
      </c>
      <c r="AE124" s="405">
        <f t="shared" si="63"/>
        <v>2.6246151605301998E-2</v>
      </c>
      <c r="AF124" s="405">
        <f t="shared" si="63"/>
        <v>2.7670523835830817E-2</v>
      </c>
      <c r="AG124" s="405">
        <f t="shared" si="63"/>
        <v>3.1225324205941676E-2</v>
      </c>
      <c r="AH124" s="405">
        <f t="shared" si="63"/>
        <v>3.2325323114458945E-2</v>
      </c>
      <c r="AI124" s="405">
        <f t="shared" si="63"/>
        <v>0.15218957911634998</v>
      </c>
      <c r="AJ124" s="405">
        <f t="shared" si="63"/>
        <v>0.23224512503272085</v>
      </c>
      <c r="AK124" s="405">
        <f t="shared" si="63"/>
        <v>0.28745928192270181</v>
      </c>
      <c r="AL124" s="405">
        <f t="shared" si="63"/>
        <v>0.32826567453933619</v>
      </c>
      <c r="AM124" s="405">
        <f t="shared" si="63"/>
        <v>0.36095821175190224</v>
      </c>
      <c r="AN124" s="405">
        <f t="shared" si="63"/>
        <v>0.38896751368017563</v>
      </c>
      <c r="AO124" s="405">
        <f t="shared" si="63"/>
        <v>0.41419809802568558</v>
      </c>
      <c r="AP124" s="405">
        <f t="shared" si="63"/>
        <v>0.43772289264073488</v>
      </c>
      <c r="AQ124" s="405">
        <f t="shared" si="63"/>
        <v>0.4601504682516005</v>
      </c>
      <c r="AR124" s="405">
        <f t="shared" si="63"/>
        <v>0.48182680456336674</v>
      </c>
      <c r="AS124" s="405">
        <f t="shared" si="63"/>
        <v>0.50294875434570163</v>
      </c>
      <c r="AT124" s="405">
        <f t="shared" si="63"/>
        <v>0.52362853117282337</v>
      </c>
      <c r="AU124" s="405">
        <f t="shared" si="63"/>
        <v>0.54393047700088415</v>
      </c>
      <c r="AV124" s="405">
        <f t="shared" si="63"/>
        <v>0.5638920090163283</v>
      </c>
      <c r="AW124" s="405">
        <f t="shared" si="63"/>
        <v>0.58353552074123993</v>
      </c>
      <c r="AX124" s="405">
        <f t="shared" si="63"/>
        <v>0.60287511852243947</v>
      </c>
      <c r="AY124" s="405">
        <f t="shared" si="63"/>
        <v>0.62192041788442631</v>
      </c>
      <c r="AZ124" s="405">
        <f t="shared" si="63"/>
        <v>0.6406786719389217</v>
      </c>
      <c r="BA124" s="405">
        <f t="shared" si="63"/>
        <v>0.65915595701047758</v>
      </c>
      <c r="BB124" s="405">
        <f t="shared" si="63"/>
        <v>0.67735782729275174</v>
      </c>
      <c r="BC124" s="405">
        <f t="shared" si="63"/>
        <v>0.69528967152555743</v>
      </c>
      <c r="BD124" s="405">
        <f t="shared" si="63"/>
        <v>0.7129569030265851</v>
      </c>
      <c r="BE124" s="405">
        <f t="shared" si="63"/>
        <v>0.62552848486339796</v>
      </c>
      <c r="BF124" s="405">
        <f t="shared" si="63"/>
        <v>0.500222852222588</v>
      </c>
      <c r="BG124" s="405">
        <f t="shared" si="63"/>
        <v>0.32191497719899803</v>
      </c>
      <c r="BH124" s="405">
        <f t="shared" si="63"/>
        <v>6.9518455255318343E-2</v>
      </c>
      <c r="BI124" s="405">
        <f t="shared" si="63"/>
        <v>0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AH128" si="64">+$B$7*C61/C74</f>
        <v>0.12853132753664165</v>
      </c>
      <c r="D128" s="23">
        <f t="shared" si="64"/>
        <v>9.4853981653278158E-2</v>
      </c>
      <c r="E128" s="23">
        <f t="shared" si="64"/>
        <v>9.276600908702036E-2</v>
      </c>
      <c r="F128" s="23">
        <f t="shared" si="64"/>
        <v>8.7937135120713023E-2</v>
      </c>
      <c r="G128" s="23">
        <f t="shared" si="64"/>
        <v>9.3746141662281873E-2</v>
      </c>
      <c r="H128" s="23">
        <f t="shared" si="64"/>
        <v>9.5809916578799323E-2</v>
      </c>
      <c r="I128" s="23">
        <f t="shared" si="64"/>
        <v>0.10148565164632786</v>
      </c>
      <c r="J128" s="23">
        <f t="shared" si="64"/>
        <v>9.6423726302918872E-2</v>
      </c>
      <c r="K128" s="23">
        <f t="shared" si="64"/>
        <v>0.10590763699501311</v>
      </c>
      <c r="L128" s="23">
        <f t="shared" si="64"/>
        <v>0.10934284570097748</v>
      </c>
      <c r="M128" s="23">
        <f t="shared" si="64"/>
        <v>0.10237774405031709</v>
      </c>
      <c r="N128" s="23">
        <f t="shared" si="64"/>
        <v>9.6872258694655974E-2</v>
      </c>
      <c r="O128" s="23">
        <f t="shared" si="64"/>
        <v>9.7544100930765265E-2</v>
      </c>
      <c r="P128" s="23">
        <f t="shared" si="64"/>
        <v>9.7672061608727476E-2</v>
      </c>
      <c r="Q128" s="23">
        <f t="shared" si="64"/>
        <v>9.6973220056177076E-2</v>
      </c>
      <c r="R128" s="23">
        <f t="shared" si="64"/>
        <v>9.8401850285619305E-2</v>
      </c>
      <c r="S128" s="23">
        <f t="shared" si="64"/>
        <v>9.9141145903182931E-2</v>
      </c>
      <c r="T128" s="23">
        <f t="shared" si="64"/>
        <v>9.6361345547327767E-2</v>
      </c>
      <c r="U128" s="23">
        <f t="shared" si="64"/>
        <v>8.3662602363174479E-2</v>
      </c>
      <c r="V128" s="23">
        <f t="shared" si="64"/>
        <v>9.0335053123275666E-2</v>
      </c>
      <c r="W128" s="23">
        <f t="shared" si="64"/>
        <v>9.2636564567788501E-2</v>
      </c>
      <c r="X128" s="23">
        <f t="shared" si="64"/>
        <v>9.3170680819617963E-2</v>
      </c>
      <c r="Y128" s="23">
        <f t="shared" si="64"/>
        <v>9.1320370410712573E-2</v>
      </c>
      <c r="Z128" s="23">
        <f t="shared" si="64"/>
        <v>8.9798649246851839E-2</v>
      </c>
      <c r="AA128" s="23">
        <f t="shared" si="64"/>
        <v>8.6890539745752726E-2</v>
      </c>
      <c r="AB128" s="23">
        <f t="shared" si="64"/>
        <v>8.78224817041975E-2</v>
      </c>
      <c r="AC128" s="23">
        <f t="shared" si="64"/>
        <v>8.9762073476647178E-2</v>
      </c>
      <c r="AD128" s="23">
        <f t="shared" si="64"/>
        <v>9.1291781862312432E-2</v>
      </c>
      <c r="AE128" s="23">
        <f t="shared" si="64"/>
        <v>9.1257384895685079E-2</v>
      </c>
      <c r="AF128" s="23">
        <f t="shared" si="64"/>
        <v>8.6925737238268394E-2</v>
      </c>
      <c r="AG128" s="23">
        <f t="shared" si="64"/>
        <v>9.2729139813844064E-2</v>
      </c>
      <c r="AH128" s="23">
        <f t="shared" si="64"/>
        <v>8.788738018627737E-2</v>
      </c>
      <c r="AI128" s="23">
        <f t="shared" ref="AI128:BI128" si="65">+$B$7*AI61/AI74</f>
        <v>0.3958241922970816</v>
      </c>
      <c r="AJ128" s="23">
        <f t="shared" si="65"/>
        <v>0.17760618505555428</v>
      </c>
      <c r="AK128" s="23">
        <f t="shared" si="65"/>
        <v>0.12788559096341917</v>
      </c>
      <c r="AL128" s="23">
        <f t="shared" si="65"/>
        <v>0.10964863213155594</v>
      </c>
      <c r="AM128" s="23">
        <f t="shared" si="65"/>
        <v>0.1014987293020181</v>
      </c>
      <c r="AN128" s="23">
        <f t="shared" si="65"/>
        <v>9.7496280939168387E-2</v>
      </c>
      <c r="AO128" s="23">
        <f t="shared" si="65"/>
        <v>9.5426991177847184E-2</v>
      </c>
      <c r="AP128" s="23">
        <f t="shared" si="65"/>
        <v>9.4320508107195833E-2</v>
      </c>
      <c r="AQ128" s="23">
        <f t="shared" si="65"/>
        <v>9.3711472208832386E-2</v>
      </c>
      <c r="AR128" s="23">
        <f t="shared" si="65"/>
        <v>9.3365220696558976E-2</v>
      </c>
      <c r="AS128" s="23">
        <f t="shared" si="65"/>
        <v>9.3160054692026026E-2</v>
      </c>
      <c r="AT128" s="23">
        <f t="shared" si="65"/>
        <v>9.3031827127629904E-2</v>
      </c>
      <c r="AU128" s="23">
        <f t="shared" si="65"/>
        <v>9.2946373509716559E-2</v>
      </c>
      <c r="AV128" s="23">
        <f t="shared" si="65"/>
        <v>9.2885347976254529E-2</v>
      </c>
      <c r="AW128" s="23">
        <f t="shared" si="65"/>
        <v>9.2838813380562546E-2</v>
      </c>
      <c r="AX128" s="23">
        <f t="shared" si="65"/>
        <v>9.2801325091231832E-2</v>
      </c>
      <c r="AY128" s="23">
        <f t="shared" si="65"/>
        <v>9.2769849117964279E-2</v>
      </c>
      <c r="AZ128" s="23">
        <f t="shared" si="65"/>
        <v>9.2742651392489148E-2</v>
      </c>
      <c r="BA128" s="23">
        <f t="shared" si="65"/>
        <v>9.2718703648079576E-2</v>
      </c>
      <c r="BB128" s="23">
        <f t="shared" si="65"/>
        <v>9.2697364866161064E-2</v>
      </c>
      <c r="BC128" s="23">
        <f t="shared" si="65"/>
        <v>9.2678209982512388E-2</v>
      </c>
      <c r="BD128" s="23">
        <f t="shared" si="65"/>
        <v>9.2660937396735907E-2</v>
      </c>
      <c r="BE128" s="23">
        <f t="shared" si="65"/>
        <v>9.264531871018658E-2</v>
      </c>
      <c r="BF128" s="23">
        <f t="shared" si="65"/>
        <v>9.2619808189497638E-2</v>
      </c>
      <c r="BG128" s="23">
        <f t="shared" si="65"/>
        <v>9.2595829179215064E-2</v>
      </c>
      <c r="BH128" s="23">
        <f t="shared" si="65"/>
        <v>9.257619360533631E-2</v>
      </c>
      <c r="BI128" s="23">
        <f t="shared" si="65"/>
        <v>9.2560778489029882E-2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-5.7114586781388602E-3</v>
      </c>
      <c r="D129" s="23">
        <f t="shared" ref="D129:BH129" si="66">+$B$14+LN(E56/D56)/10+$B$18*LN(E88/D88)/10</f>
        <v>4.0181419368924181E-3</v>
      </c>
      <c r="E129" s="23">
        <f t="shared" si="66"/>
        <v>-3.0174889210962917E-3</v>
      </c>
      <c r="F129" s="23">
        <f t="shared" si="66"/>
        <v>1.0743200737413772E-2</v>
      </c>
      <c r="G129" s="23">
        <f t="shared" si="66"/>
        <v>1.1577456491098039E-2</v>
      </c>
      <c r="H129" s="23">
        <f t="shared" si="66"/>
        <v>1.929734233437477E-2</v>
      </c>
      <c r="I129" s="23">
        <f t="shared" si="66"/>
        <v>8.967281166622508E-3</v>
      </c>
      <c r="J129" s="23">
        <f t="shared" si="66"/>
        <v>2.4916025498485928E-2</v>
      </c>
      <c r="K129" s="23">
        <f t="shared" si="66"/>
        <v>2.853626182759382E-2</v>
      </c>
      <c r="L129" s="23">
        <f t="shared" si="66"/>
        <v>2.0111442243559513E-2</v>
      </c>
      <c r="M129" s="23">
        <f t="shared" si="66"/>
        <v>2.1426094353086511E-2</v>
      </c>
      <c r="N129" s="23">
        <f t="shared" si="66"/>
        <v>2.5137894278286072E-2</v>
      </c>
      <c r="O129" s="23">
        <f t="shared" si="66"/>
        <v>2.5021181964780297E-2</v>
      </c>
      <c r="P129" s="23">
        <f t="shared" si="66"/>
        <v>2.3829256572015411E-2</v>
      </c>
      <c r="Q129" s="23">
        <f t="shared" si="66"/>
        <v>2.6397391645148989E-2</v>
      </c>
      <c r="R129" s="23">
        <f t="shared" si="66"/>
        <v>2.6796617999265818E-2</v>
      </c>
      <c r="S129" s="23">
        <f t="shared" si="66"/>
        <v>2.2205971964523705E-2</v>
      </c>
      <c r="T129" s="23">
        <f t="shared" si="66"/>
        <v>2.3516513308307375E-3</v>
      </c>
      <c r="U129" s="23">
        <f t="shared" si="66"/>
        <v>2.1224902217528901E-2</v>
      </c>
      <c r="V129" s="23">
        <f t="shared" si="66"/>
        <v>2.1075430269594259E-2</v>
      </c>
      <c r="W129" s="23">
        <f t="shared" si="66"/>
        <v>2.0630099042453224E-2</v>
      </c>
      <c r="X129" s="23">
        <f t="shared" si="66"/>
        <v>1.7325268621356832E-2</v>
      </c>
      <c r="Y129" s="23">
        <f t="shared" si="66"/>
        <v>1.5804714721662196E-2</v>
      </c>
      <c r="Z129" s="23">
        <f t="shared" si="66"/>
        <v>1.1675724801656479E-2</v>
      </c>
      <c r="AA129" s="23">
        <f t="shared" si="66"/>
        <v>1.4566168896327749E-2</v>
      </c>
      <c r="AB129" s="23">
        <f t="shared" si="66"/>
        <v>1.7504429165492365E-2</v>
      </c>
      <c r="AC129" s="23">
        <f t="shared" si="66"/>
        <v>1.8930373220162763E-2</v>
      </c>
      <c r="AD129" s="23">
        <f t="shared" si="66"/>
        <v>1.7955390709821002E-2</v>
      </c>
      <c r="AE129" s="23">
        <f t="shared" si="66"/>
        <v>1.0835494952219403E-2</v>
      </c>
      <c r="AF129" s="23">
        <f t="shared" si="66"/>
        <v>2.3278785386499936E-2</v>
      </c>
      <c r="AG129" s="23">
        <f t="shared" si="66"/>
        <v>1.1864135772708896E-2</v>
      </c>
      <c r="AH129" s="23">
        <f t="shared" si="66"/>
        <v>0.24025350426056519</v>
      </c>
      <c r="AI129" s="23">
        <f t="shared" si="66"/>
        <v>7.2818820659499711E-2</v>
      </c>
      <c r="AJ129" s="23">
        <f t="shared" si="66"/>
        <v>4.1962460384673703E-2</v>
      </c>
      <c r="AK129" s="23">
        <f t="shared" si="66"/>
        <v>3.0653536781101318E-2</v>
      </c>
      <c r="AL129" s="23">
        <f t="shared" si="66"/>
        <v>2.5649810487658024E-2</v>
      </c>
      <c r="AM129" s="23">
        <f t="shared" si="66"/>
        <v>2.3200352690154209E-2</v>
      </c>
      <c r="AN129" s="23">
        <f t="shared" si="66"/>
        <v>2.1929178251187242E-2</v>
      </c>
      <c r="AO129" s="23">
        <f t="shared" si="66"/>
        <v>2.1242041869225528E-2</v>
      </c>
      <c r="AP129" s="23">
        <f t="shared" si="66"/>
        <v>2.0856520627526961E-2</v>
      </c>
      <c r="AQ129" s="23">
        <f t="shared" si="66"/>
        <v>2.0630866900546461E-2</v>
      </c>
      <c r="AR129" s="23">
        <f t="shared" si="66"/>
        <v>2.0491696090155942E-2</v>
      </c>
      <c r="AS129" s="23">
        <f t="shared" si="66"/>
        <v>2.0400309753447695E-2</v>
      </c>
      <c r="AT129" s="23">
        <f t="shared" si="66"/>
        <v>2.0336045572368205E-2</v>
      </c>
      <c r="AU129" s="23">
        <f t="shared" si="66"/>
        <v>2.0287752639533665E-2</v>
      </c>
      <c r="AV129" s="23">
        <f t="shared" si="66"/>
        <v>2.0249339256141866E-2</v>
      </c>
      <c r="AW129" s="23">
        <f t="shared" si="66"/>
        <v>2.0217421410929047E-2</v>
      </c>
      <c r="AX129" s="23">
        <f t="shared" si="66"/>
        <v>2.0190072648012161E-2</v>
      </c>
      <c r="AY129" s="23">
        <f t="shared" si="66"/>
        <v>2.0166156708388595E-2</v>
      </c>
      <c r="AZ129" s="23">
        <f t="shared" si="66"/>
        <v>2.0144970141095685E-2</v>
      </c>
      <c r="BA129" s="23">
        <f t="shared" si="66"/>
        <v>2.0126050294677587E-2</v>
      </c>
      <c r="BB129" s="23">
        <f t="shared" si="66"/>
        <v>2.0109071727820293E-2</v>
      </c>
      <c r="BC129" s="23">
        <f t="shared" si="66"/>
        <v>2.0093789973387278E-2</v>
      </c>
      <c r="BD129" s="23">
        <f t="shared" si="66"/>
        <v>2.0119661694523578E-2</v>
      </c>
      <c r="BE129" s="23">
        <f t="shared" si="66"/>
        <v>2.0093134547160007E-2</v>
      </c>
      <c r="BF129" s="23">
        <f t="shared" si="66"/>
        <v>2.0071138665159256E-2</v>
      </c>
      <c r="BG129" s="23">
        <f t="shared" si="66"/>
        <v>2.005370845555781E-2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9.4845689603358704E-3</v>
      </c>
      <c r="D130" s="23">
        <f t="shared" ref="D130:BH130" si="67">+$B$14+LN(D56/C56)/10+$B$18*LN(D88/C88)/10</f>
        <v>-5.7114586781388602E-3</v>
      </c>
      <c r="E130" s="23">
        <f t="shared" si="67"/>
        <v>4.0181419368924181E-3</v>
      </c>
      <c r="F130" s="23">
        <f t="shared" si="67"/>
        <v>-3.0174889210962917E-3</v>
      </c>
      <c r="G130" s="23">
        <f t="shared" si="67"/>
        <v>1.0743200737413772E-2</v>
      </c>
      <c r="H130" s="23">
        <f t="shared" si="67"/>
        <v>1.1577456491098039E-2</v>
      </c>
      <c r="I130" s="23">
        <f t="shared" si="67"/>
        <v>1.929734233437477E-2</v>
      </c>
      <c r="J130" s="23">
        <f t="shared" si="67"/>
        <v>8.967281166622508E-3</v>
      </c>
      <c r="K130" s="23">
        <f t="shared" si="67"/>
        <v>2.4916025498485928E-2</v>
      </c>
      <c r="L130" s="23">
        <f t="shared" si="67"/>
        <v>2.853626182759382E-2</v>
      </c>
      <c r="M130" s="23">
        <f t="shared" si="67"/>
        <v>2.0111442243559513E-2</v>
      </c>
      <c r="N130" s="23">
        <f t="shared" si="67"/>
        <v>2.1426094353086511E-2</v>
      </c>
      <c r="O130" s="23">
        <f t="shared" si="67"/>
        <v>2.5137894278286072E-2</v>
      </c>
      <c r="P130" s="23">
        <f t="shared" si="67"/>
        <v>2.5021181964780297E-2</v>
      </c>
      <c r="Q130" s="23">
        <f t="shared" si="67"/>
        <v>2.3829256572015411E-2</v>
      </c>
      <c r="R130" s="23">
        <f t="shared" si="67"/>
        <v>2.6397391645148989E-2</v>
      </c>
      <c r="S130" s="23">
        <f t="shared" si="67"/>
        <v>2.6796617999265818E-2</v>
      </c>
      <c r="T130" s="23">
        <f t="shared" si="67"/>
        <v>2.2205971964523705E-2</v>
      </c>
      <c r="U130" s="23">
        <f t="shared" si="67"/>
        <v>2.3516513308307375E-3</v>
      </c>
      <c r="V130" s="23">
        <f t="shared" si="67"/>
        <v>2.1224902217528901E-2</v>
      </c>
      <c r="W130" s="23">
        <f t="shared" si="67"/>
        <v>2.1075430269594259E-2</v>
      </c>
      <c r="X130" s="23">
        <f t="shared" si="67"/>
        <v>2.0630099042453224E-2</v>
      </c>
      <c r="Y130" s="23">
        <f t="shared" si="67"/>
        <v>1.7325268621356832E-2</v>
      </c>
      <c r="Z130" s="23">
        <f t="shared" si="67"/>
        <v>1.5804714721662196E-2</v>
      </c>
      <c r="AA130" s="23">
        <f t="shared" si="67"/>
        <v>1.1675724801656479E-2</v>
      </c>
      <c r="AB130" s="23">
        <f t="shared" si="67"/>
        <v>1.4566168896327749E-2</v>
      </c>
      <c r="AC130" s="23">
        <f t="shared" si="67"/>
        <v>1.7504429165492365E-2</v>
      </c>
      <c r="AD130" s="23">
        <f t="shared" si="67"/>
        <v>1.8930373220162763E-2</v>
      </c>
      <c r="AE130" s="23">
        <f t="shared" si="67"/>
        <v>1.7955390709821002E-2</v>
      </c>
      <c r="AF130" s="23">
        <f t="shared" si="67"/>
        <v>1.0835494952219403E-2</v>
      </c>
      <c r="AG130" s="23">
        <f t="shared" si="67"/>
        <v>2.3278785386499936E-2</v>
      </c>
      <c r="AH130" s="23">
        <f t="shared" si="67"/>
        <v>1.1864135772708896E-2</v>
      </c>
      <c r="AI130" s="23">
        <f t="shared" si="67"/>
        <v>0.24025350426056519</v>
      </c>
      <c r="AJ130" s="23">
        <f t="shared" si="67"/>
        <v>7.2818820659499711E-2</v>
      </c>
      <c r="AK130" s="23">
        <f t="shared" si="67"/>
        <v>4.1962460384673703E-2</v>
      </c>
      <c r="AL130" s="23">
        <f t="shared" si="67"/>
        <v>3.0653536781101318E-2</v>
      </c>
      <c r="AM130" s="23">
        <f t="shared" si="67"/>
        <v>2.5649810487658024E-2</v>
      </c>
      <c r="AN130" s="23">
        <f t="shared" si="67"/>
        <v>2.3200352690154209E-2</v>
      </c>
      <c r="AO130" s="23">
        <f t="shared" si="67"/>
        <v>2.1929178251187242E-2</v>
      </c>
      <c r="AP130" s="23">
        <f t="shared" si="67"/>
        <v>2.1242041869225528E-2</v>
      </c>
      <c r="AQ130" s="23">
        <f t="shared" si="67"/>
        <v>2.0856520627526961E-2</v>
      </c>
      <c r="AR130" s="23">
        <f t="shared" si="67"/>
        <v>2.0630866900546461E-2</v>
      </c>
      <c r="AS130" s="23">
        <f t="shared" si="67"/>
        <v>2.0491696090155942E-2</v>
      </c>
      <c r="AT130" s="23">
        <f t="shared" si="67"/>
        <v>2.0400309753447695E-2</v>
      </c>
      <c r="AU130" s="23">
        <f t="shared" si="67"/>
        <v>2.0336045572368205E-2</v>
      </c>
      <c r="AV130" s="23">
        <f t="shared" si="67"/>
        <v>2.0287752639533665E-2</v>
      </c>
      <c r="AW130" s="23">
        <f t="shared" si="67"/>
        <v>2.0249339256141866E-2</v>
      </c>
      <c r="AX130" s="23">
        <f t="shared" si="67"/>
        <v>2.0217421410929047E-2</v>
      </c>
      <c r="AY130" s="23">
        <f t="shared" si="67"/>
        <v>2.0190072648012161E-2</v>
      </c>
      <c r="AZ130" s="23">
        <f t="shared" si="67"/>
        <v>2.0166156708388595E-2</v>
      </c>
      <c r="BA130" s="23">
        <f t="shared" si="67"/>
        <v>2.0144970141095685E-2</v>
      </c>
      <c r="BB130" s="23">
        <f t="shared" si="67"/>
        <v>2.0126050294677587E-2</v>
      </c>
      <c r="BC130" s="23">
        <f t="shared" si="67"/>
        <v>2.0109071727820293E-2</v>
      </c>
      <c r="BD130" s="23">
        <f t="shared" si="67"/>
        <v>2.0093789973387278E-2</v>
      </c>
      <c r="BE130" s="23">
        <f t="shared" si="67"/>
        <v>2.0119661694523578E-2</v>
      </c>
      <c r="BF130" s="23">
        <f t="shared" si="67"/>
        <v>2.0093134547160007E-2</v>
      </c>
      <c r="BG130" s="23">
        <f t="shared" si="67"/>
        <v>2.0071138665159256E-2</v>
      </c>
      <c r="BH130" s="23">
        <f t="shared" si="67"/>
        <v>2.005370845555781E-2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8">+AVERAGE(C129:C130)</f>
        <v>1.8865551410985051E-3</v>
      </c>
      <c r="D131" s="23">
        <f t="shared" si="68"/>
        <v>-8.4665837062322105E-4</v>
      </c>
      <c r="E131" s="23">
        <f t="shared" si="68"/>
        <v>5.0032650789806317E-4</v>
      </c>
      <c r="F131" s="23">
        <f t="shared" si="68"/>
        <v>3.8628559081587402E-3</v>
      </c>
      <c r="G131" s="23">
        <f t="shared" si="68"/>
        <v>1.1160328614255905E-2</v>
      </c>
      <c r="H131" s="23">
        <f t="shared" si="68"/>
        <v>1.5437399412736405E-2</v>
      </c>
      <c r="I131" s="23">
        <f t="shared" si="68"/>
        <v>1.4132311750498639E-2</v>
      </c>
      <c r="J131" s="23">
        <f t="shared" si="68"/>
        <v>1.6941653332554218E-2</v>
      </c>
      <c r="K131" s="23">
        <f t="shared" si="68"/>
        <v>2.6726143663039874E-2</v>
      </c>
      <c r="L131" s="23">
        <f t="shared" si="68"/>
        <v>2.4323852035576667E-2</v>
      </c>
      <c r="M131" s="23">
        <f t="shared" si="68"/>
        <v>2.0768768298323012E-2</v>
      </c>
      <c r="N131" s="23">
        <f t="shared" si="68"/>
        <v>2.328199431568629E-2</v>
      </c>
      <c r="O131" s="23">
        <f t="shared" si="68"/>
        <v>2.5079538121533185E-2</v>
      </c>
      <c r="P131" s="23">
        <f t="shared" si="68"/>
        <v>2.4425219268397854E-2</v>
      </c>
      <c r="Q131" s="23">
        <f t="shared" si="68"/>
        <v>2.5113324108582198E-2</v>
      </c>
      <c r="R131" s="23">
        <f t="shared" si="68"/>
        <v>2.6597004822207403E-2</v>
      </c>
      <c r="S131" s="23">
        <f t="shared" si="68"/>
        <v>2.450129498189476E-2</v>
      </c>
      <c r="T131" s="23">
        <f t="shared" si="68"/>
        <v>1.2278811647677221E-2</v>
      </c>
      <c r="U131" s="23">
        <f t="shared" si="68"/>
        <v>1.178827677417982E-2</v>
      </c>
      <c r="V131" s="23">
        <f t="shared" si="68"/>
        <v>2.1150166243561579E-2</v>
      </c>
      <c r="W131" s="23">
        <f t="shared" si="68"/>
        <v>2.0852764656023742E-2</v>
      </c>
      <c r="X131" s="23">
        <f t="shared" si="68"/>
        <v>1.8977683831905026E-2</v>
      </c>
      <c r="Y131" s="23">
        <f t="shared" si="68"/>
        <v>1.6564991671509516E-2</v>
      </c>
      <c r="Z131" s="23">
        <f t="shared" si="68"/>
        <v>1.3740219761659338E-2</v>
      </c>
      <c r="AA131" s="23">
        <f t="shared" si="68"/>
        <v>1.3120946848992114E-2</v>
      </c>
      <c r="AB131" s="23">
        <f t="shared" si="68"/>
        <v>1.6035299030910055E-2</v>
      </c>
      <c r="AC131" s="23">
        <f t="shared" si="68"/>
        <v>1.8217401192827564E-2</v>
      </c>
      <c r="AD131" s="23">
        <f t="shared" si="68"/>
        <v>1.8442881964991883E-2</v>
      </c>
      <c r="AE131" s="23">
        <f t="shared" si="68"/>
        <v>1.4395442831020202E-2</v>
      </c>
      <c r="AF131" s="23">
        <f t="shared" si="68"/>
        <v>1.7057140169359671E-2</v>
      </c>
      <c r="AG131" s="23">
        <f t="shared" si="68"/>
        <v>1.7571460579604417E-2</v>
      </c>
      <c r="AH131" s="23">
        <f t="shared" si="68"/>
        <v>0.12605882001663704</v>
      </c>
      <c r="AI131" s="23">
        <f t="shared" si="68"/>
        <v>0.15653616246003244</v>
      </c>
      <c r="AJ131" s="23">
        <f t="shared" si="68"/>
        <v>5.7390640522086707E-2</v>
      </c>
      <c r="AK131" s="23">
        <f t="shared" si="68"/>
        <v>3.630799858288751E-2</v>
      </c>
      <c r="AL131" s="23">
        <f t="shared" si="68"/>
        <v>2.8151673634379669E-2</v>
      </c>
      <c r="AM131" s="23">
        <f t="shared" si="68"/>
        <v>2.4425081588906116E-2</v>
      </c>
      <c r="AN131" s="23">
        <f t="shared" si="68"/>
        <v>2.2564765470670725E-2</v>
      </c>
      <c r="AO131" s="23">
        <f t="shared" si="68"/>
        <v>2.1585610060206387E-2</v>
      </c>
      <c r="AP131" s="23">
        <f t="shared" si="68"/>
        <v>2.1049281248376246E-2</v>
      </c>
      <c r="AQ131" s="23">
        <f t="shared" si="68"/>
        <v>2.0743693764036709E-2</v>
      </c>
      <c r="AR131" s="23">
        <f t="shared" si="68"/>
        <v>2.0561281495351202E-2</v>
      </c>
      <c r="AS131" s="23">
        <f t="shared" si="68"/>
        <v>2.044600292180182E-2</v>
      </c>
      <c r="AT131" s="23">
        <f t="shared" si="68"/>
        <v>2.0368177662907952E-2</v>
      </c>
      <c r="AU131" s="23">
        <f t="shared" si="68"/>
        <v>2.0311899105950937E-2</v>
      </c>
      <c r="AV131" s="23">
        <f t="shared" si="68"/>
        <v>2.0268545947837766E-2</v>
      </c>
      <c r="AW131" s="23">
        <f t="shared" si="68"/>
        <v>2.0233380333535458E-2</v>
      </c>
      <c r="AX131" s="23">
        <f t="shared" si="68"/>
        <v>2.0203747029470604E-2</v>
      </c>
      <c r="AY131" s="23">
        <f t="shared" si="68"/>
        <v>2.0178114678200378E-2</v>
      </c>
      <c r="AZ131" s="23">
        <f t="shared" si="68"/>
        <v>2.0155563424742139E-2</v>
      </c>
      <c r="BA131" s="23">
        <f t="shared" si="68"/>
        <v>2.0135510217886635E-2</v>
      </c>
      <c r="BB131" s="23">
        <f t="shared" si="68"/>
        <v>2.0117561011248938E-2</v>
      </c>
      <c r="BC131" s="23">
        <f>+AVERAGE(BC129:BC130)</f>
        <v>2.0101430850603785E-2</v>
      </c>
      <c r="BD131" s="23">
        <f>+AVERAGE(BD129:BD130)</f>
        <v>2.0106725833955428E-2</v>
      </c>
      <c r="BE131" s="23">
        <f>+AVERAGE(BE129:BE130)</f>
        <v>2.0106398120841792E-2</v>
      </c>
      <c r="BF131" s="23">
        <f>+AVERAGE(BF129:BF130)</f>
        <v>2.008213660615963E-2</v>
      </c>
      <c r="BG131" s="23">
        <f>+AVERAGE(BG129:BG130)</f>
        <v>2.0062423560358533E-2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AG132" si="69">+B88^-$B$18</f>
        <v>1.3149095188514884E-2</v>
      </c>
      <c r="C132" s="23">
        <f t="shared" si="69"/>
        <v>1.3391296934971129E-2</v>
      </c>
      <c r="D132" s="23">
        <f t="shared" si="69"/>
        <v>1.5799862863143825E-2</v>
      </c>
      <c r="E132" s="23">
        <f t="shared" si="69"/>
        <v>1.6706746941388236E-2</v>
      </c>
      <c r="F132" s="23">
        <f t="shared" si="69"/>
        <v>1.9001715499847707E-2</v>
      </c>
      <c r="G132" s="23">
        <f t="shared" si="69"/>
        <v>1.8863645508672051E-2</v>
      </c>
      <c r="H132" s="23">
        <f t="shared" si="69"/>
        <v>1.8592938271332234E-2</v>
      </c>
      <c r="I132" s="23">
        <f t="shared" si="69"/>
        <v>1.6964590864379247E-2</v>
      </c>
      <c r="J132" s="23">
        <f t="shared" si="69"/>
        <v>1.7163333392984471E-2</v>
      </c>
      <c r="K132" s="23">
        <f t="shared" si="69"/>
        <v>1.4804555432749176E-2</v>
      </c>
      <c r="L132" s="23">
        <f t="shared" si="69"/>
        <v>1.2674205354783349E-2</v>
      </c>
      <c r="M132" s="23">
        <f t="shared" si="69"/>
        <v>1.2147551782081878E-2</v>
      </c>
      <c r="N132" s="23">
        <f t="shared" si="69"/>
        <v>1.1490721980358175E-2</v>
      </c>
      <c r="O132" s="23">
        <f t="shared" si="69"/>
        <v>1.0473352786277328E-2</v>
      </c>
      <c r="P132" s="23">
        <f t="shared" si="69"/>
        <v>9.5572076806101896E-3</v>
      </c>
      <c r="Q132" s="23">
        <f t="shared" si="69"/>
        <v>8.8257735551494181E-3</v>
      </c>
      <c r="R132" s="23">
        <f t="shared" si="69"/>
        <v>7.9436713607379614E-3</v>
      </c>
      <c r="S132" s="23">
        <f t="shared" si="69"/>
        <v>7.1212451823326472E-3</v>
      </c>
      <c r="T132" s="23">
        <f t="shared" si="69"/>
        <v>6.6838628711662022E-3</v>
      </c>
      <c r="U132" s="23">
        <f t="shared" si="69"/>
        <v>7.6511257978063036E-3</v>
      </c>
      <c r="V132" s="23">
        <f t="shared" si="69"/>
        <v>7.2404969363573952E-3</v>
      </c>
      <c r="W132" s="23">
        <f t="shared" si="69"/>
        <v>6.8512728155243705E-3</v>
      </c>
      <c r="X132" s="23">
        <f t="shared" si="69"/>
        <v>6.5119071194037551E-3</v>
      </c>
      <c r="Y132" s="23">
        <f t="shared" si="69"/>
        <v>6.3973163871948796E-3</v>
      </c>
      <c r="Z132" s="23">
        <f t="shared" si="69"/>
        <v>6.3810352510313469E-3</v>
      </c>
      <c r="AA132" s="23">
        <f t="shared" si="69"/>
        <v>6.6330982966072254E-3</v>
      </c>
      <c r="AB132" s="23">
        <f t="shared" si="69"/>
        <v>6.6986715413895987E-3</v>
      </c>
      <c r="AC132" s="23">
        <f t="shared" si="69"/>
        <v>6.5690146640039219E-3</v>
      </c>
      <c r="AD132" s="23">
        <f t="shared" si="69"/>
        <v>6.350661765689782E-3</v>
      </c>
      <c r="AE132" s="23">
        <f t="shared" si="69"/>
        <v>6.1997193443083529E-3</v>
      </c>
      <c r="AF132" s="23">
        <f t="shared" si="69"/>
        <v>6.4811536616558411E-3</v>
      </c>
      <c r="AG132" s="23">
        <f t="shared" si="69"/>
        <v>5.9662027804274504E-3</v>
      </c>
      <c r="AH132" s="23">
        <f t="shared" ref="AH132:BI132" si="70">+AH88^-$B$18</f>
        <v>6.1562591801685084E-3</v>
      </c>
      <c r="AI132" s="23">
        <f t="shared" si="70"/>
        <v>6.4722212669924358E-4</v>
      </c>
      <c r="AJ132" s="23">
        <f t="shared" si="70"/>
        <v>3.6303576185293631E-4</v>
      </c>
      <c r="AK132" s="23">
        <f t="shared" si="70"/>
        <v>2.7723811089778978E-4</v>
      </c>
      <c r="AL132" s="23">
        <f t="shared" si="70"/>
        <v>2.3706666185994735E-4</v>
      </c>
      <c r="AM132" s="23">
        <f t="shared" si="70"/>
        <v>2.1311741764639549E-4</v>
      </c>
      <c r="AN132" s="23">
        <f t="shared" si="70"/>
        <v>1.9633840831994581E-4</v>
      </c>
      <c r="AO132" s="23">
        <f t="shared" si="70"/>
        <v>1.8319441408371813E-4</v>
      </c>
      <c r="AP132" s="23">
        <f t="shared" si="70"/>
        <v>1.7210892173278745E-4</v>
      </c>
      <c r="AQ132" s="23">
        <f t="shared" si="70"/>
        <v>1.6231880540722198E-4</v>
      </c>
      <c r="AR132" s="23">
        <f t="shared" si="70"/>
        <v>1.5343141617090916E-4</v>
      </c>
      <c r="AS132" s="23">
        <f t="shared" si="70"/>
        <v>1.4523261612003097E-4</v>
      </c>
      <c r="AT132" s="23">
        <f t="shared" si="70"/>
        <v>1.3759761720934447E-4</v>
      </c>
      <c r="AU132" s="23">
        <f t="shared" si="70"/>
        <v>1.3044780079464393E-4</v>
      </c>
      <c r="AV132" s="23">
        <f t="shared" si="70"/>
        <v>1.2372923958396879E-4</v>
      </c>
      <c r="AW132" s="23">
        <f t="shared" si="70"/>
        <v>1.1740179934281307E-4</v>
      </c>
      <c r="AX132" s="23">
        <f t="shared" si="70"/>
        <v>1.1143350215597297E-4</v>
      </c>
      <c r="AY132" s="23">
        <f t="shared" si="70"/>
        <v>1.0579754270321088E-4</v>
      </c>
      <c r="AZ132" s="23">
        <f t="shared" si="70"/>
        <v>1.0047065815387749E-4</v>
      </c>
      <c r="BA132" s="23">
        <f t="shared" si="70"/>
        <v>9.5432197812839422E-5</v>
      </c>
      <c r="BB132" s="23">
        <f t="shared" si="70"/>
        <v>9.0663560862240205E-5</v>
      </c>
      <c r="BC132" s="23">
        <f t="shared" si="70"/>
        <v>8.6147832630512999E-5</v>
      </c>
      <c r="BD132" s="23">
        <f t="shared" si="70"/>
        <v>8.1869531823228547E-5</v>
      </c>
      <c r="BE132" s="23">
        <f t="shared" si="70"/>
        <v>7.7783574785640061E-5</v>
      </c>
      <c r="BF132" s="23">
        <f t="shared" si="70"/>
        <v>7.3921146883828125E-5</v>
      </c>
      <c r="BG132" s="23">
        <f t="shared" si="70"/>
        <v>7.0265965954495758E-5</v>
      </c>
      <c r="BH132" s="23">
        <f t="shared" si="70"/>
        <v>6.6803165771542466E-5</v>
      </c>
      <c r="BI132" s="23">
        <f t="shared" si="70"/>
        <v>6.6803165771542466E-5</v>
      </c>
    </row>
    <row r="133" spans="1:61" ht="18" customHeight="1" x14ac:dyDescent="0.2">
      <c r="A133" s="23" t="s">
        <v>14</v>
      </c>
      <c r="B133" s="23">
        <f t="shared" ref="B133:AG133" si="71">+B17*B132/$B132</f>
        <v>1</v>
      </c>
      <c r="C133" s="23">
        <f t="shared" si="71"/>
        <v>0.87753884154743844</v>
      </c>
      <c r="D133" s="23">
        <f t="shared" si="71"/>
        <v>0.89214737741978412</v>
      </c>
      <c r="E133" s="23">
        <f t="shared" si="71"/>
        <v>0.81285813706719123</v>
      </c>
      <c r="F133" s="23">
        <f t="shared" si="71"/>
        <v>0.79662742242439544</v>
      </c>
      <c r="G133" s="23">
        <f t="shared" si="71"/>
        <v>0.68144003440564871</v>
      </c>
      <c r="H133" s="23">
        <f t="shared" si="71"/>
        <v>0.57874815984103312</v>
      </c>
      <c r="I133" s="23">
        <f t="shared" si="71"/>
        <v>0.45501379474526327</v>
      </c>
      <c r="J133" s="23">
        <f t="shared" si="71"/>
        <v>0.39666363678379429</v>
      </c>
      <c r="K133" s="23">
        <f t="shared" si="71"/>
        <v>0.29481915609241111</v>
      </c>
      <c r="L133" s="23">
        <f t="shared" si="71"/>
        <v>0.21748066149668815</v>
      </c>
      <c r="M133" s="23">
        <f t="shared" si="71"/>
        <v>0.17960906097092699</v>
      </c>
      <c r="N133" s="23">
        <f t="shared" si="71"/>
        <v>0.14639504507810716</v>
      </c>
      <c r="O133" s="23">
        <f t="shared" si="71"/>
        <v>0.11497525221004407</v>
      </c>
      <c r="P133" s="23">
        <f t="shared" si="71"/>
        <v>9.0404331523937273E-2</v>
      </c>
      <c r="Q133" s="23">
        <f t="shared" si="71"/>
        <v>7.1936710352896713E-2</v>
      </c>
      <c r="R133" s="23">
        <f t="shared" si="71"/>
        <v>5.5790292631485758E-2</v>
      </c>
      <c r="S133" s="23">
        <f t="shared" si="71"/>
        <v>4.3095595574347792E-2</v>
      </c>
      <c r="T133" s="23">
        <f t="shared" si="71"/>
        <v>3.485331223658017E-2</v>
      </c>
      <c r="U133" s="23">
        <f t="shared" si="71"/>
        <v>3.4378066386976429E-2</v>
      </c>
      <c r="V133" s="23">
        <f t="shared" si="71"/>
        <v>2.8032643561536501E-2</v>
      </c>
      <c r="W133" s="23">
        <f t="shared" si="71"/>
        <v>2.2856331153042288E-2</v>
      </c>
      <c r="X133" s="23">
        <f t="shared" si="71"/>
        <v>1.8719016769350741E-2</v>
      </c>
      <c r="Y133" s="23">
        <f t="shared" si="71"/>
        <v>1.5845729693393134E-2</v>
      </c>
      <c r="Z133" s="23">
        <f t="shared" si="71"/>
        <v>1.361899732850883E-2</v>
      </c>
      <c r="AA133" s="23">
        <f t="shared" si="71"/>
        <v>1.219860030437088E-2</v>
      </c>
      <c r="AB133" s="23">
        <f t="shared" si="71"/>
        <v>1.0615044747469481E-2</v>
      </c>
      <c r="AC133" s="23">
        <f t="shared" si="71"/>
        <v>8.9695974938351301E-3</v>
      </c>
      <c r="AD133" s="23">
        <f t="shared" si="71"/>
        <v>7.4719040082052331E-3</v>
      </c>
      <c r="AE133" s="23">
        <f t="shared" si="71"/>
        <v>6.2852695595772947E-3</v>
      </c>
      <c r="AF133" s="23">
        <f t="shared" si="71"/>
        <v>5.6616598575951168E-3</v>
      </c>
      <c r="AG133" s="23">
        <f t="shared" si="71"/>
        <v>4.4908551108819904E-3</v>
      </c>
      <c r="AH133" s="23">
        <f t="shared" ref="AH133:BI133" si="72">+AH17*AH132/$B132</f>
        <v>3.9928914746636809E-3</v>
      </c>
      <c r="AI133" s="23">
        <f t="shared" si="72"/>
        <v>3.61712522739361E-4</v>
      </c>
      <c r="AJ133" s="23">
        <f t="shared" si="72"/>
        <v>1.7482324391461933E-4</v>
      </c>
      <c r="AK133" s="23">
        <f t="shared" si="72"/>
        <v>1.1503825209138674E-4</v>
      </c>
      <c r="AL133" s="23">
        <f t="shared" si="72"/>
        <v>8.4761650614359626E-5</v>
      </c>
      <c r="AM133" s="23">
        <f t="shared" si="72"/>
        <v>6.5657968859064928E-5</v>
      </c>
      <c r="AN133" s="23">
        <f t="shared" si="72"/>
        <v>5.2121072290306673E-5</v>
      </c>
      <c r="AO133" s="23">
        <f t="shared" si="72"/>
        <v>4.1904424503097513E-5</v>
      </c>
      <c r="AP133" s="23">
        <f t="shared" si="72"/>
        <v>3.3922715863735801E-5</v>
      </c>
      <c r="AQ133" s="23">
        <f t="shared" si="72"/>
        <v>2.7567389746555768E-5</v>
      </c>
      <c r="AR133" s="23">
        <f t="shared" si="72"/>
        <v>2.2453325879598544E-5</v>
      </c>
      <c r="AS133" s="23">
        <f t="shared" si="72"/>
        <v>1.8313448185071242E-5</v>
      </c>
      <c r="AT133" s="23">
        <f t="shared" si="72"/>
        <v>1.4950525369461464E-5</v>
      </c>
      <c r="AU133" s="23">
        <f t="shared" si="72"/>
        <v>1.2212986591832164E-5</v>
      </c>
      <c r="AV133" s="23">
        <f t="shared" si="72"/>
        <v>9.981528241343069E-6</v>
      </c>
      <c r="AW133" s="23">
        <f t="shared" si="72"/>
        <v>8.1609182354255056E-6</v>
      </c>
      <c r="AX133" s="23">
        <f t="shared" si="72"/>
        <v>6.6745137317021625E-6</v>
      </c>
      <c r="AY133" s="23">
        <f t="shared" si="72"/>
        <v>5.4603314936243546E-6</v>
      </c>
      <c r="AZ133" s="23">
        <f t="shared" si="72"/>
        <v>4.46809350640454E-6</v>
      </c>
      <c r="BA133" s="23">
        <f t="shared" si="72"/>
        <v>3.6569372591985579E-6</v>
      </c>
      <c r="BB133" s="23">
        <f t="shared" si="72"/>
        <v>2.9936080175901179E-6</v>
      </c>
      <c r="BC133" s="23">
        <f t="shared" si="72"/>
        <v>2.4510157060976395E-6</v>
      </c>
      <c r="BD133" s="23">
        <f t="shared" si="72"/>
        <v>2.0070750994844412E-6</v>
      </c>
      <c r="BE133" s="23">
        <f t="shared" si="72"/>
        <v>1.6431181473711547E-6</v>
      </c>
      <c r="BF133" s="23">
        <f t="shared" si="72"/>
        <v>1.3455169324355387E-6</v>
      </c>
      <c r="BG133" s="23">
        <f t="shared" si="72"/>
        <v>1.1020595683233454E-6</v>
      </c>
      <c r="BH133" s="23">
        <f t="shared" si="72"/>
        <v>9.0281064277051942E-7</v>
      </c>
      <c r="BI133" s="23">
        <f t="shared" si="72"/>
        <v>7.7792234732539973E-7</v>
      </c>
    </row>
    <row r="134" spans="1:61" ht="18" customHeight="1" x14ac:dyDescent="0.2">
      <c r="A134" s="23" t="s">
        <v>15</v>
      </c>
      <c r="B134" s="23"/>
      <c r="C134" s="23">
        <f>+(C133/B133)^-0.1-1</f>
        <v>1.3149105131402106E-2</v>
      </c>
      <c r="D134" s="23">
        <f t="shared" ref="D134:BI134" si="73">+(D133/C133)^-0.1-1</f>
        <v>-1.6496500314076012E-3</v>
      </c>
      <c r="E134" s="23">
        <f t="shared" si="73"/>
        <v>9.3509231400499271E-3</v>
      </c>
      <c r="F134" s="23">
        <f t="shared" si="73"/>
        <v>2.0189860812982463E-3</v>
      </c>
      <c r="G134" s="23">
        <f t="shared" si="73"/>
        <v>1.5740480330727058E-2</v>
      </c>
      <c r="H134" s="23">
        <f t="shared" si="73"/>
        <v>1.6468213520094865E-2</v>
      </c>
      <c r="I134" s="23">
        <f t="shared" si="73"/>
        <v>2.4345599228894343E-2</v>
      </c>
      <c r="J134" s="23">
        <f t="shared" si="73"/>
        <v>1.3818512867052712E-2</v>
      </c>
      <c r="K134" s="23">
        <f t="shared" si="73"/>
        <v>3.0117272017767815E-2</v>
      </c>
      <c r="L134" s="23">
        <f t="shared" si="73"/>
        <v>3.0892797440860376E-2</v>
      </c>
      <c r="M134" s="23">
        <f t="shared" si="73"/>
        <v>1.9316936478735336E-2</v>
      </c>
      <c r="N134" s="23">
        <f t="shared" si="73"/>
        <v>2.0657864873597109E-2</v>
      </c>
      <c r="O134" s="23">
        <f t="shared" si="73"/>
        <v>2.4453382403215818E-2</v>
      </c>
      <c r="P134" s="23">
        <f t="shared" si="73"/>
        <v>2.4333823056036374E-2</v>
      </c>
      <c r="Q134" s="23">
        <f t="shared" si="73"/>
        <v>2.31136209010947E-2</v>
      </c>
      <c r="R134" s="23">
        <f t="shared" si="73"/>
        <v>2.5744491644493772E-2</v>
      </c>
      <c r="S134" s="23">
        <f t="shared" si="73"/>
        <v>2.6154077631468597E-2</v>
      </c>
      <c r="T134" s="23">
        <f t="shared" si="73"/>
        <v>2.1454163558747741E-2</v>
      </c>
      <c r="U134" s="23">
        <f t="shared" si="73"/>
        <v>1.3738848516260393E-3</v>
      </c>
      <c r="V134" s="23">
        <f t="shared" si="73"/>
        <v>2.0614511700480787E-2</v>
      </c>
      <c r="W134" s="23">
        <f t="shared" si="73"/>
        <v>2.0623945865744897E-2</v>
      </c>
      <c r="X134" s="23">
        <f t="shared" si="73"/>
        <v>2.0169531341481806E-2</v>
      </c>
      <c r="Y134" s="23">
        <f t="shared" si="73"/>
        <v>1.6803609004419018E-2</v>
      </c>
      <c r="Z134" s="23">
        <f t="shared" si="73"/>
        <v>1.5258679183722812E-2</v>
      </c>
      <c r="AA134" s="23">
        <f t="shared" si="73"/>
        <v>1.107532878033779E-2</v>
      </c>
      <c r="AB134" s="23">
        <f t="shared" si="73"/>
        <v>1.4002013164854166E-2</v>
      </c>
      <c r="AC134" s="23">
        <f t="shared" si="73"/>
        <v>1.6985796412197329E-2</v>
      </c>
      <c r="AD134" s="23">
        <f t="shared" si="73"/>
        <v>1.8436995680864765E-2</v>
      </c>
      <c r="AE134" s="23">
        <f t="shared" si="73"/>
        <v>1.7444521323380702E-2</v>
      </c>
      <c r="AF134" s="23">
        <f t="shared" si="73"/>
        <v>1.0503945159099359E-2</v>
      </c>
      <c r="AG134" s="23">
        <f t="shared" si="73"/>
        <v>2.3437846534682061E-2</v>
      </c>
      <c r="AH134" s="23">
        <f t="shared" si="73"/>
        <v>1.18220831713578E-2</v>
      </c>
      <c r="AI134" s="23">
        <f t="shared" si="73"/>
        <v>0.27142982896300194</v>
      </c>
      <c r="AJ134" s="23">
        <f t="shared" si="73"/>
        <v>7.54158598578476E-2</v>
      </c>
      <c r="AK134" s="23">
        <f t="shared" si="73"/>
        <v>4.2739175042689759E-2</v>
      </c>
      <c r="AL134" s="23">
        <f t="shared" si="73"/>
        <v>3.1013345597844078E-2</v>
      </c>
      <c r="AM134" s="23">
        <f t="shared" si="73"/>
        <v>2.5867322394252934E-2</v>
      </c>
      <c r="AN134" s="23">
        <f t="shared" si="73"/>
        <v>2.3357578692689174E-2</v>
      </c>
      <c r="AO134" s="23">
        <f t="shared" si="73"/>
        <v>2.2057539160302619E-2</v>
      </c>
      <c r="AP134" s="23">
        <f t="shared" si="73"/>
        <v>2.1355487470939405E-2</v>
      </c>
      <c r="AQ134" s="23">
        <f t="shared" si="73"/>
        <v>2.0961809125752184E-2</v>
      </c>
      <c r="AR134" s="23">
        <f t="shared" si="73"/>
        <v>2.073145127994902E-2</v>
      </c>
      <c r="AS134" s="23">
        <f t="shared" si="73"/>
        <v>2.0589405141250738E-2</v>
      </c>
      <c r="AT134" s="23">
        <f t="shared" si="73"/>
        <v>2.0496141475808916E-2</v>
      </c>
      <c r="AU134" s="23">
        <f t="shared" si="73"/>
        <v>2.0430562234202698E-2</v>
      </c>
      <c r="AV134" s="23">
        <f t="shared" si="73"/>
        <v>2.0381283839507214E-2</v>
      </c>
      <c r="AW134" s="23">
        <f t="shared" si="73"/>
        <v>2.0342088294866834E-2</v>
      </c>
      <c r="AX134" s="23">
        <f t="shared" si="73"/>
        <v>2.0309521693759436E-2</v>
      </c>
      <c r="AY134" s="23">
        <f t="shared" si="73"/>
        <v>2.0281617872117685E-2</v>
      </c>
      <c r="AZ134" s="23">
        <f t="shared" si="73"/>
        <v>2.0257217170329689E-2</v>
      </c>
      <c r="BA134" s="23">
        <f t="shared" si="73"/>
        <v>2.0235601651122037E-2</v>
      </c>
      <c r="BB134" s="23">
        <f t="shared" si="73"/>
        <v>2.0216299132829407E-2</v>
      </c>
      <c r="BC134" s="23">
        <f t="shared" si="73"/>
        <v>2.0198977469235047E-2</v>
      </c>
      <c r="BD134" s="23">
        <f t="shared" si="73"/>
        <v>2.0183387158112076E-2</v>
      </c>
      <c r="BE134" s="23">
        <f t="shared" si="73"/>
        <v>2.0209781399643356E-2</v>
      </c>
      <c r="BF134" s="23">
        <f t="shared" si="73"/>
        <v>2.0182718503382713E-2</v>
      </c>
      <c r="BG134" s="23">
        <f t="shared" si="73"/>
        <v>2.0160278931477205E-2</v>
      </c>
      <c r="BH134" s="23">
        <f t="shared" si="73"/>
        <v>2.0142497478956134E-2</v>
      </c>
      <c r="BI134" s="23">
        <f t="shared" si="73"/>
        <v>1.4999999999999902E-2</v>
      </c>
    </row>
    <row r="135" spans="1:61" ht="18" customHeight="1" x14ac:dyDescent="0.2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 x14ac:dyDescent="0.2">
      <c r="A136" s="23" t="s">
        <v>207</v>
      </c>
      <c r="B136" s="23"/>
      <c r="C136" s="23">
        <f>+C134+C135</f>
        <v>9.4588805104877851E-3</v>
      </c>
      <c r="D136" s="23">
        <f t="shared" ref="D136:K136" si="75">+D134+D135</f>
        <v>-5.8214840134991194E-3</v>
      </c>
      <c r="E136" s="23">
        <f t="shared" si="75"/>
        <v>3.9502036621653237E-3</v>
      </c>
      <c r="F136" s="23">
        <f t="shared" si="75"/>
        <v>-3.1268410141343317E-3</v>
      </c>
      <c r="G136" s="23">
        <f t="shared" si="75"/>
        <v>1.075440977944846E-2</v>
      </c>
      <c r="H136" s="23">
        <f t="shared" si="75"/>
        <v>1.1600199423996673E-2</v>
      </c>
      <c r="I136" s="23">
        <f t="shared" si="75"/>
        <v>1.9477585132796151E-2</v>
      </c>
      <c r="J136" s="23">
        <f t="shared" si="75"/>
        <v>8.9504987709545323E-3</v>
      </c>
      <c r="K136" s="23">
        <f t="shared" si="75"/>
        <v>2.5249257921669623E-2</v>
      </c>
    </row>
    <row r="137" spans="1:61" ht="18" customHeight="1" x14ac:dyDescent="0.2">
      <c r="A137" s="23" t="s">
        <v>208</v>
      </c>
      <c r="B137" s="23"/>
      <c r="C137" s="23">
        <f>+C136-C129</f>
        <v>1.5170339188626645E-2</v>
      </c>
      <c r="D137" s="23">
        <f t="shared" ref="D137:K137" si="76">+D136-D129</f>
        <v>-9.8396259503915375E-3</v>
      </c>
      <c r="E137" s="23">
        <f t="shared" si="76"/>
        <v>6.9676925832616154E-3</v>
      </c>
      <c r="F137" s="23">
        <f t="shared" si="76"/>
        <v>-1.3870041751548105E-2</v>
      </c>
      <c r="G137" s="23">
        <f t="shared" si="76"/>
        <v>-8.230467116495787E-4</v>
      </c>
      <c r="H137" s="23">
        <f t="shared" si="76"/>
        <v>-7.6971429103780964E-3</v>
      </c>
      <c r="I137" s="23">
        <f t="shared" si="76"/>
        <v>1.0510303966173643E-2</v>
      </c>
      <c r="J137" s="23">
        <f t="shared" si="76"/>
        <v>-1.5965526727531397E-2</v>
      </c>
      <c r="K137" s="23">
        <f t="shared" si="76"/>
        <v>-3.2870039059241969E-3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AG139" si="77">+$B$7*B68/B74-(1-(1-0.1)^10)/10</f>
        <v>0.27682395652993924</v>
      </c>
      <c r="C139" s="23">
        <f t="shared" si="77"/>
        <v>6.3332627538675371E-2</v>
      </c>
      <c r="D139" s="23">
        <f t="shared" si="77"/>
        <v>2.9695466978879217E-2</v>
      </c>
      <c r="E139" s="23">
        <f t="shared" si="77"/>
        <v>2.7606973368376461E-2</v>
      </c>
      <c r="F139" s="23">
        <f t="shared" si="77"/>
        <v>2.2770707108142135E-2</v>
      </c>
      <c r="G139" s="23">
        <f t="shared" si="77"/>
        <v>2.8559301858083599E-2</v>
      </c>
      <c r="H139" s="23">
        <f t="shared" si="77"/>
        <v>3.0637675674768883E-2</v>
      </c>
      <c r="I139" s="23">
        <f t="shared" si="77"/>
        <v>3.6290760847867851E-2</v>
      </c>
      <c r="J139" s="23">
        <f t="shared" si="77"/>
        <v>3.1207006246922464E-2</v>
      </c>
      <c r="K139" s="23">
        <f t="shared" si="77"/>
        <v>4.0723217819921095E-2</v>
      </c>
      <c r="L139" s="23">
        <f t="shared" si="77"/>
        <v>4.4154939492052847E-2</v>
      </c>
      <c r="M139" s="23">
        <f t="shared" si="77"/>
        <v>3.7169155425694864E-2</v>
      </c>
      <c r="N139" s="23">
        <f t="shared" si="77"/>
        <v>3.1648697845552187E-2</v>
      </c>
      <c r="O139" s="23">
        <f t="shared" si="77"/>
        <v>3.2321759255213828E-2</v>
      </c>
      <c r="P139" s="23">
        <f t="shared" si="77"/>
        <v>3.246652146328477E-2</v>
      </c>
      <c r="Q139" s="23">
        <f t="shared" si="77"/>
        <v>3.1740855533904044E-2</v>
      </c>
      <c r="R139" s="23">
        <f t="shared" si="77"/>
        <v>3.3174091753540774E-2</v>
      </c>
      <c r="S139" s="23">
        <f t="shared" si="77"/>
        <v>3.3908252881569539E-2</v>
      </c>
      <c r="T139" s="23">
        <f t="shared" si="77"/>
        <v>3.1154196650347216E-2</v>
      </c>
      <c r="U139" s="23">
        <f t="shared" si="77"/>
        <v>1.8446841312189557E-2</v>
      </c>
      <c r="V139" s="23">
        <f t="shared" si="77"/>
        <v>2.5098590789769157E-2</v>
      </c>
      <c r="W139" s="23">
        <f t="shared" si="77"/>
        <v>2.7419134596148254E-2</v>
      </c>
      <c r="X139" s="23">
        <f t="shared" si="77"/>
        <v>2.794481743431404E-2</v>
      </c>
      <c r="Y139" s="23">
        <f t="shared" si="77"/>
        <v>2.6090240788630023E-2</v>
      </c>
      <c r="Z139" s="23">
        <f t="shared" si="77"/>
        <v>2.4557777221684104E-2</v>
      </c>
      <c r="AA139" s="23">
        <f t="shared" si="77"/>
        <v>2.1618091384078136E-2</v>
      </c>
      <c r="AB139" s="23">
        <f t="shared" si="77"/>
        <v>2.2286382083342271E-2</v>
      </c>
      <c r="AC139" s="23">
        <f t="shared" si="77"/>
        <v>2.4256011764704058E-2</v>
      </c>
      <c r="AD139" s="23">
        <f t="shared" si="77"/>
        <v>2.5811155658194765E-2</v>
      </c>
      <c r="AE139" s="23">
        <f t="shared" si="77"/>
        <v>2.5758065699214447E-2</v>
      </c>
      <c r="AF139" s="23">
        <f t="shared" si="77"/>
        <v>2.1448011394297806E-2</v>
      </c>
      <c r="AG139" s="23">
        <f t="shared" si="77"/>
        <v>2.7280855486083375E-2</v>
      </c>
      <c r="AH139" s="23">
        <f t="shared" ref="AH139:BI139" si="78">+$B$7*AH68/AH74-(1-(1-0.1)^10)/10</f>
        <v>2.2456350276694292E-2</v>
      </c>
      <c r="AI139" s="23">
        <f t="shared" si="78"/>
        <v>0.32905609178868306</v>
      </c>
      <c r="AJ139" s="23">
        <f t="shared" si="78"/>
        <v>0.1121750791133747</v>
      </c>
      <c r="AK139" s="23">
        <f t="shared" si="78"/>
        <v>6.25486687385267E-2</v>
      </c>
      <c r="AL139" s="23">
        <f t="shared" si="78"/>
        <v>4.4349707092344426E-2</v>
      </c>
      <c r="AM139" s="23">
        <f t="shared" si="78"/>
        <v>3.6219912324337675E-2</v>
      </c>
      <c r="AN139" s="23">
        <f t="shared" si="78"/>
        <v>3.2230187675726968E-2</v>
      </c>
      <c r="AO139" s="23">
        <f t="shared" si="78"/>
        <v>3.0170077098797016E-2</v>
      </c>
      <c r="AP139" s="23">
        <f t="shared" si="78"/>
        <v>2.9070872448877849E-2</v>
      </c>
      <c r="AQ139" s="23">
        <f t="shared" si="78"/>
        <v>2.8467987286550811E-2</v>
      </c>
      <c r="AR139" s="23">
        <f t="shared" si="78"/>
        <v>2.8127146512715667E-2</v>
      </c>
      <c r="AS139" s="23">
        <f t="shared" si="78"/>
        <v>2.7926856677585266E-2</v>
      </c>
      <c r="AT139" s="23">
        <f t="shared" si="78"/>
        <v>2.7803086239152605E-2</v>
      </c>
      <c r="AU139" s="23">
        <f t="shared" si="78"/>
        <v>2.7721740466732217E-2</v>
      </c>
      <c r="AV139" s="23">
        <f t="shared" si="78"/>
        <v>2.7664519251412084E-2</v>
      </c>
      <c r="AW139" s="23">
        <f t="shared" si="78"/>
        <v>2.7621518132899203E-2</v>
      </c>
      <c r="AX139" s="23">
        <f t="shared" si="78"/>
        <v>2.7587317698632929E-2</v>
      </c>
      <c r="AY139" s="23">
        <f t="shared" si="78"/>
        <v>2.7558904626979533E-2</v>
      </c>
      <c r="AZ139" s="23">
        <f t="shared" si="78"/>
        <v>2.7534562524703793E-2</v>
      </c>
      <c r="BA139" s="23">
        <f t="shared" si="78"/>
        <v>2.7513278665450919E-2</v>
      </c>
      <c r="BB139" s="23">
        <f t="shared" si="78"/>
        <v>2.7494425933374325E-2</v>
      </c>
      <c r="BC139" s="23">
        <f t="shared" si="78"/>
        <v>2.7477591835412429E-2</v>
      </c>
      <c r="BD139" s="23">
        <f t="shared" si="78"/>
        <v>2.7462486213628207E-2</v>
      </c>
      <c r="BE139" s="23">
        <f t="shared" si="78"/>
        <v>2.7473367227612455E-2</v>
      </c>
      <c r="BF139" s="23">
        <f t="shared" si="78"/>
        <v>2.7460658201645449E-2</v>
      </c>
      <c r="BG139" s="23">
        <f t="shared" si="78"/>
        <v>2.7442799447989122E-2</v>
      </c>
      <c r="BH139" s="23">
        <f t="shared" si="78"/>
        <v>2.7426025022916939E-2</v>
      </c>
      <c r="BI139" s="23">
        <f t="shared" si="78"/>
        <v>2.7411879556556717E-2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79">+B140/(1+C131)^10</f>
        <v>0.98132873039249013</v>
      </c>
      <c r="D140" s="23">
        <f t="shared" si="79"/>
        <v>0.98967605316485419</v>
      </c>
      <c r="E140" s="23">
        <f t="shared" si="79"/>
        <v>0.9847380401274588</v>
      </c>
      <c r="F140" s="23">
        <f t="shared" si="79"/>
        <v>0.94749486205660383</v>
      </c>
      <c r="G140" s="23">
        <f t="shared" si="79"/>
        <v>0.8479624869927419</v>
      </c>
      <c r="H140" s="23">
        <f t="shared" si="79"/>
        <v>0.72752025987174229</v>
      </c>
      <c r="I140" s="23">
        <f t="shared" si="79"/>
        <v>0.63226463394500221</v>
      </c>
      <c r="J140" s="23">
        <f t="shared" si="79"/>
        <v>0.53448870077637478</v>
      </c>
      <c r="K140" s="23">
        <f t="shared" si="79"/>
        <v>0.41057483019856478</v>
      </c>
      <c r="L140" s="23">
        <f t="shared" si="79"/>
        <v>0.32286388280818706</v>
      </c>
      <c r="M140" s="23">
        <f t="shared" si="79"/>
        <v>0.26287284619818885</v>
      </c>
      <c r="N140" s="23">
        <f t="shared" si="79"/>
        <v>0.20882976702360345</v>
      </c>
      <c r="O140" s="23">
        <f t="shared" si="79"/>
        <v>0.16301094254796888</v>
      </c>
      <c r="P140" s="23">
        <f t="shared" si="79"/>
        <v>0.12806019087425372</v>
      </c>
      <c r="Q140" s="23">
        <f t="shared" si="79"/>
        <v>9.9929878872163022E-2</v>
      </c>
      <c r="R140" s="23">
        <f t="shared" si="79"/>
        <v>7.6859124409373036E-2</v>
      </c>
      <c r="S140" s="23">
        <f t="shared" si="79"/>
        <v>6.0335138736318419E-2</v>
      </c>
      <c r="T140" s="23">
        <f t="shared" si="79"/>
        <v>5.3403392875572414E-2</v>
      </c>
      <c r="U140" s="23">
        <f t="shared" si="79"/>
        <v>4.7497682382760947E-2</v>
      </c>
      <c r="V140" s="23">
        <f t="shared" si="79"/>
        <v>3.8527984912765198E-2</v>
      </c>
      <c r="W140" s="23">
        <f t="shared" si="79"/>
        <v>3.1343334856849918E-2</v>
      </c>
      <c r="X140" s="23">
        <f t="shared" si="79"/>
        <v>2.5971586171746247E-2</v>
      </c>
      <c r="Y140" s="23">
        <f t="shared" si="79"/>
        <v>2.2036721331558123E-2</v>
      </c>
      <c r="Z140" s="23">
        <f t="shared" si="79"/>
        <v>1.9225613474676252E-2</v>
      </c>
      <c r="AA140" s="23">
        <f t="shared" si="79"/>
        <v>1.6875912283918167E-2</v>
      </c>
      <c r="AB140" s="23">
        <f t="shared" si="79"/>
        <v>1.439392697289903E-2</v>
      </c>
      <c r="AC140" s="23">
        <f t="shared" si="79"/>
        <v>1.201639364687492E-2</v>
      </c>
      <c r="AD140" s="23">
        <f t="shared" si="79"/>
        <v>1.0009384561194712E-2</v>
      </c>
      <c r="AE140" s="23">
        <f t="shared" si="79"/>
        <v>8.6762984069549669E-3</v>
      </c>
      <c r="AF140" s="23">
        <f t="shared" si="79"/>
        <v>7.326236761299074E-3</v>
      </c>
      <c r="AG140" s="23">
        <f t="shared" si="79"/>
        <v>6.1550526142975116E-3</v>
      </c>
      <c r="AH140" s="23">
        <f t="shared" si="79"/>
        <v>1.8776775060737557E-3</v>
      </c>
      <c r="AI140" s="23">
        <f t="shared" ref="AI140:BG140" si="80">+AH140/(1+AI131)^10</f>
        <v>4.3855981565340738E-4</v>
      </c>
      <c r="AJ140" s="23">
        <f t="shared" si="80"/>
        <v>2.5100028597662219E-4</v>
      </c>
      <c r="AK140" s="23">
        <f t="shared" si="80"/>
        <v>1.757056448848302E-4</v>
      </c>
      <c r="AL140" s="23">
        <f t="shared" si="80"/>
        <v>1.3311096939512348E-4</v>
      </c>
      <c r="AM140" s="23">
        <f t="shared" si="80"/>
        <v>1.0457113363889444E-4</v>
      </c>
      <c r="AN140" s="23">
        <f t="shared" si="80"/>
        <v>8.3657248139048712E-5</v>
      </c>
      <c r="AO140" s="23">
        <f t="shared" si="80"/>
        <v>6.7570309136084941E-5</v>
      </c>
      <c r="AP140" s="23">
        <f t="shared" si="80"/>
        <v>5.486417668561172E-5</v>
      </c>
      <c r="AQ140" s="23">
        <f t="shared" si="80"/>
        <v>4.4680889604395593E-5</v>
      </c>
      <c r="AR140" s="23">
        <f t="shared" si="80"/>
        <v>3.6452803362986692E-5</v>
      </c>
      <c r="AS140" s="23">
        <f t="shared" si="80"/>
        <v>2.9773551634636883E-5</v>
      </c>
      <c r="AT140" s="23">
        <f t="shared" si="80"/>
        <v>2.433669427399089E-5</v>
      </c>
      <c r="AU140" s="23">
        <f t="shared" si="80"/>
        <v>1.9903619982985742E-5</v>
      </c>
      <c r="AV140" s="23">
        <f t="shared" si="80"/>
        <v>1.6284974844604669E-5</v>
      </c>
      <c r="AW140" s="23">
        <f t="shared" si="80"/>
        <v>1.3328823094385987E-5</v>
      </c>
      <c r="AX140" s="23">
        <f t="shared" si="80"/>
        <v>1.0912459904850122E-5</v>
      </c>
      <c r="AY140" s="23">
        <f t="shared" si="80"/>
        <v>8.9364007197890742E-6</v>
      </c>
      <c r="AZ140" s="23">
        <f t="shared" si="80"/>
        <v>7.3197898297686968E-6</v>
      </c>
      <c r="BA140" s="23">
        <f t="shared" si="80"/>
        <v>5.9968054324506157E-6</v>
      </c>
      <c r="BB140" s="23">
        <f t="shared" si="80"/>
        <v>4.9138027556694087E-6</v>
      </c>
      <c r="BC140" s="23">
        <f t="shared" si="80"/>
        <v>4.0270233910471878E-6</v>
      </c>
      <c r="BD140" s="23">
        <f t="shared" si="80"/>
        <v>3.3001071593514194E-6</v>
      </c>
      <c r="BE140" s="23">
        <f t="shared" si="80"/>
        <v>2.7044149468518544E-6</v>
      </c>
      <c r="BF140" s="23">
        <f t="shared" si="80"/>
        <v>2.2167764735164163E-6</v>
      </c>
      <c r="BG140" s="23">
        <f t="shared" si="80"/>
        <v>1.8174162539767062E-6</v>
      </c>
      <c r="BH140" s="23">
        <f>+BG140</f>
        <v>1.8174162539767062E-6</v>
      </c>
      <c r="BI140" s="23">
        <f>+BH140</f>
        <v>1.8174162539767062E-6</v>
      </c>
    </row>
    <row r="141" spans="1:61" ht="18" customHeight="1" x14ac:dyDescent="0.2">
      <c r="A141" s="23" t="s">
        <v>208</v>
      </c>
      <c r="B141" s="23">
        <f t="shared" ref="B141:K141" si="81">+B139-C131</f>
        <v>0.27493740138884076</v>
      </c>
      <c r="C141" s="23">
        <f t="shared" si="81"/>
        <v>6.4179285909298597E-2</v>
      </c>
      <c r="D141" s="23">
        <f t="shared" si="81"/>
        <v>2.9195140470981155E-2</v>
      </c>
      <c r="E141" s="23">
        <f t="shared" si="81"/>
        <v>2.374411746021772E-2</v>
      </c>
      <c r="F141" s="23">
        <f t="shared" si="81"/>
        <v>1.161037849388623E-2</v>
      </c>
      <c r="G141" s="23">
        <f t="shared" si="81"/>
        <v>1.3121902445347194E-2</v>
      </c>
      <c r="H141" s="23">
        <f t="shared" si="81"/>
        <v>1.6505363924270246E-2</v>
      </c>
      <c r="I141" s="23">
        <f t="shared" si="81"/>
        <v>1.9349107515313633E-2</v>
      </c>
      <c r="J141" s="23">
        <f t="shared" si="81"/>
        <v>4.4808625838825902E-3</v>
      </c>
      <c r="K141" s="23">
        <f t="shared" si="81"/>
        <v>1.6399365784344429E-2</v>
      </c>
    </row>
    <row r="142" spans="1:61" ht="18" customHeight="1" x14ac:dyDescent="0.2">
      <c r="A142" s="23" t="s">
        <v>13</v>
      </c>
      <c r="B142" s="23"/>
      <c r="C142" s="23">
        <f>+EXP(C128-0.1)</f>
        <v>1.0289422445554881</v>
      </c>
      <c r="D142" s="23">
        <f>+EXP(D128-0.1)</f>
        <v>0.99486719972249515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182.10922053239051</v>
      </c>
    </row>
    <row r="145" spans="1:74" ht="18" customHeight="1" x14ac:dyDescent="0.2">
      <c r="A145" s="23" t="s">
        <v>150</v>
      </c>
      <c r="B145" s="23">
        <f>+SUMPRODUCT(B140:AE140*B84:AE84)*10</f>
        <v>187.80048336794044</v>
      </c>
    </row>
    <row r="146" spans="1:74" ht="18" customHeight="1" x14ac:dyDescent="0.2">
      <c r="A146" s="23" t="s">
        <v>151</v>
      </c>
      <c r="B146" s="23">
        <f>+SUMPRODUCT(B140:BI140*B84:BI84)*10</f>
        <v>188.66583703366086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82">+B148/(1+B79)^10</f>
        <v>0.87753884154743866</v>
      </c>
      <c r="D148" s="23">
        <f t="shared" si="82"/>
        <v>0.89214737741978523</v>
      </c>
      <c r="E148" s="23">
        <f t="shared" si="82"/>
        <v>0.81285813706719223</v>
      </c>
      <c r="F148" s="23">
        <f t="shared" si="82"/>
        <v>0.79662742242439755</v>
      </c>
      <c r="G148" s="23">
        <f t="shared" si="82"/>
        <v>0.68144003440565148</v>
      </c>
      <c r="H148" s="23">
        <f t="shared" si="82"/>
        <v>0.57874815984103589</v>
      </c>
      <c r="I148" s="23">
        <f t="shared" si="82"/>
        <v>0.45501379474526521</v>
      </c>
      <c r="J148" s="23">
        <f t="shared" si="82"/>
        <v>0.39666363678379624</v>
      </c>
      <c r="K148" s="23">
        <f t="shared" si="82"/>
        <v>0.29481915609241272</v>
      </c>
      <c r="L148" s="23">
        <f t="shared" si="82"/>
        <v>0.21748066149668935</v>
      </c>
      <c r="M148" s="23">
        <f t="shared" si="82"/>
        <v>0.1796090609709278</v>
      </c>
      <c r="N148" s="23">
        <f t="shared" si="82"/>
        <v>0.14639504507810766</v>
      </c>
      <c r="O148" s="23">
        <f t="shared" si="82"/>
        <v>0.11497525221004432</v>
      </c>
      <c r="P148" s="23">
        <f t="shared" si="82"/>
        <v>9.0404331523937523E-2</v>
      </c>
      <c r="Q148" s="23">
        <f t="shared" si="82"/>
        <v>7.1936710352896935E-2</v>
      </c>
      <c r="R148" s="23">
        <f t="shared" si="82"/>
        <v>5.5790292631485897E-2</v>
      </c>
      <c r="S148" s="23">
        <f t="shared" si="82"/>
        <v>4.309559557434791E-2</v>
      </c>
      <c r="T148" s="23">
        <f t="shared" si="82"/>
        <v>3.485331223658026E-2</v>
      </c>
      <c r="U148" s="23">
        <f t="shared" si="82"/>
        <v>3.4378066386976505E-2</v>
      </c>
      <c r="V148" s="23">
        <f t="shared" si="82"/>
        <v>2.8032643561536581E-2</v>
      </c>
      <c r="W148" s="23">
        <f t="shared" si="82"/>
        <v>2.2856331153042364E-2</v>
      </c>
      <c r="X148" s="23">
        <f t="shared" si="82"/>
        <v>1.871901676935081E-2</v>
      </c>
      <c r="Y148" s="23">
        <f t="shared" si="82"/>
        <v>1.5845729693393189E-2</v>
      </c>
      <c r="Z148" s="23">
        <f t="shared" si="82"/>
        <v>1.3618997328508879E-2</v>
      </c>
      <c r="AA148" s="23">
        <f t="shared" si="82"/>
        <v>1.2198600304370935E-2</v>
      </c>
      <c r="AB148" s="23">
        <f t="shared" si="82"/>
        <v>1.0615044747469535E-2</v>
      </c>
      <c r="AC148" s="23">
        <f t="shared" si="82"/>
        <v>8.9695974938351838E-3</v>
      </c>
      <c r="AD148" s="23">
        <f t="shared" si="82"/>
        <v>7.4719040082052686E-3</v>
      </c>
      <c r="AE148" s="23">
        <f t="shared" si="82"/>
        <v>6.2852695595773328E-3</v>
      </c>
      <c r="AF148" s="23">
        <f t="shared" si="82"/>
        <v>5.6616598575951506E-3</v>
      </c>
      <c r="AG148" s="23">
        <f t="shared" si="82"/>
        <v>4.4908551108820182E-3</v>
      </c>
      <c r="AH148" s="23">
        <f t="shared" si="82"/>
        <v>3.9928914746637052E-3</v>
      </c>
      <c r="AI148" s="23">
        <f t="shared" ref="AI148:BI148" si="83">+AH148/(1+AH79)^10</f>
        <v>3.6171252273936323E-4</v>
      </c>
      <c r="AJ148" s="23">
        <f t="shared" si="83"/>
        <v>1.7482324391462038E-4</v>
      </c>
      <c r="AK148" s="23">
        <f t="shared" si="83"/>
        <v>1.1503825209138732E-4</v>
      </c>
      <c r="AL148" s="23">
        <f t="shared" si="83"/>
        <v>8.4761650614360032E-5</v>
      </c>
      <c r="AM148" s="23">
        <f t="shared" si="83"/>
        <v>6.5657968859065307E-5</v>
      </c>
      <c r="AN148" s="23">
        <f t="shared" si="83"/>
        <v>5.2121072290307012E-5</v>
      </c>
      <c r="AO148" s="23">
        <f t="shared" si="83"/>
        <v>4.1904424503097805E-5</v>
      </c>
      <c r="AP148" s="23">
        <f t="shared" si="83"/>
        <v>3.3922715863736085E-5</v>
      </c>
      <c r="AQ148" s="23">
        <f t="shared" si="83"/>
        <v>2.7567389746555995E-5</v>
      </c>
      <c r="AR148" s="23">
        <f t="shared" si="83"/>
        <v>2.2453325879598717E-5</v>
      </c>
      <c r="AS148" s="23">
        <f t="shared" si="83"/>
        <v>1.8313448185071367E-5</v>
      </c>
      <c r="AT148" s="23">
        <f t="shared" si="83"/>
        <v>1.4950525369461557E-5</v>
      </c>
      <c r="AU148" s="23">
        <f t="shared" si="83"/>
        <v>1.2212986591832239E-5</v>
      </c>
      <c r="AV148" s="23">
        <f t="shared" si="83"/>
        <v>9.9815282413431249E-6</v>
      </c>
      <c r="AW148" s="23">
        <f t="shared" si="83"/>
        <v>8.1609182354255411E-6</v>
      </c>
      <c r="AX148" s="23">
        <f t="shared" si="83"/>
        <v>6.6745137317021862E-6</v>
      </c>
      <c r="AY148" s="23">
        <f t="shared" si="83"/>
        <v>5.460331493624369E-6</v>
      </c>
      <c r="AZ148" s="23">
        <f t="shared" si="83"/>
        <v>4.4680935064045552E-6</v>
      </c>
      <c r="BA148" s="23">
        <f t="shared" si="83"/>
        <v>3.6569372591985685E-6</v>
      </c>
      <c r="BB148" s="23">
        <f t="shared" si="83"/>
        <v>2.9936080175901289E-6</v>
      </c>
      <c r="BC148" s="23">
        <f t="shared" si="83"/>
        <v>2.4510157060976459E-6</v>
      </c>
      <c r="BD148" s="23">
        <f t="shared" si="83"/>
        <v>2.0070750994844484E-6</v>
      </c>
      <c r="BE148" s="23">
        <f t="shared" si="83"/>
        <v>1.643118147371161E-6</v>
      </c>
      <c r="BF148" s="23">
        <f t="shared" si="83"/>
        <v>1.3455169324355442E-6</v>
      </c>
      <c r="BG148" s="23">
        <f t="shared" si="83"/>
        <v>1.1020595683233509E-6</v>
      </c>
      <c r="BH148" s="23">
        <f t="shared" si="83"/>
        <v>9.0281064277052355E-7</v>
      </c>
      <c r="BI148" s="23">
        <f t="shared" si="83"/>
        <v>7.7792234732540312E-7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151.64236702957885</v>
      </c>
    </row>
    <row r="152" spans="1:74" ht="18" customHeight="1" x14ac:dyDescent="0.2">
      <c r="A152" s="23" t="s">
        <v>150</v>
      </c>
      <c r="B152" s="23">
        <f>+SUMPRODUCT(B148:AE148*B84:AE84)*10</f>
        <v>155.77648708130062</v>
      </c>
    </row>
    <row r="153" spans="1:74" ht="18" customHeight="1" x14ac:dyDescent="0.2">
      <c r="A153" s="23" t="s">
        <v>151</v>
      </c>
      <c r="B153" s="23">
        <f>+SUMPRODUCT(B148:BI148*B84:BI84)*10</f>
        <v>156.4745446346798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1.8960303073577804E-3</v>
      </c>
      <c r="C155" s="29">
        <f t="shared" ref="C155:BI155" si="84">+C63*C61</f>
        <v>1.5626822792145494E-3</v>
      </c>
      <c r="D155" s="29">
        <f t="shared" si="84"/>
        <v>7.1688107865455991E-4</v>
      </c>
      <c r="E155" s="29">
        <f t="shared" si="84"/>
        <v>6.8270858904566811E-4</v>
      </c>
      <c r="F155" s="29">
        <f t="shared" si="84"/>
        <v>8.0283904760871533E-4</v>
      </c>
      <c r="G155" s="29">
        <f t="shared" si="84"/>
        <v>1.1518287425312862E-3</v>
      </c>
      <c r="H155" s="29">
        <f t="shared" si="84"/>
        <v>7.9511668712667219E-4</v>
      </c>
      <c r="I155" s="29">
        <f t="shared" si="84"/>
        <v>1.1912472418725106E-3</v>
      </c>
      <c r="J155" s="29">
        <f t="shared" si="84"/>
        <v>1.6004793753143366E-3</v>
      </c>
      <c r="K155" s="29">
        <f t="shared" si="84"/>
        <v>9.5820405679719113E-4</v>
      </c>
      <c r="L155" s="29">
        <f t="shared" si="84"/>
        <v>1.0890267934232506E-3</v>
      </c>
      <c r="M155" s="29">
        <f t="shared" si="84"/>
        <v>1.6759403891740952E-3</v>
      </c>
      <c r="N155" s="29">
        <f t="shared" si="84"/>
        <v>2.2176949154594358E-3</v>
      </c>
      <c r="O155" s="29">
        <f t="shared" si="84"/>
        <v>2.3316753056464869E-3</v>
      </c>
      <c r="P155" s="29">
        <f t="shared" si="84"/>
        <v>2.0312248034700868E-3</v>
      </c>
      <c r="Q155" s="29">
        <f t="shared" si="84"/>
        <v>2.9724901144678783E-3</v>
      </c>
      <c r="R155" s="29">
        <f t="shared" si="84"/>
        <v>3.023856969348968E-3</v>
      </c>
      <c r="S155" s="29">
        <f t="shared" si="84"/>
        <v>3.4313098267585895E-3</v>
      </c>
      <c r="T155" s="29">
        <f t="shared" si="84"/>
        <v>2.7647614371984204E-3</v>
      </c>
      <c r="U155" s="29">
        <f t="shared" si="84"/>
        <v>3.2731995312059669E-3</v>
      </c>
      <c r="V155" s="29">
        <f t="shared" si="84"/>
        <v>3.9522279937992538E-3</v>
      </c>
      <c r="W155" s="29">
        <f t="shared" si="84"/>
        <v>3.2862916452313365E-3</v>
      </c>
      <c r="X155" s="29">
        <f t="shared" si="84"/>
        <v>3.7350851674665042E-3</v>
      </c>
      <c r="Y155" s="29">
        <f t="shared" si="84"/>
        <v>4.0541985740759944E-3</v>
      </c>
      <c r="Z155" s="29">
        <f t="shared" si="84"/>
        <v>4.6086436457236585E-3</v>
      </c>
      <c r="AA155" s="29">
        <f t="shared" si="84"/>
        <v>6.025011024506477E-3</v>
      </c>
      <c r="AB155" s="29">
        <f t="shared" si="84"/>
        <v>7.2062609765329196E-3</v>
      </c>
      <c r="AC155" s="29">
        <f t="shared" si="84"/>
        <v>6.3765194698375133E-3</v>
      </c>
      <c r="AD155" s="29">
        <f t="shared" si="84"/>
        <v>5.8402677320751857E-3</v>
      </c>
      <c r="AE155" s="29">
        <f t="shared" si="84"/>
        <v>7.3999361331376565E-3</v>
      </c>
      <c r="AF155" s="29">
        <f t="shared" si="84"/>
        <v>7.5578857248947409E-3</v>
      </c>
      <c r="AG155" s="29">
        <f t="shared" si="84"/>
        <v>6.1779841349710518E-3</v>
      </c>
      <c r="AH155" s="29">
        <f t="shared" si="84"/>
        <v>6.4885995998080316E-3</v>
      </c>
      <c r="AI155" s="29">
        <f t="shared" si="84"/>
        <v>4.4358759339018408E-2</v>
      </c>
      <c r="AJ155" s="29">
        <f t="shared" si="84"/>
        <v>2.7005065805745182E-3</v>
      </c>
      <c r="AK155" s="29">
        <f t="shared" si="84"/>
        <v>3.55847037741399E-3</v>
      </c>
      <c r="AL155" s="29">
        <f t="shared" si="84"/>
        <v>4.1346177104617373E-3</v>
      </c>
      <c r="AM155" s="29">
        <f t="shared" si="84"/>
        <v>4.561466734460784E-3</v>
      </c>
      <c r="AN155" s="29">
        <f t="shared" si="84"/>
        <v>4.911634782811509E-3</v>
      </c>
      <c r="AO155" s="29">
        <f t="shared" si="84"/>
        <v>5.224634934599454E-3</v>
      </c>
      <c r="AP155" s="29">
        <f t="shared" si="84"/>
        <v>5.5224714483023581E-3</v>
      </c>
      <c r="AQ155" s="29">
        <f t="shared" si="84"/>
        <v>5.8176839260867235E-3</v>
      </c>
      <c r="AR155" s="29">
        <f t="shared" si="84"/>
        <v>6.1176206557519881E-3</v>
      </c>
      <c r="AS155" s="29">
        <f t="shared" si="84"/>
        <v>6.4267643680834922E-3</v>
      </c>
      <c r="AT155" s="29">
        <f t="shared" si="84"/>
        <v>6.748016695011543E-3</v>
      </c>
      <c r="AU155" s="29">
        <f t="shared" si="84"/>
        <v>7.0834136835967888E-3</v>
      </c>
      <c r="AV155" s="29">
        <f t="shared" si="84"/>
        <v>7.4345266123674279E-3</v>
      </c>
      <c r="AW155" s="29">
        <f t="shared" si="84"/>
        <v>7.8026875833725568E-3</v>
      </c>
      <c r="AX155" s="29">
        <f t="shared" si="84"/>
        <v>8.1891172192235101E-3</v>
      </c>
      <c r="AY155" s="29">
        <f t="shared" si="84"/>
        <v>8.5949975893393812E-3</v>
      </c>
      <c r="AZ155" s="29">
        <f t="shared" si="84"/>
        <v>9.0215144907696346E-3</v>
      </c>
      <c r="BA155" s="29">
        <f t="shared" si="84"/>
        <v>9.4698826042023242E-3</v>
      </c>
      <c r="BB155" s="29">
        <f t="shared" si="84"/>
        <v>9.9413611108328387E-3</v>
      </c>
      <c r="BC155" s="29">
        <f t="shared" si="84"/>
        <v>1.0437264029699255E-2</v>
      </c>
      <c r="BD155" s="29">
        <f t="shared" si="84"/>
        <v>1.0958967669774477E-2</v>
      </c>
      <c r="BE155" s="29">
        <f t="shared" si="84"/>
        <v>1.1507916544672904E-2</v>
      </c>
      <c r="BF155" s="29">
        <f t="shared" si="84"/>
        <v>1.2086263935573313E-2</v>
      </c>
      <c r="BG155" s="29">
        <f t="shared" si="84"/>
        <v>1.269518900136685E-2</v>
      </c>
      <c r="BH155" s="29">
        <f t="shared" si="84"/>
        <v>1.3336038797421439E-2</v>
      </c>
      <c r="BI155" s="29">
        <f t="shared" si="84"/>
        <v>1.4010508998489653E-2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CC41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11.6640625" defaultRowHeight="18" customHeight="1" x14ac:dyDescent="0.2"/>
  <cols>
    <col min="1" max="1" width="50.1640625" style="21" customWidth="1"/>
    <col min="2" max="2" width="14.5" style="29" customWidth="1"/>
    <col min="3" max="3" width="14.5" style="23" customWidth="1"/>
    <col min="4" max="16384" width="11.6640625" style="23"/>
  </cols>
  <sheetData>
    <row r="1" spans="1:61" ht="18" customHeight="1" x14ac:dyDescent="0.2">
      <c r="A1" s="21" t="s">
        <v>53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+Parameters!J35</f>
        <v>0.3</v>
      </c>
    </row>
    <row r="8" spans="1:61" ht="18" customHeight="1" x14ac:dyDescent="0.2">
      <c r="A8" s="21" t="s">
        <v>108</v>
      </c>
      <c r="B8" s="31">
        <f>+Parameters!J36</f>
        <v>0.1</v>
      </c>
    </row>
    <row r="9" spans="1:61" ht="18" customHeight="1" x14ac:dyDescent="0.2">
      <c r="A9" s="23" t="s">
        <v>49</v>
      </c>
      <c r="B9" s="29">
        <f>Parameters!J37</f>
        <v>0.80733505428693619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 x14ac:dyDescent="0.2">
      <c r="A11" s="23" t="s">
        <v>38</v>
      </c>
      <c r="B11" s="29">
        <f>+Parameters!J39</f>
        <v>1.3624722059165122</v>
      </c>
    </row>
    <row r="12" spans="1:61" ht="18" customHeight="1" x14ac:dyDescent="0.2">
      <c r="A12" s="23" t="s">
        <v>162</v>
      </c>
      <c r="B12" s="29">
        <f>+Parameters!J40</f>
        <v>2.7019694302576234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+Parameters!J43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+Parameters!J45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 x14ac:dyDescent="0.2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 x14ac:dyDescent="0.2">
      <c r="A21" s="21" t="s">
        <v>190</v>
      </c>
      <c r="B21" s="29">
        <f>+Parameters!J40</f>
        <v>2.7019694302576234</v>
      </c>
    </row>
    <row r="22" spans="1:103" ht="18" customHeight="1" x14ac:dyDescent="0.2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+Parameters!J51</f>
        <v>0</v>
      </c>
    </row>
    <row r="25" spans="1:103" ht="18" customHeight="1" x14ac:dyDescent="0.2">
      <c r="A25" s="21" t="s">
        <v>182</v>
      </c>
      <c r="B25" s="29">
        <f>+Parameters!J52</f>
        <v>0.13047243886221116</v>
      </c>
    </row>
    <row r="26" spans="1:103" ht="18" customHeight="1" x14ac:dyDescent="0.2">
      <c r="A26" s="21" t="s">
        <v>47</v>
      </c>
      <c r="B26" s="29">
        <f>+Parameters!J53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+Parameters!J54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+Parameters!J55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1.8646321696417856E-3</v>
      </c>
      <c r="AB31" s="23">
        <f t="shared" si="7"/>
        <v>1.7268098211103311E-3</v>
      </c>
      <c r="AC31" s="23">
        <f t="shared" si="7"/>
        <v>1.6025240647047885E-3</v>
      </c>
      <c r="AD31" s="23">
        <f t="shared" si="7"/>
        <v>1.4900854644271768E-3</v>
      </c>
      <c r="AE31" s="23">
        <f t="shared" si="7"/>
        <v>1.3880616220207237E-3</v>
      </c>
      <c r="AF31" s="23">
        <f t="shared" si="7"/>
        <v>1.2952317542807522E-3</v>
      </c>
      <c r="AG31" s="23">
        <f t="shared" si="7"/>
        <v>1.2105502413637223E-3</v>
      </c>
      <c r="AH31" s="23">
        <f t="shared" si="7"/>
        <v>1.1331172099931276E-3</v>
      </c>
      <c r="AI31" s="23">
        <f t="shared" si="7"/>
        <v>1.0621546664800112E-3</v>
      </c>
      <c r="AJ31" s="23">
        <f t="shared" si="7"/>
        <v>9.9698703303035185E-4</v>
      </c>
      <c r="AK31" s="23">
        <f t="shared" si="7"/>
        <v>9.3702519670381824E-4</v>
      </c>
      <c r="AL31" s="23">
        <f t="shared" si="7"/>
        <v>8.8175337508319496E-4</v>
      </c>
      <c r="AM31" s="23">
        <f t="shared" si="7"/>
        <v>8.3071825178680997E-4</v>
      </c>
      <c r="AN31" s="23">
        <f t="shared" si="7"/>
        <v>7.8351994979151832E-4</v>
      </c>
      <c r="AO31" s="23">
        <f t="shared" si="7"/>
        <v>7.3980449950925746E-4</v>
      </c>
      <c r="AP31" s="23">
        <f t="shared" si="7"/>
        <v>6.9925752788303059E-4</v>
      </c>
      <c r="AQ31" s="23">
        <f t="shared" si="7"/>
        <v>6.6159894906673276E-4</v>
      </c>
      <c r="AR31" s="23">
        <f t="shared" si="7"/>
        <v>6.2657848000018763E-4</v>
      </c>
      <c r="AS31" s="23">
        <f t="shared" si="7"/>
        <v>5.9397183800723706E-4</v>
      </c>
      <c r="AT31" s="23">
        <f t="shared" si="7"/>
        <v>5.6357750442065011E-4</v>
      </c>
      <c r="AU31" s="23">
        <f t="shared" si="7"/>
        <v>5.3521395969215245E-4</v>
      </c>
      <c r="AV31" s="23">
        <f t="shared" si="7"/>
        <v>5.0871731264506164E-4</v>
      </c>
      <c r="AW31" s="23">
        <f t="shared" si="7"/>
        <v>4.8393926037051363E-4</v>
      </c>
      <c r="AX31" s="23">
        <f t="shared" si="7"/>
        <v>4.6074532645374813E-4</v>
      </c>
      <c r="AY31" s="23">
        <f t="shared" si="7"/>
        <v>4.3901333428797163E-4</v>
      </c>
      <c r="AZ31" s="23">
        <f t="shared" si="7"/>
        <v>4.186320796155417E-4</v>
      </c>
      <c r="BA31" s="23">
        <f t="shared" si="7"/>
        <v>3.9950017246424303E-4</v>
      </c>
      <c r="BB31" s="23">
        <f t="shared" si="7"/>
        <v>3.8152502358457387E-4</v>
      </c>
      <c r="BC31" s="23">
        <f t="shared" si="7"/>
        <v>3.6462195455183729E-4</v>
      </c>
      <c r="BD31" s="23">
        <f t="shared" si="7"/>
        <v>3.4871341404130277E-4</v>
      </c>
      <c r="BE31" s="23">
        <f t="shared" si="7"/>
        <v>1.699282380733255E-4</v>
      </c>
      <c r="BF31" s="23">
        <f t="shared" si="7"/>
        <v>8.2812144095266012E-5</v>
      </c>
      <c r="BG31" s="23">
        <f t="shared" si="7"/>
        <v>4.035997798230521E-5</v>
      </c>
      <c r="BH31" s="23">
        <f t="shared" si="7"/>
        <v>1.9671314744343034E-5</v>
      </c>
      <c r="BI31" s="23">
        <f t="shared" si="7"/>
        <v>9.5882394525640396E-6</v>
      </c>
    </row>
    <row r="32" spans="1:103" s="33" customFormat="1" ht="18" customHeight="1" x14ac:dyDescent="0.2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0.26433586555209565</v>
      </c>
      <c r="AB36" s="23">
        <f>+IF(AB4&gt;$B$37,AA36*Parameters!$B$105,$B$33*$B$32+(AA36-$B$33*$B$32)*(1-$B$34))</f>
        <v>0.25489907227449082</v>
      </c>
      <c r="AC36" s="23">
        <f>+IF(AC4&gt;$B$37,AB36*Parameters!$B$105,$B$33*$B$32+(AB36-$B$33*$B$32)*(1-$B$34))</f>
        <v>0.24593411866076628</v>
      </c>
      <c r="AD36" s="23">
        <f>+IF(AD4&gt;$B$37,AC36*Parameters!$B$105,$B$33*$B$32+(AC36-$B$33*$B$32)*(1-$B$34))</f>
        <v>0.23741741272772796</v>
      </c>
      <c r="AE36" s="23">
        <f>+IF(AE4&gt;$B$37,AD36*Parameters!$B$105,$B$33*$B$32+(AD36-$B$33*$B$32)*(1-$B$34))</f>
        <v>0.22932654209134154</v>
      </c>
      <c r="AF36" s="23">
        <f>+IF(AF4&gt;$B$37,AE36*Parameters!$B$105,$B$33*$B$32+(AE36-$B$33*$B$32)*(1-$B$34))</f>
        <v>0.22164021498677447</v>
      </c>
      <c r="AG36" s="23">
        <f>+IF(AG4&gt;$B$37,AF36*Parameters!$B$105,$B$33*$B$32+(AF36-$B$33*$B$32)*(1-$B$34))</f>
        <v>0.21433820423743574</v>
      </c>
      <c r="AH36" s="23">
        <f>+IF(AH4&gt;$B$37,AG36*Parameters!$B$105,$B$33*$B$32+(AG36-$B$33*$B$32)*(1-$B$34))</f>
        <v>0.20740129402556395</v>
      </c>
      <c r="AI36" s="23">
        <f>+IF(AI4&gt;$B$37,AH36*Parameters!$B$105,$B$33*$B$32+(AH36-$B$33*$B$32)*(1-$B$34))</f>
        <v>0.20081122932428574</v>
      </c>
      <c r="AJ36" s="23">
        <f>+IF(AJ4&gt;$B$37,AI36*Parameters!$B$105,$B$33*$B$32+(AI36-$B$33*$B$32)*(1-$B$34))</f>
        <v>0.19455066785807146</v>
      </c>
      <c r="AK36" s="23">
        <f>+IF(AK4&gt;$B$37,AJ36*Parameters!$B$105,$B$33*$B$32+(AJ36-$B$33*$B$32)*(1-$B$34))</f>
        <v>0.18860313446516788</v>
      </c>
      <c r="AL36" s="23">
        <f>+IF(AL4&gt;$B$37,AK36*Parameters!$B$105,$B$33*$B$32+(AK36-$B$33*$B$32)*(1-$B$34))</f>
        <v>0.18295297774190949</v>
      </c>
      <c r="AM36" s="23">
        <f>+IF(AM4&gt;$B$37,AL36*Parameters!$B$105,$B$33*$B$32+(AL36-$B$33*$B$32)*(1-$B$34))</f>
        <v>0.17758532885481401</v>
      </c>
      <c r="AN36" s="23">
        <f>+IF(AN4&gt;$B$37,AM36*Parameters!$B$105,$B$33*$B$32+(AM36-$B$33*$B$32)*(1-$B$34))</f>
        <v>0.17248606241207332</v>
      </c>
      <c r="AO36" s="23">
        <f>+IF(AO4&gt;$B$37,AN36*Parameters!$B$105,$B$33*$B$32+(AN36-$B$33*$B$32)*(1-$B$34))</f>
        <v>0.16764175929146963</v>
      </c>
      <c r="AP36" s="23">
        <f>+IF(AP4&gt;$B$37,AO36*Parameters!$B$105,$B$33*$B$32+(AO36-$B$33*$B$32)*(1-$B$34))</f>
        <v>0.16303967132689615</v>
      </c>
      <c r="AQ36" s="23">
        <f>+IF(AQ4&gt;$B$37,AP36*Parameters!$B$105,$B$33*$B$32+(AP36-$B$33*$B$32)*(1-$B$34))</f>
        <v>0.15866768776055135</v>
      </c>
      <c r="AR36" s="23">
        <f>+IF(AR4&gt;$B$37,AQ36*Parameters!$B$105,$B$33*$B$32+(AQ36-$B$33*$B$32)*(1-$B$34))</f>
        <v>0.15451430337252378</v>
      </c>
      <c r="AS36" s="23">
        <f>+IF(AS4&gt;$B$37,AR36*Parameters!$B$105,$B$33*$B$32+(AR36-$B$33*$B$32)*(1-$B$34))</f>
        <v>0.15056858820389757</v>
      </c>
      <c r="AT36" s="23">
        <f>+IF(AT4&gt;$B$37,AS36*Parameters!$B$105,$B$33*$B$32+(AS36-$B$33*$B$32)*(1-$B$34))</f>
        <v>0.14682015879370269</v>
      </c>
      <c r="AU36" s="23">
        <f>+IF(AU4&gt;$B$37,AT36*Parameters!$B$105,$B$33*$B$32+(AT36-$B$33*$B$32)*(1-$B$34))</f>
        <v>0.14325915085401755</v>
      </c>
      <c r="AV36" s="23">
        <f>+IF(AV4&gt;$B$37,AU36*Parameters!$B$105,$B$33*$B$32+(AU36-$B$33*$B$32)*(1-$B$34))</f>
        <v>0.13987619331131668</v>
      </c>
      <c r="AW36" s="23">
        <f>+IF(AW4&gt;$B$37,AV36*Parameters!$B$105,$B$33*$B$32+(AV36-$B$33*$B$32)*(1-$B$34))</f>
        <v>0.13666238364575084</v>
      </c>
      <c r="AX36" s="23">
        <f>+IF(AX4&gt;$B$37,AW36*Parameters!$B$105,$B$33*$B$32+(AW36-$B$33*$B$32)*(1-$B$34))</f>
        <v>0.1336092644634633</v>
      </c>
      <c r="AY36" s="23">
        <f>+IF(AY4&gt;$B$37,AX36*Parameters!$B$105,$B$33*$B$32+(AX36-$B$33*$B$32)*(1-$B$34))</f>
        <v>0.13070880124029013</v>
      </c>
      <c r="AZ36" s="23">
        <f>+IF(AZ4&gt;$B$37,AY36*Parameters!$B$105,$B$33*$B$32+(AY36-$B$33*$B$32)*(1-$B$34))</f>
        <v>0.12795336117827563</v>
      </c>
      <c r="BA36" s="23">
        <f>+IF(BA4&gt;$B$37,AZ36*Parameters!$B$105,$B$33*$B$32+(AZ36-$B$33*$B$32)*(1-$B$34))</f>
        <v>0.12533569311936185</v>
      </c>
      <c r="BB36" s="23">
        <f>+IF(BB4&gt;$B$37,BA36*Parameters!$B$105,$B$33*$B$32+(BA36-$B$33*$B$32)*(1-$B$34))</f>
        <v>0.12284890846339375</v>
      </c>
      <c r="BC36" s="23">
        <f>+IF(BC4&gt;$B$37,BB36*Parameters!$B$105,$B$33*$B$32+(BB36-$B$33*$B$32)*(1-$B$34))</f>
        <v>0.12048646304022406</v>
      </c>
      <c r="BD36" s="23">
        <f>+IF(BD4&gt;$B$37,BC36*Parameters!$B$105,$B$33*$B$32+(BC36-$B$33*$B$32)*(1-$B$34))</f>
        <v>0.11824213988821286</v>
      </c>
      <c r="BE36" s="23">
        <f>+IF(BE4&gt;$B$37,BD36*Parameters!$B$105,$B$33*$B$32+(BD36-$B$33*$B$32)*(1-$B$34))</f>
        <v>5.912106994410643E-2</v>
      </c>
      <c r="BF36" s="23">
        <f>+IF(BF4&gt;$B$37,BE36*Parameters!$B$105,$B$33*$B$32+(BE36-$B$33*$B$32)*(1-$B$34))</f>
        <v>2.9560534972053215E-2</v>
      </c>
      <c r="BG36" s="23">
        <f>+IF(BG4&gt;$B$37,BF36*Parameters!$B$105,$B$33*$B$32+(BF36-$B$33*$B$32)*(1-$B$34))</f>
        <v>1.4780267486026608E-2</v>
      </c>
      <c r="BH36" s="23">
        <f>+IF(BH4&gt;$B$37,BG36*Parameters!$B$105,$B$33*$B$32+(BG36-$B$33*$B$32)*(1-$B$34))</f>
        <v>7.3901337430133038E-3</v>
      </c>
      <c r="BI36" s="23">
        <f>+IF(BI4&gt;$B$37,BH36*Parameters!$B$105,$B$33*$B$32+(BH36-$B$33*$B$32)*(1-$B$34))</f>
        <v>3.6950668715066519E-3</v>
      </c>
    </row>
    <row r="37" spans="1:61 16384:16384" s="33" customFormat="1" ht="18" customHeight="1" x14ac:dyDescent="0.2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1.0747958763585695E-2</v>
      </c>
      <c r="AU40" s="33">
        <f t="shared" si="9"/>
        <v>1.0460756455726264E-2</v>
      </c>
      <c r="AV40" s="33">
        <f t="shared" si="9"/>
        <v>1.0183351731884246E-2</v>
      </c>
      <c r="AW40" s="33">
        <f t="shared" si="9"/>
        <v>9.9151638723782003E-3</v>
      </c>
      <c r="AX40" s="33">
        <f t="shared" si="9"/>
        <v>9.6556696068279078E-3</v>
      </c>
      <c r="AY40" s="33">
        <f t="shared" si="9"/>
        <v>9.4043960647036823E-3</v>
      </c>
      <c r="AZ40" s="33">
        <f t="shared" si="9"/>
        <v>9.1609146655424623E-3</v>
      </c>
      <c r="BA40" s="33">
        <f t="shared" si="9"/>
        <v>8.9248358154017261E-3</v>
      </c>
      <c r="BB40" s="33">
        <f t="shared" si="9"/>
        <v>8.6958042965040068E-3</v>
      </c>
      <c r="BC40" s="33">
        <f t="shared" si="9"/>
        <v>8.4734952540212408E-3</v>
      </c>
      <c r="BD40" s="33">
        <f t="shared" si="9"/>
        <v>8.2576106981719233E-3</v>
      </c>
      <c r="BE40" s="33">
        <f t="shared" si="9"/>
        <v>8.0478764517478447E-3</v>
      </c>
      <c r="BF40" s="33">
        <f t="shared" si="9"/>
        <v>7.8440394832488824E-3</v>
      </c>
      <c r="BG40" s="33">
        <f t="shared" si="9"/>
        <v>7.6458655743066387E-3</v>
      </c>
      <c r="BH40" s="33">
        <f t="shared" si="9"/>
        <v>7.4531372772831481E-3</v>
      </c>
      <c r="BI40" s="33">
        <f t="shared" si="9"/>
        <v>7.2656521250540991E-3</v>
      </c>
    </row>
    <row r="41" spans="1:61 16384:16384" ht="18" customHeight="1" x14ac:dyDescent="0.2">
      <c r="A41" s="21" t="s">
        <v>92</v>
      </c>
      <c r="B41" s="29">
        <f>+Parameters!J69</f>
        <v>0.3179179349538665</v>
      </c>
    </row>
    <row r="42" spans="1:61 16384:16384" s="45" customFormat="1" ht="18" customHeight="1" x14ac:dyDescent="0.2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 x14ac:dyDescent="0.2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 x14ac:dyDescent="0.2">
      <c r="A44" s="21" t="s">
        <v>23</v>
      </c>
      <c r="B44" s="29">
        <f>+Parameters!J70</f>
        <v>0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+Parameters!D135</f>
        <v>1.110010173036769E-4</v>
      </c>
      <c r="C48" s="219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2.6720389197527248E-3</v>
      </c>
      <c r="D50" s="44">
        <f>100*$B$49*(Global!C135*$B$48+Global!C135^2*$C$48)*(C61/$B61)^(1/$C$49)</f>
        <v>3.0257299858895128E-3</v>
      </c>
      <c r="E50" s="44">
        <f>100*$B$49*(Global!D135*$B$48+Global!D135^2*$C$48)*(D61/$B61)^(1/$C$49)</f>
        <v>3.4107546587077084E-3</v>
      </c>
      <c r="F50" s="44">
        <f>100*$B$49*(Global!E135*$B$48+Global!E135^2*$C$48)*(E61/$B61)^(1/$C$49)</f>
        <v>3.788186588584804E-3</v>
      </c>
      <c r="G50" s="44">
        <f>100*$B$49*(Global!F135*$B$48+Global!F135^2*$C$48)*(F61/$B61)^(1/$C$49)</f>
        <v>4.1456913667838116E-3</v>
      </c>
      <c r="H50" s="44">
        <f>100*$B$49*(Global!G135*$B$48+Global!G135^2*$C$48)*(G61/$B61)^(1/$C$49)</f>
        <v>4.8677904660410446E-3</v>
      </c>
      <c r="I50" s="44">
        <f>100*$B$49*(Global!H135*$B$48+Global!H135^2*$C$48)*(H61/$B61)^(1/$C$49)</f>
        <v>5.3676546088043909E-3</v>
      </c>
      <c r="J50" s="44">
        <f>100*$B$49*(Global!I135*$B$48+Global!I135^2*$C$48)*(I61/$B61)^(1/$C$49)</f>
        <v>5.9284541933534605E-3</v>
      </c>
      <c r="K50" s="44">
        <f>100*$B$49*(Global!J135*$B$48+Global!J135^2*$C$48)*(J61/$B61)^(1/$C$49)</f>
        <v>6.5610495825979059E-3</v>
      </c>
      <c r="L50" s="44">
        <f>100*$B$49*(Global!K135*$B$48+Global!K135^2*$C$48)*(K61/$B61)^(1/$C$49)</f>
        <v>7.0748358556635606E-3</v>
      </c>
      <c r="M50" s="44">
        <f>100*$B$49*(Global!L135*$B$48+Global!L135^2*$C$48)*(L61/$B61)^(1/$C$49)</f>
        <v>7.6816634352922155E-3</v>
      </c>
      <c r="N50" s="44">
        <f>100*$B$49*(Global!M135*$B$48+Global!M135^2*$C$48)*(M61/$B61)^(1/$C$49)</f>
        <v>8.2697201143240168E-3</v>
      </c>
      <c r="O50" s="44">
        <f>100*$B$49*(Global!N135*$B$48+Global!N135^2*$C$48)*(N61/$B61)^(1/$C$49)</f>
        <v>8.8986457278477718E-3</v>
      </c>
      <c r="P50" s="44">
        <f>100*$B$49*(Global!O135*$B$48+Global!O135^2*$C$48)*(O61/$B61)^(1/$C$49)</f>
        <v>9.5478815242598259E-3</v>
      </c>
      <c r="Q50" s="44">
        <f>100*$B$49*(Global!P135*$B$48+Global!P135^2*$C$48)*(P61/$B61)^(1/$C$49)</f>
        <v>1.0224713105283846E-2</v>
      </c>
      <c r="R50" s="44">
        <f>100*$B$49*(Global!Q135*$B$48+Global!Q135^2*$C$48)*(Q61/$B61)^(1/$C$49)</f>
        <v>1.0916461823924223E-2</v>
      </c>
      <c r="S50" s="44">
        <f>100*$B$49*(Global!R135*$B$48+Global!R135^2*$C$48)*(R61/$B61)^(1/$C$49)</f>
        <v>1.1666843041691608E-2</v>
      </c>
      <c r="T50" s="44">
        <f>100*$B$49*(Global!S135*$B$48+Global!S135^2*$C$48)*(S61/$B61)^(1/$C$49)</f>
        <v>1.2443446421053828E-2</v>
      </c>
      <c r="U50" s="44">
        <f>100*$B$49*(Global!T135*$B$48+Global!T135^2*$C$48)*(T61/$B61)^(1/$C$49)</f>
        <v>1.3076781044905101E-2</v>
      </c>
      <c r="V50" s="44">
        <f>100*$B$49*(Global!U135*$B$48+Global!U135^2*$C$48)*(U61/$B61)^(1/$C$49)</f>
        <v>1.3404108420726571E-2</v>
      </c>
      <c r="W50" s="44">
        <f>100*$B$49*(Global!V135*$B$48+Global!V135^2*$C$48)*(V61/$B61)^(1/$C$49)</f>
        <v>1.4039293509144731E-2</v>
      </c>
      <c r="X50" s="44">
        <f>100*$B$49*(Global!W135*$B$48+Global!W135^2*$C$48)*(W61/$B61)^(1/$C$49)</f>
        <v>1.4692247198392275E-2</v>
      </c>
      <c r="Y50" s="44">
        <f>100*$B$49*(Global!X135*$B$48+Global!X135^2*$C$48)*(X61/$B61)^(1/$C$49)</f>
        <v>1.5272472150374628E-2</v>
      </c>
      <c r="Z50" s="44">
        <f>100*$B$49*(Global!Y135*$B$48+Global!Y135^2*$C$48)*(Y61/$B61)^(1/$C$49)</f>
        <v>1.5878644327786427E-2</v>
      </c>
      <c r="AA50" s="44">
        <f>100*$B$49*(Global!Z135*$B$48+Global!Z135^2*$C$48)*(Z61/$B61)^(1/$C$49)</f>
        <v>1.6435611886096855E-2</v>
      </c>
      <c r="AB50" s="44">
        <f>100*$B$49*(Global!AA135*$B$48+Global!AA135^2*$C$48)*(AA61/$B61)^(1/$C$49)</f>
        <v>1.7043346653772426E-2</v>
      </c>
      <c r="AC50" s="44">
        <f>100*$B$49*(Global!AB135*$B$48+Global!AB135^2*$C$48)*(AB61/$B61)^(1/$C$49)</f>
        <v>1.7786399670647959E-2</v>
      </c>
      <c r="AD50" s="44">
        <f>100*$B$49*(Global!AC135*$B$48+Global!AC135^2*$C$48)*(AC61/$B61)^(1/$C$49)</f>
        <v>1.8568595642471333E-2</v>
      </c>
      <c r="AE50" s="44">
        <f>100*$B$49*(Global!AD135*$B$48+Global!AD135^2*$C$48)*(AD61/$B61)^(1/$C$49)</f>
        <v>1.9325735693089267E-2</v>
      </c>
      <c r="AF50" s="44">
        <f>100*$B$49*(Global!AE135*$B$48+Global!AE135^2*$C$48)*(AE61/$B61)^(1/$C$49)</f>
        <v>2.0130247002658933E-2</v>
      </c>
      <c r="AG50" s="44">
        <f>100*$B$49*(Global!AF135*$B$48+Global!AF135^2*$C$48)*(AF61/$B61)^(1/$C$49)</f>
        <v>2.0592506957459792E-2</v>
      </c>
      <c r="AH50" s="44">
        <f>100*$B$49*(Global!AG135*$B$48+Global!AG135^2*$C$48)*(AG61/$B61)^(1/$C$49)</f>
        <v>2.143060635974689E-2</v>
      </c>
      <c r="AI50" s="44">
        <f>100*$B$49*(Global!AH135*$B$48+Global!AH135^2*$C$48)*(AH61/$B61)^(1/$C$49)</f>
        <v>2.1893524369517491E-2</v>
      </c>
      <c r="AJ50" s="44">
        <f>100*$B$49*(Global!AI135*$B$48+Global!AI135^2*$C$48)*(AI61/$B61)^(1/$C$49)</f>
        <v>3.5364334166585167E-2</v>
      </c>
      <c r="AK50" s="44">
        <f>100*$B$49*(Global!AJ135*$B$48+Global!AJ135^2*$C$48)*(AJ61/$B61)^(1/$C$49)</f>
        <v>3.9743285510988366E-2</v>
      </c>
      <c r="AL50" s="44">
        <f>100*$B$49*(Global!AK135*$B$48+Global!AK135^2*$C$48)*(AK61/$B61)^(1/$C$49)</f>
        <v>4.1884024028224297E-2</v>
      </c>
      <c r="AM50" s="44">
        <f>100*$B$49*(Global!AL135*$B$48+Global!AL135^2*$C$48)*(AL61/$B61)^(1/$C$49)</f>
        <v>4.3155410151367507E-2</v>
      </c>
      <c r="AN50" s="44">
        <f>100*$B$49*(Global!AM135*$B$48+Global!AM135^2*$C$48)*(AM61/$B61)^(1/$C$49)</f>
        <v>4.4040185765240242E-2</v>
      </c>
      <c r="AO50" s="44">
        <f>100*$B$49*(Global!AN135*$B$48+Global!AN135^2*$C$48)*(AN61/$B61)^(1/$C$49)</f>
        <v>4.4738805408155495E-2</v>
      </c>
      <c r="AP50" s="44">
        <f>100*$B$49*(Global!AO135*$B$48+Global!AO135^2*$C$48)*(AO61/$B61)^(1/$C$49)</f>
        <v>4.5345226063690056E-2</v>
      </c>
      <c r="AQ50" s="44">
        <f>100*$B$49*(Global!AP135*$B$48+Global!AP135^2*$C$48)*(AP61/$B61)^(1/$C$49)</f>
        <v>4.590663368789584E-2</v>
      </c>
      <c r="AR50" s="44">
        <f>100*$B$49*(Global!AQ135*$B$48+Global!AQ135^2*$C$48)*(AQ61/$B61)^(1/$C$49)</f>
        <v>4.644769297537836E-2</v>
      </c>
      <c r="AS50" s="44">
        <f>100*$B$49*(Global!AR135*$B$48+Global!AR135^2*$C$48)*(AR61/$B61)^(1/$C$49)</f>
        <v>4.6981636597485138E-2</v>
      </c>
      <c r="AT50" s="44">
        <f>100*$B$49*(Global!AS135*$B$48+Global!AS135^2*$C$48)*(AS61/$B61)^(1/$C$49)</f>
        <v>4.751571727393121E-2</v>
      </c>
      <c r="AU50" s="44">
        <f>100*$B$49*(Global!AT135*$B$48+Global!AT135^2*$C$48)*(AT61/$B61)^(1/$C$49)</f>
        <v>4.8054003579095068E-2</v>
      </c>
      <c r="AV50" s="44">
        <f>100*$B$49*(Global!AU135*$B$48+Global!AU135^2*$C$48)*(AU61/$B61)^(1/$C$49)</f>
        <v>4.8598848393624661E-2</v>
      </c>
      <c r="AW50" s="44">
        <f>100*$B$49*(Global!AV135*$B$48+Global!AV135^2*$C$48)*(AV61/$B61)^(1/$C$49)</f>
        <v>4.9151670875048868E-2</v>
      </c>
      <c r="AX50" s="44">
        <f>100*$B$49*(Global!AW135*$B$48+Global!AW135^2*$C$48)*(AW61/$B61)^(1/$C$49)</f>
        <v>4.9713376380960926E-2</v>
      </c>
      <c r="AY50" s="44">
        <f>100*$B$49*(Global!AX135*$B$48+Global!AX135^2*$C$48)*(AX61/$B61)^(1/$C$49)</f>
        <v>5.0284583321913948E-2</v>
      </c>
      <c r="AZ50" s="44">
        <f>100*$B$49*(Global!AY135*$B$48+Global!AY135^2*$C$48)*(AY61/$B61)^(1/$C$49)</f>
        <v>5.0865746389054244E-2</v>
      </c>
      <c r="BA50" s="44">
        <f>100*$B$49*(Global!AZ135*$B$48+Global!AZ135^2*$C$48)*(AZ61/$B61)^(1/$C$49)</f>
        <v>5.1457223936584626E-2</v>
      </c>
      <c r="BB50" s="44">
        <f>100*$B$49*(Global!BA135*$B$48+Global!BA135^2*$C$48)*(BA61/$B61)^(1/$C$49)</f>
        <v>5.2059315175829651E-2</v>
      </c>
      <c r="BC50" s="44">
        <f>100*$B$49*(Global!BB135*$B$48+Global!BB135^2*$C$48)*(BB61/$B61)^(1/$C$49)</f>
        <v>5.2672281001026978E-2</v>
      </c>
      <c r="BD50" s="44">
        <f>100*$B$49*(Global!BC135*$B$48+Global!BC135^2*$C$48)*(BC61/$B61)^(1/$C$49)</f>
        <v>5.3296355906559699E-2</v>
      </c>
      <c r="BE50" s="44">
        <f>100*$B$49*(Global!BD135*$B$48+Global!BD135^2*$C$48)*(BD61/$B61)^(1/$C$49)</f>
        <v>5.3931755028886738E-2</v>
      </c>
      <c r="BF50" s="44">
        <f>100*$B$49*(Global!BE135*$B$48+Global!BE135^2*$C$48)*(BE61/$B61)^(1/$C$49)</f>
        <v>5.4578678497586887E-2</v>
      </c>
      <c r="BG50" s="44">
        <f>100*$B$49*(Global!BF135*$B$48+Global!BF135^2*$C$48)*(BF61/$B61)^(1/$C$49)</f>
        <v>5.5237764601277613E-2</v>
      </c>
      <c r="BH50" s="44">
        <f>100*$B$49*(Global!BG135*$B$48+Global!BG135^2*$C$48)*(BG61/$B61)^(1/$C$49)</f>
        <v>5.5908743233657548E-2</v>
      </c>
      <c r="BI50" s="44">
        <f>100*$B$49*(Global!BH135*$B$48+Global!BH135^2*$C$48)*(BH61/$B61)^(1/$C$49)</f>
        <v>5.6591663938700021E-2</v>
      </c>
      <c r="BJ50" s="44">
        <f>100*$B$49*(Global!BI135*$B$48+Global!BI135^2*$C$48)*(BI61/$B61)^(1/$C$49)</f>
        <v>5.7286684172992687E-2</v>
      </c>
      <c r="BK50" s="44">
        <f>100*$B$49*(Global!BJ80*$B$48+Global!BJ80^2*$C$48)*(BJ61/$B61)^(1/$C$49)</f>
        <v>5.750724690440754E-2</v>
      </c>
      <c r="BL50" s="44">
        <f>100*$B$49*(Global!BK80*$B$48+Global!BK80^2*$C$48)*(BK61/$B61)^(1/$C$49)</f>
        <v>5.7733387037804715E-2</v>
      </c>
      <c r="BM50" s="44">
        <f>100*$B$49*(Global!BL80*$B$48+Global!BL80^2*$C$48)*(BL61/$B61)^(1/$C$49)</f>
        <v>5.7964963891097128E-2</v>
      </c>
      <c r="BN50" s="44">
        <f>100*$B$49*(Global!BM80*$B$48+Global!BM80^2*$C$48)*(BM61/$B61)^(1/$C$49)</f>
        <v>5.8201840174539547E-2</v>
      </c>
      <c r="BO50" s="44">
        <f>100*$B$49*(Global!BN80*$B$48+Global!BN80^2*$C$48)*(BN61/$B61)^(1/$C$49)</f>
        <v>5.8443881909049797E-2</v>
      </c>
      <c r="BP50" s="44">
        <f>100*$B$49*(Global!BO80*$B$48+Global!BO80^2*$C$48)*(BO61/$B61)^(1/$C$49)</f>
        <v>5.8690958346496409E-2</v>
      </c>
      <c r="BQ50" s="44">
        <f>100*$B$49*(Global!BP80*$B$48+Global!BP80^2*$C$48)*(BP61/$B61)^(1/$C$49)</f>
        <v>5.8942941891905576E-2</v>
      </c>
      <c r="BR50" s="44">
        <f>100*$B$49*(Global!BQ80*$B$48+Global!BQ80^2*$C$48)*(BQ61/$B61)^(1/$C$49)</f>
        <v>5.9199708027540834E-2</v>
      </c>
      <c r="BS50" s="44">
        <f>100*$B$49*(Global!BR80*$B$48+Global!BR80^2*$C$48)*(BR61/$B61)^(1/$C$49)</f>
        <v>5.9461135238810831E-2</v>
      </c>
      <c r="BT50" s="44">
        <f>100*$B$49*(Global!BS80*$B$48+Global!BS80^2*$C$48)*(BS61/$B61)^(1/$C$49)</f>
        <v>5.9727104941960908E-2</v>
      </c>
      <c r="BU50" s="44">
        <f>100*$B$49*(Global!BT80*$B$48+Global!BT80^2*$C$48)*(BT61/$B61)^(1/$C$49)</f>
        <v>5.9997501413505495E-2</v>
      </c>
      <c r="BV50" s="44">
        <f>100*$B$49*(Global!BU80*$B$48+Global!BU80^2*$C$48)*(BU61/$B61)^(1/$C$49)</f>
        <v>6.0272211721359582E-2</v>
      </c>
      <c r="BW50" s="44">
        <f>100*$B$49*(Global!BV80*$B$48+Global!BV80^2*$C$48)*(BV61/$B61)^(1/$C$49)</f>
        <v>6.0551125657628269E-2</v>
      </c>
      <c r="BX50" s="44">
        <f>100*$B$49*(Global!BW80*$B$48+Global!BW80^2*$C$48)*(BW61/$B61)^(1/$C$49)</f>
        <v>6.0834135673014537E-2</v>
      </c>
      <c r="BY50" s="44">
        <f>100*$B$49*(Global!BX80*$B$48+Global!BX80^2*$C$48)*(BX61/$B61)^(1/$C$49)</f>
        <v>6.1121136812806114E-2</v>
      </c>
      <c r="BZ50" s="44">
        <f>100*$B$49*(Global!BY80*$B$48+Global!BY80^2*$C$48)*(BY61/$B61)^(1/$C$49)</f>
        <v>6.1412026654403672E-2</v>
      </c>
      <c r="CA50" s="44">
        <f>100*$B$49*(Global!BZ80*$B$48+Global!BZ80^2*$C$48)*(BZ61/$B61)^(1/$C$49)</f>
        <v>6.1706705246352939E-2</v>
      </c>
      <c r="CB50" s="44">
        <f>100*$B$49*(Global!CA80*$B$48+Global!CA80^2*$C$48)*(CA61/$B61)^(1/$C$49)</f>
        <v>6.20050750488449E-2</v>
      </c>
      <c r="CC50" s="44">
        <f>100*$B$49*(Global!CB80*$B$48+Global!CB80^2*$C$48)*(CB61/$B61)^(1/$C$49)</f>
        <v>6.2307040875648319E-2</v>
      </c>
      <c r="CD50" s="44">
        <f>100*$B$49*(Global!CC80*$B$48+Global!CC80^2*$C$48)*(CC61/$B61)^(1/$C$49)</f>
        <v>6.2612509837440447E-2</v>
      </c>
      <c r="CE50" s="44">
        <f>100*$B$49*(Global!CD80*$B$48+Global!CD80^2*$C$48)*(CD61/$B61)^(1/$C$49)</f>
        <v>6.2921391286502079E-2</v>
      </c>
      <c r="CF50" s="44">
        <f>100*$B$49*(Global!CE80*$B$48+Global!CE80^2*$C$48)*(CE61/$B61)^(1/$C$49)</f>
        <v>6.3233596762744038E-2</v>
      </c>
      <c r="CG50" s="44">
        <f>100*$B$49*(Global!CF80*$B$48+Global!CF80^2*$C$48)*(CF61/$B61)^(1/$C$49)</f>
        <v>6.354903994103335E-2</v>
      </c>
      <c r="CH50" s="44">
        <f>100*$B$49*(Global!CG80*$B$48+Global!CG80^2*$C$48)*(CG61/$B61)^(1/$C$49)</f>
        <v>6.3867636579787362E-2</v>
      </c>
      <c r="CI50" s="44">
        <f>100*$B$49*(Global!CH80*$B$48+Global!CH80^2*$C$48)*(CH61/$B61)^(1/$C$49)</f>
        <v>6.418930447080573E-2</v>
      </c>
      <c r="CJ50" s="44">
        <f>100*$B$49*(Global!CI80*$B$48+Global!CI80^2*$C$48)*(CI61/$B61)^(1/$C$49)</f>
        <v>6.4513963390310111E-2</v>
      </c>
      <c r="CK50" s="44">
        <f>100*$B$49*(Global!CJ80*$B$48+Global!CJ80^2*$C$48)*(CJ61/$B61)^(1/$C$49)</f>
        <v>6.4841535051162719E-2</v>
      </c>
      <c r="CL50" s="44">
        <f>100*$B$49*(Global!CK80*$B$48+Global!CK80^2*$C$48)*(CK61/$B61)^(1/$C$49)</f>
        <v>6.5171943056235249E-2</v>
      </c>
      <c r="CM50" s="44">
        <f>100*$B$49*(Global!CL80*$B$48+Global!CL80^2*$C$48)*(CL61/$B61)^(1/$C$49)</f>
        <v>6.5505112852900518E-2</v>
      </c>
      <c r="CN50" s="44">
        <f>100*$B$49*(Global!CM80*$B$48+Global!CM80^2*$C$48)*(CM61/$B61)^(1/$C$49)</f>
        <v>6.5840971688619701E-2</v>
      </c>
      <c r="CO50" s="44">
        <f>100*$B$49*(Global!CN80*$B$48+Global!CN80^2*$C$48)*(CN61/$B61)^(1/$C$49)</f>
        <v>6.6179448567599025E-2</v>
      </c>
      <c r="CP50" s="44">
        <f>100*$B$49*(Global!CO80*$B$48+Global!CO80^2*$C$48)*(CO61/$B61)^(1/$C$49)</f>
        <v>6.6520474208489735E-2</v>
      </c>
      <c r="CQ50" s="44">
        <f>100*$B$49*(Global!CP80*$B$48+Global!CP80^2*$C$48)*(CP61/$B61)^(1/$C$49)</f>
        <v>6.6863981003106865E-2</v>
      </c>
      <c r="CR50" s="44">
        <f>100*$B$49*(Global!CQ80*$B$48+Global!CQ80^2*$C$48)*(CQ61/$B61)^(1/$C$49)</f>
        <v>6.7209902976141447E-2</v>
      </c>
      <c r="CS50" s="44">
        <f>100*$B$49*(Global!CR80*$B$48+Global!CR80^2*$C$48)*(CR61/$B61)^(1/$C$49)</f>
        <v>6.7558175745843232E-2</v>
      </c>
      <c r="CT50" s="44">
        <f>100*$B$49*(Global!CS80*$B$48+Global!CS80^2*$C$48)*(CS61/$B61)^(1/$C$49)</f>
        <v>6.7908736485649351E-2</v>
      </c>
      <c r="CU50" s="44">
        <f>100*$B$49*(Global!CT80*$B$48+Global!CT80^2*$C$48)*(CT61/$B61)^(1/$C$49)</f>
        <v>6.8261523886737549E-2</v>
      </c>
      <c r="CV50" s="44">
        <f>100*$B$49*(Global!CU80*$B$48+Global!CU80^2*$C$48)*(CU61/$B61)^(1/$C$49)</f>
        <v>6.8616478121480487E-2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35">
        <f>+Data!B238/1000</f>
        <v>8.4964425453158739E-3</v>
      </c>
      <c r="C52" s="114">
        <f>+B95-B92</f>
        <v>-2.9639408375733005</v>
      </c>
    </row>
    <row r="53" spans="1:105" ht="18" customHeight="1" x14ac:dyDescent="0.2">
      <c r="A53" s="21" t="s">
        <v>121</v>
      </c>
      <c r="B53" s="135">
        <f>+Data!O173</f>
        <v>-10.465429163627888</v>
      </c>
      <c r="C53" s="114">
        <f>+Data!Q173</f>
        <v>6.4007131154632475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5" x14ac:dyDescent="0.2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5" x14ac:dyDescent="0.2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1.8933234356568716</v>
      </c>
      <c r="C61" s="682">
        <v>1.7199561821751872</v>
      </c>
      <c r="D61" s="682">
        <v>1.5319459090514156</v>
      </c>
      <c r="E61" s="682">
        <v>1.3874022388858192</v>
      </c>
      <c r="F61" s="682">
        <v>1.2179390021060865</v>
      </c>
      <c r="G61" s="682">
        <v>1.427277558152392</v>
      </c>
      <c r="H61" s="682">
        <v>1.4291342103175888</v>
      </c>
      <c r="I61" s="682">
        <v>1.4361713863174441</v>
      </c>
      <c r="J61" s="682">
        <v>1.4543199687213439</v>
      </c>
      <c r="K61" s="682">
        <v>1.4598348761770872</v>
      </c>
      <c r="L61" s="682">
        <v>1.5377872948332798</v>
      </c>
      <c r="M61" s="682">
        <v>1.6410805671484674</v>
      </c>
      <c r="N61" s="682">
        <v>1.7387021504947691</v>
      </c>
      <c r="O61" s="682">
        <v>1.8547445999084364</v>
      </c>
      <c r="P61" s="682">
        <v>2.0245828470133471</v>
      </c>
      <c r="Q61" s="682">
        <v>2.1535074682488875</v>
      </c>
      <c r="R61" s="682">
        <v>2.3402318499455501</v>
      </c>
      <c r="S61" s="682">
        <v>2.5412894252611298</v>
      </c>
      <c r="T61" s="682">
        <v>2.6741201771234913</v>
      </c>
      <c r="U61" s="682">
        <v>2.5250509071768619</v>
      </c>
      <c r="V61" s="682">
        <v>2.5953671307138744</v>
      </c>
      <c r="W61" s="682">
        <v>2.7194931191346816</v>
      </c>
      <c r="X61" s="682">
        <v>2.7771940857472037</v>
      </c>
      <c r="Y61" s="682">
        <v>2.8455719742688887</v>
      </c>
      <c r="Z61" s="682">
        <v>2.861630235428152</v>
      </c>
      <c r="AA61" s="682">
        <v>2.8658478781932391</v>
      </c>
      <c r="AB61" s="682">
        <v>2.9316817125273249</v>
      </c>
      <c r="AC61" s="682">
        <v>3.0547366948220827</v>
      </c>
      <c r="AD61" s="682">
        <v>3.1855552474942295</v>
      </c>
      <c r="AE61" s="682">
        <v>3.3099085924571114</v>
      </c>
      <c r="AF61" s="682">
        <v>3.2094430268435743</v>
      </c>
      <c r="AG61" s="682">
        <v>3.3991655225164785</v>
      </c>
      <c r="AH61" s="682">
        <v>3.3455012916662783</v>
      </c>
      <c r="AI61" s="45">
        <f t="shared" ref="B61:BI61" si="11">AI20*AI74^$B7*(AI56/1000)^(1-$B7)</f>
        <v>20.200920287566337</v>
      </c>
      <c r="AJ61" s="45">
        <f t="shared" si="11"/>
        <v>32.192381009044936</v>
      </c>
      <c r="AK61" s="45">
        <f t="shared" si="11"/>
        <v>39.640160387700377</v>
      </c>
      <c r="AL61" s="45">
        <f t="shared" si="11"/>
        <v>44.564648055126632</v>
      </c>
      <c r="AM61" s="45">
        <f t="shared" si="11"/>
        <v>48.175539775952331</v>
      </c>
      <c r="AN61" s="45">
        <f t="shared" si="11"/>
        <v>51.101051103946169</v>
      </c>
      <c r="AO61" s="45">
        <f t="shared" si="11"/>
        <v>53.674925664969166</v>
      </c>
      <c r="AP61" s="45">
        <f t="shared" si="11"/>
        <v>56.078862418489344</v>
      </c>
      <c r="AQ61" s="45">
        <f t="shared" si="11"/>
        <v>58.413646974341056</v>
      </c>
      <c r="AR61" s="45">
        <f t="shared" si="11"/>
        <v>60.736161067057445</v>
      </c>
      <c r="AS61" s="45">
        <f t="shared" si="11"/>
        <v>63.079208584526967</v>
      </c>
      <c r="AT61" s="45">
        <f t="shared" si="11"/>
        <v>65.462320919181153</v>
      </c>
      <c r="AU61" s="45">
        <f t="shared" si="11"/>
        <v>67.897702377691829</v>
      </c>
      <c r="AV61" s="45">
        <f t="shared" si="11"/>
        <v>70.393518410418878</v>
      </c>
      <c r="AW61" s="45">
        <f t="shared" si="11"/>
        <v>72.955719438810064</v>
      </c>
      <c r="AX61" s="45">
        <f t="shared" si="11"/>
        <v>75.589054330518906</v>
      </c>
      <c r="AY61" s="45">
        <f t="shared" si="11"/>
        <v>78.297634577177547</v>
      </c>
      <c r="AZ61" s="45">
        <f t="shared" si="11"/>
        <v>81.085249171191791</v>
      </c>
      <c r="BA61" s="45">
        <f t="shared" si="11"/>
        <v>83.955541144850415</v>
      </c>
      <c r="BB61" s="45">
        <f t="shared" si="11"/>
        <v>86.912107377900981</v>
      </c>
      <c r="BC61" s="45">
        <f t="shared" si="11"/>
        <v>89.958555881516048</v>
      </c>
      <c r="BD61" s="45">
        <f t="shared" si="11"/>
        <v>93.098539550045743</v>
      </c>
      <c r="BE61" s="45">
        <f t="shared" si="11"/>
        <v>96.33577692039043</v>
      </c>
      <c r="BF61" s="45">
        <f t="shared" si="11"/>
        <v>99.677316181173737</v>
      </c>
      <c r="BG61" s="45">
        <f t="shared" si="11"/>
        <v>103.12395553736494</v>
      </c>
      <c r="BH61" s="45">
        <f t="shared" si="11"/>
        <v>106.67878112881127</v>
      </c>
      <c r="BI61" s="45">
        <f t="shared" si="11"/>
        <v>110.34579303848655</v>
      </c>
      <c r="BJ61" s="45">
        <f>+BI61</f>
        <v>110.34579303848655</v>
      </c>
      <c r="BK61" s="45">
        <f t="shared" ref="BK61:CV61" si="12">+BJ61</f>
        <v>110.34579303848655</v>
      </c>
      <c r="BL61" s="45">
        <f t="shared" si="12"/>
        <v>110.34579303848655</v>
      </c>
      <c r="BM61" s="45">
        <f t="shared" si="12"/>
        <v>110.34579303848655</v>
      </c>
      <c r="BN61" s="45">
        <f t="shared" si="12"/>
        <v>110.34579303848655</v>
      </c>
      <c r="BO61" s="45">
        <f t="shared" si="12"/>
        <v>110.34579303848655</v>
      </c>
      <c r="BP61" s="45">
        <f t="shared" si="12"/>
        <v>110.34579303848655</v>
      </c>
      <c r="BQ61" s="45">
        <f t="shared" si="12"/>
        <v>110.34579303848655</v>
      </c>
      <c r="BR61" s="45">
        <f t="shared" si="12"/>
        <v>110.34579303848655</v>
      </c>
      <c r="BS61" s="45">
        <f t="shared" si="12"/>
        <v>110.34579303848655</v>
      </c>
      <c r="BT61" s="45">
        <f t="shared" si="12"/>
        <v>110.34579303848655</v>
      </c>
      <c r="BU61" s="45">
        <f t="shared" si="12"/>
        <v>110.34579303848655</v>
      </c>
      <c r="BV61" s="45">
        <f t="shared" si="12"/>
        <v>110.34579303848655</v>
      </c>
      <c r="BW61" s="45">
        <f t="shared" si="12"/>
        <v>110.34579303848655</v>
      </c>
      <c r="BX61" s="45">
        <f t="shared" si="12"/>
        <v>110.34579303848655</v>
      </c>
      <c r="BY61" s="45">
        <f t="shared" si="12"/>
        <v>110.34579303848655</v>
      </c>
      <c r="BZ61" s="45">
        <f t="shared" si="12"/>
        <v>110.34579303848655</v>
      </c>
      <c r="CA61" s="45">
        <f t="shared" si="12"/>
        <v>110.34579303848655</v>
      </c>
      <c r="CB61" s="45">
        <f t="shared" si="12"/>
        <v>110.34579303848655</v>
      </c>
      <c r="CC61" s="45">
        <f t="shared" si="12"/>
        <v>110.34579303848655</v>
      </c>
      <c r="CD61" s="45">
        <f t="shared" si="12"/>
        <v>110.34579303848655</v>
      </c>
      <c r="CE61" s="45">
        <f t="shared" si="12"/>
        <v>110.34579303848655</v>
      </c>
      <c r="CF61" s="45">
        <f t="shared" si="12"/>
        <v>110.34579303848655</v>
      </c>
      <c r="CG61" s="45">
        <f t="shared" si="12"/>
        <v>110.34579303848655</v>
      </c>
      <c r="CH61" s="45">
        <f t="shared" si="12"/>
        <v>110.34579303848655</v>
      </c>
      <c r="CI61" s="45">
        <f t="shared" si="12"/>
        <v>110.34579303848655</v>
      </c>
      <c r="CJ61" s="45">
        <f t="shared" si="12"/>
        <v>110.34579303848655</v>
      </c>
      <c r="CK61" s="45">
        <f t="shared" si="12"/>
        <v>110.34579303848655</v>
      </c>
      <c r="CL61" s="45">
        <f t="shared" si="12"/>
        <v>110.34579303848655</v>
      </c>
      <c r="CM61" s="45">
        <f t="shared" si="12"/>
        <v>110.34579303848655</v>
      </c>
      <c r="CN61" s="45">
        <f t="shared" si="12"/>
        <v>110.34579303848655</v>
      </c>
      <c r="CO61" s="45">
        <f t="shared" si="12"/>
        <v>110.34579303848655</v>
      </c>
      <c r="CP61" s="45">
        <f t="shared" si="12"/>
        <v>110.34579303848655</v>
      </c>
      <c r="CQ61" s="45">
        <f t="shared" si="12"/>
        <v>110.34579303848655</v>
      </c>
      <c r="CR61" s="45">
        <f t="shared" si="12"/>
        <v>110.34579303848655</v>
      </c>
      <c r="CS61" s="45">
        <f t="shared" si="12"/>
        <v>110.34579303848655</v>
      </c>
      <c r="CT61" s="45">
        <f t="shared" si="12"/>
        <v>110.34579303848655</v>
      </c>
      <c r="CU61" s="45">
        <f t="shared" si="12"/>
        <v>110.34579303848655</v>
      </c>
      <c r="CV61" s="45">
        <f t="shared" si="12"/>
        <v>110.34579303848655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6.7636912306170266E-4</v>
      </c>
      <c r="C62" s="63">
        <f>($B24*C81+$B25*C81^$B$26+$B$29*(C81/$B$27)^$B$28)*Parameters!$B$116*0.01</f>
        <v>5.8569077805246603E-4</v>
      </c>
      <c r="D62" s="63">
        <f>($B24*D81+$B25*D81^$B$26+$B$29*(D81/$B$27)^$B$28)*Parameters!$B$116*0.01</f>
        <v>3.1326432570816893E-4</v>
      </c>
      <c r="E62" s="63">
        <f>($B24*E81+$B25*E81^$B$26+$B$29*(E81/$B$27)^$B$28)*Parameters!$B$116*0.01</f>
        <v>3.2618109715552791E-4</v>
      </c>
      <c r="F62" s="63">
        <f>($B24*F81+$B25*F81^$B$26+$B$29*(F81/$B$27)^$B$28)*Parameters!$B$116*0.01</f>
        <v>4.3890928433247832E-4</v>
      </c>
      <c r="G62" s="63">
        <f>($B24*G81+$B25*G81^$B$26+$B$29*(G81/$B$27)^$B$28)*Parameters!$B$116*0.01</f>
        <v>6.5771156430440643E-4</v>
      </c>
      <c r="H62" s="63">
        <f>($B24*H81+$B25*H81^$B$26+$B$29*(H81/$B$27)^$B$28)*Parameters!$B$116*0.01</f>
        <v>4.6970077990396013E-4</v>
      </c>
      <c r="I62" s="63">
        <f>($B24*I81+$B25*I81^$B$26+$B$29*(I81/$B$27)^$B$28)*Parameters!$B$116*0.01</f>
        <v>6.9528762669672311E-4</v>
      </c>
      <c r="J62" s="63">
        <f>($B24*J81+$B25*J81^$B$26+$B$29*(J81/$B$27)^$B$28)*Parameters!$B$116*0.01</f>
        <v>9.8754588974807626E-4</v>
      </c>
      <c r="K62" s="63">
        <f>($B24*K81+$B25*K81^$B$26+$B$29*(K81/$B$27)^$B$28)*Parameters!$B$116*0.01</f>
        <v>5.5124605419284219E-4</v>
      </c>
      <c r="L62" s="63">
        <f>($B24*L81+$B25*L81^$B$26+$B$29*(L81/$B$27)^$B$28)*Parameters!$B$116*0.01</f>
        <v>5.6833794368379195E-4</v>
      </c>
      <c r="M62" s="63">
        <f>($B24*M81+$B25*M81^$B$26+$B$29*(M81/$B$27)^$B$28)*Parameters!$B$116*0.01</f>
        <v>8.3502360871815157E-4</v>
      </c>
      <c r="N62" s="63">
        <f>($B24*N81+$B25*N81^$B$26+$B$29*(N81/$B$27)^$B$28)*Parameters!$B$116*0.01</f>
        <v>1.0568267547839106E-3</v>
      </c>
      <c r="O62" s="63">
        <f>($B24*O81+$B25*O81^$B$26+$B$29*(O81/$B$27)^$B$28)*Parameters!$B$116*0.01</f>
        <v>1.0334721882275747E-3</v>
      </c>
      <c r="P62" s="63">
        <f>($B24*P81+$B25*P81^$B$26+$B$29*(P81/$B$27)^$B$28)*Parameters!$B$116*0.01</f>
        <v>8.3502360871815157E-4</v>
      </c>
      <c r="Q62" s="63">
        <f>($B24*Q81+$B25*Q81^$B$26+$B$29*(Q81/$B$27)^$B$28)*Parameters!$B$116*0.01</f>
        <v>1.1528544697864977E-3</v>
      </c>
      <c r="R62" s="63">
        <f>($B24*R81+$B25*R81^$B$26+$B$29*(R81/$B$27)^$B$28)*Parameters!$B$116*0.01</f>
        <v>1.0804422662179707E-3</v>
      </c>
      <c r="S62" s="63">
        <f>($B24*S81+$B25*S81^$B$26+$B$29*(S81/$B$27)^$B$28)*Parameters!$B$116*0.01</f>
        <v>1.1284561237192646E-3</v>
      </c>
      <c r="T62" s="63">
        <f>($B24*T81+$B25*T81^$B$26+$B$29*(T81/$B$27)^$B$28)*Parameters!$B$116*0.01</f>
        <v>8.5602967137496757E-4</v>
      </c>
      <c r="U62" s="63">
        <f>($B24*U81+$B25*U81^$B$26+$B$29*(U81/$B$27)^$B$28)*Parameters!$B$116*0.01</f>
        <v>1.1043187225297554E-3</v>
      </c>
      <c r="V62" s="63">
        <f>($B24*V81+$B25*V81^$B$26+$B$29*(V81/$B$27)^$B$28)*Parameters!$B$116*0.01</f>
        <v>1.2787603732885317E-3</v>
      </c>
      <c r="W62" s="63">
        <f>($B24*W81+$B25*W81^$B$26+$B$29*(W81/$B$27)^$B$28)*Parameters!$B$116*0.01</f>
        <v>1.0103785665489631E-3</v>
      </c>
      <c r="X62" s="63">
        <f>($B24*X81+$B25*X81^$B$26+$B$29*(X81/$B$27)^$B$28)*Parameters!$B$116*0.01</f>
        <v>1.1043187225297554E-3</v>
      </c>
      <c r="Y62" s="63">
        <f>($B24*Y81+$B25*Y81^$B$26+$B$29*(Y81/$B$27)^$B$28)*Parameters!$B$116*0.01</f>
        <v>1.1775137607314557E-3</v>
      </c>
      <c r="Z62" s="63">
        <f>($B24*Z81+$B25*Z81^$B$26+$B$29*(Z81/$B$27)^$B$28)*Parameters!$B$116*0.01</f>
        <v>1.330949348833416E-3</v>
      </c>
      <c r="AA62" s="63">
        <f>($B24*AA81+$B25*AA81^$B$26+$B$29*(AA81/$B$27)^$B$28)*Parameters!$B$116*0.01</f>
        <v>1.7860372155848083E-3</v>
      </c>
      <c r="AB62" s="63">
        <f>($B24*AB81+$B25*AB81^$B$26+$B$29*(AB81/$B$27)^$B$28)*Parameters!$B$116*0.01</f>
        <v>2.1376604383184679E-3</v>
      </c>
      <c r="AC62" s="63">
        <f>($B24*AC81+$B25*AC81^$B$26+$B$29*(AC81/$B$27)^$B$28)*Parameters!$B$116*0.01</f>
        <v>1.8476202067277722E-3</v>
      </c>
      <c r="AD62" s="63">
        <f>($B24*AD81+$B25*AD81^$B$26+$B$29*(AD81/$B$27)^$B$28)*Parameters!$B$116*0.01</f>
        <v>1.6366462730875769E-3</v>
      </c>
      <c r="AE62" s="63">
        <f>($B24*AE81+$B25*AE81^$B$26+$B$29*(AE81/$B$27)^$B$28)*Parameters!$B$116*0.01</f>
        <v>2.0386318572220494E-3</v>
      </c>
      <c r="AF62" s="63">
        <f>($B24*AF81+$B25*AF81^$B$26+$B$29*(AF81/$B$27)^$B$28)*Parameters!$B$116*0.01</f>
        <v>2.1376604383184679E-3</v>
      </c>
      <c r="AG62" s="63">
        <f>($B24*AG81+$B25*AG81^$B$26+$B$29*(AG81/$B$27)^$B$28)*Parameters!$B$116*0.01</f>
        <v>1.6366462730875769E-3</v>
      </c>
      <c r="AH62" s="63">
        <f>($B24*AH81+$B25*AH81^$B$26+$B$29*(AH81/$B$27)^$B$28)*Parameters!$B$116*0.01</f>
        <v>1.7556371373299133E-3</v>
      </c>
      <c r="AI62" s="63">
        <f>($B24*AI81+$B25*AI81^$B$26+$B$29*(AI81/$B$27)^$B$28)*Parameters!$B$116*0.01</f>
        <v>2.7054764922468106E-3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6.7636912306170266E-4</v>
      </c>
      <c r="C63" s="63">
        <f t="shared" si="13"/>
        <v>6.1241116724999325E-4</v>
      </c>
      <c r="D63" s="63">
        <f t="shared" si="13"/>
        <v>3.4352162556706409E-4</v>
      </c>
      <c r="E63" s="63">
        <f t="shared" si="13"/>
        <v>3.6028864374260502E-4</v>
      </c>
      <c r="F63" s="63">
        <f t="shared" si="13"/>
        <v>4.7679115021832634E-4</v>
      </c>
      <c r="G63" s="63">
        <f t="shared" si="13"/>
        <v>6.9916847797224459E-4</v>
      </c>
      <c r="H63" s="63">
        <f t="shared" si="13"/>
        <v>5.1837868456437058E-4</v>
      </c>
      <c r="I63" s="63">
        <f t="shared" si="13"/>
        <v>7.4896417278476704E-4</v>
      </c>
      <c r="J63" s="63">
        <f t="shared" si="13"/>
        <v>1.0468304316816109E-3</v>
      </c>
      <c r="K63" s="63">
        <f t="shared" si="13"/>
        <v>6.1685655001882122E-4</v>
      </c>
      <c r="L63" s="63">
        <f t="shared" si="13"/>
        <v>6.3908630224042754E-4</v>
      </c>
      <c r="M63" s="63">
        <f t="shared" si="13"/>
        <v>9.1184024307107371E-4</v>
      </c>
      <c r="N63" s="63">
        <f t="shared" si="13"/>
        <v>1.1395239559271507E-3</v>
      </c>
      <c r="O63" s="63">
        <f t="shared" si="13"/>
        <v>1.1224586455060525E-3</v>
      </c>
      <c r="P63" s="63">
        <f t="shared" si="13"/>
        <v>9.305024239607498E-4</v>
      </c>
      <c r="Q63" s="63">
        <f t="shared" si="13"/>
        <v>1.2551016008393362E-3</v>
      </c>
      <c r="R63" s="63">
        <f t="shared" si="13"/>
        <v>1.1896068844572129E-3</v>
      </c>
      <c r="S63" s="63">
        <f t="shared" si="13"/>
        <v>1.2451245541361807E-3</v>
      </c>
      <c r="T63" s="63">
        <f t="shared" si="13"/>
        <v>9.8046413558550583E-4</v>
      </c>
      <c r="U63" s="63">
        <f t="shared" si="13"/>
        <v>1.2350865329788063E-3</v>
      </c>
      <c r="V63" s="63">
        <f t="shared" si="13"/>
        <v>1.4128014574957973E-3</v>
      </c>
      <c r="W63" s="63">
        <f t="shared" si="13"/>
        <v>1.1507715016404103E-3</v>
      </c>
      <c r="X63" s="63">
        <f t="shared" si="13"/>
        <v>1.2512411945136781E-3</v>
      </c>
      <c r="Y63" s="63">
        <f t="shared" si="13"/>
        <v>1.3302384822352019E-3</v>
      </c>
      <c r="Z63" s="63">
        <f t="shared" si="13"/>
        <v>1.4897357921112803E-3</v>
      </c>
      <c r="AA63" s="63">
        <f t="shared" si="13"/>
        <v>1.950393334445777E-3</v>
      </c>
      <c r="AB63" s="63">
        <f t="shared" si="13"/>
        <v>2.3080939048561924E-3</v>
      </c>
      <c r="AC63" s="63">
        <f t="shared" si="13"/>
        <v>2.0254842034342518E-3</v>
      </c>
      <c r="AD63" s="63">
        <f t="shared" si="13"/>
        <v>1.8223322295122903E-3</v>
      </c>
      <c r="AE63" s="63">
        <f t="shared" si="13"/>
        <v>2.2318892141529418E-3</v>
      </c>
      <c r="AF63" s="63">
        <f t="shared" si="13"/>
        <v>2.3389629083450571E-3</v>
      </c>
      <c r="AG63" s="63">
        <f t="shared" si="13"/>
        <v>1.8425713426621748E-3</v>
      </c>
      <c r="AH63" s="63">
        <f t="shared" si="13"/>
        <v>1.969943200927382E-3</v>
      </c>
      <c r="AI63" s="63">
        <f t="shared" si="13"/>
        <v>2.9244117359419853E-3</v>
      </c>
      <c r="AJ63" s="63">
        <f t="shared" si="13"/>
        <v>3.5364334166585165E-4</v>
      </c>
      <c r="AK63" s="63">
        <f t="shared" si="13"/>
        <v>3.9743285510988364E-4</v>
      </c>
      <c r="AL63" s="63">
        <f t="shared" si="13"/>
        <v>4.1884024028224296E-4</v>
      </c>
      <c r="AM63" s="63">
        <f t="shared" si="13"/>
        <v>4.3155410151367508E-4</v>
      </c>
      <c r="AN63" s="63">
        <f t="shared" si="13"/>
        <v>4.4040185765240243E-4</v>
      </c>
      <c r="AO63" s="63">
        <f t="shared" si="13"/>
        <v>4.4738805408155494E-4</v>
      </c>
      <c r="AP63" s="63">
        <f t="shared" si="13"/>
        <v>4.5345226063690054E-4</v>
      </c>
      <c r="AQ63" s="63">
        <f t="shared" si="13"/>
        <v>4.5906633687895838E-4</v>
      </c>
      <c r="AR63" s="63">
        <f t="shared" si="13"/>
        <v>4.6447692975378358E-4</v>
      </c>
      <c r="AS63" s="63">
        <f t="shared" si="13"/>
        <v>4.6981636597485141E-4</v>
      </c>
      <c r="AT63" s="63">
        <f t="shared" si="13"/>
        <v>4.7515717273931209E-4</v>
      </c>
      <c r="AU63" s="63">
        <f t="shared" si="13"/>
        <v>4.8054003579095066E-4</v>
      </c>
      <c r="AV63" s="63">
        <f t="shared" si="13"/>
        <v>4.8598848393624662E-4</v>
      </c>
      <c r="AW63" s="63">
        <f t="shared" si="13"/>
        <v>4.9151670875048864E-4</v>
      </c>
      <c r="AX63" s="63">
        <f t="shared" si="13"/>
        <v>4.9713376380960928E-4</v>
      </c>
      <c r="AY63" s="63">
        <f t="shared" si="13"/>
        <v>5.0284583321913944E-4</v>
      </c>
      <c r="AZ63" s="63">
        <f t="shared" si="13"/>
        <v>5.0865746389054244E-4</v>
      </c>
      <c r="BA63" s="63">
        <f t="shared" si="13"/>
        <v>5.145722393658463E-4</v>
      </c>
      <c r="BB63" s="63">
        <f t="shared" si="13"/>
        <v>5.2059315175829654E-4</v>
      </c>
      <c r="BC63" s="63">
        <f t="shared" si="13"/>
        <v>5.2672281001026977E-4</v>
      </c>
      <c r="BD63" s="63">
        <f t="shared" si="13"/>
        <v>5.32963559065597E-4</v>
      </c>
      <c r="BE63" s="63">
        <f t="shared" si="13"/>
        <v>5.3931755028886741E-4</v>
      </c>
      <c r="BF63" s="63">
        <f t="shared" si="13"/>
        <v>5.4578678497586885E-4</v>
      </c>
      <c r="BG63" s="63">
        <f t="shared" si="13"/>
        <v>5.523776460127761E-4</v>
      </c>
      <c r="BH63" s="63">
        <f t="shared" si="13"/>
        <v>5.590874323365755E-4</v>
      </c>
      <c r="BI63" s="63">
        <f t="shared" si="13"/>
        <v>5.6591663938700023E-4</v>
      </c>
      <c r="BJ63" s="63">
        <f t="shared" si="13"/>
        <v>5.7286684172992686E-4</v>
      </c>
      <c r="BK63" s="63">
        <f t="shared" si="13"/>
        <v>5.7507246904407543E-4</v>
      </c>
      <c r="BL63" s="63">
        <f t="shared" si="13"/>
        <v>5.7733387037804717E-4</v>
      </c>
      <c r="BM63" s="63">
        <f t="shared" si="13"/>
        <v>5.7964963891097123E-4</v>
      </c>
      <c r="BN63" s="63">
        <f t="shared" ref="BN63:CV63" si="14">+BN62+BN50/100</f>
        <v>5.8201840174539542E-4</v>
      </c>
      <c r="BO63" s="63">
        <f t="shared" si="14"/>
        <v>5.8443881909049796E-4</v>
      </c>
      <c r="BP63" s="63">
        <f t="shared" si="14"/>
        <v>5.869095834649641E-4</v>
      </c>
      <c r="BQ63" s="63">
        <f t="shared" si="14"/>
        <v>5.8942941891905573E-4</v>
      </c>
      <c r="BR63" s="63">
        <f t="shared" si="14"/>
        <v>5.9199708027540831E-4</v>
      </c>
      <c r="BS63" s="63">
        <f t="shared" si="14"/>
        <v>5.9461135238810827E-4</v>
      </c>
      <c r="BT63" s="63">
        <f t="shared" si="14"/>
        <v>5.9727104941960905E-4</v>
      </c>
      <c r="BU63" s="63">
        <f t="shared" si="14"/>
        <v>5.9997501413505498E-4</v>
      </c>
      <c r="BV63" s="63">
        <f t="shared" si="14"/>
        <v>6.027221172135958E-4</v>
      </c>
      <c r="BW63" s="63">
        <f t="shared" si="14"/>
        <v>6.0551125657628266E-4</v>
      </c>
      <c r="BX63" s="63">
        <f t="shared" si="14"/>
        <v>6.083413567301454E-4</v>
      </c>
      <c r="BY63" s="63">
        <f t="shared" si="14"/>
        <v>6.1121136812806109E-4</v>
      </c>
      <c r="BZ63" s="63">
        <f t="shared" si="14"/>
        <v>6.1412026654403674E-4</v>
      </c>
      <c r="CA63" s="63">
        <f t="shared" si="14"/>
        <v>6.170670524635294E-4</v>
      </c>
      <c r="CB63" s="63">
        <f t="shared" si="14"/>
        <v>6.2005075048844898E-4</v>
      </c>
      <c r="CC63" s="63">
        <f t="shared" si="14"/>
        <v>6.2307040875648318E-4</v>
      </c>
      <c r="CD63" s="63">
        <f t="shared" si="14"/>
        <v>6.2612509837440449E-4</v>
      </c>
      <c r="CE63" s="63">
        <f t="shared" si="14"/>
        <v>6.2921391286502077E-4</v>
      </c>
      <c r="CF63" s="63">
        <f t="shared" si="14"/>
        <v>6.3233596762744034E-4</v>
      </c>
      <c r="CG63" s="63">
        <f t="shared" si="14"/>
        <v>6.3549039941033353E-4</v>
      </c>
      <c r="CH63" s="63">
        <f t="shared" si="14"/>
        <v>6.3867636579787368E-4</v>
      </c>
      <c r="CI63" s="63">
        <f t="shared" si="14"/>
        <v>6.4189304470805729E-4</v>
      </c>
      <c r="CJ63" s="63">
        <f t="shared" si="14"/>
        <v>6.451396339031011E-4</v>
      </c>
      <c r="CK63" s="63">
        <f t="shared" si="14"/>
        <v>6.4841535051162716E-4</v>
      </c>
      <c r="CL63" s="63">
        <f t="shared" si="14"/>
        <v>6.5171943056235252E-4</v>
      </c>
      <c r="CM63" s="63">
        <f t="shared" si="14"/>
        <v>6.5505112852900517E-4</v>
      </c>
      <c r="CN63" s="63">
        <f t="shared" si="14"/>
        <v>6.5840971688619699E-4</v>
      </c>
      <c r="CO63" s="63">
        <f t="shared" si="14"/>
        <v>6.6179448567599026E-4</v>
      </c>
      <c r="CP63" s="63">
        <f t="shared" si="14"/>
        <v>6.6520474208489741E-4</v>
      </c>
      <c r="CQ63" s="63">
        <f t="shared" si="14"/>
        <v>6.6863981003106865E-4</v>
      </c>
      <c r="CR63" s="63">
        <f t="shared" si="14"/>
        <v>6.7209902976141447E-4</v>
      </c>
      <c r="CS63" s="63">
        <f t="shared" si="14"/>
        <v>6.7558175745843232E-4</v>
      </c>
      <c r="CT63" s="63">
        <f t="shared" si="14"/>
        <v>6.7908736485649353E-4</v>
      </c>
      <c r="CU63" s="63">
        <f t="shared" si="14"/>
        <v>6.8261523886737545E-4</v>
      </c>
      <c r="CV63" s="63">
        <f t="shared" si="14"/>
        <v>6.8616478121480483E-4</v>
      </c>
    </row>
    <row r="64" spans="1:105" s="143" customFormat="1" ht="18" customHeight="1" x14ac:dyDescent="0.2">
      <c r="A64" s="559" t="s">
        <v>1133</v>
      </c>
      <c r="B64" s="143">
        <f>+B61-B65</f>
        <v>1.2797199487879496E-3</v>
      </c>
      <c r="C64" s="143">
        <f>+C63*C61/(1+C63^Parameters!$B$125)</f>
        <v>1.0533203731447483E-3</v>
      </c>
      <c r="D64" s="143">
        <f>+D63*D61/(1+D63^Parameters!$B$125)</f>
        <v>5.2625654895815596E-4</v>
      </c>
      <c r="E64" s="143">
        <f>+E63*E61/(1+E63^Parameters!$B$125)</f>
        <v>4.9986527097362543E-4</v>
      </c>
      <c r="F64" s="143">
        <f>+F63*F61/(1+F63^Parameters!$B$125)</f>
        <v>5.8070253770992162E-4</v>
      </c>
      <c r="G64" s="143">
        <f>+G63*G61/(1+G63^Parameters!$B$125)</f>
        <v>9.9790747797734967E-4</v>
      </c>
      <c r="H64" s="143">
        <f>+H63*H61/(1+H63^Parameters!$B$125)</f>
        <v>7.4083271201037218E-4</v>
      </c>
      <c r="I64" s="143">
        <f>+I63*I61/(1+I63^Parameters!$B$125)</f>
        <v>1.0756409143303967E-3</v>
      </c>
      <c r="J64" s="143">
        <f>+J63*J61/(1+J63^Parameters!$B$125)</f>
        <v>1.5224264006597514E-3</v>
      </c>
      <c r="K64" s="143">
        <f>+K63*K61/(1+K63^Parameters!$B$125)</f>
        <v>9.0050870531575107E-4</v>
      </c>
      <c r="L64" s="143">
        <f>+L63*L61/(1+L63^Parameters!$B$125)</f>
        <v>9.8277879588731082E-4</v>
      </c>
      <c r="M64" s="143">
        <f>+M63*M61/(1+M63^Parameters!$B$125)</f>
        <v>1.496403303247874E-3</v>
      </c>
      <c r="N64" s="143">
        <f>+N63*N61/(1+N63^Parameters!$B$125)</f>
        <v>1.9812927527108433E-3</v>
      </c>
      <c r="O64" s="143">
        <f>+O63*O61/(1+O63^Parameters!$B$125)</f>
        <v>2.0818741113728888E-3</v>
      </c>
      <c r="P64" s="143">
        <f>+P63*P61/(1+P63^Parameters!$B$125)</f>
        <v>1.8838792466552754E-3</v>
      </c>
      <c r="Q64" s="143">
        <f>+Q63*Q61/(1+Q63^Parameters!$B$125)</f>
        <v>2.7028706708186446E-3</v>
      </c>
      <c r="R64" s="143">
        <f>+R63*R61/(1+R63^Parameters!$B$125)</f>
        <v>2.7839559199212657E-3</v>
      </c>
      <c r="S64" s="143">
        <f>+S63*S61/(1+S63^Parameters!$B$125)</f>
        <v>3.1642218625592554E-3</v>
      </c>
      <c r="T64" s="143">
        <f>+T63*T61/(1+T63^Parameters!$B$125)</f>
        <v>2.6218789279151434E-3</v>
      </c>
      <c r="U64" s="143">
        <f>+U63*U61/(1+U63^Parameters!$B$125)</f>
        <v>3.11865637054006E-3</v>
      </c>
      <c r="V64" s="143">
        <f>+V63*V61/(1+V63^Parameters!$B$125)</f>
        <v>3.6667384650092474E-3</v>
      </c>
      <c r="W64" s="143">
        <f>+W63*W61/(1+W63^Parameters!$B$125)</f>
        <v>3.1295151804073807E-3</v>
      </c>
      <c r="X64" s="143">
        <f>+X63*X61/(1+X63^Parameters!$B$125)</f>
        <v>3.4749396452466532E-3</v>
      </c>
      <c r="Y64" s="143">
        <f>+Y63*Y61/(1+Y63^Parameters!$B$125)</f>
        <v>3.7852893441424735E-3</v>
      </c>
      <c r="Z64" s="143">
        <f>+Z63*Z61/(1+Z63^Parameters!$B$125)</f>
        <v>4.2630729855051477E-3</v>
      </c>
      <c r="AA64" s="143">
        <f>+AA63*AA61/(1+AA63^Parameters!$B$125)</f>
        <v>5.5895305991636663E-3</v>
      </c>
      <c r="AB64" s="143">
        <f>+AB63*AB61/(1+AB63^Parameters!$B$125)</f>
        <v>6.7665966916626826E-3</v>
      </c>
      <c r="AC64" s="143">
        <f>+AC63*AC61/(1+AC63^Parameters!$B$125)</f>
        <v>6.1873209210130849E-3</v>
      </c>
      <c r="AD64" s="143">
        <f>+AD63*AD61/(1+AD63^Parameters!$B$125)</f>
        <v>5.8051399964007353E-3</v>
      </c>
      <c r="AE64" s="143">
        <f>+AE63*AE61/(1+AE63^Parameters!$B$125)</f>
        <v>7.3873492873371719E-3</v>
      </c>
      <c r="AF64" s="143">
        <f>+AF63*AF61/(1+AF63^Parameters!$B$125)</f>
        <v>7.5067681962338101E-3</v>
      </c>
      <c r="AG64" s="143">
        <f>+AG63*AG61/(1+AG63^Parameters!$B$125)</f>
        <v>6.2632049807541607E-3</v>
      </c>
      <c r="AH64" s="143">
        <f>+AH63*AH61/(1+AH63^Parameters!$B$125)</f>
        <v>6.5904475232117588E-3</v>
      </c>
      <c r="AI64" s="143">
        <f>+AI63*AI61/(1+AI63^Parameters!$B$125)</f>
        <v>5.907580836578754E-2</v>
      </c>
      <c r="AJ64" s="143">
        <f>+AJ63*AJ61/(1+AJ63^Parameters!$B$125)</f>
        <v>1.1384621196218952E-2</v>
      </c>
      <c r="AK64" s="143">
        <f>+AK63*AK61/(1+AK63^Parameters!$B$125)</f>
        <v>1.5754302119897472E-2</v>
      </c>
      <c r="AL64" s="143">
        <f>+AL63*AL61/(1+AL63^Parameters!$B$125)</f>
        <v>1.8665467899502831E-2</v>
      </c>
      <c r="AM64" s="143">
        <f>+AM63*AM61/(1+AM63^Parameters!$B$125)</f>
        <v>2.0790351782947424E-2</v>
      </c>
      <c r="AN64" s="143">
        <f>+AN63*AN61/(1+AN63^Parameters!$B$125)</f>
        <v>2.2504997834168244E-2</v>
      </c>
      <c r="AO64" s="143">
        <f>+AO63*AO61/(1+AO63^Parameters!$B$125)</f>
        <v>2.4013520546222668E-2</v>
      </c>
      <c r="AP64" s="143">
        <f>+AP63*AP61/(1+AP63^Parameters!$B$125)</f>
        <v>2.5429086937609716E-2</v>
      </c>
      <c r="AQ64" s="143">
        <f>+AQ63*AQ61/(1+AQ63^Parameters!$B$125)</f>
        <v>2.68157389402514E-2</v>
      </c>
      <c r="AR64" s="143">
        <f>+AR63*AR61/(1+AR63^Parameters!$B$125)</f>
        <v>2.8210545617458126E-2</v>
      </c>
      <c r="AS64" s="143">
        <f>+AS63*AS61/(1+AS63^Parameters!$B$125)</f>
        <v>2.9635644545752109E-2</v>
      </c>
      <c r="AT64" s="143">
        <f>+AT63*AT61/(1+AT63^Parameters!$B$125)</f>
        <v>3.1104891328911644E-2</v>
      </c>
      <c r="AU64" s="143">
        <f>+AU63*AU61/(1+AU63^Parameters!$B$125)</f>
        <v>3.2627564330699348E-2</v>
      </c>
      <c r="AV64" s="143">
        <f>+AV63*AV61/(1+AV63^Parameters!$B$125)</f>
        <v>3.4210439291217733E-2</v>
      </c>
      <c r="AW64" s="143">
        <f>+AW63*AW61/(1+AW63^Parameters!$B$125)</f>
        <v>3.5858955103087967E-2</v>
      </c>
      <c r="AX64" s="143">
        <f>+AX63*AX61/(1+AX63^Parameters!$B$125)</f>
        <v>3.7577871082139912E-2</v>
      </c>
      <c r="AY64" s="143">
        <f>+AY63*AY61/(1+AY63^Parameters!$B$125)</f>
        <v>3.9371639298048544E-2</v>
      </c>
      <c r="AZ64" s="143">
        <f>+AZ63*AZ61/(1+AZ63^Parameters!$B$125)</f>
        <v>4.1244617202351126E-2</v>
      </c>
      <c r="BA64" s="143">
        <f>+BA63*BA61/(1+BA63^Parameters!$B$125)</f>
        <v>4.3201190814077126E-2</v>
      </c>
      <c r="BB64" s="143">
        <f>+BB63*BB61/(1+BB63^Parameters!$B$125)</f>
        <v>4.5245847905816969E-2</v>
      </c>
      <c r="BC64" s="143">
        <f>+BC63*BC61/(1+BC63^Parameters!$B$125)</f>
        <v>4.7383223338378015E-2</v>
      </c>
      <c r="BD64" s="143">
        <f>+BD63*BD61/(1+BD63^Parameters!$B$125)</f>
        <v>4.9618128982401623E-2</v>
      </c>
      <c r="BE64" s="143">
        <f>+BE63*BE61/(1+BE63^Parameters!$B$125)</f>
        <v>5.1955575213879779E-2</v>
      </c>
      <c r="BF64" s="143">
        <f>+BF63*BF61/(1+BF63^Parameters!$B$125)</f>
        <v>5.4402561933545965E-2</v>
      </c>
      <c r="BG64" s="143">
        <f>+BG63*BG61/(1+BG63^Parameters!$B$125)</f>
        <v>5.6963367807255832E-2</v>
      </c>
      <c r="BH64" s="143">
        <f>+BH63*BH61/(1+BH63^Parameters!$B$125)</f>
        <v>5.9642765826102617E-2</v>
      </c>
      <c r="BI64" s="143">
        <f>+BI63*BI61/(1+BI63^Parameters!$B$125)</f>
        <v>6.2446520366833749E-2</v>
      </c>
      <c r="BJ64" s="143">
        <f>+BJ63*BJ61/(1+BJ63^Parameters!$B$125)</f>
        <v>6.3213445956141937E-2</v>
      </c>
      <c r="BK64" s="143">
        <f>+BK63*BK61/(1+BK63^Parameters!$B$125)</f>
        <v>6.3456827651269004E-2</v>
      </c>
      <c r="BL64" s="143">
        <f>+BL63*BL61/(1+BL63^Parameters!$B$125)</f>
        <v>6.3706363774844413E-2</v>
      </c>
      <c r="BM64" s="143">
        <f>+BM63*BM61/(1+BM63^Parameters!$B$125)</f>
        <v>6.3961899090103497E-2</v>
      </c>
      <c r="BN64" s="143">
        <f>+BN63*BN61/(1+BN63^Parameters!$B$125)</f>
        <v>6.4223282103588117E-2</v>
      </c>
      <c r="BO64" s="143">
        <f>+BO63*BO61/(1+BO63^Parameters!$B$125)</f>
        <v>6.4490364975017575E-2</v>
      </c>
      <c r="BP64" s="143">
        <f>+BP63*BP61/(1+BP63^Parameters!$B$125)</f>
        <v>6.476300342932928E-2</v>
      </c>
      <c r="BQ64" s="143">
        <f>+BQ63*BQ61/(1+BQ63^Parameters!$B$125)</f>
        <v>6.504105667083751E-2</v>
      </c>
      <c r="BR64" s="143">
        <f>+BR63*BR61/(1+BR63^Parameters!$B$125)</f>
        <v>6.5324387299458511E-2</v>
      </c>
      <c r="BS64" s="143">
        <f>+BS63*BS61/(1+BS63^Parameters!$B$125)</f>
        <v>6.5612861228952782E-2</v>
      </c>
      <c r="BT64" s="143">
        <f>+BT63*BT61/(1+BT63^Parameters!$B$125)</f>
        <v>6.5906347607135846E-2</v>
      </c>
      <c r="BU64" s="143">
        <f>+BU63*BU61/(1+BU63^Parameters!$B$125)</f>
        <v>6.6204718738009816E-2</v>
      </c>
      <c r="BV64" s="143">
        <f>+BV63*BV61/(1+BV63^Parameters!$B$125)</f>
        <v>6.6507850005769878E-2</v>
      </c>
      <c r="BW64" s="143">
        <f>+BW63*BW61/(1+BW63^Parameters!$B$125)</f>
        <v>6.6815619800640408E-2</v>
      </c>
      <c r="BX64" s="143">
        <f>+BX63*BX61/(1+BX63^Parameters!$B$125)</f>
        <v>6.7127909446496742E-2</v>
      </c>
      <c r="BY64" s="143">
        <f>+BY63*BY61/(1+BY63^Parameters!$B$125)</f>
        <v>6.7444603130229236E-2</v>
      </c>
      <c r="BZ64" s="143">
        <f>+BZ63*BZ61/(1+BZ63^Parameters!$B$125)</f>
        <v>6.7765587832808477E-2</v>
      </c>
      <c r="CA64" s="143">
        <f>+CA63*CA61/(1+CA63^Parameters!$B$125)</f>
        <v>6.8090753262009543E-2</v>
      </c>
      <c r="CB64" s="143">
        <f>+CB63*CB61/(1+CB63^Parameters!$B$125)</f>
        <v>6.8419991786756645E-2</v>
      </c>
      <c r="CC64" s="143">
        <f>+CC63*CC61/(1+CC63^Parameters!$B$125)</f>
        <v>6.8753198373048108E-2</v>
      </c>
      <c r="CD64" s="143">
        <f>+CD63*CD61/(1+CD63^Parameters!$B$125)</f>
        <v>6.9090270521424066E-2</v>
      </c>
      <c r="CE64" s="143">
        <f>+CE63*CE61/(1+CE63^Parameters!$B$125)</f>
        <v>6.9431108205939895E-2</v>
      </c>
      <c r="CF64" s="143">
        <f>+CF63*CF61/(1+CF63^Parameters!$B$125)</f>
        <v>6.9775613814608659E-2</v>
      </c>
      <c r="CG64" s="143">
        <f>+CG63*CG61/(1+CG63^Parameters!$B$125)</f>
        <v>7.012369209127782E-2</v>
      </c>
      <c r="CH64" s="143">
        <f>+CH63*CH61/(1+CH63^Parameters!$B$125)</f>
        <v>7.04752500789049E-2</v>
      </c>
      <c r="CI64" s="143">
        <f>+CI63*CI61/(1+CI63^Parameters!$B$125)</f>
        <v>7.0830197064199282E-2</v>
      </c>
      <c r="CJ64" s="143">
        <f>+CJ63*CJ61/(1+CJ63^Parameters!$B$125)</f>
        <v>7.1188444523596572E-2</v>
      </c>
      <c r="CK64" s="143">
        <f>+CK63*CK61/(1+CK63^Parameters!$B$125)</f>
        <v>7.1549906070533728E-2</v>
      </c>
      <c r="CL64" s="143">
        <f>+CL63*CL61/(1+CL63^Parameters!$B$125)</f>
        <v>7.1914497403993652E-2</v>
      </c>
      <c r="CM64" s="143">
        <f>+CM63*CM61/(1+CM63^Parameters!$B$125)</f>
        <v>7.2282136258288651E-2</v>
      </c>
      <c r="CN64" s="143">
        <f>+CN63*CN61/(1+CN63^Parameters!$B$125)</f>
        <v>7.2652742354052821E-2</v>
      </c>
      <c r="CO64" s="143">
        <f>+CO63*CO61/(1+CO63^Parameters!$B$125)</f>
        <v>7.3026237350414469E-2</v>
      </c>
      <c r="CP64" s="143">
        <f>+CP63*CP61/(1+CP63^Parameters!$B$125)</f>
        <v>7.340254479831991E-2</v>
      </c>
      <c r="CQ64" s="143">
        <f>+CQ63*CQ61/(1+CQ63^Parameters!$B$125)</f>
        <v>7.3781590094981267E-2</v>
      </c>
      <c r="CR64" s="143">
        <f>+CR63*CR61/(1+CR63^Parameters!$B$125)</f>
        <v>7.4163300439420654E-2</v>
      </c>
      <c r="CS64" s="143">
        <f>+CS63*CS61/(1+CS63^Parameters!$B$125)</f>
        <v>7.454760478908519E-2</v>
      </c>
      <c r="CT64" s="143">
        <f>+CT63*CT61/(1+CT63^Parameters!$B$125)</f>
        <v>7.4934433817505836E-2</v>
      </c>
      <c r="CU64" s="143">
        <f>+CU63*CU61/(1+CU63^Parameters!$B$125)</f>
        <v>7.5323719872976466E-2</v>
      </c>
      <c r="CV64" s="143">
        <f>+CV63*CV61/(1+CV63^Parameters!$B$125)</f>
        <v>7.571539693822725E-2</v>
      </c>
    </row>
    <row r="65" spans="1:237" s="45" customFormat="1" ht="18" customHeight="1" x14ac:dyDescent="0.2">
      <c r="A65" s="555" t="s">
        <v>21</v>
      </c>
      <c r="B65" s="45">
        <f>+B61/(1+B63)</f>
        <v>1.8920437157080836</v>
      </c>
      <c r="C65" s="45">
        <f t="shared" ref="C65:BN65" si="15">+C61-C64</f>
        <v>1.7189028618020425</v>
      </c>
      <c r="D65" s="45">
        <f t="shared" si="15"/>
        <v>1.5314196525024575</v>
      </c>
      <c r="E65" s="45">
        <f t="shared" si="15"/>
        <v>1.3869023736148456</v>
      </c>
      <c r="F65" s="45">
        <f t="shared" si="15"/>
        <v>1.2173582995683765</v>
      </c>
      <c r="G65" s="45">
        <f t="shared" si="15"/>
        <v>1.4262796506744146</v>
      </c>
      <c r="H65" s="45">
        <f t="shared" si="15"/>
        <v>1.4283933776055784</v>
      </c>
      <c r="I65" s="45">
        <f t="shared" si="15"/>
        <v>1.4350957454031137</v>
      </c>
      <c r="J65" s="45">
        <f t="shared" si="15"/>
        <v>1.4527975423206843</v>
      </c>
      <c r="K65" s="45">
        <f t="shared" si="15"/>
        <v>1.4589343674717714</v>
      </c>
      <c r="L65" s="45">
        <f t="shared" si="15"/>
        <v>1.5368045160373924</v>
      </c>
      <c r="M65" s="45">
        <f t="shared" si="15"/>
        <v>1.6395841638452195</v>
      </c>
      <c r="N65" s="45">
        <f t="shared" si="15"/>
        <v>1.7367208577420583</v>
      </c>
      <c r="O65" s="45">
        <f t="shared" si="15"/>
        <v>1.8526627257970636</v>
      </c>
      <c r="P65" s="45">
        <f t="shared" si="15"/>
        <v>2.0226989677666918</v>
      </c>
      <c r="Q65" s="45">
        <f t="shared" si="15"/>
        <v>2.1508045975780687</v>
      </c>
      <c r="R65" s="45">
        <f t="shared" si="15"/>
        <v>2.3374478940256287</v>
      </c>
      <c r="S65" s="45">
        <f t="shared" si="15"/>
        <v>2.5381252033985704</v>
      </c>
      <c r="T65" s="45">
        <f t="shared" si="15"/>
        <v>2.6714982981955759</v>
      </c>
      <c r="U65" s="45">
        <f t="shared" si="15"/>
        <v>2.521932250806322</v>
      </c>
      <c r="V65" s="45">
        <f t="shared" si="15"/>
        <v>2.5917003922488653</v>
      </c>
      <c r="W65" s="45">
        <f t="shared" si="15"/>
        <v>2.7163636039542745</v>
      </c>
      <c r="X65" s="45">
        <f t="shared" si="15"/>
        <v>2.773719146101957</v>
      </c>
      <c r="Y65" s="45">
        <f t="shared" si="15"/>
        <v>2.8417866849247462</v>
      </c>
      <c r="Z65" s="45">
        <f t="shared" si="15"/>
        <v>2.8573671624426469</v>
      </c>
      <c r="AA65" s="45">
        <f t="shared" si="15"/>
        <v>2.8602583475940753</v>
      </c>
      <c r="AB65" s="45">
        <f t="shared" si="15"/>
        <v>2.9249151158356623</v>
      </c>
      <c r="AC65" s="45">
        <f t="shared" si="15"/>
        <v>3.0485493739010696</v>
      </c>
      <c r="AD65" s="45">
        <f t="shared" si="15"/>
        <v>3.1797501074978287</v>
      </c>
      <c r="AE65" s="45">
        <f t="shared" si="15"/>
        <v>3.3025212431697741</v>
      </c>
      <c r="AF65" s="45">
        <f t="shared" si="15"/>
        <v>3.2019362586473403</v>
      </c>
      <c r="AG65" s="45">
        <f t="shared" si="15"/>
        <v>3.3929023175357242</v>
      </c>
      <c r="AH65" s="45">
        <f t="shared" si="15"/>
        <v>3.3389108441430664</v>
      </c>
      <c r="AI65" s="45">
        <f t="shared" si="15"/>
        <v>20.14184447920055</v>
      </c>
      <c r="AJ65" s="45">
        <f t="shared" si="15"/>
        <v>32.180996387848715</v>
      </c>
      <c r="AK65" s="45">
        <f t="shared" si="15"/>
        <v>39.624406085580482</v>
      </c>
      <c r="AL65" s="45">
        <f t="shared" si="15"/>
        <v>44.54598258722713</v>
      </c>
      <c r="AM65" s="45">
        <f t="shared" si="15"/>
        <v>48.154749424169381</v>
      </c>
      <c r="AN65" s="45">
        <f t="shared" si="15"/>
        <v>51.078546106112</v>
      </c>
      <c r="AO65" s="45">
        <f t="shared" si="15"/>
        <v>53.650912144422946</v>
      </c>
      <c r="AP65" s="45">
        <f t="shared" si="15"/>
        <v>56.053433331551737</v>
      </c>
      <c r="AQ65" s="45">
        <f t="shared" si="15"/>
        <v>58.386831235400805</v>
      </c>
      <c r="AR65" s="45">
        <f t="shared" si="15"/>
        <v>60.70795052143999</v>
      </c>
      <c r="AS65" s="45">
        <f t="shared" si="15"/>
        <v>63.049572939981218</v>
      </c>
      <c r="AT65" s="45">
        <f t="shared" si="15"/>
        <v>65.431216027852244</v>
      </c>
      <c r="AU65" s="45">
        <f t="shared" si="15"/>
        <v>67.865074813361133</v>
      </c>
      <c r="AV65" s="45">
        <f t="shared" si="15"/>
        <v>70.359307971127663</v>
      </c>
      <c r="AW65" s="45">
        <f t="shared" si="15"/>
        <v>72.919860483706969</v>
      </c>
      <c r="AX65" s="45">
        <f t="shared" si="15"/>
        <v>75.55147645943677</v>
      </c>
      <c r="AY65" s="45">
        <f t="shared" si="15"/>
        <v>78.258262937879493</v>
      </c>
      <c r="AZ65" s="45">
        <f t="shared" si="15"/>
        <v>81.044004553989438</v>
      </c>
      <c r="BA65" s="45">
        <f t="shared" si="15"/>
        <v>83.912339954036341</v>
      </c>
      <c r="BB65" s="45">
        <f t="shared" si="15"/>
        <v>86.866861529995163</v>
      </c>
      <c r="BC65" s="45">
        <f t="shared" si="15"/>
        <v>89.911172658177676</v>
      </c>
      <c r="BD65" s="45">
        <f t="shared" si="15"/>
        <v>93.048921421063341</v>
      </c>
      <c r="BE65" s="45">
        <f t="shared" si="15"/>
        <v>96.283821345176548</v>
      </c>
      <c r="BF65" s="45">
        <f t="shared" si="15"/>
        <v>99.622913619240194</v>
      </c>
      <c r="BG65" s="45">
        <f t="shared" si="15"/>
        <v>103.06699216955768</v>
      </c>
      <c r="BH65" s="45">
        <f t="shared" si="15"/>
        <v>106.61913836298517</v>
      </c>
      <c r="BI65" s="45">
        <f t="shared" si="15"/>
        <v>110.28334651811971</v>
      </c>
      <c r="BJ65" s="45">
        <f t="shared" si="15"/>
        <v>110.28257959253041</v>
      </c>
      <c r="BK65" s="45">
        <f t="shared" si="15"/>
        <v>110.28233621083528</v>
      </c>
      <c r="BL65" s="45">
        <f t="shared" si="15"/>
        <v>110.28208667471171</v>
      </c>
      <c r="BM65" s="45">
        <f t="shared" si="15"/>
        <v>110.28183113939644</v>
      </c>
      <c r="BN65" s="45">
        <f t="shared" si="15"/>
        <v>110.28156975638296</v>
      </c>
      <c r="BO65" s="45">
        <f t="shared" ref="BO65:CV65" si="16">+BO61-BO64</f>
        <v>110.28130267351153</v>
      </c>
      <c r="BP65" s="45">
        <f t="shared" si="16"/>
        <v>110.28103003505721</v>
      </c>
      <c r="BQ65" s="45">
        <f t="shared" si="16"/>
        <v>110.28075198181571</v>
      </c>
      <c r="BR65" s="45">
        <f t="shared" si="16"/>
        <v>110.28046865118709</v>
      </c>
      <c r="BS65" s="45">
        <f t="shared" si="16"/>
        <v>110.28018017725759</v>
      </c>
      <c r="BT65" s="45">
        <f t="shared" si="16"/>
        <v>110.27988669087941</v>
      </c>
      <c r="BU65" s="45">
        <f t="shared" si="16"/>
        <v>110.27958831974854</v>
      </c>
      <c r="BV65" s="45">
        <f t="shared" si="16"/>
        <v>110.27928518848078</v>
      </c>
      <c r="BW65" s="45">
        <f t="shared" si="16"/>
        <v>110.27897741868591</v>
      </c>
      <c r="BX65" s="45">
        <f t="shared" si="16"/>
        <v>110.27866512904005</v>
      </c>
      <c r="BY65" s="45">
        <f t="shared" si="16"/>
        <v>110.27834843535632</v>
      </c>
      <c r="BZ65" s="45">
        <f t="shared" si="16"/>
        <v>110.27802745065374</v>
      </c>
      <c r="CA65" s="45">
        <f t="shared" si="16"/>
        <v>110.27770228522454</v>
      </c>
      <c r="CB65" s="45">
        <f t="shared" si="16"/>
        <v>110.27737304669979</v>
      </c>
      <c r="CC65" s="45">
        <f t="shared" si="16"/>
        <v>110.2770398401135</v>
      </c>
      <c r="CD65" s="45">
        <f t="shared" si="16"/>
        <v>110.27670276796512</v>
      </c>
      <c r="CE65" s="45">
        <f t="shared" si="16"/>
        <v>110.27636193028061</v>
      </c>
      <c r="CF65" s="45">
        <f t="shared" si="16"/>
        <v>110.27601742467193</v>
      </c>
      <c r="CG65" s="45">
        <f t="shared" si="16"/>
        <v>110.27566934639528</v>
      </c>
      <c r="CH65" s="45">
        <f t="shared" si="16"/>
        <v>110.27531778840765</v>
      </c>
      <c r="CI65" s="45">
        <f t="shared" si="16"/>
        <v>110.27496284142235</v>
      </c>
      <c r="CJ65" s="45">
        <f t="shared" si="16"/>
        <v>110.27460459396295</v>
      </c>
      <c r="CK65" s="45">
        <f t="shared" si="16"/>
        <v>110.27424313241602</v>
      </c>
      <c r="CL65" s="45">
        <f t="shared" si="16"/>
        <v>110.27387854108255</v>
      </c>
      <c r="CM65" s="45">
        <f t="shared" si="16"/>
        <v>110.27351090222825</v>
      </c>
      <c r="CN65" s="45">
        <f t="shared" si="16"/>
        <v>110.2731402961325</v>
      </c>
      <c r="CO65" s="45">
        <f t="shared" si="16"/>
        <v>110.27276680113613</v>
      </c>
      <c r="CP65" s="45">
        <f t="shared" si="16"/>
        <v>110.27239049368823</v>
      </c>
      <c r="CQ65" s="45">
        <f t="shared" si="16"/>
        <v>110.27201144839157</v>
      </c>
      <c r="CR65" s="45">
        <f t="shared" si="16"/>
        <v>110.27162973804712</v>
      </c>
      <c r="CS65" s="45">
        <f t="shared" si="16"/>
        <v>110.27124543369746</v>
      </c>
      <c r="CT65" s="45">
        <f t="shared" si="16"/>
        <v>110.27085860466904</v>
      </c>
      <c r="CU65" s="45">
        <f t="shared" si="16"/>
        <v>110.27046931861356</v>
      </c>
      <c r="CV65" s="45">
        <f t="shared" si="16"/>
        <v>110.27007764154833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3.4977031816372448E-11</v>
      </c>
      <c r="E66" s="33">
        <f t="shared" si="17"/>
        <v>2.9395346480657275E-11</v>
      </c>
      <c r="F66" s="33">
        <f t="shared" si="17"/>
        <v>2.5134671498794937E-11</v>
      </c>
      <c r="G66" s="33">
        <f t="shared" si="17"/>
        <v>2.1827696843997322E-11</v>
      </c>
      <c r="H66" s="33">
        <f t="shared" si="17"/>
        <v>1.9222033280792223E-11</v>
      </c>
      <c r="I66" s="33">
        <f t="shared" si="17"/>
        <v>1.7140839890058267E-11</v>
      </c>
      <c r="J66" s="33">
        <f t="shared" si="17"/>
        <v>1.5457956761983639E-11</v>
      </c>
      <c r="K66" s="33">
        <f t="shared" si="17"/>
        <v>1.4081866726224108E-11</v>
      </c>
      <c r="L66" s="33">
        <f t="shared" si="17"/>
        <v>1.2945148244226076E-11</v>
      </c>
      <c r="M66" s="33">
        <f t="shared" si="17"/>
        <v>1.1997412755089119E-11</v>
      </c>
      <c r="N66" s="33">
        <f t="shared" si="17"/>
        <v>1.1200494907745773E-11</v>
      </c>
      <c r="O66" s="33">
        <f t="shared" si="17"/>
        <v>1.052512511767904E-11</v>
      </c>
      <c r="P66" s="33">
        <f t="shared" si="17"/>
        <v>9.9485935371582869E-12</v>
      </c>
      <c r="Q66" s="33">
        <f t="shared" si="17"/>
        <v>9.4530873505285221E-12</v>
      </c>
      <c r="R66" s="33">
        <f t="shared" si="17"/>
        <v>9.0244919824617596E-12</v>
      </c>
      <c r="S66" s="33">
        <f t="shared" si="17"/>
        <v>8.651516285398217E-12</v>
      </c>
      <c r="T66" s="33">
        <f t="shared" si="17"/>
        <v>8.3250468632395142E-12</v>
      </c>
      <c r="U66" s="33">
        <f t="shared" si="17"/>
        <v>8.0376663971284917E-12</v>
      </c>
      <c r="V66" s="33">
        <f t="shared" si="17"/>
        <v>7.7832906887349399E-12</v>
      </c>
      <c r="W66" s="33">
        <f t="shared" si="17"/>
        <v>7.5568926099580918E-12</v>
      </c>
      <c r="X66" s="33">
        <f t="shared" si="17"/>
        <v>7.3542901312074992E-12</v>
      </c>
      <c r="Y66" s="33">
        <f t="shared" si="17"/>
        <v>7.1719822885055798E-12</v>
      </c>
      <c r="Z66" s="33">
        <f t="shared" si="17"/>
        <v>7.0070211697505224E-12</v>
      </c>
      <c r="AA66" s="33">
        <f t="shared" si="17"/>
        <v>6.8569112440441356E-12</v>
      </c>
      <c r="AB66" s="33">
        <f t="shared" si="17"/>
        <v>1.7268098211103311E-3</v>
      </c>
      <c r="AC66" s="33">
        <f t="shared" si="17"/>
        <v>1.6025240647047885E-3</v>
      </c>
      <c r="AD66" s="33">
        <f t="shared" si="17"/>
        <v>1.4900854644271768E-3</v>
      </c>
      <c r="AE66" s="33">
        <f t="shared" si="17"/>
        <v>1.3880616220207237E-3</v>
      </c>
      <c r="AF66" s="33">
        <f t="shared" si="17"/>
        <v>1.2952317542807522E-3</v>
      </c>
      <c r="AG66" s="33">
        <f t="shared" si="17"/>
        <v>1.2105502413637223E-3</v>
      </c>
      <c r="AH66" s="33">
        <f t="shared" ref="AH66:BI66" si="18">(AH31*(AH103)^$B38)</f>
        <v>1.1331172099931276E-3</v>
      </c>
      <c r="AI66" s="33">
        <f t="shared" si="18"/>
        <v>1.0621546664800112E-3</v>
      </c>
      <c r="AJ66" s="33">
        <f t="shared" si="18"/>
        <v>9.9698703303035185E-4</v>
      </c>
      <c r="AK66" s="33">
        <f t="shared" si="18"/>
        <v>9.3702519670381824E-4</v>
      </c>
      <c r="AL66" s="33">
        <f t="shared" si="18"/>
        <v>8.8175337508319496E-4</v>
      </c>
      <c r="AM66" s="33">
        <f t="shared" si="18"/>
        <v>8.3071825178680997E-4</v>
      </c>
      <c r="AN66" s="33">
        <f t="shared" si="18"/>
        <v>7.8351994979151832E-4</v>
      </c>
      <c r="AO66" s="33">
        <f t="shared" si="18"/>
        <v>7.3980449950925746E-4</v>
      </c>
      <c r="AP66" s="33">
        <f t="shared" si="18"/>
        <v>6.9925752788303059E-4</v>
      </c>
      <c r="AQ66" s="33">
        <f t="shared" si="18"/>
        <v>6.6159894906673276E-4</v>
      </c>
      <c r="AR66" s="33">
        <f t="shared" si="18"/>
        <v>6.2657848000018763E-4</v>
      </c>
      <c r="AS66" s="33">
        <f t="shared" si="18"/>
        <v>5.9397183800723706E-4</v>
      </c>
      <c r="AT66" s="33">
        <f t="shared" si="18"/>
        <v>5.6357750442065011E-4</v>
      </c>
      <c r="AU66" s="33">
        <f t="shared" si="18"/>
        <v>5.3521395969215245E-4</v>
      </c>
      <c r="AV66" s="33">
        <f t="shared" si="18"/>
        <v>5.0871731264506164E-4</v>
      </c>
      <c r="AW66" s="33">
        <f t="shared" si="18"/>
        <v>4.8393926037051363E-4</v>
      </c>
      <c r="AX66" s="33">
        <f t="shared" si="18"/>
        <v>4.6074532645374813E-4</v>
      </c>
      <c r="AY66" s="33">
        <f t="shared" si="18"/>
        <v>4.3901333428797163E-4</v>
      </c>
      <c r="AZ66" s="33">
        <f t="shared" si="18"/>
        <v>4.186320796155417E-4</v>
      </c>
      <c r="BA66" s="33">
        <f t="shared" si="18"/>
        <v>3.9950017246424303E-4</v>
      </c>
      <c r="BB66" s="33">
        <f t="shared" si="18"/>
        <v>3.8152502358457387E-4</v>
      </c>
      <c r="BC66" s="33">
        <f t="shared" si="18"/>
        <v>3.6462195455183729E-4</v>
      </c>
      <c r="BD66" s="33">
        <f t="shared" si="18"/>
        <v>3.4871341404130277E-4</v>
      </c>
      <c r="BE66" s="33">
        <f t="shared" si="18"/>
        <v>1.699282380733255E-4</v>
      </c>
      <c r="BF66" s="33">
        <f t="shared" si="18"/>
        <v>8.2812144095266012E-5</v>
      </c>
      <c r="BG66" s="33">
        <f t="shared" si="18"/>
        <v>4.035997798230521E-5</v>
      </c>
      <c r="BH66" s="33">
        <f t="shared" si="18"/>
        <v>1.9671314744343034E-5</v>
      </c>
      <c r="BI66" s="33">
        <f t="shared" si="18"/>
        <v>9.5882394525640396E-6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1.1655646466834912E-10</v>
      </c>
      <c r="C67" s="23">
        <f>+C61*C66</f>
        <v>7.297037918050862E-11</v>
      </c>
      <c r="D67" s="23">
        <f t="shared" ref="D67:BI67" si="19">+D61*D66</f>
        <v>5.3582920801852978E-11</v>
      </c>
      <c r="E67" s="23">
        <f t="shared" si="19"/>
        <v>4.0783169520088286E-11</v>
      </c>
      <c r="F67" s="23">
        <f t="shared" si="19"/>
        <v>3.0612496723506601E-11</v>
      </c>
      <c r="G67" s="23">
        <f t="shared" si="19"/>
        <v>3.1154181851591171E-11</v>
      </c>
      <c r="H67" s="23">
        <f t="shared" si="19"/>
        <v>2.7470865353443404E-11</v>
      </c>
      <c r="I67" s="23">
        <f t="shared" si="19"/>
        <v>2.4617183787550328E-11</v>
      </c>
      <c r="J67" s="23">
        <f t="shared" si="19"/>
        <v>2.2480815194583933E-11</v>
      </c>
      <c r="K67" s="23">
        <f t="shared" si="19"/>
        <v>2.0557200168619615E-11</v>
      </c>
      <c r="L67" s="23">
        <f t="shared" si="19"/>
        <v>1.9906884499704199E-11</v>
      </c>
      <c r="M67" s="23">
        <f t="shared" si="19"/>
        <v>1.9688720928435907E-11</v>
      </c>
      <c r="N67" s="23">
        <f t="shared" si="19"/>
        <v>1.9474324582703285E-11</v>
      </c>
      <c r="O67" s="23">
        <f t="shared" si="19"/>
        <v>1.9521418975375847E-11</v>
      </c>
      <c r="P67" s="23">
        <f t="shared" si="19"/>
        <v>2.0141751827238509E-11</v>
      </c>
      <c r="Q67" s="23">
        <f t="shared" si="19"/>
        <v>2.035729420737226E-11</v>
      </c>
      <c r="R67" s="23">
        <f t="shared" si="19"/>
        <v>2.111940356693527E-11</v>
      </c>
      <c r="S67" s="23">
        <f t="shared" si="19"/>
        <v>2.1986006848556938E-11</v>
      </c>
      <c r="T67" s="23">
        <f t="shared" si="19"/>
        <v>2.2262175792487415E-11</v>
      </c>
      <c r="U67" s="23">
        <f t="shared" si="19"/>
        <v>2.0295516827654277E-11</v>
      </c>
      <c r="V67" s="23">
        <f t="shared" si="19"/>
        <v>2.0200496822334017E-11</v>
      </c>
      <c r="W67" s="23">
        <f t="shared" si="19"/>
        <v>2.0550917454820754E-11</v>
      </c>
      <c r="X67" s="23">
        <f t="shared" si="19"/>
        <v>2.0424291057258493E-11</v>
      </c>
      <c r="Y67" s="23">
        <f t="shared" si="19"/>
        <v>2.0408391800124325E-11</v>
      </c>
      <c r="Z67" s="23">
        <f t="shared" si="19"/>
        <v>2.0051503639643232E-11</v>
      </c>
      <c r="AA67" s="23">
        <f t="shared" si="19"/>
        <v>1.965086453970325E-11</v>
      </c>
      <c r="AB67" s="23">
        <f t="shared" si="19"/>
        <v>5.0624567735617389E-3</v>
      </c>
      <c r="AC67" s="23">
        <f t="shared" si="19"/>
        <v>4.8952890647891547E-3</v>
      </c>
      <c r="AD67" s="23">
        <f t="shared" si="19"/>
        <v>4.7467495704208692E-3</v>
      </c>
      <c r="AE67" s="23">
        <f t="shared" si="19"/>
        <v>4.5943570895863482E-3</v>
      </c>
      <c r="AF67" s="23">
        <f t="shared" si="19"/>
        <v>4.15697252192273E-3</v>
      </c>
      <c r="AG67" s="23">
        <f t="shared" si="19"/>
        <v>4.1148606437175668E-3</v>
      </c>
      <c r="AH67" s="23">
        <f t="shared" si="19"/>
        <v>3.790845089641298E-3</v>
      </c>
      <c r="AI67" s="23">
        <f t="shared" si="19"/>
        <v>2.1456501750629315E-2</v>
      </c>
      <c r="AJ67" s="23">
        <f t="shared" si="19"/>
        <v>3.2095386428390354E-2</v>
      </c>
      <c r="AK67" s="23">
        <f t="shared" si="19"/>
        <v>3.7143829084655848E-2</v>
      </c>
      <c r="AL67" s="23">
        <f t="shared" si="19"/>
        <v>3.929502883200265E-2</v>
      </c>
      <c r="AM67" s="23">
        <f t="shared" si="19"/>
        <v>4.0020300181565049E-2</v>
      </c>
      <c r="AN67" s="23">
        <f t="shared" si="19"/>
        <v>4.0038692995257717E-2</v>
      </c>
      <c r="AO67" s="23">
        <f t="shared" si="19"/>
        <v>3.9708951517769112E-2</v>
      </c>
      <c r="AP67" s="23">
        <f t="shared" si="19"/>
        <v>3.9213566701245449E-2</v>
      </c>
      <c r="AQ67" s="23">
        <f t="shared" si="19"/>
        <v>3.8646407449379173E-2</v>
      </c>
      <c r="AR67" s="23">
        <f t="shared" si="19"/>
        <v>3.8055971482443426E-2</v>
      </c>
      <c r="AS67" s="23">
        <f t="shared" si="19"/>
        <v>3.7467273462993368E-2</v>
      </c>
      <c r="AT67" s="23">
        <f t="shared" si="19"/>
        <v>3.6893091457215831E-2</v>
      </c>
      <c r="AU67" s="23">
        <f t="shared" si="19"/>
        <v>3.6339798143563716E-2</v>
      </c>
      <c r="AV67" s="23">
        <f t="shared" si="19"/>
        <v>3.5810401513378963E-2</v>
      </c>
      <c r="AW67" s="23">
        <f t="shared" si="19"/>
        <v>3.5306136905016446E-2</v>
      </c>
      <c r="AX67" s="23">
        <f t="shared" si="19"/>
        <v>3.482730351384504E-2</v>
      </c>
      <c r="AY67" s="23">
        <f t="shared" si="19"/>
        <v>3.4373705622587895E-2</v>
      </c>
      <c r="AZ67" s="23">
        <f t="shared" si="19"/>
        <v>3.3944886486680398E-2</v>
      </c>
      <c r="BA67" s="23">
        <f t="shared" si="19"/>
        <v>3.3540253166696593E-2</v>
      </c>
      <c r="BB67" s="23">
        <f t="shared" si="19"/>
        <v>3.3159143817138685E-2</v>
      </c>
      <c r="BC67" s="23">
        <f t="shared" si="19"/>
        <v>3.2800864474179063E-2</v>
      </c>
      <c r="BD67" s="23">
        <f t="shared" si="19"/>
        <v>3.2464709568755704E-2</v>
      </c>
      <c r="BE67" s="23">
        <f t="shared" si="19"/>
        <v>1.637016883550688E-2</v>
      </c>
      <c r="BF67" s="23">
        <f t="shared" si="19"/>
        <v>8.2544922706247505E-3</v>
      </c>
      <c r="BG67" s="23">
        <f t="shared" si="19"/>
        <v>4.1620805749362699E-3</v>
      </c>
      <c r="BH67" s="23">
        <f t="shared" si="19"/>
        <v>2.0985118801277285E-3</v>
      </c>
      <c r="BI67" s="23">
        <f t="shared" si="19"/>
        <v>1.0580218862360831E-3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1.8920437155915271</v>
      </c>
      <c r="C68" s="23">
        <f>+C65-C67</f>
        <v>1.7189028617290723</v>
      </c>
      <c r="D68" s="23">
        <f>+D65-D67</f>
        <v>1.5314196524488746</v>
      </c>
      <c r="E68" s="23">
        <f>+E65-E67</f>
        <v>1.3869023735740624</v>
      </c>
      <c r="F68" s="23">
        <f>+F65-F67</f>
        <v>1.2173582995377641</v>
      </c>
      <c r="G68" s="23">
        <f t="shared" ref="G68:BI68" si="20">+G65-G67</f>
        <v>1.4262796506432605</v>
      </c>
      <c r="H68" s="23">
        <f t="shared" si="20"/>
        <v>1.4283933775781075</v>
      </c>
      <c r="I68" s="23">
        <f t="shared" si="20"/>
        <v>1.4350957453784965</v>
      </c>
      <c r="J68" s="23">
        <f t="shared" si="20"/>
        <v>1.4527975422982033</v>
      </c>
      <c r="K68" s="23">
        <f t="shared" si="20"/>
        <v>1.4589343674512143</v>
      </c>
      <c r="L68" s="23">
        <f t="shared" si="20"/>
        <v>1.5368045160174855</v>
      </c>
      <c r="M68" s="23">
        <f t="shared" si="20"/>
        <v>1.6395841638255308</v>
      </c>
      <c r="N68" s="23">
        <f t="shared" si="20"/>
        <v>1.7367208577225839</v>
      </c>
      <c r="O68" s="23">
        <f t="shared" si="20"/>
        <v>1.8526627257775421</v>
      </c>
      <c r="P68" s="23">
        <f t="shared" si="20"/>
        <v>2.0226989677465501</v>
      </c>
      <c r="Q68" s="23">
        <f t="shared" si="20"/>
        <v>2.1508045975577113</v>
      </c>
      <c r="R68" s="23">
        <f t="shared" si="20"/>
        <v>2.3374478940045091</v>
      </c>
      <c r="S68" s="23">
        <f t="shared" si="20"/>
        <v>2.5381252033765844</v>
      </c>
      <c r="T68" s="23">
        <f t="shared" si="20"/>
        <v>2.6714982981733137</v>
      </c>
      <c r="U68" s="23">
        <f t="shared" si="20"/>
        <v>2.5219322507860267</v>
      </c>
      <c r="V68" s="23">
        <f t="shared" si="20"/>
        <v>2.591700392228665</v>
      </c>
      <c r="W68" s="23">
        <f t="shared" si="20"/>
        <v>2.7163636039337233</v>
      </c>
      <c r="X68" s="23">
        <f t="shared" si="20"/>
        <v>2.7737191460815329</v>
      </c>
      <c r="Y68" s="23">
        <f t="shared" si="20"/>
        <v>2.8417866849043376</v>
      </c>
      <c r="Z68" s="23">
        <f t="shared" si="20"/>
        <v>2.8573671624225954</v>
      </c>
      <c r="AA68" s="23">
        <f t="shared" si="20"/>
        <v>2.8602583475744243</v>
      </c>
      <c r="AB68" s="23">
        <f t="shared" si="20"/>
        <v>2.9198526590621006</v>
      </c>
      <c r="AC68" s="23">
        <f t="shared" si="20"/>
        <v>3.0436540848362803</v>
      </c>
      <c r="AD68" s="23">
        <f t="shared" si="20"/>
        <v>3.175003357927408</v>
      </c>
      <c r="AE68" s="23">
        <f t="shared" si="20"/>
        <v>3.2979268860801878</v>
      </c>
      <c r="AF68" s="23">
        <f t="shared" si="20"/>
        <v>3.1977792861254177</v>
      </c>
      <c r="AG68" s="23">
        <f t="shared" si="20"/>
        <v>3.3887874568920067</v>
      </c>
      <c r="AH68" s="23">
        <f t="shared" si="20"/>
        <v>3.335119999053425</v>
      </c>
      <c r="AI68" s="23">
        <f t="shared" si="20"/>
        <v>20.120387977449919</v>
      </c>
      <c r="AJ68" s="23">
        <f t="shared" si="20"/>
        <v>32.148901001420327</v>
      </c>
      <c r="AK68" s="23">
        <f t="shared" si="20"/>
        <v>39.587262256495826</v>
      </c>
      <c r="AL68" s="23">
        <f t="shared" si="20"/>
        <v>44.506687558395129</v>
      </c>
      <c r="AM68" s="23">
        <f t="shared" si="20"/>
        <v>48.114729123987814</v>
      </c>
      <c r="AN68" s="23">
        <f t="shared" si="20"/>
        <v>51.03850741311674</v>
      </c>
      <c r="AO68" s="23">
        <f t="shared" si="20"/>
        <v>53.61120319290518</v>
      </c>
      <c r="AP68" s="23">
        <f t="shared" si="20"/>
        <v>56.014219764850495</v>
      </c>
      <c r="AQ68" s="23">
        <f t="shared" si="20"/>
        <v>58.348184827951428</v>
      </c>
      <c r="AR68" s="23">
        <f t="shared" si="20"/>
        <v>60.669894549957547</v>
      </c>
      <c r="AS68" s="23">
        <f t="shared" si="20"/>
        <v>63.012105666518224</v>
      </c>
      <c r="AT68" s="23">
        <f t="shared" si="20"/>
        <v>65.394322936395028</v>
      </c>
      <c r="AU68" s="23">
        <f t="shared" si="20"/>
        <v>67.828735015217575</v>
      </c>
      <c r="AV68" s="23">
        <f t="shared" si="20"/>
        <v>70.32349756961429</v>
      </c>
      <c r="AW68" s="23">
        <f t="shared" si="20"/>
        <v>72.884554346801949</v>
      </c>
      <c r="AX68" s="23">
        <f t="shared" si="20"/>
        <v>75.51664915592292</v>
      </c>
      <c r="AY68" s="23">
        <f t="shared" si="20"/>
        <v>78.223889232256909</v>
      </c>
      <c r="AZ68" s="23">
        <f t="shared" si="20"/>
        <v>81.010059667502759</v>
      </c>
      <c r="BA68" s="23">
        <f t="shared" si="20"/>
        <v>83.878799700869649</v>
      </c>
      <c r="BB68" s="23">
        <f t="shared" si="20"/>
        <v>86.833702386178018</v>
      </c>
      <c r="BC68" s="23">
        <f t="shared" si="20"/>
        <v>89.878371793703494</v>
      </c>
      <c r="BD68" s="23">
        <f t="shared" si="20"/>
        <v>93.016456711494584</v>
      </c>
      <c r="BE68" s="23">
        <f t="shared" si="20"/>
        <v>96.267451176341041</v>
      </c>
      <c r="BF68" s="23">
        <f t="shared" si="20"/>
        <v>99.61465912696957</v>
      </c>
      <c r="BG68" s="23">
        <f t="shared" si="20"/>
        <v>103.06283008898274</v>
      </c>
      <c r="BH68" s="23">
        <f t="shared" si="20"/>
        <v>106.61703985110505</v>
      </c>
      <c r="BI68" s="23">
        <f t="shared" si="20"/>
        <v>110.28228849623348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0.60159511876272098</v>
      </c>
      <c r="C70" s="45">
        <f t="shared" si="21"/>
        <v>0.36711252194952565</v>
      </c>
      <c r="D70" s="45">
        <f t="shared" si="21"/>
        <v>0.26279858823898428</v>
      </c>
      <c r="E70" s="45">
        <f t="shared" si="21"/>
        <v>0.19502195576715431</v>
      </c>
      <c r="F70" s="45">
        <f t="shared" si="21"/>
        <v>0.14274849122857375</v>
      </c>
      <c r="G70" s="45">
        <f t="shared" si="21"/>
        <v>0.1416857922743901</v>
      </c>
      <c r="H70" s="45">
        <f t="shared" si="21"/>
        <v>0.12186782245638256</v>
      </c>
      <c r="I70" s="45">
        <f t="shared" si="21"/>
        <v>0.1065452585451777</v>
      </c>
      <c r="J70" s="45">
        <f t="shared" si="21"/>
        <v>9.4942775357885756E-2</v>
      </c>
      <c r="K70" s="45">
        <f t="shared" si="21"/>
        <v>8.4731681586393881E-2</v>
      </c>
      <c r="L70" s="45">
        <f t="shared" si="21"/>
        <v>8.0093618951304429E-2</v>
      </c>
      <c r="M70" s="45">
        <f t="shared" si="21"/>
        <v>7.734078590741722E-2</v>
      </c>
      <c r="N70" s="45">
        <f t="shared" si="21"/>
        <v>7.470275403693831E-2</v>
      </c>
      <c r="O70" s="45">
        <f t="shared" si="21"/>
        <v>7.3140582525637751E-2</v>
      </c>
      <c r="P70" s="45">
        <f t="shared" si="21"/>
        <v>7.3724161679032771E-2</v>
      </c>
      <c r="Q70" s="45">
        <f t="shared" si="21"/>
        <v>7.2810507080932424E-2</v>
      </c>
      <c r="R70" s="45">
        <f t="shared" si="21"/>
        <v>7.3827130679714123E-2</v>
      </c>
      <c r="S70" s="45">
        <f t="shared" si="21"/>
        <v>7.5135139971981429E-2</v>
      </c>
      <c r="T70" s="45">
        <f t="shared" si="21"/>
        <v>7.4392978063665377E-2</v>
      </c>
      <c r="U70" s="45">
        <f t="shared" si="21"/>
        <v>6.633464022584834E-2</v>
      </c>
      <c r="V70" s="45">
        <f t="shared" si="21"/>
        <v>6.4593631062733664E-2</v>
      </c>
      <c r="W70" s="45">
        <f t="shared" si="21"/>
        <v>6.4307380078050383E-2</v>
      </c>
      <c r="X70" s="45">
        <f t="shared" si="21"/>
        <v>6.2559922315255201E-2</v>
      </c>
      <c r="Y70" s="45">
        <f t="shared" si="21"/>
        <v>6.1206607133397255E-2</v>
      </c>
      <c r="Z70" s="45">
        <f t="shared" si="21"/>
        <v>5.8897992019744147E-2</v>
      </c>
      <c r="AA70" s="45">
        <f t="shared" si="21"/>
        <v>5.6549123931738318E-2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0.60159511876272098</v>
      </c>
      <c r="C71" s="46">
        <f t="shared" si="23"/>
        <v>0.36711252194952565</v>
      </c>
      <c r="D71" s="46">
        <f t="shared" si="23"/>
        <v>0.26279858823898428</v>
      </c>
      <c r="E71" s="46">
        <f t="shared" si="23"/>
        <v>0.19502195576715431</v>
      </c>
      <c r="F71" s="46">
        <f t="shared" si="23"/>
        <v>0.14274849122857375</v>
      </c>
      <c r="G71" s="46">
        <f t="shared" si="23"/>
        <v>0.1416857922743901</v>
      </c>
      <c r="H71" s="46">
        <f t="shared" si="23"/>
        <v>0.12186782245638256</v>
      </c>
      <c r="I71" s="46">
        <f t="shared" si="23"/>
        <v>0.1065452585451777</v>
      </c>
      <c r="J71" s="46">
        <f t="shared" si="23"/>
        <v>9.4942775357885756E-2</v>
      </c>
      <c r="K71" s="46">
        <f t="shared" si="23"/>
        <v>8.4731681586393881E-2</v>
      </c>
      <c r="L71" s="46">
        <f t="shared" si="23"/>
        <v>8.0093618951304429E-2</v>
      </c>
      <c r="M71" s="46">
        <f t="shared" si="23"/>
        <v>7.734078590741722E-2</v>
      </c>
      <c r="N71" s="46">
        <f t="shared" si="23"/>
        <v>7.470275403693831E-2</v>
      </c>
      <c r="O71" s="46">
        <f t="shared" si="23"/>
        <v>7.3140582525637751E-2</v>
      </c>
      <c r="P71" s="46">
        <f t="shared" si="23"/>
        <v>7.3724161679032771E-2</v>
      </c>
      <c r="Q71" s="46">
        <f t="shared" si="23"/>
        <v>7.2810507080932424E-2</v>
      </c>
      <c r="R71" s="46">
        <f t="shared" si="23"/>
        <v>7.3827130679714123E-2</v>
      </c>
      <c r="S71" s="46">
        <f t="shared" si="23"/>
        <v>7.5135139971981429E-2</v>
      </c>
      <c r="T71" s="46">
        <f t="shared" si="23"/>
        <v>7.4392978063665377E-2</v>
      </c>
      <c r="U71" s="46">
        <f t="shared" si="23"/>
        <v>6.633464022584834E-2</v>
      </c>
      <c r="V71" s="46">
        <f t="shared" si="23"/>
        <v>6.4593631062733664E-2</v>
      </c>
      <c r="W71" s="46">
        <f t="shared" si="23"/>
        <v>6.4307380078050383E-2</v>
      </c>
      <c r="X71" s="46">
        <f t="shared" si="23"/>
        <v>6.2559922315255201E-2</v>
      </c>
      <c r="Y71" s="46">
        <f t="shared" si="23"/>
        <v>6.1206607133397255E-2</v>
      </c>
      <c r="Z71" s="46">
        <f t="shared" si="23"/>
        <v>5.8897992019744147E-2</v>
      </c>
      <c r="AA71" s="46">
        <f t="shared" si="23"/>
        <v>5.6549123931738318E-2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0.3689614644114047</v>
      </c>
      <c r="C73" s="45">
        <f>(C97)*C68</f>
        <v>0.38812080318947884</v>
      </c>
      <c r="D73" s="45">
        <f>(D97)*D68</f>
        <v>0.33414040921758004</v>
      </c>
      <c r="E73" s="45">
        <f>(E97)*E68</f>
        <v>0.29647146310364197</v>
      </c>
      <c r="F73" s="45">
        <f>(F97)*F68</f>
        <v>0.25691125493270367</v>
      </c>
      <c r="G73" s="45">
        <f t="shared" ref="G73:BI73" si="25">(G97)*G68</f>
        <v>0.30029299158134426</v>
      </c>
      <c r="H73" s="45">
        <f t="shared" si="25"/>
        <v>0.30017919847138924</v>
      </c>
      <c r="I73" s="45">
        <f t="shared" si="25"/>
        <v>0.30160540759384669</v>
      </c>
      <c r="J73" s="45">
        <f t="shared" si="25"/>
        <v>0.30607177476702851</v>
      </c>
      <c r="K73" s="45">
        <f t="shared" si="25"/>
        <v>0.31628857974428237</v>
      </c>
      <c r="L73" s="45">
        <f t="shared" si="25"/>
        <v>0.34230714168985177</v>
      </c>
      <c r="M73" s="45">
        <f t="shared" si="25"/>
        <v>0.37531555165498726</v>
      </c>
      <c r="N73" s="45">
        <f t="shared" si="25"/>
        <v>0.39755101395101949</v>
      </c>
      <c r="O73" s="45">
        <f t="shared" si="25"/>
        <v>0.4240911496323902</v>
      </c>
      <c r="P73" s="45">
        <f t="shared" si="25"/>
        <v>0.46301397370202424</v>
      </c>
      <c r="Q73" s="45">
        <f t="shared" si="25"/>
        <v>0.49233850377707911</v>
      </c>
      <c r="R73" s="45">
        <f t="shared" si="25"/>
        <v>0.53506283188060999</v>
      </c>
      <c r="S73" s="45">
        <f t="shared" si="25"/>
        <v>0.58099967168021271</v>
      </c>
      <c r="T73" s="45">
        <f t="shared" si="25"/>
        <v>0.6115299718343522</v>
      </c>
      <c r="U73" s="45">
        <f t="shared" si="25"/>
        <v>0.57729295929024416</v>
      </c>
      <c r="V73" s="45">
        <f t="shared" si="25"/>
        <v>0.59326351394136445</v>
      </c>
      <c r="W73" s="45">
        <f t="shared" si="25"/>
        <v>0.62180004357153551</v>
      </c>
      <c r="X73" s="45">
        <f t="shared" si="25"/>
        <v>0.63492924267983253</v>
      </c>
      <c r="Y73" s="45">
        <f t="shared" si="25"/>
        <v>0.65051051410628469</v>
      </c>
      <c r="Z73" s="45">
        <f t="shared" si="25"/>
        <v>0.65407702544728785</v>
      </c>
      <c r="AA73" s="45">
        <f t="shared" si="25"/>
        <v>0.65473884371446578</v>
      </c>
      <c r="AB73" s="45">
        <f t="shared" si="25"/>
        <v>0.66838051724668002</v>
      </c>
      <c r="AC73" s="45">
        <f t="shared" si="25"/>
        <v>0.69671977633155524</v>
      </c>
      <c r="AD73" s="45">
        <f t="shared" si="25"/>
        <v>0.72678680550720665</v>
      </c>
      <c r="AE73" s="45">
        <f t="shared" si="25"/>
        <v>0.75492510593601414</v>
      </c>
      <c r="AF73" s="45">
        <f t="shared" si="25"/>
        <v>0.73200042018139666</v>
      </c>
      <c r="AG73" s="45">
        <f t="shared" si="25"/>
        <v>0.77572390724814577</v>
      </c>
      <c r="AH73" s="45">
        <f t="shared" si="25"/>
        <v>0.76343894378667188</v>
      </c>
      <c r="AI73" s="45">
        <f t="shared" si="25"/>
        <v>4.6057376497523608</v>
      </c>
      <c r="AJ73" s="45">
        <f t="shared" si="25"/>
        <v>7.3591723930151298</v>
      </c>
      <c r="AK73" s="45">
        <f t="shared" si="25"/>
        <v>9.0618801401697393</v>
      </c>
      <c r="AL73" s="45">
        <f t="shared" si="25"/>
        <v>10.187980807487669</v>
      </c>
      <c r="AM73" s="45">
        <f t="shared" si="25"/>
        <v>11.013893950869699</v>
      </c>
      <c r="AN73" s="45">
        <f t="shared" si="25"/>
        <v>11.683173080122174</v>
      </c>
      <c r="AO73" s="45">
        <f t="shared" si="25"/>
        <v>12.272086267462829</v>
      </c>
      <c r="AP73" s="45">
        <f t="shared" si="25"/>
        <v>12.822158359054281</v>
      </c>
      <c r="AQ73" s="45">
        <f t="shared" si="25"/>
        <v>13.356423939637436</v>
      </c>
      <c r="AR73" s="45">
        <f t="shared" si="25"/>
        <v>13.887884162493185</v>
      </c>
      <c r="AS73" s="45">
        <f t="shared" si="25"/>
        <v>14.424037338828667</v>
      </c>
      <c r="AT73" s="45">
        <f t="shared" si="25"/>
        <v>14.969348283232854</v>
      </c>
      <c r="AU73" s="45">
        <f t="shared" si="25"/>
        <v>15.526607088530801</v>
      </c>
      <c r="AV73" s="45">
        <f t="shared" si="25"/>
        <v>16.097680660116751</v>
      </c>
      <c r="AW73" s="45">
        <f t="shared" si="25"/>
        <v>16.683929575150923</v>
      </c>
      <c r="AX73" s="45">
        <f t="shared" si="25"/>
        <v>17.28643973418329</v>
      </c>
      <c r="AY73" s="45">
        <f t="shared" si="25"/>
        <v>17.906151320285129</v>
      </c>
      <c r="AZ73" s="45">
        <f t="shared" si="25"/>
        <v>18.543930774966654</v>
      </c>
      <c r="BA73" s="45">
        <f t="shared" si="25"/>
        <v>19.200611152792266</v>
      </c>
      <c r="BB73" s="45">
        <f t="shared" si="25"/>
        <v>19.877014936075774</v>
      </c>
      <c r="BC73" s="45">
        <f t="shared" si="25"/>
        <v>20.573967128896591</v>
      </c>
      <c r="BD73" s="45">
        <f t="shared" si="25"/>
        <v>21.292302971634264</v>
      </c>
      <c r="BE73" s="45">
        <f t="shared" si="25"/>
        <v>22.036484824522052</v>
      </c>
      <c r="BF73" s="45">
        <f t="shared" si="25"/>
        <v>22.802690809070576</v>
      </c>
      <c r="BG73" s="45">
        <f t="shared" si="25"/>
        <v>23.592008134378915</v>
      </c>
      <c r="BH73" s="45">
        <f t="shared" si="25"/>
        <v>24.405598694107219</v>
      </c>
      <c r="BI73" s="45">
        <f t="shared" si="25"/>
        <v>25.244607052171265</v>
      </c>
    </row>
    <row r="74" spans="1:237" s="45" customFormat="1" ht="18" customHeight="1" x14ac:dyDescent="0.2">
      <c r="A74" s="43" t="s">
        <v>35</v>
      </c>
      <c r="B74" s="44">
        <f>+B11</f>
        <v>1.3624722059165122</v>
      </c>
      <c r="C74" s="45">
        <f t="shared" ref="C74:BI74" si="26">+B74*(1-$B$8)^10+10*B73</f>
        <v>4.1646793275526228</v>
      </c>
      <c r="D74" s="45">
        <f t="shared" si="26"/>
        <v>5.3333419233425543</v>
      </c>
      <c r="E74" s="45">
        <f t="shared" si="26"/>
        <v>5.2010254345268168</v>
      </c>
      <c r="F74" s="45">
        <f t="shared" si="26"/>
        <v>4.7782000664676563</v>
      </c>
      <c r="G74" s="45">
        <f t="shared" si="26"/>
        <v>4.2351678949886962</v>
      </c>
      <c r="H74" s="45">
        <f t="shared" si="26"/>
        <v>4.479641650999703</v>
      </c>
      <c r="I74" s="45">
        <f t="shared" si="26"/>
        <v>4.5637464477914582</v>
      </c>
      <c r="J74" s="45">
        <f t="shared" si="26"/>
        <v>4.6073340683663089</v>
      </c>
      <c r="K74" s="45">
        <f t="shared" si="26"/>
        <v>4.6671958036478376</v>
      </c>
      <c r="L74" s="45">
        <f t="shared" si="26"/>
        <v>4.7902363499000185</v>
      </c>
      <c r="M74" s="45">
        <f t="shared" si="26"/>
        <v>5.0933235550919749</v>
      </c>
      <c r="N74" s="45">
        <f t="shared" si="26"/>
        <v>5.5290876286639294</v>
      </c>
      <c r="O74" s="45">
        <f t="shared" si="26"/>
        <v>5.9033837890489425</v>
      </c>
      <c r="P74" s="45">
        <f t="shared" si="26"/>
        <v>6.299294147201115</v>
      </c>
      <c r="Q74" s="45">
        <f t="shared" si="26"/>
        <v>6.8265677939973877</v>
      </c>
      <c r="R74" s="45">
        <f t="shared" si="26"/>
        <v>7.3036620474186993</v>
      </c>
      <c r="S74" s="45">
        <f t="shared" si="26"/>
        <v>7.8972578085176259</v>
      </c>
      <c r="T74" s="45">
        <f t="shared" si="26"/>
        <v>8.5636002505435975</v>
      </c>
      <c r="U74" s="45">
        <f t="shared" si="26"/>
        <v>9.1012424953430333</v>
      </c>
      <c r="V74" s="45">
        <f t="shared" si="26"/>
        <v>8.9463366291504833</v>
      </c>
      <c r="W74" s="45">
        <f t="shared" si="26"/>
        <v>9.0520298398753276</v>
      </c>
      <c r="X74" s="45">
        <f t="shared" si="26"/>
        <v>9.3742480800217383</v>
      </c>
      <c r="Y74" s="45">
        <f t="shared" si="26"/>
        <v>9.6178906244507267</v>
      </c>
      <c r="Z74" s="45">
        <f t="shared" si="26"/>
        <v>9.8586562410487435</v>
      </c>
      <c r="AA74" s="45">
        <f t="shared" si="26"/>
        <v>9.9782711340838866</v>
      </c>
      <c r="AB74" s="45">
        <f t="shared" si="26"/>
        <v>10.026596451071887</v>
      </c>
      <c r="AC74" s="45">
        <f t="shared" si="26"/>
        <v>10.179863182538742</v>
      </c>
      <c r="AD74" s="45">
        <f t="shared" si="26"/>
        <v>10.516696578234583</v>
      </c>
      <c r="AE74" s="45">
        <f t="shared" si="26"/>
        <v>10.93481341297591</v>
      </c>
      <c r="AF74" s="45">
        <f t="shared" si="26"/>
        <v>11.361984742981141</v>
      </c>
      <c r="AG74" s="45">
        <f t="shared" si="26"/>
        <v>11.281683318436631</v>
      </c>
      <c r="AH74" s="45">
        <f t="shared" si="26"/>
        <v>11.690918813656136</v>
      </c>
      <c r="AI74" s="45">
        <f t="shared" si="26"/>
        <v>11.710760773148085</v>
      </c>
      <c r="AJ74" s="45">
        <f t="shared" si="26"/>
        <v>50.140666296289155</v>
      </c>
      <c r="AK74" s="45">
        <f t="shared" si="26"/>
        <v>91.074693239916058</v>
      </c>
      <c r="AL74" s="45">
        <f t="shared" si="26"/>
        <v>122.37458337317736</v>
      </c>
      <c r="AM74" s="45">
        <f t="shared" si="26"/>
        <v>144.54918691332358</v>
      </c>
      <c r="AN74" s="45">
        <f t="shared" si="26"/>
        <v>160.54012451935802</v>
      </c>
      <c r="AO74" s="45">
        <f t="shared" si="26"/>
        <v>172.80861099209127</v>
      </c>
      <c r="AP74" s="45">
        <f t="shared" si="26"/>
        <v>182.9754995911984</v>
      </c>
      <c r="AQ74" s="45">
        <f t="shared" si="26"/>
        <v>192.02119536452011</v>
      </c>
      <c r="AR74" s="45">
        <f t="shared" si="26"/>
        <v>200.5178902622126</v>
      </c>
      <c r="AS74" s="45">
        <f t="shared" si="26"/>
        <v>208.79510681370317</v>
      </c>
      <c r="AT74" s="45">
        <f t="shared" si="26"/>
        <v>217.04272553260159</v>
      </c>
      <c r="AU74" s="45">
        <f t="shared" si="26"/>
        <v>225.37160180608851</v>
      </c>
      <c r="AV74" s="45">
        <f t="shared" si="26"/>
        <v>233.84828944589333</v>
      </c>
      <c r="AW74" s="45">
        <f t="shared" si="26"/>
        <v>242.51466338521493</v>
      </c>
      <c r="AX74" s="45">
        <f t="shared" si="26"/>
        <v>251.39893028204261</v>
      </c>
      <c r="AY74" s="45">
        <f t="shared" si="26"/>
        <v>260.52178419538421</v>
      </c>
      <c r="AZ74" s="45">
        <f t="shared" si="26"/>
        <v>269.89984252816674</v>
      </c>
      <c r="BA74" s="45">
        <f t="shared" si="26"/>
        <v>279.5475638256234</v>
      </c>
      <c r="BB74" s="45">
        <f t="shared" si="26"/>
        <v>289.47832001639625</v>
      </c>
      <c r="BC74" s="45">
        <f t="shared" si="26"/>
        <v>299.70499842684342</v>
      </c>
      <c r="BD74" s="45">
        <f t="shared" si="26"/>
        <v>310.24034263061066</v>
      </c>
      <c r="BE74" s="45">
        <f t="shared" si="26"/>
        <v>321.09714844087353</v>
      </c>
      <c r="BF74" s="45">
        <f t="shared" si="26"/>
        <v>332.32450108414253</v>
      </c>
      <c r="BG74" s="45">
        <f t="shared" si="26"/>
        <v>343.9012967357354</v>
      </c>
      <c r="BH74" s="45">
        <f t="shared" si="26"/>
        <v>355.83104903797266</v>
      </c>
      <c r="BI74" s="45">
        <f t="shared" si="26"/>
        <v>368.12660205877916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0.41688705885561855</v>
      </c>
      <c r="C77" s="23">
        <f t="shared" si="28"/>
        <v>0.12389593869542322</v>
      </c>
      <c r="D77" s="23">
        <f t="shared" si="28"/>
        <v>8.6171818593507823E-2</v>
      </c>
      <c r="E77" s="23">
        <f t="shared" si="28"/>
        <v>8.002665568652674E-2</v>
      </c>
      <c r="F77" s="23">
        <f t="shared" si="28"/>
        <v>7.6468480923599938E-2</v>
      </c>
      <c r="G77" s="23">
        <f t="shared" si="28"/>
        <v>0.10110184013067573</v>
      </c>
      <c r="H77" s="23">
        <f t="shared" si="28"/>
        <v>9.5708607182808131E-2</v>
      </c>
      <c r="I77" s="23">
        <f t="shared" si="28"/>
        <v>9.4407395508077779E-2</v>
      </c>
      <c r="J77" s="23">
        <f t="shared" si="28"/>
        <v>9.4695974752945833E-2</v>
      </c>
      <c r="K77" s="23">
        <f t="shared" si="28"/>
        <v>9.383588803170162E-2</v>
      </c>
      <c r="L77" s="23">
        <f t="shared" si="28"/>
        <v>9.6307604625732693E-2</v>
      </c>
      <c r="M77" s="23">
        <f t="shared" si="28"/>
        <v>9.6660690179862299E-2</v>
      </c>
      <c r="N77" s="23">
        <f t="shared" si="28"/>
        <v>9.4339370286752849E-2</v>
      </c>
      <c r="O77" s="23">
        <f t="shared" si="28"/>
        <v>9.425498999484376E-2</v>
      </c>
      <c r="P77" s="23">
        <f t="shared" si="28"/>
        <v>9.6419509854746385E-2</v>
      </c>
      <c r="Q77" s="23">
        <f t="shared" si="28"/>
        <v>9.4637929332913248E-2</v>
      </c>
      <c r="R77" s="23">
        <f t="shared" si="28"/>
        <v>9.612569015728134E-2</v>
      </c>
      <c r="S77" s="23">
        <f t="shared" si="28"/>
        <v>9.6538171358172303E-2</v>
      </c>
      <c r="T77" s="23">
        <f t="shared" si="28"/>
        <v>9.3679764312459973E-2</v>
      </c>
      <c r="U77" s="23">
        <f t="shared" si="28"/>
        <v>8.3232072163846593E-2</v>
      </c>
      <c r="V77" s="23">
        <f t="shared" si="28"/>
        <v>8.7031169459593286E-2</v>
      </c>
      <c r="W77" s="23">
        <f t="shared" si="28"/>
        <v>9.0128728050198406E-2</v>
      </c>
      <c r="X77" s="23">
        <f t="shared" si="28"/>
        <v>8.8877339132914124E-2</v>
      </c>
      <c r="Y77" s="23">
        <f t="shared" si="28"/>
        <v>8.8758712862719774E-2</v>
      </c>
      <c r="Z77" s="23">
        <f t="shared" si="28"/>
        <v>8.7079724623517388E-2</v>
      </c>
      <c r="AA77" s="23">
        <f t="shared" si="28"/>
        <v>8.6162658030128431E-2</v>
      </c>
      <c r="AB77" s="23">
        <f t="shared" si="28"/>
        <v>8.7717154874042483E-2</v>
      </c>
      <c r="AC77" s="23">
        <f t="shared" si="28"/>
        <v>9.0022919956187442E-2</v>
      </c>
      <c r="AD77" s="23">
        <f t="shared" si="28"/>
        <v>9.0871365084937594E-2</v>
      </c>
      <c r="AE77" s="23">
        <f t="shared" si="28"/>
        <v>9.0808369583957618E-2</v>
      </c>
      <c r="AF77" s="23">
        <f t="shared" si="28"/>
        <v>8.4741612476452371E-2</v>
      </c>
      <c r="AG77" s="23">
        <f t="shared" si="28"/>
        <v>9.0389849455219079E-2</v>
      </c>
      <c r="AH77" s="23">
        <f t="shared" si="28"/>
        <v>8.5848717581335152E-2</v>
      </c>
      <c r="AI77" s="23">
        <f t="shared" si="28"/>
        <v>0.51749636113869468</v>
      </c>
      <c r="AJ77" s="23">
        <f t="shared" si="28"/>
        <v>0.19261240458282933</v>
      </c>
      <c r="AK77" s="23">
        <f t="shared" si="28"/>
        <v>0.13057467111070198</v>
      </c>
      <c r="AL77" s="23">
        <f t="shared" si="28"/>
        <v>0.1092497645182452</v>
      </c>
      <c r="AM77" s="23">
        <f t="shared" si="28"/>
        <v>9.998438760815713E-2</v>
      </c>
      <c r="AN77" s="23">
        <f t="shared" si="28"/>
        <v>9.5492110630170296E-2</v>
      </c>
      <c r="AO77" s="23">
        <f t="shared" si="28"/>
        <v>9.3180991427722848E-2</v>
      </c>
      <c r="AP77" s="23">
        <f t="shared" si="28"/>
        <v>9.1944871106426893E-2</v>
      </c>
      <c r="AQ77" s="23">
        <f t="shared" si="28"/>
        <v>9.1261248837847073E-2</v>
      </c>
      <c r="AR77" s="23">
        <f t="shared" si="28"/>
        <v>9.0868940902431458E-2</v>
      </c>
      <c r="AS77" s="23">
        <f t="shared" si="28"/>
        <v>9.0633170787104519E-2</v>
      </c>
      <c r="AT77" s="23">
        <f t="shared" si="28"/>
        <v>9.0483089113274393E-2</v>
      </c>
      <c r="AU77" s="23">
        <f t="shared" si="28"/>
        <v>9.0380999868978448E-2</v>
      </c>
      <c r="AV77" s="23">
        <f t="shared" si="28"/>
        <v>9.0306649551147797E-2</v>
      </c>
      <c r="AW77" s="23">
        <f t="shared" si="28"/>
        <v>9.024904113479415E-2</v>
      </c>
      <c r="AX77" s="23">
        <f t="shared" si="28"/>
        <v>9.0202119291895283E-2</v>
      </c>
      <c r="AY77" s="23">
        <f t="shared" si="28"/>
        <v>9.0162480829384078E-2</v>
      </c>
      <c r="AZ77" s="23">
        <f t="shared" si="28"/>
        <v>9.0128154664702781E-2</v>
      </c>
      <c r="BA77" s="23">
        <f t="shared" si="28"/>
        <v>9.0097949696911317E-2</v>
      </c>
      <c r="BB77" s="23">
        <f t="shared" si="28"/>
        <v>9.0071105193278253E-2</v>
      </c>
      <c r="BC77" s="23">
        <f t="shared" si="28"/>
        <v>9.0047102671336837E-2</v>
      </c>
      <c r="BD77" s="23">
        <f t="shared" si="28"/>
        <v>9.0025564142275999E-2</v>
      </c>
      <c r="BE77" s="23">
        <f t="shared" si="28"/>
        <v>9.000619661821406E-2</v>
      </c>
      <c r="BF77" s="23">
        <f t="shared" si="28"/>
        <v>8.9981914534736071E-2</v>
      </c>
      <c r="BG77" s="23">
        <f t="shared" si="28"/>
        <v>8.9959494060828135E-2</v>
      </c>
      <c r="BH77" s="23">
        <f t="shared" si="28"/>
        <v>8.9940533365957337E-2</v>
      </c>
      <c r="BI77" s="23">
        <f t="shared" si="28"/>
        <v>8.9924872927983221E-2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0.27152752947596454</v>
      </c>
      <c r="C78" s="23">
        <f t="shared" si="29"/>
        <v>8.06960960563778E-2</v>
      </c>
      <c r="D78" s="23">
        <f t="shared" si="29"/>
        <v>5.612556330574333E-2</v>
      </c>
      <c r="E78" s="23">
        <f t="shared" si="29"/>
        <v>5.2123086215328782E-2</v>
      </c>
      <c r="F78" s="23">
        <f t="shared" si="29"/>
        <v>4.9805570278342495E-2</v>
      </c>
      <c r="G78" s="23">
        <f t="shared" si="29"/>
        <v>6.5849808222672127E-2</v>
      </c>
      <c r="H78" s="23">
        <f t="shared" si="29"/>
        <v>6.2337079326162913E-2</v>
      </c>
      <c r="I78" s="23">
        <f t="shared" si="29"/>
        <v>6.1489572108417455E-2</v>
      </c>
      <c r="J78" s="23">
        <f t="shared" si="29"/>
        <v>6.1677529992339684E-2</v>
      </c>
      <c r="K78" s="23">
        <f t="shared" si="29"/>
        <v>6.1117336967409619E-2</v>
      </c>
      <c r="L78" s="23">
        <f t="shared" si="29"/>
        <v>6.2727219275064652E-2</v>
      </c>
      <c r="M78" s="23">
        <f t="shared" si="29"/>
        <v>6.295719150895851E-2</v>
      </c>
      <c r="N78" s="23">
        <f t="shared" si="29"/>
        <v>6.1445265815151563E-2</v>
      </c>
      <c r="O78" s="23">
        <f t="shared" si="29"/>
        <v>6.1390307111800511E-2</v>
      </c>
      <c r="P78" s="23">
        <f t="shared" si="29"/>
        <v>6.2800105563386804E-2</v>
      </c>
      <c r="Q78" s="23">
        <f t="shared" si="29"/>
        <v>6.1639723758819008E-2</v>
      </c>
      <c r="R78" s="23">
        <f t="shared" si="29"/>
        <v>6.2608734459704524E-2</v>
      </c>
      <c r="S78" s="23">
        <f t="shared" si="29"/>
        <v>6.2877392358898276E-2</v>
      </c>
      <c r="T78" s="23">
        <f t="shared" si="29"/>
        <v>6.1015650223055759E-2</v>
      </c>
      <c r="U78" s="23">
        <f t="shared" si="29"/>
        <v>5.421084307546592E-2</v>
      </c>
      <c r="V78" s="23">
        <f t="shared" si="29"/>
        <v>5.6685277052343518E-2</v>
      </c>
      <c r="W78" s="23">
        <f t="shared" si="29"/>
        <v>5.8702783745458099E-2</v>
      </c>
      <c r="X78" s="23">
        <f t="shared" si="29"/>
        <v>5.788772716381093E-2</v>
      </c>
      <c r="Y78" s="23">
        <f t="shared" si="29"/>
        <v>5.7810463316462821E-2</v>
      </c>
      <c r="Z78" s="23">
        <f t="shared" si="29"/>
        <v>5.6716902077451767E-2</v>
      </c>
      <c r="AA78" s="23">
        <f t="shared" si="29"/>
        <v>5.6119596833313488E-2</v>
      </c>
      <c r="AB78" s="23">
        <f t="shared" si="29"/>
        <v>5.7132074142551226E-2</v>
      </c>
      <c r="AC78" s="23">
        <f t="shared" si="29"/>
        <v>5.8633868652616827E-2</v>
      </c>
      <c r="AD78" s="23">
        <f t="shared" si="29"/>
        <v>5.9186479257363936E-2</v>
      </c>
      <c r="AE78" s="23">
        <f t="shared" si="29"/>
        <v>5.9145448929398971E-2</v>
      </c>
      <c r="AF78" s="23">
        <f t="shared" si="29"/>
        <v>5.5194039226604243E-2</v>
      </c>
      <c r="AG78" s="23">
        <f t="shared" si="29"/>
        <v>5.8872857746299433E-2</v>
      </c>
      <c r="AH78" s="23">
        <f t="shared" si="29"/>
        <v>5.5915120650489744E-2</v>
      </c>
      <c r="AI78" s="23">
        <f t="shared" si="29"/>
        <v>0.33705653717942829</v>
      </c>
      <c r="AJ78" s="23">
        <f t="shared" si="29"/>
        <v>0.12545261180897826</v>
      </c>
      <c r="AK78" s="23">
        <f t="shared" si="29"/>
        <v>8.5046098471251858E-2</v>
      </c>
      <c r="AL78" s="23">
        <f t="shared" si="29"/>
        <v>7.1156727044731111E-2</v>
      </c>
      <c r="AM78" s="23">
        <f t="shared" si="29"/>
        <v>6.5121987302591111E-2</v>
      </c>
      <c r="AN78" s="23">
        <f t="shared" si="29"/>
        <v>6.2196070453785869E-2</v>
      </c>
      <c r="AO78" s="23">
        <f t="shared" si="29"/>
        <v>6.0690788689732954E-2</v>
      </c>
      <c r="AP78" s="23">
        <f t="shared" si="29"/>
        <v>5.9885676873842386E-2</v>
      </c>
      <c r="AQ78" s="23">
        <f t="shared" si="29"/>
        <v>5.9440418951488605E-2</v>
      </c>
      <c r="AR78" s="23">
        <f t="shared" si="29"/>
        <v>5.9184900335032556E-2</v>
      </c>
      <c r="AS78" s="23">
        <f t="shared" si="29"/>
        <v>5.9031338175740009E-2</v>
      </c>
      <c r="AT78" s="23">
        <f t="shared" si="29"/>
        <v>5.8933586745828569E-2</v>
      </c>
      <c r="AU78" s="23">
        <f t="shared" si="29"/>
        <v>5.8867093819984714E-2</v>
      </c>
      <c r="AV78" s="23">
        <f t="shared" si="29"/>
        <v>5.8818667854996197E-2</v>
      </c>
      <c r="AW78" s="23">
        <f t="shared" si="29"/>
        <v>5.8781146251393378E-2</v>
      </c>
      <c r="AX78" s="23">
        <f t="shared" si="29"/>
        <v>5.8750585043483107E-2</v>
      </c>
      <c r="AY78" s="23">
        <f t="shared" si="29"/>
        <v>5.8724767658248266E-2</v>
      </c>
      <c r="AZ78" s="23">
        <f t="shared" si="29"/>
        <v>5.8702410287122662E-2</v>
      </c>
      <c r="BA78" s="23">
        <f t="shared" si="29"/>
        <v>5.8682737140383988E-2</v>
      </c>
      <c r="BB78" s="23">
        <f t="shared" si="29"/>
        <v>5.8665252736402961E-2</v>
      </c>
      <c r="BC78" s="23">
        <f t="shared" si="29"/>
        <v>5.8649619376370553E-2</v>
      </c>
      <c r="BD78" s="23">
        <f t="shared" si="29"/>
        <v>5.8635590868024688E-2</v>
      </c>
      <c r="BE78" s="23">
        <f t="shared" si="29"/>
        <v>5.8622976382041267E-2</v>
      </c>
      <c r="BF78" s="23">
        <f t="shared" si="29"/>
        <v>5.860716093755277E-2</v>
      </c>
      <c r="BG78" s="23">
        <f t="shared" si="29"/>
        <v>5.8592557999513351E-2</v>
      </c>
      <c r="BH78" s="23">
        <f t="shared" si="29"/>
        <v>5.8580208490153308E-2</v>
      </c>
      <c r="BI78" s="23">
        <f t="shared" si="29"/>
        <v>5.8570008509263291E-2</v>
      </c>
    </row>
    <row r="79" spans="1:237" s="37" customFormat="1" ht="18" customHeight="1" x14ac:dyDescent="0.2">
      <c r="A79" s="35" t="s">
        <v>70</v>
      </c>
      <c r="B79" s="29">
        <f>+C134</f>
        <v>-7.042336582843256E-3</v>
      </c>
      <c r="C79" s="23">
        <f t="shared" ref="C79:BI79" si="30">+D134</f>
        <v>-2.3834122843565675E-3</v>
      </c>
      <c r="D79" s="23">
        <f t="shared" si="30"/>
        <v>2.2334287811847098E-3</v>
      </c>
      <c r="E79" s="23">
        <f t="shared" si="30"/>
        <v>-1.4159360647612029E-3</v>
      </c>
      <c r="F79" s="23">
        <f t="shared" si="30"/>
        <v>4.4128147885255098E-2</v>
      </c>
      <c r="G79" s="23">
        <f t="shared" si="30"/>
        <v>2.0335102753413548E-2</v>
      </c>
      <c r="H79" s="23">
        <f t="shared" si="30"/>
        <v>2.0746788144641926E-2</v>
      </c>
      <c r="I79" s="23">
        <f t="shared" si="30"/>
        <v>2.1810459885376998E-2</v>
      </c>
      <c r="J79" s="23">
        <f t="shared" si="30"/>
        <v>1.9487462951169432E-2</v>
      </c>
      <c r="K79" s="23">
        <f t="shared" si="30"/>
        <v>2.4309195342347545E-2</v>
      </c>
      <c r="L79" s="23">
        <f t="shared" si="30"/>
        <v>2.3679748475365914E-2</v>
      </c>
      <c r="M79" s="23">
        <f t="shared" si="30"/>
        <v>2.3800727928765086E-2</v>
      </c>
      <c r="N79" s="23">
        <f t="shared" si="30"/>
        <v>2.488689465947358E-2</v>
      </c>
      <c r="O79" s="23">
        <f t="shared" si="30"/>
        <v>2.8457196780559579E-2</v>
      </c>
      <c r="P79" s="23">
        <f t="shared" si="30"/>
        <v>2.4392626351061875E-2</v>
      </c>
      <c r="Q79" s="23">
        <f t="shared" si="30"/>
        <v>2.774917200763749E-2</v>
      </c>
      <c r="R79" s="23">
        <f t="shared" si="30"/>
        <v>2.7617883681930078E-2</v>
      </c>
      <c r="S79" s="23">
        <f t="shared" si="30"/>
        <v>2.2827196652417392E-2</v>
      </c>
      <c r="T79" s="23">
        <f t="shared" si="30"/>
        <v>6.2659221492782358E-3</v>
      </c>
      <c r="U79" s="23">
        <f t="shared" si="30"/>
        <v>1.8754883411875589E-2</v>
      </c>
      <c r="V79" s="23">
        <f t="shared" si="30"/>
        <v>2.1359120586064595E-2</v>
      </c>
      <c r="W79" s="23">
        <f t="shared" si="30"/>
        <v>1.737062152437896E-2</v>
      </c>
      <c r="X79" s="23">
        <f t="shared" si="30"/>
        <v>1.788181092672092E-2</v>
      </c>
      <c r="Y79" s="23">
        <f t="shared" si="30"/>
        <v>1.5019045605860093E-2</v>
      </c>
      <c r="Z79" s="23">
        <f t="shared" si="30"/>
        <v>1.4340782483614589E-2</v>
      </c>
      <c r="AA79" s="23">
        <f t="shared" si="30"/>
        <v>1.7328840126814127E-2</v>
      </c>
      <c r="AB79" s="23">
        <f t="shared" si="30"/>
        <v>2.0523849546476125E-2</v>
      </c>
      <c r="AC79" s="23">
        <f t="shared" si="30"/>
        <v>2.0634723551278489E-2</v>
      </c>
      <c r="AD79" s="23">
        <f t="shared" si="30"/>
        <v>1.998205321196278E-2</v>
      </c>
      <c r="AE79" s="23">
        <f t="shared" si="30"/>
        <v>9.9110939414988053E-3</v>
      </c>
      <c r="AF79" s="23">
        <f t="shared" si="30"/>
        <v>2.3871416986590344E-2</v>
      </c>
      <c r="AG79" s="23">
        <f t="shared" si="30"/>
        <v>1.2572462459727429E-2</v>
      </c>
      <c r="AH79" s="23">
        <f t="shared" si="30"/>
        <v>0.32906057444764736</v>
      </c>
      <c r="AI79" s="23">
        <f t="shared" si="30"/>
        <v>8.891883365240294E-2</v>
      </c>
      <c r="AJ79" s="23">
        <f t="shared" si="30"/>
        <v>4.7187483767571425E-2</v>
      </c>
      <c r="AK79" s="23">
        <f t="shared" si="30"/>
        <v>3.299094106459477E-2</v>
      </c>
      <c r="AL79" s="23">
        <f t="shared" si="30"/>
        <v>2.6937370199792143E-2</v>
      </c>
      <c r="AM79" s="23">
        <f t="shared" si="30"/>
        <v>2.4021394442734323E-2</v>
      </c>
      <c r="AN79" s="23">
        <f t="shared" si="30"/>
        <v>2.2514983255230492E-2</v>
      </c>
      <c r="AO79" s="23">
        <f t="shared" si="30"/>
        <v>2.1697787158813986E-2</v>
      </c>
      <c r="AP79" s="23">
        <f t="shared" si="30"/>
        <v>2.123431919000196E-2</v>
      </c>
      <c r="AQ79" s="23">
        <f t="shared" si="30"/>
        <v>2.0958115768707097E-2</v>
      </c>
      <c r="AR79" s="23">
        <f t="shared" si="30"/>
        <v>2.0783532088719747E-2</v>
      </c>
      <c r="AS79" s="23">
        <f t="shared" si="30"/>
        <v>2.0665535908665822E-2</v>
      </c>
      <c r="AT79" s="23">
        <f t="shared" si="30"/>
        <v>2.058009262192817E-2</v>
      </c>
      <c r="AU79" s="23">
        <f t="shared" si="30"/>
        <v>2.0514204353171639E-2</v>
      </c>
      <c r="AV79" s="23">
        <f t="shared" si="30"/>
        <v>2.0460733981375157E-2</v>
      </c>
      <c r="AW79" s="23">
        <f t="shared" si="30"/>
        <v>2.0415680084439503E-2</v>
      </c>
      <c r="AX79" s="23">
        <f t="shared" si="30"/>
        <v>2.0376731159368333E-2</v>
      </c>
      <c r="AY79" s="23">
        <f t="shared" si="30"/>
        <v>2.034249472937022E-2</v>
      </c>
      <c r="AZ79" s="23">
        <f t="shared" si="30"/>
        <v>2.031208467678991E-2</v>
      </c>
      <c r="BA79" s="23">
        <f t="shared" si="30"/>
        <v>2.0284899426213032E-2</v>
      </c>
      <c r="BB79" s="23">
        <f t="shared" si="30"/>
        <v>2.0260502064711972E-2</v>
      </c>
      <c r="BC79" s="23">
        <f t="shared" si="30"/>
        <v>2.0238555027342064E-2</v>
      </c>
      <c r="BD79" s="23">
        <f t="shared" si="30"/>
        <v>2.0243870999691493E-2</v>
      </c>
      <c r="BE79" s="23">
        <f t="shared" si="30"/>
        <v>2.0217125120127966E-2</v>
      </c>
      <c r="BF79" s="23">
        <f t="shared" si="30"/>
        <v>2.0194232205742901E-2</v>
      </c>
      <c r="BG79" s="23">
        <f t="shared" si="30"/>
        <v>2.0175115217093031E-2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1.5230822511801223</v>
      </c>
      <c r="C84" s="381">
        <f t="shared" ref="C84:BH84" si="31">C68-C73</f>
        <v>1.3307820585395933</v>
      </c>
      <c r="D84" s="381">
        <f>D68-D73</f>
        <v>1.1972792432312946</v>
      </c>
      <c r="E84" s="381">
        <f>E68-E73</f>
        <v>1.0904309104704204</v>
      </c>
      <c r="F84" s="381">
        <f t="shared" si="31"/>
        <v>0.96044704460506036</v>
      </c>
      <c r="G84" s="381">
        <f t="shared" si="31"/>
        <v>1.1259866590619163</v>
      </c>
      <c r="H84" s="381">
        <f t="shared" si="31"/>
        <v>1.1282141791067182</v>
      </c>
      <c r="I84" s="381">
        <f t="shared" si="31"/>
        <v>1.1334903377846497</v>
      </c>
      <c r="J84" s="381">
        <f>J68-J73</f>
        <v>1.1467257675311748</v>
      </c>
      <c r="K84" s="381">
        <f t="shared" si="31"/>
        <v>1.142645787706932</v>
      </c>
      <c r="L84" s="381">
        <f>L68-L73</f>
        <v>1.1944973743276337</v>
      </c>
      <c r="M84" s="381">
        <f t="shared" si="31"/>
        <v>1.2642686121705435</v>
      </c>
      <c r="N84" s="381">
        <f t="shared" si="31"/>
        <v>1.3391698437715644</v>
      </c>
      <c r="O84" s="381">
        <f t="shared" si="31"/>
        <v>1.4285715761451518</v>
      </c>
      <c r="P84" s="381">
        <f t="shared" si="31"/>
        <v>1.5596849940445259</v>
      </c>
      <c r="Q84" s="381">
        <f t="shared" si="31"/>
        <v>1.6584660937806321</v>
      </c>
      <c r="R84" s="381">
        <f t="shared" si="31"/>
        <v>1.802385062123899</v>
      </c>
      <c r="S84" s="381">
        <f t="shared" si="31"/>
        <v>1.9571255316963718</v>
      </c>
      <c r="T84" s="381">
        <f t="shared" si="31"/>
        <v>2.0599683263389617</v>
      </c>
      <c r="U84" s="381">
        <f t="shared" si="31"/>
        <v>1.9446392914957826</v>
      </c>
      <c r="V84" s="381">
        <f t="shared" si="31"/>
        <v>1.9984368782873005</v>
      </c>
      <c r="W84" s="381">
        <f t="shared" si="31"/>
        <v>2.0945635603621877</v>
      </c>
      <c r="X84" s="381">
        <f t="shared" si="31"/>
        <v>2.1387899034017002</v>
      </c>
      <c r="Y84" s="381">
        <f t="shared" si="31"/>
        <v>2.1912761707980528</v>
      </c>
      <c r="Z84" s="381">
        <f t="shared" si="31"/>
        <v>2.2032901369753075</v>
      </c>
      <c r="AA84" s="381">
        <f t="shared" si="31"/>
        <v>2.2055195038599584</v>
      </c>
      <c r="AB84" s="381">
        <f t="shared" si="31"/>
        <v>2.2514721418154204</v>
      </c>
      <c r="AC84" s="381">
        <f t="shared" si="31"/>
        <v>2.346934308504725</v>
      </c>
      <c r="AD84" s="381">
        <f t="shared" si="31"/>
        <v>2.4482165524202015</v>
      </c>
      <c r="AE84" s="381">
        <f t="shared" si="31"/>
        <v>2.5430017801441736</v>
      </c>
      <c r="AF84" s="381">
        <f t="shared" si="31"/>
        <v>2.4657788659440212</v>
      </c>
      <c r="AG84" s="381">
        <f t="shared" si="31"/>
        <v>2.613063549643861</v>
      </c>
      <c r="AH84" s="381">
        <f t="shared" si="31"/>
        <v>2.5716810552667533</v>
      </c>
      <c r="AI84" s="381">
        <f t="shared" si="31"/>
        <v>15.514650327697559</v>
      </c>
      <c r="AJ84" s="381">
        <f t="shared" si="31"/>
        <v>24.789728608405198</v>
      </c>
      <c r="AK84" s="381">
        <f t="shared" si="31"/>
        <v>30.525382116326085</v>
      </c>
      <c r="AL84" s="381">
        <f t="shared" si="31"/>
        <v>34.318706750907459</v>
      </c>
      <c r="AM84" s="381">
        <f t="shared" si="31"/>
        <v>37.100835173118114</v>
      </c>
      <c r="AN84" s="381">
        <f t="shared" si="31"/>
        <v>39.355334332994566</v>
      </c>
      <c r="AO84" s="381">
        <f t="shared" si="31"/>
        <v>41.339116925442354</v>
      </c>
      <c r="AP84" s="381">
        <f t="shared" si="31"/>
        <v>43.19206140579621</v>
      </c>
      <c r="AQ84" s="381">
        <f t="shared" si="31"/>
        <v>44.991760888313991</v>
      </c>
      <c r="AR84" s="381">
        <f t="shared" si="31"/>
        <v>46.782010387464361</v>
      </c>
      <c r="AS84" s="381">
        <f t="shared" si="31"/>
        <v>48.588068327689555</v>
      </c>
      <c r="AT84" s="381">
        <f t="shared" si="31"/>
        <v>50.424974653162174</v>
      </c>
      <c r="AU84" s="381">
        <f t="shared" si="31"/>
        <v>52.302127926686772</v>
      </c>
      <c r="AV84" s="381">
        <f t="shared" si="31"/>
        <v>54.225816909497539</v>
      </c>
      <c r="AW84" s="381">
        <f t="shared" si="31"/>
        <v>56.200624771651022</v>
      </c>
      <c r="AX84" s="381">
        <f t="shared" si="31"/>
        <v>58.23020942173963</v>
      </c>
      <c r="AY84" s="381">
        <f t="shared" si="31"/>
        <v>60.317737911971776</v>
      </c>
      <c r="AZ84" s="381">
        <f t="shared" si="31"/>
        <v>62.466128892536105</v>
      </c>
      <c r="BA84" s="381">
        <f t="shared" si="31"/>
        <v>64.678188548077387</v>
      </c>
      <c r="BB84" s="381">
        <f t="shared" si="31"/>
        <v>66.956687450102237</v>
      </c>
      <c r="BC84" s="381">
        <f t="shared" si="31"/>
        <v>69.304404664806896</v>
      </c>
      <c r="BD84" s="381">
        <f t="shared" si="31"/>
        <v>71.724153739860327</v>
      </c>
      <c r="BE84" s="381">
        <f t="shared" si="31"/>
        <v>74.230966351818992</v>
      </c>
      <c r="BF84" s="381">
        <f t="shared" si="31"/>
        <v>76.811968317898987</v>
      </c>
      <c r="BG84" s="381">
        <f t="shared" si="31"/>
        <v>79.470821954603821</v>
      </c>
      <c r="BH84" s="381">
        <f t="shared" si="31"/>
        <v>82.211441156997836</v>
      </c>
      <c r="BI84" s="381">
        <f>+BH84</f>
        <v>82.211441156997836</v>
      </c>
    </row>
    <row r="85" spans="1:103" s="381" customFormat="1" ht="18" customHeight="1" x14ac:dyDescent="0.2">
      <c r="A85" s="411" t="s">
        <v>970</v>
      </c>
      <c r="B85" s="383">
        <f>+C85/C84*B84</f>
        <v>0.32071306520154119</v>
      </c>
      <c r="C85" s="383">
        <f>+(C74-B74)/10</f>
        <v>0.28022071216361105</v>
      </c>
      <c r="D85" s="383">
        <f t="shared" ref="D85:BI85" si="32">+(D74-C74)/10</f>
        <v>0.11686625957899315</v>
      </c>
      <c r="E85" s="383">
        <f t="shared" si="32"/>
        <v>-1.3231648881573754E-2</v>
      </c>
      <c r="F85" s="383">
        <f t="shared" si="32"/>
        <v>-4.2282536805916052E-2</v>
      </c>
      <c r="G85" s="383">
        <f t="shared" si="32"/>
        <v>-5.4303217147896009E-2</v>
      </c>
      <c r="H85" s="383">
        <f t="shared" si="32"/>
        <v>2.4447375601100683E-2</v>
      </c>
      <c r="I85" s="383">
        <f t="shared" si="32"/>
        <v>8.4104796791755199E-3</v>
      </c>
      <c r="J85" s="383">
        <f t="shared" si="32"/>
        <v>4.3587620574850657E-3</v>
      </c>
      <c r="K85" s="383">
        <f t="shared" si="32"/>
        <v>5.9861735281528713E-3</v>
      </c>
      <c r="L85" s="383">
        <f t="shared" si="32"/>
        <v>1.2304054625218086E-2</v>
      </c>
      <c r="M85" s="383">
        <f t="shared" si="32"/>
        <v>3.0308720519195642E-2</v>
      </c>
      <c r="N85" s="383">
        <f t="shared" si="32"/>
        <v>4.3576407357195458E-2</v>
      </c>
      <c r="O85" s="383">
        <f t="shared" si="32"/>
        <v>3.7429616038501298E-2</v>
      </c>
      <c r="P85" s="383">
        <f t="shared" si="32"/>
        <v>3.9591035815217258E-2</v>
      </c>
      <c r="Q85" s="383">
        <f t="shared" si="32"/>
        <v>5.2727364679627263E-2</v>
      </c>
      <c r="R85" s="383">
        <f t="shared" si="32"/>
        <v>4.7709425342131163E-2</v>
      </c>
      <c r="S85" s="383">
        <f t="shared" si="32"/>
        <v>5.9359576109892662E-2</v>
      </c>
      <c r="T85" s="383">
        <f t="shared" si="32"/>
        <v>6.6634244202597157E-2</v>
      </c>
      <c r="U85" s="383">
        <f t="shared" si="32"/>
        <v>5.3764224479943577E-2</v>
      </c>
      <c r="V85" s="383">
        <f t="shared" si="32"/>
        <v>-1.5490586619254999E-2</v>
      </c>
      <c r="W85" s="383">
        <f t="shared" si="32"/>
        <v>1.0569321072484428E-2</v>
      </c>
      <c r="X85" s="383">
        <f t="shared" si="32"/>
        <v>3.2221824014641062E-2</v>
      </c>
      <c r="Y85" s="383">
        <f t="shared" si="32"/>
        <v>2.4364254442898848E-2</v>
      </c>
      <c r="Z85" s="383">
        <f t="shared" si="32"/>
        <v>2.4076561659801675E-2</v>
      </c>
      <c r="AA85" s="383">
        <f t="shared" si="32"/>
        <v>1.1961489303514306E-2</v>
      </c>
      <c r="AB85" s="383">
        <f t="shared" si="32"/>
        <v>4.8325316988000466E-3</v>
      </c>
      <c r="AC85" s="383">
        <f t="shared" si="32"/>
        <v>1.5326673146685543E-2</v>
      </c>
      <c r="AD85" s="383">
        <f t="shared" si="32"/>
        <v>3.3683339569584095E-2</v>
      </c>
      <c r="AE85" s="383">
        <f t="shared" si="32"/>
        <v>4.1811683474132624E-2</v>
      </c>
      <c r="AF85" s="383">
        <f t="shared" si="32"/>
        <v>4.2717133000523155E-2</v>
      </c>
      <c r="AG85" s="383">
        <f t="shared" si="32"/>
        <v>-8.0301424544510173E-3</v>
      </c>
      <c r="AH85" s="383">
        <f t="shared" si="32"/>
        <v>4.0923549521950521E-2</v>
      </c>
      <c r="AI85" s="383">
        <f t="shared" si="32"/>
        <v>1.9841959491948558E-3</v>
      </c>
      <c r="AJ85" s="383">
        <f t="shared" si="32"/>
        <v>3.8429905523141072</v>
      </c>
      <c r="AK85" s="383">
        <f t="shared" si="32"/>
        <v>4.0934026943626902</v>
      </c>
      <c r="AL85" s="383">
        <f t="shared" si="32"/>
        <v>3.1299890133261301</v>
      </c>
      <c r="AM85" s="383">
        <f t="shared" si="32"/>
        <v>2.217460354014622</v>
      </c>
      <c r="AN85" s="383">
        <f t="shared" si="32"/>
        <v>1.5990937606034437</v>
      </c>
      <c r="AO85" s="383">
        <f t="shared" si="32"/>
        <v>1.2268486472733258</v>
      </c>
      <c r="AP85" s="383">
        <f t="shared" si="32"/>
        <v>1.0166888599107125</v>
      </c>
      <c r="AQ85" s="383">
        <f t="shared" si="32"/>
        <v>0.90456957733217114</v>
      </c>
      <c r="AR85" s="383">
        <f t="shared" si="32"/>
        <v>0.84966948976924928</v>
      </c>
      <c r="AS85" s="383">
        <f t="shared" si="32"/>
        <v>0.82772165514905682</v>
      </c>
      <c r="AT85" s="383">
        <f t="shared" si="32"/>
        <v>0.82476187188984229</v>
      </c>
      <c r="AU85" s="383">
        <f t="shared" si="32"/>
        <v>0.83288762734869126</v>
      </c>
      <c r="AV85" s="383">
        <f t="shared" si="32"/>
        <v>0.8476687639804823</v>
      </c>
      <c r="AW85" s="383">
        <f t="shared" si="32"/>
        <v>0.86663739393216022</v>
      </c>
      <c r="AX85" s="383">
        <f t="shared" si="32"/>
        <v>0.88842668968276828</v>
      </c>
      <c r="AY85" s="383">
        <f t="shared" si="32"/>
        <v>0.91228539133416009</v>
      </c>
      <c r="AZ85" s="383">
        <f t="shared" si="32"/>
        <v>0.93780583327825295</v>
      </c>
      <c r="BA85" s="383">
        <f t="shared" si="32"/>
        <v>0.96477212974566551</v>
      </c>
      <c r="BB85" s="383">
        <f t="shared" si="32"/>
        <v>0.99307561907728537</v>
      </c>
      <c r="BC85" s="383">
        <f t="shared" si="32"/>
        <v>1.0226678410447163</v>
      </c>
      <c r="BD85" s="383">
        <f t="shared" si="32"/>
        <v>1.0535344203767238</v>
      </c>
      <c r="BE85" s="383">
        <f t="shared" si="32"/>
        <v>1.0856805810262871</v>
      </c>
      <c r="BF85" s="383">
        <f t="shared" si="32"/>
        <v>1.1227352643269</v>
      </c>
      <c r="BG85" s="383">
        <f t="shared" si="32"/>
        <v>1.1576795651592875</v>
      </c>
      <c r="BH85" s="383">
        <f t="shared" si="32"/>
        <v>1.1929752302237262</v>
      </c>
      <c r="BI85" s="383">
        <f t="shared" si="32"/>
        <v>1.2295553020806493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1.8437953163816636</v>
      </c>
      <c r="C87" s="383">
        <f>+SUM(C84:C86)</f>
        <v>1.6110027707032044</v>
      </c>
      <c r="D87" s="383">
        <f t="shared" ref="D87:BI87" si="35">+SUM(D84:D86)</f>
        <v>1.3141455028102877</v>
      </c>
      <c r="E87" s="383">
        <f t="shared" si="35"/>
        <v>1.0771992615888466</v>
      </c>
      <c r="F87" s="383">
        <f t="shared" si="35"/>
        <v>0.91816450779914427</v>
      </c>
      <c r="G87" s="383">
        <f t="shared" si="35"/>
        <v>1.0716834419140202</v>
      </c>
      <c r="H87" s="383">
        <f t="shared" si="35"/>
        <v>1.1526615547078189</v>
      </c>
      <c r="I87" s="383">
        <f t="shared" si="35"/>
        <v>1.1419008174638252</v>
      </c>
      <c r="J87" s="383">
        <f t="shared" si="35"/>
        <v>1.1510845295886598</v>
      </c>
      <c r="K87" s="383">
        <f t="shared" si="35"/>
        <v>1.1486319612350848</v>
      </c>
      <c r="L87" s="383">
        <f t="shared" si="35"/>
        <v>1.2068014289528517</v>
      </c>
      <c r="M87" s="383">
        <f t="shared" si="35"/>
        <v>1.2945773326897392</v>
      </c>
      <c r="N87" s="383">
        <f t="shared" si="35"/>
        <v>1.3827462511287598</v>
      </c>
      <c r="O87" s="383">
        <f t="shared" si="35"/>
        <v>1.4660011921836531</v>
      </c>
      <c r="P87" s="383">
        <f t="shared" si="35"/>
        <v>1.599276029859743</v>
      </c>
      <c r="Q87" s="383">
        <f t="shared" si="35"/>
        <v>1.7111934584602595</v>
      </c>
      <c r="R87" s="383">
        <f t="shared" si="35"/>
        <v>1.8500944874660301</v>
      </c>
      <c r="S87" s="383">
        <f t="shared" si="35"/>
        <v>2.0164851078062647</v>
      </c>
      <c r="T87" s="383">
        <f t="shared" si="35"/>
        <v>2.126602570541559</v>
      </c>
      <c r="U87" s="383">
        <f t="shared" si="35"/>
        <v>1.9984035159757263</v>
      </c>
      <c r="V87" s="383">
        <f t="shared" si="35"/>
        <v>1.9829462916680456</v>
      </c>
      <c r="W87" s="383">
        <f t="shared" si="35"/>
        <v>2.1051328814346721</v>
      </c>
      <c r="X87" s="383">
        <f t="shared" si="35"/>
        <v>2.1710117274163414</v>
      </c>
      <c r="Y87" s="383">
        <f t="shared" si="35"/>
        <v>2.2156404252409518</v>
      </c>
      <c r="Z87" s="383">
        <f t="shared" si="35"/>
        <v>2.2273666986351093</v>
      </c>
      <c r="AA87" s="383">
        <f t="shared" si="35"/>
        <v>2.2174809931634729</v>
      </c>
      <c r="AB87" s="383">
        <f t="shared" si="35"/>
        <v>2.2563046735142205</v>
      </c>
      <c r="AC87" s="383">
        <f t="shared" si="35"/>
        <v>2.3622609816514104</v>
      </c>
      <c r="AD87" s="383">
        <f t="shared" si="35"/>
        <v>2.4818998919897854</v>
      </c>
      <c r="AE87" s="383">
        <f t="shared" si="35"/>
        <v>2.584813463618306</v>
      </c>
      <c r="AF87" s="383">
        <f t="shared" si="35"/>
        <v>2.5084959989445443</v>
      </c>
      <c r="AG87" s="383">
        <f t="shared" si="35"/>
        <v>2.6050334071894099</v>
      </c>
      <c r="AH87" s="383">
        <f t="shared" si="35"/>
        <v>2.6126046047887037</v>
      </c>
      <c r="AI87" s="383">
        <f t="shared" si="35"/>
        <v>15.516634523646754</v>
      </c>
      <c r="AJ87" s="383">
        <f t="shared" si="35"/>
        <v>28.632719160719304</v>
      </c>
      <c r="AK87" s="383">
        <f t="shared" si="35"/>
        <v>34.618784810688773</v>
      </c>
      <c r="AL87" s="383">
        <f t="shared" si="35"/>
        <v>37.448695764233591</v>
      </c>
      <c r="AM87" s="383">
        <f t="shared" si="35"/>
        <v>39.318295527132733</v>
      </c>
      <c r="AN87" s="383">
        <f t="shared" si="35"/>
        <v>40.954428093598011</v>
      </c>
      <c r="AO87" s="383">
        <f t="shared" si="35"/>
        <v>42.565965572715683</v>
      </c>
      <c r="AP87" s="383">
        <f t="shared" si="35"/>
        <v>44.208750265706925</v>
      </c>
      <c r="AQ87" s="383">
        <f t="shared" si="35"/>
        <v>45.896330465646159</v>
      </c>
      <c r="AR87" s="383">
        <f t="shared" si="35"/>
        <v>47.631679877233609</v>
      </c>
      <c r="AS87" s="383">
        <f t="shared" si="35"/>
        <v>49.415789982838611</v>
      </c>
      <c r="AT87" s="383">
        <f t="shared" si="35"/>
        <v>51.249736525052015</v>
      </c>
      <c r="AU87" s="383">
        <f t="shared" si="35"/>
        <v>53.135015554035462</v>
      </c>
      <c r="AV87" s="383">
        <f t="shared" si="35"/>
        <v>55.073485673478018</v>
      </c>
      <c r="AW87" s="383">
        <f t="shared" si="35"/>
        <v>57.06726216558318</v>
      </c>
      <c r="AX87" s="383">
        <f t="shared" si="35"/>
        <v>59.118636111422397</v>
      </c>
      <c r="AY87" s="383">
        <f t="shared" si="35"/>
        <v>61.230023303305934</v>
      </c>
      <c r="AZ87" s="383">
        <f t="shared" si="35"/>
        <v>63.403934725814359</v>
      </c>
      <c r="BA87" s="383">
        <f t="shared" si="35"/>
        <v>65.642960677823055</v>
      </c>
      <c r="BB87" s="383">
        <f t="shared" si="35"/>
        <v>67.949763069179525</v>
      </c>
      <c r="BC87" s="383">
        <f t="shared" si="35"/>
        <v>70.327072505851618</v>
      </c>
      <c r="BD87" s="383">
        <f t="shared" si="35"/>
        <v>72.777688160237048</v>
      </c>
      <c r="BE87" s="383">
        <f t="shared" si="35"/>
        <v>75.316646932845273</v>
      </c>
      <c r="BF87" s="383">
        <f t="shared" si="35"/>
        <v>77.934703582225893</v>
      </c>
      <c r="BG87" s="383">
        <f t="shared" si="35"/>
        <v>80.628501519763105</v>
      </c>
      <c r="BH87" s="383">
        <f t="shared" si="35"/>
        <v>83.404416387221559</v>
      </c>
      <c r="BI87" s="383">
        <f t="shared" si="35"/>
        <v>83.440996459078491</v>
      </c>
    </row>
    <row r="88" spans="1:103" ht="18" customHeight="1" x14ac:dyDescent="0.2">
      <c r="A88" s="21" t="s">
        <v>153</v>
      </c>
      <c r="B88" s="29">
        <f t="shared" ref="B88:AG88" si="36">(B84/B56)*1000</f>
        <v>9.7669497340305487</v>
      </c>
      <c r="C88" s="23">
        <f t="shared" si="36"/>
        <v>8.4370421201988162</v>
      </c>
      <c r="D88" s="23">
        <f t="shared" si="36"/>
        <v>7.5192469248975176</v>
      </c>
      <c r="E88" s="23">
        <f t="shared" si="36"/>
        <v>6.910772983072337</v>
      </c>
      <c r="F88" s="23">
        <f t="shared" si="36"/>
        <v>6.1989369415616187</v>
      </c>
      <c r="G88" s="23">
        <f t="shared" si="36"/>
        <v>7.4857553353078385</v>
      </c>
      <c r="H88" s="23">
        <f t="shared" si="36"/>
        <v>7.7520077865074724</v>
      </c>
      <c r="I88" s="23">
        <f t="shared" si="36"/>
        <v>8.0493485289163349</v>
      </c>
      <c r="J88" s="23">
        <f t="shared" si="36"/>
        <v>8.416329784867937</v>
      </c>
      <c r="K88" s="23">
        <f t="shared" si="36"/>
        <v>8.6675241261839862</v>
      </c>
      <c r="L88" s="23">
        <f t="shared" si="36"/>
        <v>9.2114624735838113</v>
      </c>
      <c r="M88" s="23">
        <f t="shared" si="36"/>
        <v>9.7495008949767126</v>
      </c>
      <c r="N88" s="23">
        <f t="shared" si="36"/>
        <v>10.327098717425534</v>
      </c>
      <c r="O88" s="23">
        <f t="shared" si="36"/>
        <v>11.016517080452235</v>
      </c>
      <c r="P88" s="23">
        <f t="shared" si="36"/>
        <v>12.027596247304993</v>
      </c>
      <c r="Q88" s="23">
        <f t="shared" si="36"/>
        <v>12.789341501811695</v>
      </c>
      <c r="R88" s="23">
        <f t="shared" si="36"/>
        <v>13.899168061342493</v>
      </c>
      <c r="S88" s="23">
        <f t="shared" si="36"/>
        <v>15.092443171928805</v>
      </c>
      <c r="T88" s="23">
        <f t="shared" si="36"/>
        <v>15.885505868559621</v>
      </c>
      <c r="U88" s="23">
        <f t="shared" si="36"/>
        <v>14.996130214644186</v>
      </c>
      <c r="V88" s="23">
        <f t="shared" si="36"/>
        <v>15.369872971309036</v>
      </c>
      <c r="W88" s="23">
        <f t="shared" si="36"/>
        <v>16.023343369035565</v>
      </c>
      <c r="X88" s="23">
        <f t="shared" si="36"/>
        <v>16.274493224174609</v>
      </c>
      <c r="Y88" s="23">
        <f t="shared" si="36"/>
        <v>16.585028321133517</v>
      </c>
      <c r="Z88" s="23">
        <f t="shared" si="36"/>
        <v>16.587103123803015</v>
      </c>
      <c r="AA88" s="23">
        <f t="shared" si="36"/>
        <v>16.515415716418108</v>
      </c>
      <c r="AB88" s="23">
        <f t="shared" si="36"/>
        <v>16.769686270959898</v>
      </c>
      <c r="AC88" s="23">
        <f t="shared" si="36"/>
        <v>17.387576221353026</v>
      </c>
      <c r="AD88" s="23">
        <f t="shared" si="36"/>
        <v>18.041294500995505</v>
      </c>
      <c r="AE88" s="23">
        <f t="shared" si="36"/>
        <v>18.639930257576829</v>
      </c>
      <c r="AF88" s="23">
        <f t="shared" si="36"/>
        <v>18.025678517558227</v>
      </c>
      <c r="AG88" s="23">
        <f t="shared" si="36"/>
        <v>19.102379431659511</v>
      </c>
      <c r="AH88" s="23">
        <f t="shared" ref="AH88:BI88" si="37">(AH84/AH56)*1000</f>
        <v>18.799859384059534</v>
      </c>
      <c r="AI88" s="23">
        <f t="shared" si="37"/>
        <v>113.41734775244623</v>
      </c>
      <c r="AJ88" s="23">
        <f t="shared" si="37"/>
        <v>181.22131088245473</v>
      </c>
      <c r="AK88" s="23">
        <f t="shared" si="37"/>
        <v>223.15088033811011</v>
      </c>
      <c r="AL88" s="23">
        <f t="shared" si="37"/>
        <v>250.88136798243488</v>
      </c>
      <c r="AM88" s="23">
        <f t="shared" si="37"/>
        <v>271.21966888442228</v>
      </c>
      <c r="AN88" s="23">
        <f t="shared" si="37"/>
        <v>287.7008212031966</v>
      </c>
      <c r="AO88" s="23">
        <f t="shared" si="37"/>
        <v>302.20294373903147</v>
      </c>
      <c r="AP88" s="23">
        <f t="shared" si="37"/>
        <v>315.74859536864551</v>
      </c>
      <c r="AQ88" s="23">
        <f t="shared" si="37"/>
        <v>328.90500803327495</v>
      </c>
      <c r="AR88" s="23">
        <f t="shared" si="37"/>
        <v>341.99233811936091</v>
      </c>
      <c r="AS88" s="23">
        <f t="shared" si="37"/>
        <v>355.19523326304972</v>
      </c>
      <c r="AT88" s="23">
        <f t="shared" si="37"/>
        <v>368.62364054934619</v>
      </c>
      <c r="AU88" s="23">
        <f t="shared" si="37"/>
        <v>382.3462666550663</v>
      </c>
      <c r="AV88" s="23">
        <f t="shared" si="37"/>
        <v>396.40908455444833</v>
      </c>
      <c r="AW88" s="23">
        <f t="shared" si="37"/>
        <v>410.84559877264314</v>
      </c>
      <c r="AX88" s="23">
        <f t="shared" si="37"/>
        <v>425.68254986016973</v>
      </c>
      <c r="AY88" s="23">
        <f t="shared" si="37"/>
        <v>440.94309004115718</v>
      </c>
      <c r="AZ88" s="23">
        <f t="shared" si="37"/>
        <v>456.6485556368516</v>
      </c>
      <c r="BA88" s="23">
        <f t="shared" si="37"/>
        <v>472.81946080728829</v>
      </c>
      <c r="BB88" s="23">
        <f t="shared" si="37"/>
        <v>489.47605936840267</v>
      </c>
      <c r="BC88" s="23">
        <f t="shared" si="37"/>
        <v>506.63866723518782</v>
      </c>
      <c r="BD88" s="23">
        <f t="shared" si="37"/>
        <v>524.3278523938792</v>
      </c>
      <c r="BE88" s="23">
        <f t="shared" si="37"/>
        <v>542.6535014904083</v>
      </c>
      <c r="BF88" s="23">
        <f t="shared" si="37"/>
        <v>561.52149988893132</v>
      </c>
      <c r="BG88" s="23">
        <f t="shared" si="37"/>
        <v>580.95862036329004</v>
      </c>
      <c r="BH88" s="23">
        <f t="shared" si="37"/>
        <v>600.99347481180041</v>
      </c>
      <c r="BI88" s="23">
        <f t="shared" si="37"/>
        <v>600.99347481180041</v>
      </c>
    </row>
    <row r="89" spans="1:103" ht="18" customHeight="1" x14ac:dyDescent="0.2">
      <c r="A89" s="21" t="s">
        <v>166</v>
      </c>
      <c r="C89" s="23">
        <f>+LN(C88/B88)/10</f>
        <v>-1.4637242245102083E-2</v>
      </c>
      <c r="D89" s="23">
        <f>+LN(D88/C88)/10</f>
        <v>-1.1516579750908142E-2</v>
      </c>
      <c r="E89" s="23">
        <f>+LN(E88/D88)/10</f>
        <v>-8.4384494048239615E-3</v>
      </c>
      <c r="F89" s="23">
        <f>+LN(F88/E88)/10</f>
        <v>-1.0870367962163858E-2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0.36004340446881078</v>
      </c>
      <c r="C90" s="33">
        <f t="shared" si="38"/>
        <v>0.31145094426048248</v>
      </c>
      <c r="D90" s="33">
        <f t="shared" si="38"/>
        <v>0.27063852138538269</v>
      </c>
      <c r="E90" s="33">
        <f t="shared" si="38"/>
        <v>0.23920669474856571</v>
      </c>
      <c r="F90" s="33">
        <f t="shared" si="38"/>
        <v>0.19671180183095982</v>
      </c>
      <c r="G90" s="33">
        <f t="shared" si="38"/>
        <v>0.2690087450455636</v>
      </c>
      <c r="H90" s="33">
        <f t="shared" si="38"/>
        <v>0.28167183422842612</v>
      </c>
      <c r="I90" s="33">
        <f t="shared" si="38"/>
        <v>0.2950640980163538</v>
      </c>
      <c r="J90" s="33">
        <f t="shared" si="38"/>
        <v>0.31060421558997964</v>
      </c>
      <c r="K90" s="33">
        <f t="shared" si="38"/>
        <v>0.32066738446379239</v>
      </c>
      <c r="L90" s="33">
        <f t="shared" si="38"/>
        <v>0.34102991116708326</v>
      </c>
      <c r="M90" s="33">
        <f t="shared" si="38"/>
        <v>0.35947099014694617</v>
      </c>
      <c r="N90" s="33">
        <f t="shared" si="38"/>
        <v>0.37764120476675167</v>
      </c>
      <c r="O90" s="33">
        <f t="shared" si="38"/>
        <v>0.39742953682142546</v>
      </c>
      <c r="P90" s="33">
        <f t="shared" si="38"/>
        <v>0.42331245052685718</v>
      </c>
      <c r="Q90" s="33">
        <f t="shared" si="38"/>
        <v>0.44075011479380211</v>
      </c>
      <c r="R90" s="33">
        <f t="shared" si="38"/>
        <v>0.46354216501672674</v>
      </c>
      <c r="S90" s="33">
        <f t="shared" si="38"/>
        <v>0.48518615136490861</v>
      </c>
      <c r="T90" s="33">
        <f t="shared" si="38"/>
        <v>0.49820137033129919</v>
      </c>
      <c r="U90" s="33">
        <f t="shared" si="38"/>
        <v>0.48353559599544416</v>
      </c>
      <c r="V90" s="33">
        <f t="shared" si="38"/>
        <v>0.48985356439499228</v>
      </c>
      <c r="W90" s="33">
        <f t="shared" si="38"/>
        <v>0.50036434151968368</v>
      </c>
      <c r="X90" s="33">
        <f t="shared" si="38"/>
        <v>0.50423454847750582</v>
      </c>
      <c r="Y90" s="33">
        <f t="shared" si="38"/>
        <v>0.50889779177351468</v>
      </c>
      <c r="Z90" s="33">
        <f t="shared" si="38"/>
        <v>0.50892850756609831</v>
      </c>
      <c r="AA90" s="33">
        <f t="shared" si="38"/>
        <v>0.50786388031500307</v>
      </c>
      <c r="AB90" s="33">
        <f t="shared" si="38"/>
        <v>0.5116091411250272</v>
      </c>
      <c r="AC90" s="33">
        <f t="shared" si="38"/>
        <v>0.52036543593675644</v>
      </c>
      <c r="AD90" s="33">
        <f t="shared" si="38"/>
        <v>0.52913528433017454</v>
      </c>
      <c r="AE90" s="33">
        <f t="shared" si="38"/>
        <v>0.53675807876656001</v>
      </c>
      <c r="AF90" s="33">
        <f t="shared" si="38"/>
        <v>0.52893136901654181</v>
      </c>
      <c r="AG90" s="33">
        <f t="shared" si="38"/>
        <v>0.54239974052110695</v>
      </c>
      <c r="AH90" s="33">
        <f t="shared" si="38"/>
        <v>0.53873267094139354</v>
      </c>
      <c r="AI90" s="33">
        <f t="shared" si="38"/>
        <v>0.81220230734117571</v>
      </c>
      <c r="AJ90" s="33">
        <f t="shared" si="38"/>
        <v>0.8514319709636673</v>
      </c>
      <c r="AK90" s="33">
        <f t="shared" si="38"/>
        <v>0.86611537903334357</v>
      </c>
      <c r="AL90" s="33">
        <f t="shared" si="38"/>
        <v>0.87373127618551916</v>
      </c>
      <c r="AM90" s="33">
        <f t="shared" si="38"/>
        <v>0.87855786184975526</v>
      </c>
      <c r="AN90" s="33">
        <f t="shared" si="38"/>
        <v>0.88208760929272134</v>
      </c>
      <c r="AO90" s="33">
        <f t="shared" si="38"/>
        <v>0.88495158219693071</v>
      </c>
      <c r="AP90" s="33">
        <f t="shared" si="38"/>
        <v>0.88744642807265328</v>
      </c>
      <c r="AQ90" s="33">
        <f t="shared" si="38"/>
        <v>0.88972050910202838</v>
      </c>
      <c r="AR90" s="33">
        <f t="shared" si="38"/>
        <v>0.89185117446833162</v>
      </c>
      <c r="AS90" s="33">
        <f t="shared" si="38"/>
        <v>0.89388019794626539</v>
      </c>
      <c r="AT90" s="33">
        <f t="shared" si="38"/>
        <v>0.89583102191004271</v>
      </c>
      <c r="AU90" s="33">
        <f t="shared" si="38"/>
        <v>0.89771744486007832</v>
      </c>
      <c r="AV90" s="33">
        <f t="shared" si="38"/>
        <v>0.89954809059188356</v>
      </c>
      <c r="AW90" s="33">
        <f t="shared" si="38"/>
        <v>0.9013287395064663</v>
      </c>
      <c r="AX90" s="33">
        <f t="shared" si="38"/>
        <v>0.90306355870421939</v>
      </c>
      <c r="AY90" s="33">
        <f t="shared" si="38"/>
        <v>0.90475575904680894</v>
      </c>
      <c r="AZ90" s="33">
        <f t="shared" si="38"/>
        <v>0.90640795182746803</v>
      </c>
      <c r="BA90" s="33">
        <f t="shared" si="38"/>
        <v>0.90802234689237649</v>
      </c>
      <c r="BB90" s="33">
        <f t="shared" si="38"/>
        <v>0.9096008663961519</v>
      </c>
      <c r="BC90" s="33">
        <f t="shared" si="38"/>
        <v>0.91114521315400965</v>
      </c>
      <c r="BD90" s="33">
        <f t="shared" si="38"/>
        <v>0.91265691414501637</v>
      </c>
      <c r="BE90" s="33">
        <f t="shared" si="38"/>
        <v>0.91414438750372284</v>
      </c>
      <c r="BF90" s="33">
        <f t="shared" si="38"/>
        <v>0.91559915378705869</v>
      </c>
      <c r="BG90" s="33">
        <f t="shared" si="38"/>
        <v>0.91702306371586217</v>
      </c>
      <c r="BH90" s="33">
        <f t="shared" si="38"/>
        <v>0.91841785547642119</v>
      </c>
      <c r="BI90" s="33">
        <f t="shared" si="38"/>
        <v>0.91841785547642119</v>
      </c>
    </row>
    <row r="91" spans="1:103" ht="18" customHeight="1" x14ac:dyDescent="0.2">
      <c r="A91" s="28" t="s">
        <v>115</v>
      </c>
      <c r="B91" s="29">
        <f t="shared" ref="B91:BH91" si="39">B$17*B$56*B90</f>
        <v>56.146057257797743</v>
      </c>
      <c r="C91" s="29">
        <f t="shared" si="39"/>
        <v>42.329773954847809</v>
      </c>
      <c r="D91" s="29">
        <f t="shared" si="39"/>
        <v>31.995571624129326</v>
      </c>
      <c r="E91" s="29">
        <f t="shared" si="39"/>
        <v>24.147022675589948</v>
      </c>
      <c r="F91" s="29">
        <f t="shared" si="39"/>
        <v>16.8013791487327</v>
      </c>
      <c r="G91" s="29">
        <f t="shared" si="39"/>
        <v>19.22037702116387</v>
      </c>
      <c r="H91" s="29">
        <f t="shared" si="39"/>
        <v>16.778697340919297</v>
      </c>
      <c r="I91" s="29">
        <f t="shared" si="39"/>
        <v>14.653808187378708</v>
      </c>
      <c r="J91" s="29">
        <f t="shared" si="39"/>
        <v>12.86058703214313</v>
      </c>
      <c r="K91" s="29">
        <f t="shared" si="39"/>
        <v>11.06948843345625</v>
      </c>
      <c r="L91" s="29">
        <f t="shared" si="39"/>
        <v>9.978031238376408</v>
      </c>
      <c r="M91" s="36">
        <f t="shared" si="39"/>
        <v>9.0626701386682846</v>
      </c>
      <c r="N91" s="29">
        <f t="shared" si="39"/>
        <v>8.2037352633011427</v>
      </c>
      <c r="O91" s="29">
        <f t="shared" si="39"/>
        <v>7.4393045961118069</v>
      </c>
      <c r="P91" s="29">
        <f t="shared" si="39"/>
        <v>6.827680342329101</v>
      </c>
      <c r="Q91" s="29">
        <f t="shared" si="39"/>
        <v>6.1255418270914026</v>
      </c>
      <c r="R91" s="29">
        <f t="shared" si="39"/>
        <v>5.5511282115867786</v>
      </c>
      <c r="S91" s="29">
        <f t="shared" si="39"/>
        <v>5.0065706292030088</v>
      </c>
      <c r="T91" s="29">
        <f t="shared" si="39"/>
        <v>4.4297254135704529</v>
      </c>
      <c r="U91" s="29">
        <f t="shared" si="39"/>
        <v>3.7045910817966696</v>
      </c>
      <c r="V91" s="29">
        <f t="shared" si="39"/>
        <v>3.2424850314688607</v>
      </c>
      <c r="W91" s="29">
        <f t="shared" si="39"/>
        <v>2.8691805894965601</v>
      </c>
      <c r="X91" s="29">
        <f t="shared" si="39"/>
        <v>2.5047475205160836</v>
      </c>
      <c r="Y91" s="29">
        <f t="shared" si="39"/>
        <v>2.1898872123145567</v>
      </c>
      <c r="Z91" s="29">
        <f t="shared" si="39"/>
        <v>1.8971767089109621</v>
      </c>
      <c r="AA91" s="29">
        <f t="shared" si="39"/>
        <v>1.6400540347788088</v>
      </c>
      <c r="AB91" s="29">
        <f t="shared" si="39"/>
        <v>1.4312284171689862</v>
      </c>
      <c r="AC91" s="29">
        <f t="shared" si="39"/>
        <v>1.261069207933494</v>
      </c>
      <c r="AD91" s="29">
        <f t="shared" si="39"/>
        <v>1.110854111505972</v>
      </c>
      <c r="AE91" s="29">
        <f t="shared" si="39"/>
        <v>0.97617733192802836</v>
      </c>
      <c r="AF91" s="29">
        <f t="shared" si="39"/>
        <v>0.8310920999951098</v>
      </c>
      <c r="AG91" s="29">
        <f t="shared" si="39"/>
        <v>0.7343597756579191</v>
      </c>
      <c r="AH91" s="29">
        <f t="shared" si="39"/>
        <v>0.6284956825275968</v>
      </c>
      <c r="AI91" s="29">
        <f t="shared" si="39"/>
        <v>0.81645599320680662</v>
      </c>
      <c r="AJ91" s="29">
        <f t="shared" si="39"/>
        <v>0.73749332460429617</v>
      </c>
      <c r="AK91" s="29">
        <f t="shared" si="39"/>
        <v>0.64643292375762318</v>
      </c>
      <c r="AL91" s="29">
        <f t="shared" si="39"/>
        <v>0.56190795044521857</v>
      </c>
      <c r="AM91" s="29">
        <f t="shared" si="39"/>
        <v>0.48685231772409854</v>
      </c>
      <c r="AN91" s="29">
        <f t="shared" si="39"/>
        <v>0.42119011639606685</v>
      </c>
      <c r="AO91" s="29">
        <f t="shared" si="39"/>
        <v>0.36410407332262357</v>
      </c>
      <c r="AP91" s="29">
        <f t="shared" si="39"/>
        <v>0.31462103158516319</v>
      </c>
      <c r="AQ91" s="29">
        <f t="shared" si="39"/>
        <v>0.27179332344027313</v>
      </c>
      <c r="AR91" s="29">
        <f t="shared" si="39"/>
        <v>0.23475624193415182</v>
      </c>
      <c r="AS91" s="29">
        <f t="shared" si="39"/>
        <v>0.20274196619843982</v>
      </c>
      <c r="AT91" s="29">
        <f t="shared" si="39"/>
        <v>0.17507736942939053</v>
      </c>
      <c r="AU91" s="29">
        <f t="shared" si="39"/>
        <v>0.15117610690617661</v>
      </c>
      <c r="AV91" s="29">
        <f t="shared" si="39"/>
        <v>0.13052913381285047</v>
      </c>
      <c r="AW91" s="29">
        <f t="shared" si="39"/>
        <v>0.11269531623995542</v>
      </c>
      <c r="AX91" s="29">
        <f t="shared" si="39"/>
        <v>9.7292764246625266E-2</v>
      </c>
      <c r="AY91" s="29">
        <f t="shared" si="39"/>
        <v>8.3991078658565782E-2</v>
      </c>
      <c r="AZ91" s="29">
        <f t="shared" si="39"/>
        <v>7.2504520867076927E-2</v>
      </c>
      <c r="BA91" s="29">
        <f t="shared" si="39"/>
        <v>6.2586043034414479E-2</v>
      </c>
      <c r="BB91" s="29">
        <f t="shared" si="39"/>
        <v>5.4022092275578804E-2</v>
      </c>
      <c r="BC91" s="29">
        <f t="shared" si="39"/>
        <v>4.6628099059766295E-2</v>
      </c>
      <c r="BD91" s="29">
        <f t="shared" si="39"/>
        <v>4.0244565080047888E-2</v>
      </c>
      <c r="BE91" s="29">
        <f t="shared" si="39"/>
        <v>3.4733941202831943E-2</v>
      </c>
      <c r="BF91" s="29">
        <f t="shared" si="39"/>
        <v>2.9976728029806825E-2</v>
      </c>
      <c r="BG91" s="29">
        <f t="shared" si="39"/>
        <v>2.5870134175137578E-2</v>
      </c>
      <c r="BH91" s="29">
        <f t="shared" si="39"/>
        <v>2.2325352181942631E-2</v>
      </c>
      <c r="BI91" s="29">
        <f>BI$17*BI$56*BI90/(1-(BJ17/BI17))</f>
        <v>0.13906339511115243</v>
      </c>
    </row>
    <row r="92" spans="1:103" ht="18" customHeight="1" x14ac:dyDescent="0.2">
      <c r="A92" s="57" t="s">
        <v>62</v>
      </c>
      <c r="B92" s="194">
        <f>SUM(B91:AO91)*10*B52+B53</f>
        <v>18.225611713732338</v>
      </c>
      <c r="C92" s="174">
        <v>29.076506020496197</v>
      </c>
      <c r="D92" s="195">
        <f>+B92-C92</f>
        <v>-10.850894306763859</v>
      </c>
      <c r="I92" s="33"/>
    </row>
    <row r="93" spans="1:103" s="33" customFormat="1" ht="18" customHeight="1" x14ac:dyDescent="0.2">
      <c r="A93" s="32" t="s">
        <v>270</v>
      </c>
      <c r="B93" s="33">
        <f>+B90*Data!B363</f>
        <v>0.36004340446881078</v>
      </c>
      <c r="C93" s="33">
        <f>+C90*Data!C363</f>
        <v>0.27307351461129631</v>
      </c>
      <c r="D93" s="33">
        <f>+D90*Data!D363</f>
        <v>0.25778498369940978</v>
      </c>
      <c r="E93" s="33">
        <f>+E90*Data!E363</f>
        <v>0.24210616505978161</v>
      </c>
      <c r="F93" s="33">
        <f>+F90*Data!F363</f>
        <v>0.20803169400083735</v>
      </c>
      <c r="G93" s="33">
        <f>+G90*Data!G363</f>
        <v>0.29457250656831913</v>
      </c>
      <c r="H93" s="33">
        <f>+H90*Data!H363</f>
        <v>0.31795079360885209</v>
      </c>
      <c r="I93" s="33">
        <f>+I90*Data!I363</f>
        <v>0.34087424417847734</v>
      </c>
      <c r="J93" s="33">
        <f>+J90*Data!J363</f>
        <v>0.36518878379235958</v>
      </c>
      <c r="K93" s="33">
        <f>+K90*Data!K363</f>
        <v>0.37866626170310919</v>
      </c>
      <c r="L93" s="33">
        <f>+L90*Data!L363</f>
        <v>0.4045473755185231</v>
      </c>
      <c r="M93" s="33">
        <f>+M90*Data!M363</f>
        <v>0.42938228013484137</v>
      </c>
      <c r="N93" s="33">
        <f>+N90*Data!N363</f>
        <v>0.46389777274203176</v>
      </c>
      <c r="O93" s="33">
        <f>+O90*Data!O363</f>
        <v>0.49791576440877094</v>
      </c>
      <c r="P93" s="33">
        <f>+P90*Data!P363</f>
        <v>0.53872666056490071</v>
      </c>
      <c r="Q93" s="33">
        <f>+Q90*Data!Q363</f>
        <v>0.56878817992197694</v>
      </c>
      <c r="R93" s="33">
        <f>+R90*Data!R363</f>
        <v>0.6062698819006731</v>
      </c>
      <c r="S93" s="33">
        <f>+S90*Data!S363</f>
        <v>0.64322784792510934</v>
      </c>
      <c r="T93" s="33">
        <f>+T90*Data!T363</f>
        <v>0.66983685882926758</v>
      </c>
      <c r="U93" s="33">
        <f>+U90*Data!U363</f>
        <v>0.65982103314460727</v>
      </c>
      <c r="V93" s="33">
        <f>+V90*Data!V363</f>
        <v>0.67944374403859054</v>
      </c>
      <c r="W93" s="33">
        <f>+W90*Data!W363</f>
        <v>0.70548599894945596</v>
      </c>
      <c r="X93" s="33">
        <f>+X90*Data!X363</f>
        <v>0.72209407049768914</v>
      </c>
      <c r="Y93" s="33">
        <f>+Y90*Data!Y363</f>
        <v>0.7395643846742046</v>
      </c>
      <c r="Z93" s="33">
        <f>+Z90*Data!Z363</f>
        <v>0.75062890528475634</v>
      </c>
      <c r="AA93" s="33">
        <f>+AA90*Data!AA363</f>
        <v>0.76063750851222434</v>
      </c>
      <c r="AB93" s="33">
        <f>+AB90*Data!AB363</f>
        <v>0.77867513978780878</v>
      </c>
      <c r="AC93" s="33">
        <f>+AC90*Data!AC363</f>
        <v>0.80420754154949925</v>
      </c>
      <c r="AD93" s="33">
        <f>+AD90*Data!AD363</f>
        <v>0.83015656226453838</v>
      </c>
      <c r="AE93" s="33">
        <f>+AE90*Data!AE363</f>
        <v>0.85479619663173556</v>
      </c>
      <c r="AF93" s="33">
        <f>+AF90*Data!AF363</f>
        <v>0.85504369549369519</v>
      </c>
      <c r="AG93" s="33">
        <f>+AG90*Data!AG363</f>
        <v>0.89008611623238432</v>
      </c>
      <c r="AH93" s="33">
        <f>+AH90*Data!AH363</f>
        <v>0.89749500165114449</v>
      </c>
      <c r="AI93" s="33">
        <f>+AI90*Data!AI363</f>
        <v>1.3738379105819609</v>
      </c>
      <c r="AJ93" s="33">
        <f>+AJ90*Data!AJ363</f>
        <v>1.462588538312297</v>
      </c>
      <c r="AK93" s="33">
        <f>+AK90*Data!AK363</f>
        <v>1.51129010765478</v>
      </c>
      <c r="AL93" s="33">
        <f>+AL90*Data!AL363</f>
        <v>1.5489998541399013</v>
      </c>
      <c r="AM93" s="33">
        <f>+AM90*Data!AM363</f>
        <v>1.5828652910574443</v>
      </c>
      <c r="AN93" s="33">
        <f>+AN90*Data!AN363</f>
        <v>1.6153909347752649</v>
      </c>
      <c r="AO93" s="33">
        <f>+AO90*Data!AO363</f>
        <v>1.64763578754142</v>
      </c>
      <c r="AP93" s="33">
        <f>+AP90*Data!AP363</f>
        <v>1.6800910478333233</v>
      </c>
      <c r="AQ93" s="33">
        <f>+AQ90*Data!AQ363</f>
        <v>1.7129916164275281</v>
      </c>
      <c r="AR93" s="33">
        <f>+AR90*Data!AR363</f>
        <v>1.7464465463496084</v>
      </c>
      <c r="AS93" s="33">
        <f>+AS90*Data!AS363</f>
        <v>1.7804996537473623</v>
      </c>
      <c r="AT93" s="33">
        <f>+AT90*Data!AT363</f>
        <v>1.8151595487071457</v>
      </c>
      <c r="AU93" s="33">
        <f>+AU90*Data!AU363</f>
        <v>1.8504151460926772</v>
      </c>
      <c r="AV93" s="33">
        <f>+AV90*Data!AV363</f>
        <v>1.8862439299531018</v>
      </c>
      <c r="AW93" s="33">
        <f>+AW90*Data!AW363</f>
        <v>1.9226164768796012</v>
      </c>
      <c r="AX93" s="33">
        <f>+AX90*Data!AX363</f>
        <v>1.9594989700492336</v>
      </c>
      <c r="AY93" s="33">
        <f>+AY90*Data!AY363</f>
        <v>1.9968545331348393</v>
      </c>
      <c r="AZ93" s="33">
        <f>+AZ90*Data!AZ363</f>
        <v>2.0346437081423954</v>
      </c>
      <c r="BA93" s="33">
        <f>+BA90*Data!BA363</f>
        <v>2.0728240722641491</v>
      </c>
      <c r="BB93" s="33">
        <f>+BB90*Data!BB363</f>
        <v>2.1113487281210594</v>
      </c>
      <c r="BC93" s="33">
        <f>+BC90*Data!BC363</f>
        <v>2.1501631681326825</v>
      </c>
      <c r="BD93" s="33">
        <f>+BD90*Data!BD363</f>
        <v>2.1891998277331397</v>
      </c>
      <c r="BE93" s="33">
        <f>+BE90*Data!BE363</f>
        <v>2.2283867584435391</v>
      </c>
      <c r="BF93" s="33">
        <f>+BF90*Data!BF363</f>
        <v>2.2675780962866936</v>
      </c>
      <c r="BG93" s="33">
        <f>+BG90*Data!BG363</f>
        <v>2.3066043787040904</v>
      </c>
      <c r="BH93" s="33">
        <f>+BH90*Data!BH363</f>
        <v>2.3452323599917029</v>
      </c>
      <c r="BI93" s="33">
        <f>+BI90*Data!BI363</f>
        <v>2.3440914994296431</v>
      </c>
    </row>
    <row r="94" spans="1:103" ht="18" customHeight="1" x14ac:dyDescent="0.2">
      <c r="A94" s="21" t="s">
        <v>271</v>
      </c>
      <c r="B94" s="29">
        <f>B$17*B$56*B93</f>
        <v>56.146057257797743</v>
      </c>
      <c r="C94" s="29">
        <f t="shared" ref="C94:BH94" si="40">C$17*C$56*C93</f>
        <v>37.113838822991326</v>
      </c>
      <c r="D94" s="29">
        <f t="shared" si="40"/>
        <v>30.475993836201003</v>
      </c>
      <c r="E94" s="29">
        <f t="shared" si="40"/>
        <v>24.439713377351964</v>
      </c>
      <c r="F94" s="29">
        <f t="shared" si="40"/>
        <v>17.768224038051127</v>
      </c>
      <c r="G94" s="29">
        <f t="shared" si="40"/>
        <v>21.046879481012382</v>
      </c>
      <c r="H94" s="29">
        <f t="shared" si="40"/>
        <v>18.939771347325017</v>
      </c>
      <c r="I94" s="29">
        <f t="shared" si="40"/>
        <v>16.928883668972322</v>
      </c>
      <c r="J94" s="29">
        <f t="shared" si="40"/>
        <v>15.120664502905271</v>
      </c>
      <c r="K94" s="29">
        <f t="shared" si="40"/>
        <v>13.071618777418808</v>
      </c>
      <c r="L94" s="29">
        <f t="shared" si="40"/>
        <v>11.836458381356879</v>
      </c>
      <c r="M94" s="29">
        <f t="shared" si="40"/>
        <v>10.825212812473696</v>
      </c>
      <c r="N94" s="29">
        <f t="shared" si="40"/>
        <v>10.07754045049516</v>
      </c>
      <c r="O94" s="29">
        <f t="shared" si="40"/>
        <v>9.3202610562562551</v>
      </c>
      <c r="P94" s="29">
        <f t="shared" si="40"/>
        <v>8.6892162648407787</v>
      </c>
      <c r="Q94" s="29">
        <f t="shared" si="40"/>
        <v>7.9050139067967278</v>
      </c>
      <c r="R94" s="29">
        <f t="shared" si="40"/>
        <v>7.2603575235335249</v>
      </c>
      <c r="S94" s="29">
        <f t="shared" si="40"/>
        <v>6.637381636404692</v>
      </c>
      <c r="T94" s="29">
        <f t="shared" si="40"/>
        <v>5.9558113108541928</v>
      </c>
      <c r="U94" s="29">
        <f t="shared" si="40"/>
        <v>5.0551958019496199</v>
      </c>
      <c r="V94" s="29">
        <f t="shared" si="40"/>
        <v>4.4974382752349156</v>
      </c>
      <c r="W94" s="29">
        <f t="shared" si="40"/>
        <v>4.0453856647731197</v>
      </c>
      <c r="X94" s="29">
        <f t="shared" si="40"/>
        <v>3.5869484511118115</v>
      </c>
      <c r="Y94" s="29">
        <f t="shared" si="40"/>
        <v>3.1824908947573345</v>
      </c>
      <c r="Z94" s="29">
        <f t="shared" si="40"/>
        <v>2.7981841358270092</v>
      </c>
      <c r="AA94" s="29">
        <f t="shared" si="40"/>
        <v>2.4563404943580931</v>
      </c>
      <c r="AB94" s="29">
        <f t="shared" si="40"/>
        <v>2.1783465114728902</v>
      </c>
      <c r="AC94" s="29">
        <f t="shared" si="40"/>
        <v>1.9489406816774575</v>
      </c>
      <c r="AD94" s="29">
        <f t="shared" si="40"/>
        <v>1.7428110687281138</v>
      </c>
      <c r="AE94" s="29">
        <f t="shared" si="40"/>
        <v>1.5545786893187961</v>
      </c>
      <c r="AF94" s="29">
        <f t="shared" si="40"/>
        <v>1.3435014485843633</v>
      </c>
      <c r="AG94" s="29">
        <f t="shared" si="40"/>
        <v>1.2050954154304327</v>
      </c>
      <c r="AH94" s="29">
        <f t="shared" si="40"/>
        <v>1.0470345758726143</v>
      </c>
      <c r="AI94" s="29">
        <f t="shared" si="40"/>
        <v>1.381033008218461</v>
      </c>
      <c r="AJ94" s="29">
        <f t="shared" si="40"/>
        <v>1.2668649057507642</v>
      </c>
      <c r="AK94" s="29">
        <f t="shared" si="40"/>
        <v>1.1279648261500759</v>
      </c>
      <c r="AL94" s="29">
        <f t="shared" si="40"/>
        <v>0.99618195777494811</v>
      </c>
      <c r="AM94" s="29">
        <f t="shared" si="40"/>
        <v>0.87714386161640523</v>
      </c>
      <c r="AN94" s="29">
        <f t="shared" si="40"/>
        <v>0.77133687025565989</v>
      </c>
      <c r="AO94" s="29">
        <f t="shared" si="40"/>
        <v>0.67790251315970873</v>
      </c>
      <c r="AP94" s="29">
        <f t="shared" si="40"/>
        <v>0.59563254964506229</v>
      </c>
      <c r="AQ94" s="29">
        <f t="shared" si="40"/>
        <v>0.52328757142404292</v>
      </c>
      <c r="AR94" s="29">
        <f t="shared" si="40"/>
        <v>0.45970587884724562</v>
      </c>
      <c r="AS94" s="29">
        <f t="shared" si="40"/>
        <v>0.40383711536037581</v>
      </c>
      <c r="AT94" s="29">
        <f t="shared" si="40"/>
        <v>0.35474699034724744</v>
      </c>
      <c r="AU94" s="29">
        <f t="shared" si="40"/>
        <v>0.31161091894578929</v>
      </c>
      <c r="AV94" s="29">
        <f t="shared" si="40"/>
        <v>0.27370386187416013</v>
      </c>
      <c r="AW94" s="29">
        <f t="shared" si="40"/>
        <v>0.24038939664648423</v>
      </c>
      <c r="AX94" s="29">
        <f t="shared" si="40"/>
        <v>0.21110925083507565</v>
      </c>
      <c r="AY94" s="29">
        <f t="shared" si="40"/>
        <v>0.18537374809190332</v>
      </c>
      <c r="AZ94" s="29">
        <f t="shared" si="40"/>
        <v>0.16275328001773445</v>
      </c>
      <c r="BA94" s="29">
        <f t="shared" si="40"/>
        <v>0.14287077518905</v>
      </c>
      <c r="BB94" s="29">
        <f t="shared" si="40"/>
        <v>0.12539508264584953</v>
      </c>
      <c r="BC94" s="29">
        <f t="shared" si="40"/>
        <v>0.11003517304480991</v>
      </c>
      <c r="BD94" s="29">
        <f t="shared" si="40"/>
        <v>9.6535065450056745E-2</v>
      </c>
      <c r="BE94" s="29">
        <f t="shared" si="40"/>
        <v>8.4670053990384478E-2</v>
      </c>
      <c r="BF94" s="29">
        <f t="shared" si="40"/>
        <v>7.4240535934944951E-2</v>
      </c>
      <c r="BG94" s="29">
        <f t="shared" si="40"/>
        <v>6.5071607386010061E-2</v>
      </c>
      <c r="BH94" s="29">
        <f t="shared" si="40"/>
        <v>5.700905973582461E-2</v>
      </c>
      <c r="BI94" s="29">
        <f>BI$17*BI$56*BI93/(1-(BJ17/BI17))</f>
        <v>0.35493356364764955</v>
      </c>
    </row>
    <row r="95" spans="1:103" ht="39" customHeight="1" x14ac:dyDescent="0.2">
      <c r="A95" s="57" t="s">
        <v>62</v>
      </c>
      <c r="B95" s="191">
        <f>SUM(B94:BI94)*10*B52+B53-C53</f>
        <v>15.261670876159037</v>
      </c>
      <c r="C95" s="84">
        <v>26.634243139209183</v>
      </c>
      <c r="D95" s="183">
        <f>+B95-C95</f>
        <v>-11.372572263050145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+Controls!B32</f>
        <v>0.1950068390972948</v>
      </c>
      <c r="C97" s="385">
        <f>+Controls!C32</f>
        <v>0.22579565828348314</v>
      </c>
      <c r="D97" s="385">
        <f>+Controls!D32</f>
        <v>0.21818997077859106</v>
      </c>
      <c r="E97" s="385">
        <f>+Controls!E32</f>
        <v>0.2137651998818286</v>
      </c>
      <c r="F97" s="385">
        <f>+Controls!F32</f>
        <v>0.2110399666476615</v>
      </c>
      <c r="G97" s="385">
        <f>+Controls!G32</f>
        <v>0.21054285633670111</v>
      </c>
      <c r="H97" s="385">
        <f>+Controls!H32</f>
        <v>0.21015163132466624</v>
      </c>
      <c r="I97" s="385">
        <f>+Controls!I32</f>
        <v>0.21016396192736281</v>
      </c>
      <c r="J97" s="385">
        <f>+Controls!J32</f>
        <v>0.21067751414477806</v>
      </c>
      <c r="K97" s="385">
        <f>+Controls!K32</f>
        <v>0.21679424846015824</v>
      </c>
      <c r="L97" s="385">
        <f>+Controls!L32</f>
        <v>0.22273954697694098</v>
      </c>
      <c r="M97" s="385">
        <f>+Controls!M32</f>
        <v>0.22890898798344628</v>
      </c>
      <c r="N97" s="385">
        <f>+Controls!N32</f>
        <v>0.22890898798344628</v>
      </c>
      <c r="O97" s="385">
        <f>+Controls!O32</f>
        <v>0.22890898798344628</v>
      </c>
      <c r="P97" s="385">
        <f>+Controls!P32</f>
        <v>0.22890898798344628</v>
      </c>
      <c r="Q97" s="385">
        <f>+Controls!Q32</f>
        <v>0.22890898798344628</v>
      </c>
      <c r="R97" s="385">
        <f>+Controls!R32</f>
        <v>0.22890898798344628</v>
      </c>
      <c r="S97" s="385">
        <f>+Controls!S32</f>
        <v>0.22890898798344628</v>
      </c>
      <c r="T97" s="385">
        <f>+Controls!T32</f>
        <v>0.22890898798344628</v>
      </c>
      <c r="U97" s="385">
        <f>+Controls!U32</f>
        <v>0.22890898798344628</v>
      </c>
      <c r="V97" s="385">
        <f>+Controls!V32</f>
        <v>0.22890898798344628</v>
      </c>
      <c r="W97" s="385">
        <f>+Controls!W32</f>
        <v>0.22890898798344628</v>
      </c>
      <c r="X97" s="385">
        <f>+Controls!X32</f>
        <v>0.22890898798344628</v>
      </c>
      <c r="Y97" s="385">
        <f>+Controls!Y32</f>
        <v>0.22890898798344628</v>
      </c>
      <c r="Z97" s="385">
        <f>+Controls!Z32</f>
        <v>0.22890898798344628</v>
      </c>
      <c r="AA97" s="385">
        <f>+Controls!AA32</f>
        <v>0.22890898798344628</v>
      </c>
      <c r="AB97" s="385">
        <f>+Controls!AB32</f>
        <v>0.22890898798344628</v>
      </c>
      <c r="AC97" s="385">
        <f>+Controls!AC32</f>
        <v>0.22890898798344628</v>
      </c>
      <c r="AD97" s="385">
        <f>+Controls!AD32</f>
        <v>0.22890898798344628</v>
      </c>
      <c r="AE97" s="385">
        <f>+Controls!AE32</f>
        <v>0.22890898798344628</v>
      </c>
      <c r="AF97" s="385">
        <f>+Controls!AF32</f>
        <v>0.22890898798344628</v>
      </c>
      <c r="AG97" s="385">
        <f>+Controls!AG32</f>
        <v>0.22890898798344628</v>
      </c>
      <c r="AH97" s="385">
        <f>+Controls!AH32</f>
        <v>0.22890898798344628</v>
      </c>
      <c r="AI97" s="385">
        <f>+Controls!AI32</f>
        <v>0.22890898798344628</v>
      </c>
      <c r="AJ97" s="385">
        <f>+Controls!AJ32</f>
        <v>0.22890898798344628</v>
      </c>
      <c r="AK97" s="385">
        <f>+Controls!AK32</f>
        <v>0.22890898798344628</v>
      </c>
      <c r="AL97" s="385">
        <f>+Controls!AL32</f>
        <v>0.22890898798344628</v>
      </c>
      <c r="AM97" s="385">
        <f>+Controls!AM32</f>
        <v>0.22890898798344628</v>
      </c>
      <c r="AN97" s="385">
        <f>+Controls!AN32</f>
        <v>0.22890898798344628</v>
      </c>
      <c r="AO97" s="385">
        <f>+Controls!AO32</f>
        <v>0.22890898798344628</v>
      </c>
      <c r="AP97" s="385">
        <f>+Controls!AP32</f>
        <v>0.22890898798344628</v>
      </c>
      <c r="AQ97" s="385">
        <f>+Controls!AQ32</f>
        <v>0.22890898798344628</v>
      </c>
      <c r="AR97" s="385">
        <f>+Controls!AR32</f>
        <v>0.22890898798344628</v>
      </c>
      <c r="AS97" s="385">
        <f>+Controls!AS32</f>
        <v>0.22890898798344628</v>
      </c>
      <c r="AT97" s="385">
        <f>+Controls!AT32</f>
        <v>0.22890898798344628</v>
      </c>
      <c r="AU97" s="385">
        <f>+Controls!AU32</f>
        <v>0.22890898798344628</v>
      </c>
      <c r="AV97" s="385">
        <f>+Controls!AV32</f>
        <v>0.22890898798344628</v>
      </c>
      <c r="AW97" s="385">
        <f>+Controls!AW32</f>
        <v>0.22890898798344628</v>
      </c>
      <c r="AX97" s="385">
        <f>+Controls!AX32</f>
        <v>0.22890898798344628</v>
      </c>
      <c r="AY97" s="385">
        <f>+Controls!AY32</f>
        <v>0.22890898798344628</v>
      </c>
      <c r="AZ97" s="385">
        <f>+Controls!AZ32</f>
        <v>0.22890898798344628</v>
      </c>
      <c r="BA97" s="385">
        <f>+Controls!BA32</f>
        <v>0.22890898798344628</v>
      </c>
      <c r="BB97" s="385">
        <f>+Controls!BB32</f>
        <v>0.22890898798344628</v>
      </c>
      <c r="BC97" s="385">
        <f>+Controls!BC32</f>
        <v>0.22890898798344628</v>
      </c>
      <c r="BD97" s="385">
        <f>+Controls!BD32</f>
        <v>0.22890898798344628</v>
      </c>
      <c r="BE97" s="385">
        <f>+Controls!BE32</f>
        <v>0.22890898798344628</v>
      </c>
      <c r="BF97" s="385">
        <f>+Controls!BF32</f>
        <v>0.22890898798344628</v>
      </c>
      <c r="BG97" s="385">
        <f>+Controls!BG32</f>
        <v>0.22890898798344628</v>
      </c>
      <c r="BH97" s="385">
        <f>+Controls!BH32</f>
        <v>0.22890898798344628</v>
      </c>
      <c r="BI97" s="385">
        <f>+Controls!BI32</f>
        <v>0.22890898798344628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1">+B$36*1000*B103^($B$38-1)</f>
        <v>1.0000000000000015E-3</v>
      </c>
      <c r="C101" s="463">
        <f t="shared" si="41"/>
        <v>1.0000000000000002E-3</v>
      </c>
      <c r="D101" s="463">
        <f t="shared" si="41"/>
        <v>1.0000000000000024E-3</v>
      </c>
      <c r="E101" s="463">
        <f t="shared" si="41"/>
        <v>1.000000000000023E-3</v>
      </c>
      <c r="F101" s="463">
        <f t="shared" si="41"/>
        <v>1.0000000000003001E-3</v>
      </c>
      <c r="G101" s="463">
        <f t="shared" si="41"/>
        <v>1.0000000000020108E-3</v>
      </c>
      <c r="H101" s="463">
        <f t="shared" si="41"/>
        <v>1.0000000000091719E-3</v>
      </c>
      <c r="I101" s="463">
        <f t="shared" si="41"/>
        <v>1.0000000000319864E-3</v>
      </c>
      <c r="J101" s="463">
        <f t="shared" si="41"/>
        <v>1.0000000000922246E-3</v>
      </c>
      <c r="K101" s="463">
        <f t="shared" si="41"/>
        <v>1.0000000002275554E-3</v>
      </c>
      <c r="L101" s="463">
        <f t="shared" si="41"/>
        <v>1.0000000005053185E-3</v>
      </c>
      <c r="M101" s="463">
        <f t="shared" si="41"/>
        <v>1.0000000010417344E-3</v>
      </c>
      <c r="N101" s="463">
        <f t="shared" si="41"/>
        <v>1.0000000019921502E-3</v>
      </c>
      <c r="O101" s="463">
        <f t="shared" si="41"/>
        <v>1.0000000035927925E-3</v>
      </c>
      <c r="P101" s="463">
        <f t="shared" si="41"/>
        <v>1.0000000062096897E-3</v>
      </c>
      <c r="Q101" s="463">
        <f t="shared" si="41"/>
        <v>1.0000000104204644E-3</v>
      </c>
      <c r="R101" s="463">
        <f t="shared" si="41"/>
        <v>1.0000000170144604E-3</v>
      </c>
      <c r="S101" s="463">
        <f t="shared" si="41"/>
        <v>1.0000000272142174E-3</v>
      </c>
      <c r="T101" s="463">
        <f t="shared" si="41"/>
        <v>1.0000000427819878E-3</v>
      </c>
      <c r="U101" s="463">
        <f t="shared" si="41"/>
        <v>1.000000065604336E-3</v>
      </c>
      <c r="V101" s="463">
        <f t="shared" si="41"/>
        <v>1.0000000970886364E-3</v>
      </c>
      <c r="W101" s="463">
        <f t="shared" si="41"/>
        <v>1.0000001421883787E-3</v>
      </c>
      <c r="X101" s="463">
        <f t="shared" si="41"/>
        <v>1.0000002055977517E-3</v>
      </c>
      <c r="Y101" s="463">
        <f t="shared" si="41"/>
        <v>1.000000293249745E-3</v>
      </c>
      <c r="Z101" s="463">
        <f t="shared" si="41"/>
        <v>1.0000004131003599E-3</v>
      </c>
      <c r="AA101" s="463">
        <f t="shared" si="41"/>
        <v>1.0000005755955608E-3</v>
      </c>
      <c r="AB101" s="463">
        <f t="shared" si="41"/>
        <v>254.89907227449083</v>
      </c>
      <c r="AC101" s="463">
        <f t="shared" si="41"/>
        <v>245.93411866076627</v>
      </c>
      <c r="AD101" s="463">
        <f t="shared" si="41"/>
        <v>237.41741272772796</v>
      </c>
      <c r="AE101" s="463">
        <f t="shared" si="41"/>
        <v>229.32654209134154</v>
      </c>
      <c r="AF101" s="463">
        <f t="shared" si="41"/>
        <v>221.64021498677448</v>
      </c>
      <c r="AG101" s="463">
        <f t="shared" si="41"/>
        <v>214.33820423743575</v>
      </c>
      <c r="AH101" s="463">
        <f t="shared" ref="AH101:BI101" si="42">+AH$36*1000*AH103^($B$38-1)</f>
        <v>207.40129402556394</v>
      </c>
      <c r="AI101" s="463">
        <f t="shared" si="42"/>
        <v>200.81122932428573</v>
      </c>
      <c r="AJ101" s="463">
        <f t="shared" si="42"/>
        <v>194.55066785807145</v>
      </c>
      <c r="AK101" s="463">
        <f t="shared" si="42"/>
        <v>188.60313446516787</v>
      </c>
      <c r="AL101" s="463">
        <f t="shared" si="42"/>
        <v>182.95297774190951</v>
      </c>
      <c r="AM101" s="463">
        <f t="shared" si="42"/>
        <v>177.58532885481401</v>
      </c>
      <c r="AN101" s="463">
        <f t="shared" si="42"/>
        <v>172.48606241207332</v>
      </c>
      <c r="AO101" s="463">
        <f t="shared" si="42"/>
        <v>167.64175929146964</v>
      </c>
      <c r="AP101" s="463">
        <f t="shared" si="42"/>
        <v>163.03967132689615</v>
      </c>
      <c r="AQ101" s="463">
        <f t="shared" si="42"/>
        <v>158.66768776055136</v>
      </c>
      <c r="AR101" s="463">
        <f t="shared" si="42"/>
        <v>154.51430337252378</v>
      </c>
      <c r="AS101" s="463">
        <f t="shared" si="42"/>
        <v>150.56858820389758</v>
      </c>
      <c r="AT101" s="463">
        <f t="shared" si="42"/>
        <v>146.82015879370269</v>
      </c>
      <c r="AU101" s="463">
        <f t="shared" si="42"/>
        <v>143.25915085401755</v>
      </c>
      <c r="AV101" s="463">
        <f t="shared" si="42"/>
        <v>139.87619331131668</v>
      </c>
      <c r="AW101" s="463">
        <f t="shared" si="42"/>
        <v>136.66238364575085</v>
      </c>
      <c r="AX101" s="463">
        <f t="shared" si="42"/>
        <v>133.60926446346329</v>
      </c>
      <c r="AY101" s="463">
        <f t="shared" si="42"/>
        <v>130.70880124029014</v>
      </c>
      <c r="AZ101" s="463">
        <f t="shared" si="42"/>
        <v>127.95336117827563</v>
      </c>
      <c r="BA101" s="463">
        <f t="shared" si="42"/>
        <v>125.33569311936185</v>
      </c>
      <c r="BB101" s="463">
        <f t="shared" si="42"/>
        <v>122.84890846339374</v>
      </c>
      <c r="BC101" s="463">
        <f t="shared" si="42"/>
        <v>120.48646304022407</v>
      </c>
      <c r="BD101" s="463">
        <f t="shared" si="42"/>
        <v>118.24213988821286</v>
      </c>
      <c r="BE101" s="463">
        <f t="shared" si="42"/>
        <v>59.121069944106431</v>
      </c>
      <c r="BF101" s="463">
        <f t="shared" si="42"/>
        <v>29.560534972053215</v>
      </c>
      <c r="BG101" s="463">
        <f t="shared" si="42"/>
        <v>14.780267486026608</v>
      </c>
      <c r="BH101" s="463">
        <f t="shared" si="42"/>
        <v>7.3901337430133038</v>
      </c>
      <c r="BI101" s="463">
        <f t="shared" si="42"/>
        <v>3.6950668715066519</v>
      </c>
    </row>
    <row r="102" spans="1:61" s="467" customFormat="1" ht="18" customHeight="1" x14ac:dyDescent="0.2">
      <c r="A102" s="612" t="s">
        <v>955</v>
      </c>
      <c r="B102" s="465">
        <f>+B119*(1-MIN(B103,1))</f>
        <v>0.60159511876272098</v>
      </c>
      <c r="C102" s="465">
        <f>+C119*(1-MIN(C103,1))</f>
        <v>0.36711252194952565</v>
      </c>
      <c r="D102" s="465">
        <f t="shared" ref="D102:BI102" si="43">+D119*(1-MIN(D103,1))</f>
        <v>0.26279858823898428</v>
      </c>
      <c r="E102" s="465">
        <f t="shared" si="43"/>
        <v>0.19502195576715431</v>
      </c>
      <c r="F102" s="465">
        <f t="shared" si="43"/>
        <v>0.14274849122857375</v>
      </c>
      <c r="G102" s="465">
        <f t="shared" si="43"/>
        <v>0.1416857922743901</v>
      </c>
      <c r="H102" s="465">
        <f t="shared" si="43"/>
        <v>0.12186782245638256</v>
      </c>
      <c r="I102" s="465">
        <f t="shared" si="43"/>
        <v>0.1065452585451777</v>
      </c>
      <c r="J102" s="465">
        <f t="shared" si="43"/>
        <v>9.4942775357885756E-2</v>
      </c>
      <c r="K102" s="465">
        <f t="shared" si="43"/>
        <v>8.4731681586393881E-2</v>
      </c>
      <c r="L102" s="465">
        <f t="shared" si="43"/>
        <v>8.0093618951304429E-2</v>
      </c>
      <c r="M102" s="465">
        <f t="shared" si="43"/>
        <v>7.734078590741722E-2</v>
      </c>
      <c r="N102" s="465">
        <f t="shared" si="43"/>
        <v>7.470275403693831E-2</v>
      </c>
      <c r="O102" s="465">
        <f t="shared" si="43"/>
        <v>7.3140582525637751E-2</v>
      </c>
      <c r="P102" s="465">
        <f t="shared" si="43"/>
        <v>7.3724161679032771E-2</v>
      </c>
      <c r="Q102" s="465">
        <f t="shared" si="43"/>
        <v>7.2810507080932424E-2</v>
      </c>
      <c r="R102" s="465">
        <f t="shared" si="43"/>
        <v>7.3827130679714123E-2</v>
      </c>
      <c r="S102" s="465">
        <f t="shared" si="43"/>
        <v>7.5135139971981429E-2</v>
      </c>
      <c r="T102" s="465">
        <f t="shared" si="43"/>
        <v>7.4392978063665377E-2</v>
      </c>
      <c r="U102" s="465">
        <f t="shared" si="43"/>
        <v>6.633464022584834E-2</v>
      </c>
      <c r="V102" s="465">
        <f t="shared" si="43"/>
        <v>6.4593631062733664E-2</v>
      </c>
      <c r="W102" s="465">
        <f t="shared" si="43"/>
        <v>6.4307380078050383E-2</v>
      </c>
      <c r="X102" s="465">
        <f t="shared" si="43"/>
        <v>6.2559922315255201E-2</v>
      </c>
      <c r="Y102" s="465">
        <f t="shared" si="43"/>
        <v>6.1206607133397255E-2</v>
      </c>
      <c r="Z102" s="465">
        <f t="shared" si="43"/>
        <v>5.8897992019744147E-2</v>
      </c>
      <c r="AA102" s="465">
        <f t="shared" si="43"/>
        <v>5.6549123931738318E-2</v>
      </c>
      <c r="AB102" s="465">
        <f t="shared" si="43"/>
        <v>0</v>
      </c>
      <c r="AC102" s="465">
        <f t="shared" si="43"/>
        <v>0</v>
      </c>
      <c r="AD102" s="465">
        <f t="shared" si="43"/>
        <v>0</v>
      </c>
      <c r="AE102" s="465">
        <f t="shared" si="43"/>
        <v>0</v>
      </c>
      <c r="AF102" s="465">
        <f t="shared" si="43"/>
        <v>0</v>
      </c>
      <c r="AG102" s="465">
        <f t="shared" si="43"/>
        <v>0</v>
      </c>
      <c r="AH102" s="465">
        <f t="shared" si="43"/>
        <v>0</v>
      </c>
      <c r="AI102" s="465">
        <f t="shared" si="43"/>
        <v>0</v>
      </c>
      <c r="AJ102" s="465">
        <f t="shared" si="43"/>
        <v>0</v>
      </c>
      <c r="AK102" s="465">
        <f t="shared" si="43"/>
        <v>0</v>
      </c>
      <c r="AL102" s="465">
        <f t="shared" si="43"/>
        <v>0</v>
      </c>
      <c r="AM102" s="465">
        <f t="shared" si="43"/>
        <v>0</v>
      </c>
      <c r="AN102" s="465">
        <f t="shared" si="43"/>
        <v>0</v>
      </c>
      <c r="AO102" s="465">
        <f t="shared" si="43"/>
        <v>0</v>
      </c>
      <c r="AP102" s="465">
        <f t="shared" si="43"/>
        <v>0</v>
      </c>
      <c r="AQ102" s="465">
        <f t="shared" si="43"/>
        <v>0</v>
      </c>
      <c r="AR102" s="465">
        <f t="shared" si="43"/>
        <v>0</v>
      </c>
      <c r="AS102" s="465">
        <f t="shared" si="43"/>
        <v>0</v>
      </c>
      <c r="AT102" s="465">
        <f t="shared" si="43"/>
        <v>0</v>
      </c>
      <c r="AU102" s="465">
        <f t="shared" si="43"/>
        <v>0</v>
      </c>
      <c r="AV102" s="465">
        <f t="shared" si="43"/>
        <v>0</v>
      </c>
      <c r="AW102" s="465">
        <f t="shared" si="43"/>
        <v>0</v>
      </c>
      <c r="AX102" s="465">
        <f t="shared" si="43"/>
        <v>0</v>
      </c>
      <c r="AY102" s="465">
        <f t="shared" si="43"/>
        <v>0</v>
      </c>
      <c r="AZ102" s="465">
        <f t="shared" si="43"/>
        <v>0</v>
      </c>
      <c r="BA102" s="465">
        <f t="shared" si="43"/>
        <v>0</v>
      </c>
      <c r="BB102" s="465">
        <f t="shared" si="43"/>
        <v>0</v>
      </c>
      <c r="BC102" s="465">
        <f t="shared" si="43"/>
        <v>0</v>
      </c>
      <c r="BD102" s="465">
        <f t="shared" si="43"/>
        <v>0</v>
      </c>
      <c r="BE102" s="465">
        <f t="shared" si="43"/>
        <v>0</v>
      </c>
      <c r="BF102" s="465">
        <f t="shared" si="43"/>
        <v>0</v>
      </c>
      <c r="BG102" s="465">
        <f t="shared" si="43"/>
        <v>0</v>
      </c>
      <c r="BH102" s="465">
        <f t="shared" si="43"/>
        <v>0</v>
      </c>
      <c r="BI102" s="465">
        <f t="shared" si="43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5.4219381367119363E-4</v>
      </c>
      <c r="C103" s="468">
        <f>+IF($B$98&gt;0,C109,IF($B$99&gt;0,C114,C122))</f>
        <v>5.5624202325005984E-4</v>
      </c>
      <c r="D103" s="468">
        <f t="shared" ref="D103:BI103" si="44">+IF($B$98&gt;0,D109,IF($B$99&gt;0,D114,D122))</f>
        <v>5.7057602358638344E-4</v>
      </c>
      <c r="E103" s="468">
        <f t="shared" si="44"/>
        <v>5.8519590271229331E-4</v>
      </c>
      <c r="F103" s="468">
        <f t="shared" si="44"/>
        <v>6.0010128592118117E-4</v>
      </c>
      <c r="G103" s="468">
        <f t="shared" si="44"/>
        <v>6.1529130671845057E-4</v>
      </c>
      <c r="H103" s="468">
        <f t="shared" si="44"/>
        <v>6.3076457774447327E-4</v>
      </c>
      <c r="I103" s="468">
        <f t="shared" si="44"/>
        <v>6.4651916187190522E-4</v>
      </c>
      <c r="J103" s="468">
        <f t="shared" si="44"/>
        <v>6.6255254370118082E-4</v>
      </c>
      <c r="K103" s="468">
        <f t="shared" si="44"/>
        <v>6.7886160169810844E-4</v>
      </c>
      <c r="L103" s="468">
        <f t="shared" si="44"/>
        <v>6.9544258124352597E-4</v>
      </c>
      <c r="M103" s="468">
        <f t="shared" si="44"/>
        <v>7.1229106888011471E-4</v>
      </c>
      <c r="N103" s="468">
        <f t="shared" si="44"/>
        <v>7.2940196804768072E-4</v>
      </c>
      <c r="O103" s="468">
        <f t="shared" si="44"/>
        <v>7.4676947666013269E-4</v>
      </c>
      <c r="P103" s="468">
        <f t="shared" si="44"/>
        <v>7.6438706684506545E-4</v>
      </c>
      <c r="Q103" s="468">
        <f t="shared" si="44"/>
        <v>7.8224746720545306E-4</v>
      </c>
      <c r="R103" s="468">
        <f t="shared" si="44"/>
        <v>8.003426479105529E-4</v>
      </c>
      <c r="S103" s="468">
        <f t="shared" si="44"/>
        <v>8.1866380910744247E-4</v>
      </c>
      <c r="T103" s="468">
        <f t="shared" si="44"/>
        <v>8.3720137287067713E-4</v>
      </c>
      <c r="U103" s="468">
        <f t="shared" si="44"/>
        <v>8.5594497884004556E-4</v>
      </c>
      <c r="V103" s="468">
        <f t="shared" si="44"/>
        <v>8.7488348400911395E-4</v>
      </c>
      <c r="W103" s="468">
        <f t="shared" si="44"/>
        <v>8.9400496936166787E-4</v>
      </c>
      <c r="X103" s="468">
        <f t="shared" si="44"/>
        <v>9.132967476741154E-4</v>
      </c>
      <c r="Y103" s="468">
        <f t="shared" si="44"/>
        <v>9.3274537896602297E-4</v>
      </c>
      <c r="Z103" s="468">
        <f t="shared" si="44"/>
        <v>9.5233669103265766E-4</v>
      </c>
      <c r="AA103" s="468">
        <f t="shared" si="44"/>
        <v>9.7205580539473765E-4</v>
      </c>
      <c r="AB103" s="468">
        <f t="shared" si="44"/>
        <v>1</v>
      </c>
      <c r="AC103" s="468">
        <f t="shared" si="44"/>
        <v>1</v>
      </c>
      <c r="AD103" s="468">
        <f t="shared" si="44"/>
        <v>1</v>
      </c>
      <c r="AE103" s="468">
        <f t="shared" si="44"/>
        <v>1</v>
      </c>
      <c r="AF103" s="468">
        <f t="shared" si="44"/>
        <v>1</v>
      </c>
      <c r="AG103" s="468">
        <f t="shared" si="44"/>
        <v>1</v>
      </c>
      <c r="AH103" s="468">
        <f t="shared" si="44"/>
        <v>1</v>
      </c>
      <c r="AI103" s="468">
        <f t="shared" si="44"/>
        <v>1</v>
      </c>
      <c r="AJ103" s="468">
        <f t="shared" si="44"/>
        <v>1</v>
      </c>
      <c r="AK103" s="468">
        <f t="shared" si="44"/>
        <v>1</v>
      </c>
      <c r="AL103" s="468">
        <f t="shared" si="44"/>
        <v>1</v>
      </c>
      <c r="AM103" s="468">
        <f t="shared" si="44"/>
        <v>1</v>
      </c>
      <c r="AN103" s="468">
        <f t="shared" si="44"/>
        <v>1</v>
      </c>
      <c r="AO103" s="468">
        <f t="shared" si="44"/>
        <v>1</v>
      </c>
      <c r="AP103" s="468">
        <f t="shared" si="44"/>
        <v>1</v>
      </c>
      <c r="AQ103" s="468">
        <f t="shared" si="44"/>
        <v>1</v>
      </c>
      <c r="AR103" s="468">
        <f t="shared" si="44"/>
        <v>1</v>
      </c>
      <c r="AS103" s="468">
        <f t="shared" si="44"/>
        <v>1</v>
      </c>
      <c r="AT103" s="468">
        <f t="shared" si="44"/>
        <v>1</v>
      </c>
      <c r="AU103" s="468">
        <f t="shared" si="44"/>
        <v>1</v>
      </c>
      <c r="AV103" s="468">
        <f t="shared" si="44"/>
        <v>1</v>
      </c>
      <c r="AW103" s="468">
        <f t="shared" si="44"/>
        <v>1</v>
      </c>
      <c r="AX103" s="468">
        <f t="shared" si="44"/>
        <v>1</v>
      </c>
      <c r="AY103" s="468">
        <f t="shared" si="44"/>
        <v>1</v>
      </c>
      <c r="AZ103" s="468">
        <f t="shared" si="44"/>
        <v>1</v>
      </c>
      <c r="BA103" s="468">
        <f t="shared" si="44"/>
        <v>1</v>
      </c>
      <c r="BB103" s="468">
        <f t="shared" si="44"/>
        <v>1</v>
      </c>
      <c r="BC103" s="468">
        <f t="shared" si="44"/>
        <v>1</v>
      </c>
      <c r="BD103" s="468">
        <f t="shared" si="44"/>
        <v>1</v>
      </c>
      <c r="BE103" s="468">
        <f t="shared" si="44"/>
        <v>1</v>
      </c>
      <c r="BF103" s="468">
        <f t="shared" si="44"/>
        <v>1</v>
      </c>
      <c r="BG103" s="468">
        <f t="shared" si="44"/>
        <v>1</v>
      </c>
      <c r="BH103" s="468">
        <f t="shared" si="44"/>
        <v>1</v>
      </c>
      <c r="BI103" s="468">
        <f t="shared" si="44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5">+MIN(B107+B108,B36*1000)</f>
        <v>1E-3</v>
      </c>
      <c r="C106" s="373">
        <f t="shared" si="45"/>
        <v>1E-3</v>
      </c>
      <c r="D106" s="373">
        <f t="shared" si="45"/>
        <v>1.0000000000000005E-3</v>
      </c>
      <c r="E106" s="373">
        <f t="shared" si="45"/>
        <v>1.000000000000023E-3</v>
      </c>
      <c r="F106" s="373">
        <f t="shared" si="45"/>
        <v>1.0000000000003001E-3</v>
      </c>
      <c r="G106" s="373">
        <f t="shared" si="45"/>
        <v>1.0000000000020112E-3</v>
      </c>
      <c r="H106" s="373">
        <f t="shared" si="45"/>
        <v>1.0000000000091702E-3</v>
      </c>
      <c r="I106" s="373">
        <f t="shared" si="45"/>
        <v>1.0000000000319844E-3</v>
      </c>
      <c r="J106" s="373">
        <f t="shared" si="45"/>
        <v>1.0000000000922251E-3</v>
      </c>
      <c r="K106" s="373">
        <f t="shared" si="45"/>
        <v>1.0000000002275561E-3</v>
      </c>
      <c r="L106" s="373">
        <f t="shared" si="45"/>
        <v>1.0000000005053185E-3</v>
      </c>
      <c r="M106" s="450">
        <f t="shared" si="45"/>
        <v>1.0000000010417327E-3</v>
      </c>
      <c r="N106" s="373">
        <f t="shared" si="45"/>
        <v>1.0000000019921491E-3</v>
      </c>
      <c r="O106" s="373">
        <f t="shared" si="45"/>
        <v>1.0000000035927906E-3</v>
      </c>
      <c r="P106" s="373">
        <f t="shared" si="45"/>
        <v>1.0000000062096877E-3</v>
      </c>
      <c r="Q106" s="373">
        <f t="shared" si="45"/>
        <v>1.0000000104204644E-3</v>
      </c>
      <c r="R106" s="373">
        <f t="shared" si="45"/>
        <v>1.0000000170144582E-3</v>
      </c>
      <c r="S106" s="373">
        <f t="shared" si="45"/>
        <v>1.0000000272142174E-3</v>
      </c>
      <c r="T106" s="373">
        <f t="shared" si="45"/>
        <v>1.0000000427819878E-3</v>
      </c>
      <c r="U106" s="373">
        <f t="shared" si="45"/>
        <v>1.0000000656043364E-3</v>
      </c>
      <c r="V106" s="373">
        <f t="shared" si="45"/>
        <v>1.0000000970886349E-3</v>
      </c>
      <c r="W106" s="373">
        <f t="shared" si="45"/>
        <v>1.0000001421883765E-3</v>
      </c>
      <c r="X106" s="373">
        <f t="shared" si="45"/>
        <v>1.0000002055977509E-3</v>
      </c>
      <c r="Y106" s="373">
        <f t="shared" si="45"/>
        <v>1.0000002932497453E-3</v>
      </c>
      <c r="Z106" s="373">
        <f t="shared" si="45"/>
        <v>1.0000004131003601E-3</v>
      </c>
      <c r="AA106" s="373">
        <f t="shared" si="45"/>
        <v>1.0000005755955613E-3</v>
      </c>
      <c r="AB106" s="373">
        <f t="shared" si="45"/>
        <v>254.89907227449083</v>
      </c>
      <c r="AC106" s="373">
        <f t="shared" si="45"/>
        <v>245.93411866076627</v>
      </c>
      <c r="AD106" s="373">
        <f t="shared" si="45"/>
        <v>237.41741272772796</v>
      </c>
      <c r="AE106" s="373">
        <f t="shared" si="45"/>
        <v>229.32654209134154</v>
      </c>
      <c r="AF106" s="373">
        <f t="shared" si="45"/>
        <v>221.64021498677448</v>
      </c>
      <c r="AG106" s="373">
        <f t="shared" si="45"/>
        <v>214.33820423743575</v>
      </c>
      <c r="AH106" s="373">
        <f t="shared" si="45"/>
        <v>207.40129402556394</v>
      </c>
      <c r="AI106" s="373">
        <f t="shared" si="45"/>
        <v>200.81122932428573</v>
      </c>
      <c r="AJ106" s="373">
        <f t="shared" si="45"/>
        <v>194.55066785807145</v>
      </c>
      <c r="AK106" s="373">
        <f t="shared" si="45"/>
        <v>188.60313446516787</v>
      </c>
      <c r="AL106" s="373">
        <f t="shared" si="45"/>
        <v>182.95297774190951</v>
      </c>
      <c r="AM106" s="373">
        <f t="shared" si="45"/>
        <v>177.58532885481401</v>
      </c>
      <c r="AN106" s="373">
        <f t="shared" si="45"/>
        <v>172.48606241207332</v>
      </c>
      <c r="AO106" s="373">
        <f t="shared" si="45"/>
        <v>167.64175929146964</v>
      </c>
      <c r="AP106" s="373">
        <f t="shared" si="45"/>
        <v>163.03967132689615</v>
      </c>
      <c r="AQ106" s="373">
        <f t="shared" si="45"/>
        <v>158.66768776055136</v>
      </c>
      <c r="AR106" s="373">
        <f t="shared" si="45"/>
        <v>154.51430337252378</v>
      </c>
      <c r="AS106" s="373">
        <f t="shared" si="45"/>
        <v>150.56858820389758</v>
      </c>
      <c r="AT106" s="373">
        <f t="shared" si="45"/>
        <v>146.82015879370269</v>
      </c>
      <c r="AU106" s="373">
        <f t="shared" si="45"/>
        <v>143.25915085401755</v>
      </c>
      <c r="AV106" s="373">
        <f t="shared" si="45"/>
        <v>139.87619331131668</v>
      </c>
      <c r="AW106" s="373">
        <f t="shared" si="45"/>
        <v>136.66238364575085</v>
      </c>
      <c r="AX106" s="373">
        <f t="shared" si="45"/>
        <v>133.60926446346329</v>
      </c>
      <c r="AY106" s="373">
        <f t="shared" si="45"/>
        <v>130.70880124029014</v>
      </c>
      <c r="AZ106" s="373">
        <f t="shared" si="45"/>
        <v>127.95336117827563</v>
      </c>
      <c r="BA106" s="373">
        <f t="shared" si="45"/>
        <v>125.33569311936185</v>
      </c>
      <c r="BB106" s="373">
        <f t="shared" si="45"/>
        <v>122.84890846339374</v>
      </c>
      <c r="BC106" s="373">
        <f t="shared" si="45"/>
        <v>120.48646304022407</v>
      </c>
      <c r="BD106" s="373">
        <f t="shared" si="45"/>
        <v>118.24213988821286</v>
      </c>
      <c r="BE106" s="373">
        <f t="shared" si="45"/>
        <v>59.121069944106431</v>
      </c>
      <c r="BF106" s="373">
        <f t="shared" si="45"/>
        <v>29.560534972053215</v>
      </c>
      <c r="BG106" s="373">
        <f t="shared" si="45"/>
        <v>14.780267486026608</v>
      </c>
      <c r="BH106" s="373">
        <f t="shared" si="45"/>
        <v>7.3901337430133038</v>
      </c>
      <c r="BI106" s="373">
        <f t="shared" si="45"/>
        <v>3.6950668715066519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+Controls!B15</f>
        <v>1E-3</v>
      </c>
      <c r="C108" s="373">
        <f>+Controls!C15</f>
        <v>1E-3</v>
      </c>
      <c r="D108" s="373">
        <f>+Controls!D15</f>
        <v>1E-3</v>
      </c>
      <c r="E108" s="373">
        <f>+Controls!E15</f>
        <v>1E-3</v>
      </c>
      <c r="F108" s="373">
        <f>+Controls!F15</f>
        <v>1E-3</v>
      </c>
      <c r="G108" s="373">
        <f>+Controls!G15</f>
        <v>1E-3</v>
      </c>
      <c r="H108" s="373">
        <f>+Controls!H15</f>
        <v>1E-3</v>
      </c>
      <c r="I108" s="373">
        <f>+Controls!I15</f>
        <v>1E-3</v>
      </c>
      <c r="J108" s="373">
        <f>+Controls!J15</f>
        <v>1E-3</v>
      </c>
      <c r="K108" s="373">
        <f>+Controls!K15</f>
        <v>1E-3</v>
      </c>
      <c r="L108" s="373">
        <f>+Controls!L15</f>
        <v>1E-3</v>
      </c>
      <c r="M108" s="373">
        <f>+Controls!M15</f>
        <v>1E-3</v>
      </c>
      <c r="N108" s="373">
        <f>+Controls!N15</f>
        <v>1E-3</v>
      </c>
      <c r="O108" s="373">
        <f>+Controls!O15</f>
        <v>1E-3</v>
      </c>
      <c r="P108" s="373">
        <f>+Controls!P15</f>
        <v>1E-3</v>
      </c>
      <c r="Q108" s="373">
        <f>+Controls!Q15</f>
        <v>1E-3</v>
      </c>
      <c r="R108" s="373">
        <f>+Controls!R15</f>
        <v>1E-3</v>
      </c>
      <c r="S108" s="373">
        <f>+Controls!S15</f>
        <v>1E-3</v>
      </c>
      <c r="T108" s="373">
        <f>+Controls!T15</f>
        <v>1E-3</v>
      </c>
      <c r="U108" s="373">
        <f>+Controls!U15</f>
        <v>1E-3</v>
      </c>
      <c r="V108" s="373">
        <f>+Controls!V15</f>
        <v>1E-3</v>
      </c>
      <c r="W108" s="373">
        <f>+Controls!W15</f>
        <v>1E-3</v>
      </c>
      <c r="X108" s="373">
        <f>+Controls!X15</f>
        <v>1E-3</v>
      </c>
      <c r="Y108" s="373">
        <f>+Controls!Y15</f>
        <v>1E-3</v>
      </c>
      <c r="Z108" s="373">
        <f>+Controls!Z15</f>
        <v>1E-3</v>
      </c>
      <c r="AA108" s="373">
        <f>+Controls!AA15</f>
        <v>1E-3</v>
      </c>
      <c r="AB108" s="373">
        <f>+Controls!AB15</f>
        <v>1200</v>
      </c>
      <c r="AC108" s="373">
        <f>+Controls!AC15</f>
        <v>1200</v>
      </c>
      <c r="AD108" s="373">
        <f>+Controls!AD15</f>
        <v>1200</v>
      </c>
      <c r="AE108" s="373">
        <f>+Controls!AE15</f>
        <v>1200</v>
      </c>
      <c r="AF108" s="373">
        <f>+Controls!AF15</f>
        <v>1200</v>
      </c>
      <c r="AG108" s="373">
        <f>+Controls!AG15</f>
        <v>1200</v>
      </c>
      <c r="AH108" s="373">
        <f>+Controls!AH15</f>
        <v>1200</v>
      </c>
      <c r="AI108" s="373">
        <f>+Controls!AI15</f>
        <v>1200</v>
      </c>
      <c r="AJ108" s="373">
        <f>+Controls!AJ15</f>
        <v>1200</v>
      </c>
      <c r="AK108" s="373">
        <f>+Controls!AK15</f>
        <v>1200</v>
      </c>
      <c r="AL108" s="373">
        <f>+Controls!AL15</f>
        <v>1200</v>
      </c>
      <c r="AM108" s="373">
        <f>+Controls!AM15</f>
        <v>1200</v>
      </c>
      <c r="AN108" s="373">
        <f>+Controls!AN15</f>
        <v>1200</v>
      </c>
      <c r="AO108" s="373">
        <f>+Controls!AO15</f>
        <v>1200</v>
      </c>
      <c r="AP108" s="373">
        <f>+Controls!AP15</f>
        <v>1200</v>
      </c>
      <c r="AQ108" s="373">
        <f>+Controls!AQ15</f>
        <v>1200</v>
      </c>
      <c r="AR108" s="373">
        <f>+Controls!AR15</f>
        <v>1200</v>
      </c>
      <c r="AS108" s="373">
        <f>+Controls!AS15</f>
        <v>1200</v>
      </c>
      <c r="AT108" s="373">
        <f>+Controls!AT15</f>
        <v>1200</v>
      </c>
      <c r="AU108" s="373">
        <f>+Controls!AU15</f>
        <v>1200</v>
      </c>
      <c r="AV108" s="373">
        <f>+Controls!AV15</f>
        <v>1200</v>
      </c>
      <c r="AW108" s="373">
        <f>+Controls!AW15</f>
        <v>1200</v>
      </c>
      <c r="AX108" s="373">
        <f>+Controls!AX15</f>
        <v>1200</v>
      </c>
      <c r="AY108" s="373">
        <f>+Controls!AY15</f>
        <v>1200</v>
      </c>
      <c r="AZ108" s="373">
        <f>+Controls!AZ15</f>
        <v>1200</v>
      </c>
      <c r="BA108" s="373">
        <f>+Controls!BA15</f>
        <v>1200</v>
      </c>
      <c r="BB108" s="373">
        <f>+Controls!BB15</f>
        <v>1200</v>
      </c>
      <c r="BC108" s="373">
        <f>+Controls!BC15</f>
        <v>1200</v>
      </c>
      <c r="BD108" s="373">
        <f>+Controls!BD15</f>
        <v>1200</v>
      </c>
      <c r="BE108" s="373">
        <f>+Controls!BE15</f>
        <v>1200</v>
      </c>
      <c r="BF108" s="373">
        <f>+Controls!BF15</f>
        <v>1200</v>
      </c>
      <c r="BG108" s="373">
        <f>+Controls!BG15</f>
        <v>1200</v>
      </c>
      <c r="BH108" s="373">
        <f>+Controls!BH15</f>
        <v>1200</v>
      </c>
      <c r="BI108" s="373">
        <f>+Controls!BI15</f>
        <v>1200</v>
      </c>
    </row>
    <row r="109" spans="1:61" ht="18" customHeight="1" x14ac:dyDescent="0.2">
      <c r="A109" s="372" t="s">
        <v>193</v>
      </c>
      <c r="B109" s="375">
        <f>+(B106/(1000*B$36))^(1/($B$38-1))</f>
        <v>5.4219381367119363E-4</v>
      </c>
      <c r="C109" s="375">
        <f t="shared" ref="C109:BI109" si="46">+(C106/(1000*C$36))^(1/($B$38-1))</f>
        <v>5.5624202325005984E-4</v>
      </c>
      <c r="D109" s="375">
        <f t="shared" si="46"/>
        <v>5.7057602358638344E-4</v>
      </c>
      <c r="E109" s="375">
        <f t="shared" si="46"/>
        <v>5.8519590271229331E-4</v>
      </c>
      <c r="F109" s="375">
        <f t="shared" si="46"/>
        <v>6.0010128592118117E-4</v>
      </c>
      <c r="G109" s="375">
        <f t="shared" si="46"/>
        <v>6.1529130671845057E-4</v>
      </c>
      <c r="H109" s="375">
        <f t="shared" si="46"/>
        <v>6.3076457774447327E-4</v>
      </c>
      <c r="I109" s="375">
        <f t="shared" si="46"/>
        <v>6.4651916187190522E-4</v>
      </c>
      <c r="J109" s="375">
        <f t="shared" si="46"/>
        <v>6.6255254370118082E-4</v>
      </c>
      <c r="K109" s="375">
        <f t="shared" si="46"/>
        <v>6.7886160169810844E-4</v>
      </c>
      <c r="L109" s="375">
        <f t="shared" si="46"/>
        <v>6.9544258124352597E-4</v>
      </c>
      <c r="M109" s="375">
        <f t="shared" si="46"/>
        <v>7.1229106888011471E-4</v>
      </c>
      <c r="N109" s="375">
        <f t="shared" si="46"/>
        <v>7.2940196804768072E-4</v>
      </c>
      <c r="O109" s="375">
        <f t="shared" si="46"/>
        <v>7.4676947666013269E-4</v>
      </c>
      <c r="P109" s="375">
        <f t="shared" si="46"/>
        <v>7.6438706684506545E-4</v>
      </c>
      <c r="Q109" s="375">
        <f t="shared" si="46"/>
        <v>7.8224746720545306E-4</v>
      </c>
      <c r="R109" s="375">
        <f t="shared" si="46"/>
        <v>8.003426479105529E-4</v>
      </c>
      <c r="S109" s="375">
        <f t="shared" si="46"/>
        <v>8.1866380910744247E-4</v>
      </c>
      <c r="T109" s="375">
        <f t="shared" si="46"/>
        <v>8.3720137287067713E-4</v>
      </c>
      <c r="U109" s="375">
        <f t="shared" si="46"/>
        <v>8.5594497884004556E-4</v>
      </c>
      <c r="V109" s="375">
        <f t="shared" si="46"/>
        <v>8.7488348400911395E-4</v>
      </c>
      <c r="W109" s="375">
        <f t="shared" si="46"/>
        <v>8.9400496936166787E-4</v>
      </c>
      <c r="X109" s="375">
        <f t="shared" si="46"/>
        <v>9.132967476741154E-4</v>
      </c>
      <c r="Y109" s="375">
        <f t="shared" si="46"/>
        <v>9.3274537896602297E-4</v>
      </c>
      <c r="Z109" s="375">
        <f t="shared" si="46"/>
        <v>9.5233669103265766E-4</v>
      </c>
      <c r="AA109" s="375">
        <f t="shared" si="46"/>
        <v>9.7205580539473765E-4</v>
      </c>
      <c r="AB109" s="375">
        <f t="shared" si="46"/>
        <v>1</v>
      </c>
      <c r="AC109" s="375">
        <f t="shared" si="46"/>
        <v>1</v>
      </c>
      <c r="AD109" s="375">
        <f t="shared" si="46"/>
        <v>1</v>
      </c>
      <c r="AE109" s="375">
        <f t="shared" si="46"/>
        <v>1</v>
      </c>
      <c r="AF109" s="375">
        <f t="shared" si="46"/>
        <v>1</v>
      </c>
      <c r="AG109" s="375">
        <f t="shared" si="46"/>
        <v>1</v>
      </c>
      <c r="AH109" s="375">
        <f t="shared" si="46"/>
        <v>1</v>
      </c>
      <c r="AI109" s="375">
        <f t="shared" si="46"/>
        <v>1</v>
      </c>
      <c r="AJ109" s="375">
        <f t="shared" si="46"/>
        <v>1</v>
      </c>
      <c r="AK109" s="375">
        <f t="shared" si="46"/>
        <v>1</v>
      </c>
      <c r="AL109" s="375">
        <f t="shared" si="46"/>
        <v>1</v>
      </c>
      <c r="AM109" s="375">
        <f t="shared" si="46"/>
        <v>1</v>
      </c>
      <c r="AN109" s="375">
        <f t="shared" si="46"/>
        <v>1</v>
      </c>
      <c r="AO109" s="375">
        <f t="shared" si="46"/>
        <v>1</v>
      </c>
      <c r="AP109" s="375">
        <f t="shared" si="46"/>
        <v>1</v>
      </c>
      <c r="AQ109" s="375">
        <f t="shared" si="46"/>
        <v>1</v>
      </c>
      <c r="AR109" s="375">
        <f t="shared" si="46"/>
        <v>1</v>
      </c>
      <c r="AS109" s="375">
        <f t="shared" si="46"/>
        <v>1</v>
      </c>
      <c r="AT109" s="375">
        <f t="shared" si="46"/>
        <v>1</v>
      </c>
      <c r="AU109" s="375">
        <f t="shared" si="46"/>
        <v>1</v>
      </c>
      <c r="AV109" s="375">
        <f t="shared" si="46"/>
        <v>1</v>
      </c>
      <c r="AW109" s="375">
        <f t="shared" si="46"/>
        <v>1</v>
      </c>
      <c r="AX109" s="375">
        <f t="shared" si="46"/>
        <v>1</v>
      </c>
      <c r="AY109" s="375">
        <f t="shared" si="46"/>
        <v>1</v>
      </c>
      <c r="AZ109" s="375">
        <f t="shared" si="46"/>
        <v>1</v>
      </c>
      <c r="BA109" s="375">
        <f t="shared" si="46"/>
        <v>1</v>
      </c>
      <c r="BB109" s="375">
        <f t="shared" si="46"/>
        <v>1</v>
      </c>
      <c r="BC109" s="375">
        <f t="shared" si="46"/>
        <v>1</v>
      </c>
      <c r="BD109" s="375">
        <f t="shared" si="46"/>
        <v>1</v>
      </c>
      <c r="BE109" s="375">
        <f t="shared" si="46"/>
        <v>1</v>
      </c>
      <c r="BF109" s="375">
        <f t="shared" si="46"/>
        <v>1</v>
      </c>
      <c r="BG109" s="375">
        <f t="shared" si="46"/>
        <v>1</v>
      </c>
      <c r="BH109" s="375">
        <f t="shared" si="46"/>
        <v>1</v>
      </c>
      <c r="BI109" s="375">
        <f t="shared" si="46"/>
        <v>1</v>
      </c>
    </row>
    <row r="110" spans="1:6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0.60192147686379238</v>
      </c>
      <c r="C112" s="455">
        <f>+C40*C61</f>
        <v>0.36731683901123108</v>
      </c>
      <c r="D112" s="455">
        <f t="shared" ref="D112:BI112" si="47">+D40*D61</f>
        <v>0.26294862041722944</v>
      </c>
      <c r="E112" s="455">
        <f t="shared" si="47"/>
        <v>0.19513614864181056</v>
      </c>
      <c r="F112" s="455">
        <f t="shared" si="47"/>
        <v>0.14283420621939955</v>
      </c>
      <c r="G112" s="455">
        <f t="shared" si="47"/>
        <v>0.14177302398357439</v>
      </c>
      <c r="H112" s="455">
        <f t="shared" si="47"/>
        <v>0.12194474087937149</v>
      </c>
      <c r="I112" s="455">
        <f t="shared" si="47"/>
        <v>0.10661418665978063</v>
      </c>
      <c r="J112" s="455">
        <f t="shared" si="47"/>
        <v>9.5005721640424784E-2</v>
      </c>
      <c r="K112" s="455">
        <f t="shared" si="47"/>
        <v>8.4789241746852914E-2</v>
      </c>
      <c r="L112" s="455">
        <f t="shared" si="47"/>
        <v>8.0149358227875431E-2</v>
      </c>
      <c r="M112" s="455">
        <f t="shared" si="47"/>
        <v>7.7395914325959408E-2</v>
      </c>
      <c r="N112" s="455">
        <f t="shared" si="47"/>
        <v>7.4757282145661255E-2</v>
      </c>
      <c r="O112" s="455">
        <f t="shared" si="47"/>
        <v>7.3195242498572413E-2</v>
      </c>
      <c r="P112" s="455">
        <f t="shared" si="47"/>
        <v>7.3780558583798839E-2</v>
      </c>
      <c r="Q112" s="455">
        <f t="shared" si="47"/>
        <v>7.2867507504119092E-2</v>
      </c>
      <c r="R112" s="455">
        <f t="shared" si="47"/>
        <v>7.3886265008695398E-2</v>
      </c>
      <c r="S112" s="455">
        <f t="shared" si="47"/>
        <v>7.5196700789482054E-2</v>
      </c>
      <c r="T112" s="455">
        <f t="shared" si="47"/>
        <v>7.4455312153217573E-2</v>
      </c>
      <c r="U112" s="455">
        <f t="shared" si="47"/>
        <v>6.6391467669237647E-2</v>
      </c>
      <c r="V112" s="455">
        <f t="shared" si="47"/>
        <v>6.4650192448344732E-2</v>
      </c>
      <c r="W112" s="455">
        <f t="shared" si="47"/>
        <v>6.4364922638741995E-2</v>
      </c>
      <c r="X112" s="455">
        <f t="shared" si="47"/>
        <v>6.2617110318457805E-2</v>
      </c>
      <c r="Y112" s="455">
        <f t="shared" si="47"/>
        <v>6.1263750613680293E-2</v>
      </c>
      <c r="Z112" s="455">
        <f t="shared" si="47"/>
        <v>5.8954136206741968E-2</v>
      </c>
      <c r="AA112" s="455">
        <f t="shared" si="47"/>
        <v>5.6604146320778842E-2</v>
      </c>
      <c r="AB112" s="455">
        <f t="shared" si="47"/>
        <v>5.5609770720187232E-2</v>
      </c>
      <c r="AC112" s="455">
        <f t="shared" si="47"/>
        <v>5.573366337314252E-2</v>
      </c>
      <c r="AD112" s="455">
        <f t="shared" si="47"/>
        <v>5.5981145799194318E-2</v>
      </c>
      <c r="AE112" s="455">
        <f t="shared" si="47"/>
        <v>5.6095555854663873E-2</v>
      </c>
      <c r="AF112" s="455">
        <f t="shared" si="47"/>
        <v>5.2515393301157856E-2</v>
      </c>
      <c r="AG112" s="455">
        <f t="shared" si="47"/>
        <v>5.3754345117336073E-2</v>
      </c>
      <c r="AH112" s="455">
        <f t="shared" si="47"/>
        <v>5.1177917191236634E-2</v>
      </c>
      <c r="AI112" s="455">
        <f t="shared" si="47"/>
        <v>0.29917751663550185</v>
      </c>
      <c r="AJ112" s="455">
        <f t="shared" si="47"/>
        <v>0.46192122077449149</v>
      </c>
      <c r="AK112" s="455">
        <f t="shared" si="47"/>
        <v>0.55143686626398081</v>
      </c>
      <c r="AL112" s="455">
        <f t="shared" si="47"/>
        <v>0.60138994230976894</v>
      </c>
      <c r="AM112" s="455">
        <f t="shared" si="47"/>
        <v>0.63100280429130995</v>
      </c>
      <c r="AN112" s="455">
        <f t="shared" si="47"/>
        <v>0.64995593741882796</v>
      </c>
      <c r="AO112" s="455">
        <f t="shared" si="47"/>
        <v>0.66323012070305265</v>
      </c>
      <c r="AP112" s="455">
        <f t="shared" si="47"/>
        <v>0.67344337651013297</v>
      </c>
      <c r="AQ112" s="455">
        <f t="shared" si="47"/>
        <v>0.68199103664738292</v>
      </c>
      <c r="AR112" s="455">
        <f t="shared" si="47"/>
        <v>0.68962366476804671</v>
      </c>
      <c r="AS112" s="455">
        <f t="shared" si="47"/>
        <v>0.69674801994102642</v>
      </c>
      <c r="AT112" s="455">
        <f t="shared" si="47"/>
        <v>0.7035863258079722</v>
      </c>
      <c r="AU112" s="455">
        <f t="shared" si="47"/>
        <v>0.71026132847642032</v>
      </c>
      <c r="AV112" s="455">
        <f t="shared" si="47"/>
        <v>0.7168419576181646</v>
      </c>
      <c r="AW112" s="455">
        <f t="shared" si="47"/>
        <v>0.72336791366304953</v>
      </c>
      <c r="AX112" s="455">
        <f t="shared" si="47"/>
        <v>0.72986293450805484</v>
      </c>
      <c r="AY112" s="455">
        <f t="shared" si="47"/>
        <v>0.73634196649321548</v>
      </c>
      <c r="AZ112" s="455">
        <f t="shared" si="47"/>
        <v>0.74281504829153566</v>
      </c>
      <c r="BA112" s="455">
        <f t="shared" si="47"/>
        <v>0.74928942051099423</v>
      </c>
      <c r="BB112" s="455">
        <f t="shared" si="47"/>
        <v>0.7557706767549689</v>
      </c>
      <c r="BC112" s="455">
        <f t="shared" si="47"/>
        <v>0.76226339632063078</v>
      </c>
      <c r="BD112" s="455">
        <f t="shared" si="47"/>
        <v>0.76877149617263962</v>
      </c>
      <c r="BE112" s="455">
        <f t="shared" si="47"/>
        <v>0.77529843053844361</v>
      </c>
      <c r="BF112" s="455">
        <f t="shared" si="47"/>
        <v>0.78187280370940948</v>
      </c>
      <c r="BG112" s="455">
        <f t="shared" si="47"/>
        <v>0.788471901529467</v>
      </c>
      <c r="BH112" s="455">
        <f t="shared" si="47"/>
        <v>0.79509160032627324</v>
      </c>
      <c r="BI112" s="455">
        <f t="shared" si="47"/>
        <v>0.80173414568085954</v>
      </c>
    </row>
    <row r="113" spans="1:61" ht="18" customHeight="1" x14ac:dyDescent="0.2">
      <c r="A113" s="382" t="s">
        <v>949</v>
      </c>
      <c r="B113" s="383">
        <f>+Controls!B74</f>
        <v>0.25666629327477047</v>
      </c>
      <c r="C113" s="383">
        <f>+Controls!C74</f>
        <v>0.49278319473092996</v>
      </c>
      <c r="D113" s="383">
        <f>+Controls!D74</f>
        <v>0.47544298056602108</v>
      </c>
      <c r="E113" s="383">
        <f>+Controls!E74</f>
        <v>0.37426853591476134</v>
      </c>
      <c r="F113" s="383">
        <f>+Controls!F74</f>
        <v>0.26907396045635273</v>
      </c>
      <c r="G113" s="383">
        <f>+Controls!G74</f>
        <v>0.18946164229417631</v>
      </c>
      <c r="H113" s="383">
        <f>+Controls!H74</f>
        <v>0.15391350664161263</v>
      </c>
      <c r="I113" s="383">
        <f>+Controls!I74</f>
        <v>0.12758694660803085</v>
      </c>
      <c r="J113" s="383">
        <f>+Controls!J74</f>
        <v>0.10811610612729665</v>
      </c>
      <c r="K113" s="383">
        <f>+Controls!K74</f>
        <v>9.3701546341380559E-2</v>
      </c>
      <c r="L113" s="383">
        <f>+Controls!L74</f>
        <v>8.3455650664141345E-2</v>
      </c>
      <c r="M113" s="383">
        <f>+Controls!M74</f>
        <v>7.5318724724387554E-2</v>
      </c>
      <c r="N113" s="383">
        <f>+Controls!N74</f>
        <v>6.797514906375976E-2</v>
      </c>
      <c r="O113" s="383">
        <f>+Controls!O74</f>
        <v>6.1347572030043179E-2</v>
      </c>
      <c r="P113" s="383">
        <f>+Controls!P74</f>
        <v>5.5366183757113961E-2</v>
      </c>
      <c r="Q113" s="383">
        <f>+Controls!Q74</f>
        <v>4.9967980840795345E-2</v>
      </c>
      <c r="R113" s="383">
        <f>+Controls!R74</f>
        <v>4.5096102708817788E-2</v>
      </c>
      <c r="S113" s="383">
        <f>+Controls!S74</f>
        <v>4.069923269470805E-2</v>
      </c>
      <c r="T113" s="383">
        <f>+Controls!T74</f>
        <v>3.6731057506974009E-2</v>
      </c>
      <c r="U113" s="383">
        <f>+Controls!U74</f>
        <v>3.3149779400044044E-2</v>
      </c>
      <c r="V113" s="383">
        <f>+Controls!V74</f>
        <v>2.9917675908539748E-2</v>
      </c>
      <c r="W113" s="383">
        <f>+Controls!W74</f>
        <v>2.842179211311276E-2</v>
      </c>
      <c r="X113" s="383">
        <f>+Controls!X74</f>
        <v>2.7000702507457119E-2</v>
      </c>
      <c r="Y113" s="383">
        <f>+Controls!Y74</f>
        <v>2.5650667382084262E-2</v>
      </c>
      <c r="Z113" s="383">
        <f>+Controls!Z74</f>
        <v>2.4368134012980047E-2</v>
      </c>
      <c r="AA113" s="383">
        <f>+Controls!AA74</f>
        <v>2.3149727312331045E-2</v>
      </c>
      <c r="AB113" s="383">
        <f>+Controls!AB74</f>
        <v>2.1992240946714491E-2</v>
      </c>
      <c r="AC113" s="383">
        <f>+Controls!AC74</f>
        <v>2.0892628899378766E-2</v>
      </c>
      <c r="AD113" s="383">
        <f>+Controls!AD74</f>
        <v>1.9847997454409825E-2</v>
      </c>
      <c r="AE113" s="383">
        <f>+Controls!AE74</f>
        <v>1.8855597581689334E-2</v>
      </c>
      <c r="AF113" s="383">
        <f>+Controls!AF74</f>
        <v>1.7912817702604868E-2</v>
      </c>
      <c r="AG113" s="383">
        <f>+Controls!AG74</f>
        <v>1.7017176817474625E-2</v>
      </c>
      <c r="AH113" s="383">
        <f>+Controls!AH74</f>
        <v>1.6166317976600893E-2</v>
      </c>
      <c r="AI113" s="383">
        <f>+Controls!AI74</f>
        <v>1.5358002077770848E-2</v>
      </c>
      <c r="AJ113" s="383">
        <f>+Controls!AJ74</f>
        <v>1.4590101973882304E-2</v>
      </c>
      <c r="AK113" s="383">
        <f>+Controls!AK74</f>
        <v>1.3860596875188189E-2</v>
      </c>
      <c r="AL113" s="383">
        <f>+Controls!AL74</f>
        <v>1.3167567031428778E-2</v>
      </c>
      <c r="AM113" s="383">
        <f>+Controls!AM74</f>
        <v>1.2509188679857338E-2</v>
      </c>
      <c r="AN113" s="383">
        <f>+Controls!AN74</f>
        <v>1.188372924586447E-2</v>
      </c>
      <c r="AO113" s="383">
        <f>+Controls!AO74</f>
        <v>1.1289542783571246E-2</v>
      </c>
      <c r="AP113" s="383">
        <f>+Controls!AP74</f>
        <v>1.0725065644392682E-2</v>
      </c>
      <c r="AQ113" s="383">
        <f>+Controls!AQ74</f>
        <v>1.0188812362173047E-2</v>
      </c>
      <c r="AR113" s="383">
        <f>+Controls!AR74</f>
        <v>9.6793717440643943E-3</v>
      </c>
      <c r="AS113" s="383">
        <f>+Controls!AS74</f>
        <v>9.1954031568611747E-3</v>
      </c>
      <c r="AT113" s="383">
        <f>+Controls!AT74</f>
        <v>8.7356329990181149E-3</v>
      </c>
      <c r="AU113" s="383">
        <f>+Controls!AU74</f>
        <v>8.2988513490672086E-3</v>
      </c>
      <c r="AV113" s="383">
        <f>+Controls!AV74</f>
        <v>7.8839087816138485E-3</v>
      </c>
      <c r="AW113" s="383">
        <f>+Controls!AW74</f>
        <v>7.4897133425331558E-3</v>
      </c>
      <c r="AX113" s="383">
        <f>+Controls!AX74</f>
        <v>7.1152276754064972E-3</v>
      </c>
      <c r="AY113" s="383">
        <f>+Controls!AY74</f>
        <v>6.7594662916361722E-3</v>
      </c>
      <c r="AZ113" s="383">
        <f>+Controls!AZ74</f>
        <v>6.4214929770543636E-3</v>
      </c>
      <c r="BA113" s="383">
        <f>+Controls!BA74</f>
        <v>6.1004183282016454E-3</v>
      </c>
      <c r="BB113" s="383">
        <f>+Controls!BB74</f>
        <v>5.7953974117915625E-3</v>
      </c>
      <c r="BC113" s="383">
        <f>+Controls!BC74</f>
        <v>5.5056275412019842E-3</v>
      </c>
      <c r="BD113" s="383">
        <f>+Controls!BD74</f>
        <v>5.2303461641418844E-3</v>
      </c>
      <c r="BE113" s="383">
        <f>+Controls!BE74</f>
        <v>4.9688288559347898E-3</v>
      </c>
      <c r="BF113" s="383">
        <f>+Controls!BF74</f>
        <v>4.7203874131380502E-3</v>
      </c>
      <c r="BG113" s="383">
        <f>+Controls!BG74</f>
        <v>4.4843680424811478E-3</v>
      </c>
      <c r="BH113" s="383">
        <f>+Controls!BH74</f>
        <v>4.2601496403570898E-3</v>
      </c>
      <c r="BI113" s="383">
        <f>+Controls!BI74</f>
        <v>4.0471421583392351E-3</v>
      </c>
    </row>
    <row r="114" spans="1:61" ht="18" customHeight="1" x14ac:dyDescent="0.2">
      <c r="A114" s="382" t="s">
        <v>951</v>
      </c>
      <c r="B114" s="383">
        <f>IF(1-(B113/B112)&lt;0,0,1-(B113/B112))</f>
        <v>0.57358841121256254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8">IF(1-(F113/F112)&lt;0,0,1-(F113/F112))</f>
        <v>0</v>
      </c>
      <c r="G114" s="383">
        <f t="shared" si="48"/>
        <v>0</v>
      </c>
      <c r="H114" s="383">
        <f t="shared" si="48"/>
        <v>0</v>
      </c>
      <c r="I114" s="383">
        <f t="shared" si="48"/>
        <v>0</v>
      </c>
      <c r="J114" s="383">
        <f t="shared" si="48"/>
        <v>0</v>
      </c>
      <c r="K114" s="383">
        <f t="shared" si="48"/>
        <v>0</v>
      </c>
      <c r="L114" s="383">
        <f t="shared" si="48"/>
        <v>0</v>
      </c>
      <c r="M114" s="383">
        <f t="shared" si="48"/>
        <v>2.6838491665381659E-2</v>
      </c>
      <c r="N114" s="383">
        <f t="shared" si="48"/>
        <v>9.0722039207990601E-2</v>
      </c>
      <c r="O114" s="383">
        <f t="shared" si="48"/>
        <v>0.16186394175496188</v>
      </c>
      <c r="P114" s="383">
        <f t="shared" si="48"/>
        <v>0.24958302268435806</v>
      </c>
      <c r="Q114" s="383">
        <f t="shared" si="48"/>
        <v>0.31426252176979252</v>
      </c>
      <c r="R114" s="383">
        <f t="shared" si="48"/>
        <v>0.38965513138997354</v>
      </c>
      <c r="S114" s="383">
        <f t="shared" si="48"/>
        <v>0.45876305386524685</v>
      </c>
      <c r="T114" s="383">
        <f t="shared" si="48"/>
        <v>0.50666975337653342</v>
      </c>
      <c r="U114" s="383">
        <f t="shared" si="48"/>
        <v>0.50069217380166564</v>
      </c>
      <c r="V114" s="383">
        <f t="shared" si="48"/>
        <v>0.53723763572020511</v>
      </c>
      <c r="W114" s="383">
        <f t="shared" si="48"/>
        <v>0.55842730872785429</v>
      </c>
      <c r="X114" s="383">
        <f t="shared" si="48"/>
        <v>0.56879673351042426</v>
      </c>
      <c r="Y114" s="383">
        <f t="shared" si="48"/>
        <v>0.58130759013052613</v>
      </c>
      <c r="Z114" s="383">
        <f t="shared" si="48"/>
        <v>0.58665946817496883</v>
      </c>
      <c r="AA114" s="383">
        <f t="shared" si="48"/>
        <v>0.59102417725478529</v>
      </c>
      <c r="AB114" s="383">
        <f t="shared" si="48"/>
        <v>0.60452559573796338</v>
      </c>
      <c r="AC114" s="383">
        <f t="shared" si="48"/>
        <v>0.62513447645634734</v>
      </c>
      <c r="AD114" s="383">
        <f t="shared" si="48"/>
        <v>0.64545210407795051</v>
      </c>
      <c r="AE114" s="383">
        <f t="shared" si="48"/>
        <v>0.66386646331588761</v>
      </c>
      <c r="AF114" s="383">
        <f t="shared" si="48"/>
        <v>0.65890348378653529</v>
      </c>
      <c r="AG114" s="383">
        <f t="shared" si="48"/>
        <v>0.68342695310808477</v>
      </c>
      <c r="AH114" s="383">
        <f t="shared" si="48"/>
        <v>0.68411535943926405</v>
      </c>
      <c r="AI114" s="383">
        <f t="shared" si="48"/>
        <v>0.94866592165586416</v>
      </c>
      <c r="AJ114" s="383">
        <f t="shared" si="48"/>
        <v>0.96841430677417362</v>
      </c>
      <c r="AK114" s="383">
        <f t="shared" si="48"/>
        <v>0.97486458065617809</v>
      </c>
      <c r="AL114" s="383">
        <f t="shared" si="48"/>
        <v>0.97810477677618635</v>
      </c>
      <c r="AM114" s="383">
        <f t="shared" si="48"/>
        <v>0.98017570033796186</v>
      </c>
      <c r="AN114" s="383">
        <f t="shared" si="48"/>
        <v>0.98171610018202404</v>
      </c>
      <c r="AO114" s="383">
        <f t="shared" si="48"/>
        <v>0.98297794018823537</v>
      </c>
      <c r="AP114" s="383">
        <f t="shared" si="48"/>
        <v>0.98407428743308556</v>
      </c>
      <c r="AQ114" s="383">
        <f t="shared" si="48"/>
        <v>0.98506019608078654</v>
      </c>
      <c r="AR114" s="383">
        <f t="shared" si="48"/>
        <v>0.98596426973352191</v>
      </c>
      <c r="AS114" s="383">
        <f t="shared" si="48"/>
        <v>0.98680239786309043</v>
      </c>
      <c r="AT114" s="383">
        <f t="shared" si="48"/>
        <v>0.98758413476983586</v>
      </c>
      <c r="AU114" s="383">
        <f t="shared" si="48"/>
        <v>0.98831577756476052</v>
      </c>
      <c r="AV114" s="383">
        <f t="shared" si="48"/>
        <v>0.98900188709962022</v>
      </c>
      <c r="AW114" s="383">
        <f t="shared" si="48"/>
        <v>0.98964605258117389</v>
      </c>
      <c r="AX114" s="383">
        <f t="shared" si="48"/>
        <v>0.9902512823449483</v>
      </c>
      <c r="AY114" s="383">
        <f t="shared" si="48"/>
        <v>0.99082020773061774</v>
      </c>
      <c r="AZ114" s="383">
        <f t="shared" si="48"/>
        <v>0.99135519266629868</v>
      </c>
      <c r="BA114" s="383">
        <f t="shared" si="48"/>
        <v>0.99185839521924479</v>
      </c>
      <c r="BB114" s="383">
        <f t="shared" si="48"/>
        <v>0.9923318043554229</v>
      </c>
      <c r="BC114" s="383">
        <f t="shared" si="48"/>
        <v>0.99277726364957686</v>
      </c>
      <c r="BD114" s="383">
        <f t="shared" si="48"/>
        <v>0.99319648791587434</v>
      </c>
      <c r="BE114" s="383">
        <f t="shared" si="48"/>
        <v>0.99359107582291384</v>
      </c>
      <c r="BF114" s="383">
        <f t="shared" si="48"/>
        <v>0.99396271696528737</v>
      </c>
      <c r="BG114" s="383">
        <f t="shared" si="48"/>
        <v>0.99431258357617758</v>
      </c>
      <c r="BH114" s="383">
        <f t="shared" si="48"/>
        <v>0.9946419385658094</v>
      </c>
      <c r="BI114" s="383">
        <f t="shared" si="48"/>
        <v>0.99495201472939354</v>
      </c>
    </row>
    <row r="115" spans="1:61" ht="18" customHeight="1" x14ac:dyDescent="0.2">
      <c r="A115" s="382" t="s">
        <v>952</v>
      </c>
      <c r="B115" s="384">
        <f t="shared" ref="B115:BI115" si="49">+B$36*1000*B114^($B$38-1)</f>
        <v>277.97290026288198</v>
      </c>
      <c r="C115" s="384">
        <f t="shared" si="49"/>
        <v>0</v>
      </c>
      <c r="D115" s="384">
        <f t="shared" si="49"/>
        <v>0</v>
      </c>
      <c r="E115" s="384">
        <f t="shared" si="49"/>
        <v>0</v>
      </c>
      <c r="F115" s="384">
        <f t="shared" si="49"/>
        <v>0</v>
      </c>
      <c r="G115" s="384">
        <f t="shared" si="49"/>
        <v>0</v>
      </c>
      <c r="H115" s="384">
        <f t="shared" si="49"/>
        <v>0</v>
      </c>
      <c r="I115" s="384">
        <f t="shared" si="49"/>
        <v>0</v>
      </c>
      <c r="J115" s="384">
        <f t="shared" si="49"/>
        <v>0</v>
      </c>
      <c r="K115" s="384">
        <f t="shared" si="49"/>
        <v>0</v>
      </c>
      <c r="L115" s="384">
        <f t="shared" si="49"/>
        <v>0</v>
      </c>
      <c r="M115" s="384">
        <f t="shared" si="49"/>
        <v>0.68703852555768163</v>
      </c>
      <c r="N115" s="384">
        <f t="shared" si="49"/>
        <v>5.89579767925553</v>
      </c>
      <c r="O115" s="384">
        <f t="shared" si="49"/>
        <v>16.022651938011474</v>
      </c>
      <c r="P115" s="384">
        <f t="shared" si="49"/>
        <v>33.498324116138143</v>
      </c>
      <c r="Q115" s="384">
        <f t="shared" si="49"/>
        <v>48.652725072418889</v>
      </c>
      <c r="R115" s="384">
        <f t="shared" si="49"/>
        <v>68.758754225763965</v>
      </c>
      <c r="S115" s="384">
        <f t="shared" si="49"/>
        <v>88.566428050950122</v>
      </c>
      <c r="T115" s="384">
        <f t="shared" si="49"/>
        <v>101.72111301632521</v>
      </c>
      <c r="U115" s="384">
        <f t="shared" si="49"/>
        <v>95.680832765181435</v>
      </c>
      <c r="V115" s="384">
        <f t="shared" si="49"/>
        <v>104.42133043235967</v>
      </c>
      <c r="W115" s="384">
        <f t="shared" si="49"/>
        <v>107.67828992467484</v>
      </c>
      <c r="X115" s="384">
        <f t="shared" si="49"/>
        <v>107.1078786590551</v>
      </c>
      <c r="Y115" s="384">
        <f t="shared" si="49"/>
        <v>107.24012826912572</v>
      </c>
      <c r="Z115" s="384">
        <f t="shared" si="49"/>
        <v>105.02004513173856</v>
      </c>
      <c r="AA115" s="384">
        <f t="shared" si="49"/>
        <v>102.57594761282397</v>
      </c>
      <c r="AB115" s="384">
        <f t="shared" si="49"/>
        <v>103.01837699302897</v>
      </c>
      <c r="AC115" s="384">
        <f t="shared" si="49"/>
        <v>105.57740785697932</v>
      </c>
      <c r="AD115" s="384">
        <f t="shared" si="49"/>
        <v>107.96122544543827</v>
      </c>
      <c r="AE115" s="384">
        <f t="shared" si="49"/>
        <v>109.69823406590336</v>
      </c>
      <c r="AF115" s="384">
        <f t="shared" si="49"/>
        <v>104.59906671172176</v>
      </c>
      <c r="AG115" s="384">
        <f t="shared" si="49"/>
        <v>108.03024784070719</v>
      </c>
      <c r="AH115" s="384">
        <f t="shared" si="49"/>
        <v>104.72353068138969</v>
      </c>
      <c r="AI115" s="384">
        <f t="shared" si="49"/>
        <v>182.63833308471982</v>
      </c>
      <c r="AJ115" s="384">
        <f t="shared" si="49"/>
        <v>183.62968121795311</v>
      </c>
      <c r="AK115" s="384">
        <f t="shared" si="49"/>
        <v>180.15595871025963</v>
      </c>
      <c r="AL115" s="384">
        <f t="shared" si="49"/>
        <v>175.8057868336125</v>
      </c>
      <c r="AM115" s="384">
        <f t="shared" si="49"/>
        <v>171.29873697987355</v>
      </c>
      <c r="AN115" s="384">
        <f t="shared" si="49"/>
        <v>166.85093793317219</v>
      </c>
      <c r="AO115" s="384">
        <f t="shared" si="49"/>
        <v>162.54027817384625</v>
      </c>
      <c r="AP115" s="384">
        <f t="shared" si="49"/>
        <v>158.39573485707282</v>
      </c>
      <c r="AQ115" s="384">
        <f t="shared" si="49"/>
        <v>154.42637608689321</v>
      </c>
      <c r="AR115" s="384">
        <f t="shared" si="49"/>
        <v>150.63254251560826</v>
      </c>
      <c r="AS115" s="384">
        <f t="shared" si="49"/>
        <v>147.01062749387012</v>
      </c>
      <c r="AT115" s="384">
        <f t="shared" si="49"/>
        <v>143.555249252072</v>
      </c>
      <c r="AU115" s="384">
        <f t="shared" si="49"/>
        <v>140.26027433051911</v>
      </c>
      <c r="AV115" s="384">
        <f t="shared" si="49"/>
        <v>137.11931060692666</v>
      </c>
      <c r="AW115" s="384">
        <f t="shared" si="49"/>
        <v>134.12594827319637</v>
      </c>
      <c r="AX115" s="384">
        <f t="shared" si="49"/>
        <v>131.27387871185724</v>
      </c>
      <c r="AY115" s="384">
        <f t="shared" si="49"/>
        <v>128.55695329442375</v>
      </c>
      <c r="AZ115" s="384">
        <f t="shared" si="49"/>
        <v>125.96921213287825</v>
      </c>
      <c r="BA115" s="384">
        <f t="shared" si="49"/>
        <v>123.50489748986367</v>
      </c>
      <c r="BB115" s="384">
        <f t="shared" si="49"/>
        <v>121.15845913138648</v>
      </c>
      <c r="BC115" s="384">
        <f t="shared" si="49"/>
        <v>118.9245552830094</v>
      </c>
      <c r="BD115" s="384">
        <f t="shared" si="49"/>
        <v>116.79805106893862</v>
      </c>
      <c r="BE115" s="384">
        <f t="shared" si="49"/>
        <v>58.440794691519528</v>
      </c>
      <c r="BF115" s="384">
        <f t="shared" si="49"/>
        <v>29.24007347639283</v>
      </c>
      <c r="BG115" s="384">
        <f t="shared" si="49"/>
        <v>14.629301078811718</v>
      </c>
      <c r="BH115" s="384">
        <f t="shared" si="49"/>
        <v>7.3190123312493993</v>
      </c>
      <c r="BI115" s="384">
        <f t="shared" si="49"/>
        <v>3.6615599306546902</v>
      </c>
    </row>
    <row r="116" spans="1:61" s="379" customFormat="1" ht="18" customHeight="1" x14ac:dyDescent="0.2">
      <c r="A116" s="382" t="s">
        <v>969</v>
      </c>
      <c r="B116" s="383">
        <f t="shared" ref="B116:AG116" si="50">+B112*(1-B103)</f>
        <v>0.60159511876272098</v>
      </c>
      <c r="C116" s="383">
        <f t="shared" si="50"/>
        <v>0.36711252194952565</v>
      </c>
      <c r="D116" s="383">
        <f t="shared" si="50"/>
        <v>0.26279858823898428</v>
      </c>
      <c r="E116" s="383">
        <f t="shared" si="50"/>
        <v>0.19502195576715431</v>
      </c>
      <c r="F116" s="383">
        <f t="shared" si="50"/>
        <v>0.14274849122857375</v>
      </c>
      <c r="G116" s="383">
        <f t="shared" si="50"/>
        <v>0.1416857922743901</v>
      </c>
      <c r="H116" s="383">
        <f t="shared" si="50"/>
        <v>0.12186782245638256</v>
      </c>
      <c r="I116" s="383">
        <f t="shared" si="50"/>
        <v>0.1065452585451777</v>
      </c>
      <c r="J116" s="383">
        <f t="shared" si="50"/>
        <v>9.4942775357885756E-2</v>
      </c>
      <c r="K116" s="383">
        <f t="shared" si="50"/>
        <v>8.4731681586393881E-2</v>
      </c>
      <c r="L116" s="383">
        <f t="shared" si="50"/>
        <v>8.0093618951304429E-2</v>
      </c>
      <c r="M116" s="383">
        <f t="shared" si="50"/>
        <v>7.734078590741722E-2</v>
      </c>
      <c r="N116" s="383">
        <f t="shared" si="50"/>
        <v>7.470275403693831E-2</v>
      </c>
      <c r="O116" s="383">
        <f t="shared" si="50"/>
        <v>7.3140582525637751E-2</v>
      </c>
      <c r="P116" s="383">
        <f t="shared" si="50"/>
        <v>7.3724161679032771E-2</v>
      </c>
      <c r="Q116" s="383">
        <f t="shared" si="50"/>
        <v>7.2810507080932424E-2</v>
      </c>
      <c r="R116" s="383">
        <f t="shared" si="50"/>
        <v>7.3827130679714123E-2</v>
      </c>
      <c r="S116" s="383">
        <f t="shared" si="50"/>
        <v>7.5135139971981429E-2</v>
      </c>
      <c r="T116" s="383">
        <f t="shared" si="50"/>
        <v>7.4392978063665377E-2</v>
      </c>
      <c r="U116" s="383">
        <f t="shared" si="50"/>
        <v>6.633464022584834E-2</v>
      </c>
      <c r="V116" s="383">
        <f t="shared" si="50"/>
        <v>6.4593631062733664E-2</v>
      </c>
      <c r="W116" s="383">
        <f t="shared" si="50"/>
        <v>6.4307380078050383E-2</v>
      </c>
      <c r="X116" s="383">
        <f t="shared" si="50"/>
        <v>6.2559922315255201E-2</v>
      </c>
      <c r="Y116" s="383">
        <f t="shared" si="50"/>
        <v>6.1206607133397255E-2</v>
      </c>
      <c r="Z116" s="383">
        <f t="shared" si="50"/>
        <v>5.8897992019744147E-2</v>
      </c>
      <c r="AA116" s="383">
        <f t="shared" si="50"/>
        <v>5.6549123931738318E-2</v>
      </c>
      <c r="AB116" s="383">
        <f t="shared" si="50"/>
        <v>0</v>
      </c>
      <c r="AC116" s="383">
        <f t="shared" si="50"/>
        <v>0</v>
      </c>
      <c r="AD116" s="383">
        <f t="shared" si="50"/>
        <v>0</v>
      </c>
      <c r="AE116" s="383">
        <f t="shared" si="50"/>
        <v>0</v>
      </c>
      <c r="AF116" s="383">
        <f t="shared" si="50"/>
        <v>0</v>
      </c>
      <c r="AG116" s="383">
        <f t="shared" si="50"/>
        <v>0</v>
      </c>
      <c r="AH116" s="383">
        <f t="shared" ref="AH116:BI116" si="51">+AH112*(1-AH103)</f>
        <v>0</v>
      </c>
      <c r="AI116" s="383">
        <f t="shared" si="51"/>
        <v>0</v>
      </c>
      <c r="AJ116" s="383">
        <f t="shared" si="51"/>
        <v>0</v>
      </c>
      <c r="AK116" s="383">
        <f t="shared" si="51"/>
        <v>0</v>
      </c>
      <c r="AL116" s="383">
        <f t="shared" si="51"/>
        <v>0</v>
      </c>
      <c r="AM116" s="383">
        <f t="shared" si="51"/>
        <v>0</v>
      </c>
      <c r="AN116" s="383">
        <f t="shared" si="51"/>
        <v>0</v>
      </c>
      <c r="AO116" s="383">
        <f t="shared" si="51"/>
        <v>0</v>
      </c>
      <c r="AP116" s="383">
        <f t="shared" si="51"/>
        <v>0</v>
      </c>
      <c r="AQ116" s="383">
        <f t="shared" si="51"/>
        <v>0</v>
      </c>
      <c r="AR116" s="383">
        <f t="shared" si="51"/>
        <v>0</v>
      </c>
      <c r="AS116" s="383">
        <f t="shared" si="51"/>
        <v>0</v>
      </c>
      <c r="AT116" s="383">
        <f t="shared" si="51"/>
        <v>0</v>
      </c>
      <c r="AU116" s="383">
        <f t="shared" si="51"/>
        <v>0</v>
      </c>
      <c r="AV116" s="383">
        <f t="shared" si="51"/>
        <v>0</v>
      </c>
      <c r="AW116" s="383">
        <f t="shared" si="51"/>
        <v>0</v>
      </c>
      <c r="AX116" s="383">
        <f t="shared" si="51"/>
        <v>0</v>
      </c>
      <c r="AY116" s="383">
        <f t="shared" si="51"/>
        <v>0</v>
      </c>
      <c r="AZ116" s="383">
        <f t="shared" si="51"/>
        <v>0</v>
      </c>
      <c r="BA116" s="383">
        <f t="shared" si="51"/>
        <v>0</v>
      </c>
      <c r="BB116" s="383">
        <f t="shared" si="51"/>
        <v>0</v>
      </c>
      <c r="BC116" s="383">
        <f t="shared" si="51"/>
        <v>0</v>
      </c>
      <c r="BD116" s="383">
        <f t="shared" si="51"/>
        <v>0</v>
      </c>
      <c r="BE116" s="383">
        <f t="shared" si="51"/>
        <v>0</v>
      </c>
      <c r="BF116" s="383">
        <f t="shared" si="51"/>
        <v>0</v>
      </c>
      <c r="BG116" s="383">
        <f t="shared" si="51"/>
        <v>0</v>
      </c>
      <c r="BH116" s="383">
        <f t="shared" si="51"/>
        <v>0</v>
      </c>
      <c r="BI116" s="383">
        <f t="shared" si="51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0.60192147686379238</v>
      </c>
      <c r="C119" s="405">
        <f t="shared" ref="C119:BI120" si="52">+C112</f>
        <v>0.36731683901123108</v>
      </c>
      <c r="D119" s="405">
        <f t="shared" si="52"/>
        <v>0.26294862041722944</v>
      </c>
      <c r="E119" s="405">
        <f t="shared" si="52"/>
        <v>0.19513614864181056</v>
      </c>
      <c r="F119" s="405">
        <f t="shared" si="52"/>
        <v>0.14283420621939955</v>
      </c>
      <c r="G119" s="405">
        <f t="shared" si="52"/>
        <v>0.14177302398357439</v>
      </c>
      <c r="H119" s="405">
        <f t="shared" si="52"/>
        <v>0.12194474087937149</v>
      </c>
      <c r="I119" s="405">
        <f t="shared" si="52"/>
        <v>0.10661418665978063</v>
      </c>
      <c r="J119" s="405">
        <f t="shared" si="52"/>
        <v>9.5005721640424784E-2</v>
      </c>
      <c r="K119" s="405">
        <f t="shared" si="52"/>
        <v>8.4789241746852914E-2</v>
      </c>
      <c r="L119" s="405">
        <f t="shared" si="52"/>
        <v>8.0149358227875431E-2</v>
      </c>
      <c r="M119" s="405">
        <f t="shared" si="52"/>
        <v>7.7395914325959408E-2</v>
      </c>
      <c r="N119" s="405">
        <f t="shared" si="52"/>
        <v>7.4757282145661255E-2</v>
      </c>
      <c r="O119" s="405">
        <f t="shared" si="52"/>
        <v>7.3195242498572413E-2</v>
      </c>
      <c r="P119" s="405">
        <f t="shared" si="52"/>
        <v>7.3780558583798839E-2</v>
      </c>
      <c r="Q119" s="405">
        <f t="shared" si="52"/>
        <v>7.2867507504119092E-2</v>
      </c>
      <c r="R119" s="405">
        <f t="shared" si="52"/>
        <v>7.3886265008695398E-2</v>
      </c>
      <c r="S119" s="405">
        <f t="shared" si="52"/>
        <v>7.5196700789482054E-2</v>
      </c>
      <c r="T119" s="405">
        <f t="shared" si="52"/>
        <v>7.4455312153217573E-2</v>
      </c>
      <c r="U119" s="405">
        <f t="shared" si="52"/>
        <v>6.6391467669237647E-2</v>
      </c>
      <c r="V119" s="405">
        <f t="shared" si="52"/>
        <v>6.4650192448344732E-2</v>
      </c>
      <c r="W119" s="405">
        <f t="shared" si="52"/>
        <v>6.4364922638741995E-2</v>
      </c>
      <c r="X119" s="405">
        <f t="shared" si="52"/>
        <v>6.2617110318457805E-2</v>
      </c>
      <c r="Y119" s="405">
        <f t="shared" si="52"/>
        <v>6.1263750613680293E-2</v>
      </c>
      <c r="Z119" s="405">
        <f t="shared" si="52"/>
        <v>5.8954136206741968E-2</v>
      </c>
      <c r="AA119" s="405">
        <f t="shared" si="52"/>
        <v>5.6604146320778842E-2</v>
      </c>
      <c r="AB119" s="405">
        <f t="shared" si="52"/>
        <v>5.5609770720187232E-2</v>
      </c>
      <c r="AC119" s="405">
        <f t="shared" si="52"/>
        <v>5.573366337314252E-2</v>
      </c>
      <c r="AD119" s="405">
        <f t="shared" si="52"/>
        <v>5.5981145799194318E-2</v>
      </c>
      <c r="AE119" s="405">
        <f t="shared" si="52"/>
        <v>5.6095555854663873E-2</v>
      </c>
      <c r="AF119" s="405">
        <f t="shared" si="52"/>
        <v>5.2515393301157856E-2</v>
      </c>
      <c r="AG119" s="405">
        <f t="shared" si="52"/>
        <v>5.3754345117336073E-2</v>
      </c>
      <c r="AH119" s="405">
        <f t="shared" si="52"/>
        <v>5.1177917191236634E-2</v>
      </c>
      <c r="AI119" s="405">
        <f t="shared" si="52"/>
        <v>0.29917751663550185</v>
      </c>
      <c r="AJ119" s="405">
        <f t="shared" si="52"/>
        <v>0.46192122077449149</v>
      </c>
      <c r="AK119" s="405">
        <f t="shared" si="52"/>
        <v>0.55143686626398081</v>
      </c>
      <c r="AL119" s="405">
        <f t="shared" si="52"/>
        <v>0.60138994230976894</v>
      </c>
      <c r="AM119" s="405">
        <f t="shared" si="52"/>
        <v>0.63100280429130995</v>
      </c>
      <c r="AN119" s="405">
        <f t="shared" si="52"/>
        <v>0.64995593741882796</v>
      </c>
      <c r="AO119" s="405">
        <f t="shared" si="52"/>
        <v>0.66323012070305265</v>
      </c>
      <c r="AP119" s="405">
        <f t="shared" si="52"/>
        <v>0.67344337651013297</v>
      </c>
      <c r="AQ119" s="405">
        <f t="shared" si="52"/>
        <v>0.68199103664738292</v>
      </c>
      <c r="AR119" s="405">
        <f t="shared" si="52"/>
        <v>0.68962366476804671</v>
      </c>
      <c r="AS119" s="405">
        <f t="shared" si="52"/>
        <v>0.69674801994102642</v>
      </c>
      <c r="AT119" s="405">
        <f t="shared" si="52"/>
        <v>0.7035863258079722</v>
      </c>
      <c r="AU119" s="405">
        <f t="shared" si="52"/>
        <v>0.71026132847642032</v>
      </c>
      <c r="AV119" s="405">
        <f t="shared" si="52"/>
        <v>0.7168419576181646</v>
      </c>
      <c r="AW119" s="405">
        <f t="shared" si="52"/>
        <v>0.72336791366304953</v>
      </c>
      <c r="AX119" s="405">
        <f t="shared" si="52"/>
        <v>0.72986293450805484</v>
      </c>
      <c r="AY119" s="405">
        <f t="shared" si="52"/>
        <v>0.73634196649321548</v>
      </c>
      <c r="AZ119" s="405">
        <f t="shared" si="52"/>
        <v>0.74281504829153566</v>
      </c>
      <c r="BA119" s="405">
        <f t="shared" si="52"/>
        <v>0.74928942051099423</v>
      </c>
      <c r="BB119" s="405">
        <f t="shared" si="52"/>
        <v>0.7557706767549689</v>
      </c>
      <c r="BC119" s="405">
        <f t="shared" si="52"/>
        <v>0.76226339632063078</v>
      </c>
      <c r="BD119" s="405">
        <f t="shared" si="52"/>
        <v>0.76877149617263962</v>
      </c>
      <c r="BE119" s="405">
        <f t="shared" si="52"/>
        <v>0.77529843053844361</v>
      </c>
      <c r="BF119" s="405">
        <f t="shared" si="52"/>
        <v>0.78187280370940948</v>
      </c>
      <c r="BG119" s="405">
        <f t="shared" si="52"/>
        <v>0.788471901529467</v>
      </c>
      <c r="BH119" s="405">
        <f t="shared" si="52"/>
        <v>0.79509160032627324</v>
      </c>
      <c r="BI119" s="405">
        <f t="shared" si="52"/>
        <v>0.80173414568085954</v>
      </c>
    </row>
    <row r="120" spans="1:61" s="401" customFormat="1" ht="18" customHeight="1" x14ac:dyDescent="0.2">
      <c r="A120" s="403" t="s">
        <v>949</v>
      </c>
      <c r="B120" s="405">
        <f>+B113</f>
        <v>0.25666629327477047</v>
      </c>
      <c r="C120" s="405">
        <f t="shared" si="52"/>
        <v>0.49278319473092996</v>
      </c>
      <c r="D120" s="405">
        <f t="shared" si="52"/>
        <v>0.47544298056602108</v>
      </c>
      <c r="E120" s="405">
        <f t="shared" si="52"/>
        <v>0.37426853591476134</v>
      </c>
      <c r="F120" s="405">
        <f t="shared" si="52"/>
        <v>0.26907396045635273</v>
      </c>
      <c r="G120" s="405">
        <f t="shared" si="52"/>
        <v>0.18946164229417631</v>
      </c>
      <c r="H120" s="405">
        <f t="shared" si="52"/>
        <v>0.15391350664161263</v>
      </c>
      <c r="I120" s="405">
        <f t="shared" si="52"/>
        <v>0.12758694660803085</v>
      </c>
      <c r="J120" s="405">
        <f t="shared" si="52"/>
        <v>0.10811610612729665</v>
      </c>
      <c r="K120" s="405">
        <f t="shared" si="52"/>
        <v>9.3701546341380559E-2</v>
      </c>
      <c r="L120" s="405">
        <f t="shared" si="52"/>
        <v>8.3455650664141345E-2</v>
      </c>
      <c r="M120" s="405">
        <f t="shared" si="52"/>
        <v>7.5318724724387554E-2</v>
      </c>
      <c r="N120" s="405">
        <f t="shared" si="52"/>
        <v>6.797514906375976E-2</v>
      </c>
      <c r="O120" s="405">
        <f t="shared" si="52"/>
        <v>6.1347572030043179E-2</v>
      </c>
      <c r="P120" s="405">
        <f t="shared" si="52"/>
        <v>5.5366183757113961E-2</v>
      </c>
      <c r="Q120" s="405">
        <f t="shared" si="52"/>
        <v>4.9967980840795345E-2</v>
      </c>
      <c r="R120" s="405">
        <f t="shared" si="52"/>
        <v>4.5096102708817788E-2</v>
      </c>
      <c r="S120" s="405">
        <f t="shared" si="52"/>
        <v>4.069923269470805E-2</v>
      </c>
      <c r="T120" s="405">
        <f t="shared" si="52"/>
        <v>3.6731057506974009E-2</v>
      </c>
      <c r="U120" s="405">
        <f t="shared" si="52"/>
        <v>3.3149779400044044E-2</v>
      </c>
      <c r="V120" s="405">
        <f t="shared" si="52"/>
        <v>2.9917675908539748E-2</v>
      </c>
      <c r="W120" s="405">
        <f t="shared" si="52"/>
        <v>2.842179211311276E-2</v>
      </c>
      <c r="X120" s="405">
        <f t="shared" si="52"/>
        <v>2.7000702507457119E-2</v>
      </c>
      <c r="Y120" s="405">
        <f t="shared" si="52"/>
        <v>2.5650667382084262E-2</v>
      </c>
      <c r="Z120" s="405">
        <f t="shared" si="52"/>
        <v>2.4368134012980047E-2</v>
      </c>
      <c r="AA120" s="405">
        <f t="shared" si="52"/>
        <v>2.3149727312331045E-2</v>
      </c>
      <c r="AB120" s="405">
        <f t="shared" si="52"/>
        <v>2.1992240946714491E-2</v>
      </c>
      <c r="AC120" s="405">
        <f t="shared" si="52"/>
        <v>2.0892628899378766E-2</v>
      </c>
      <c r="AD120" s="405">
        <f t="shared" si="52"/>
        <v>1.9847997454409825E-2</v>
      </c>
      <c r="AE120" s="405">
        <f t="shared" si="52"/>
        <v>1.8855597581689334E-2</v>
      </c>
      <c r="AF120" s="405">
        <f t="shared" si="52"/>
        <v>1.7912817702604868E-2</v>
      </c>
      <c r="AG120" s="405">
        <f t="shared" si="52"/>
        <v>1.7017176817474625E-2</v>
      </c>
      <c r="AH120" s="405">
        <f t="shared" si="52"/>
        <v>1.6166317976600893E-2</v>
      </c>
      <c r="AI120" s="405">
        <f t="shared" si="52"/>
        <v>1.5358002077770848E-2</v>
      </c>
      <c r="AJ120" s="405">
        <f t="shared" si="52"/>
        <v>1.4590101973882304E-2</v>
      </c>
      <c r="AK120" s="405">
        <f t="shared" si="52"/>
        <v>1.3860596875188189E-2</v>
      </c>
      <c r="AL120" s="405">
        <f t="shared" si="52"/>
        <v>1.3167567031428778E-2</v>
      </c>
      <c r="AM120" s="405">
        <f t="shared" si="52"/>
        <v>1.2509188679857338E-2</v>
      </c>
      <c r="AN120" s="405">
        <f t="shared" si="52"/>
        <v>1.188372924586447E-2</v>
      </c>
      <c r="AO120" s="405">
        <f t="shared" si="52"/>
        <v>1.1289542783571246E-2</v>
      </c>
      <c r="AP120" s="405">
        <f t="shared" si="52"/>
        <v>1.0725065644392682E-2</v>
      </c>
      <c r="AQ120" s="405">
        <f t="shared" si="52"/>
        <v>1.0188812362173047E-2</v>
      </c>
      <c r="AR120" s="405">
        <f t="shared" si="52"/>
        <v>9.6793717440643943E-3</v>
      </c>
      <c r="AS120" s="405">
        <f t="shared" si="52"/>
        <v>9.1954031568611747E-3</v>
      </c>
      <c r="AT120" s="405">
        <f t="shared" si="52"/>
        <v>8.7356329990181149E-3</v>
      </c>
      <c r="AU120" s="405">
        <f t="shared" si="52"/>
        <v>8.2988513490672086E-3</v>
      </c>
      <c r="AV120" s="405">
        <f t="shared" si="52"/>
        <v>7.8839087816138485E-3</v>
      </c>
      <c r="AW120" s="405">
        <f t="shared" si="52"/>
        <v>7.4897133425331558E-3</v>
      </c>
      <c r="AX120" s="405">
        <f t="shared" si="52"/>
        <v>7.1152276754064972E-3</v>
      </c>
      <c r="AY120" s="405">
        <f t="shared" si="52"/>
        <v>6.7594662916361722E-3</v>
      </c>
      <c r="AZ120" s="405">
        <f t="shared" si="52"/>
        <v>6.4214929770543636E-3</v>
      </c>
      <c r="BA120" s="405">
        <f t="shared" si="52"/>
        <v>6.1004183282016454E-3</v>
      </c>
      <c r="BB120" s="405">
        <f t="shared" si="52"/>
        <v>5.7953974117915625E-3</v>
      </c>
      <c r="BC120" s="405">
        <f t="shared" si="52"/>
        <v>5.5056275412019842E-3</v>
      </c>
      <c r="BD120" s="405">
        <f t="shared" si="52"/>
        <v>5.2303461641418844E-3</v>
      </c>
      <c r="BE120" s="405">
        <f t="shared" si="52"/>
        <v>4.9688288559347898E-3</v>
      </c>
      <c r="BF120" s="405">
        <f t="shared" si="52"/>
        <v>4.7203874131380502E-3</v>
      </c>
      <c r="BG120" s="405">
        <f t="shared" si="52"/>
        <v>4.4843680424811478E-3</v>
      </c>
      <c r="BH120" s="405">
        <f t="shared" si="52"/>
        <v>4.2601496403570898E-3</v>
      </c>
      <c r="BI120" s="405">
        <f t="shared" si="52"/>
        <v>4.0471421583392351E-3</v>
      </c>
    </row>
    <row r="121" spans="1:61" s="402" customFormat="1" ht="18" customHeight="1" x14ac:dyDescent="0.2">
      <c r="A121" s="404" t="s">
        <v>965</v>
      </c>
      <c r="B121" s="405">
        <f>+B119*(1-B122)</f>
        <v>0.60192147686379238</v>
      </c>
      <c r="C121" s="405">
        <f t="shared" ref="C121:BI121" si="53">+C119*(1-C122)</f>
        <v>0.36731683901123108</v>
      </c>
      <c r="D121" s="405">
        <f t="shared" si="53"/>
        <v>0.20305835069691791</v>
      </c>
      <c r="E121" s="405">
        <f t="shared" si="53"/>
        <v>0.12274056556398417</v>
      </c>
      <c r="F121" s="405">
        <f t="shared" si="53"/>
        <v>6.0438940728804014E-2</v>
      </c>
      <c r="G121" s="405">
        <f t="shared" si="53"/>
        <v>3.8602990427758846E-2</v>
      </c>
      <c r="H121" s="405">
        <f t="shared" si="53"/>
        <v>2.2922190695170538E-2</v>
      </c>
      <c r="I121" s="405">
        <f t="shared" si="53"/>
        <v>2.0535643183685552E-2</v>
      </c>
      <c r="J121" s="405">
        <f t="shared" si="53"/>
        <v>1.3090435384371444E-2</v>
      </c>
      <c r="K121" s="405">
        <f t="shared" si="53"/>
        <v>8.2179232908439395E-3</v>
      </c>
      <c r="L121" s="405">
        <f t="shared" si="53"/>
        <v>5.4184372005353304E-3</v>
      </c>
      <c r="M121" s="405">
        <f t="shared" si="53"/>
        <v>3.4837162187705511E-3</v>
      </c>
      <c r="N121" s="405">
        <f t="shared" si="53"/>
        <v>1.9200641786283874E-3</v>
      </c>
      <c r="O121" s="405">
        <f t="shared" si="53"/>
        <v>6.1898064702438761E-4</v>
      </c>
      <c r="P121" s="405">
        <f t="shared" si="53"/>
        <v>-4.4719114559859399E-4</v>
      </c>
      <c r="Q121" s="405">
        <f t="shared" si="53"/>
        <v>-1.3547896428525027E-3</v>
      </c>
      <c r="R121" s="405">
        <f t="shared" si="53"/>
        <v>-2.1569163227114748E-3</v>
      </c>
      <c r="S121" s="405">
        <f t="shared" si="53"/>
        <v>-2.8470458727249252E-3</v>
      </c>
      <c r="T121" s="405">
        <f t="shared" si="53"/>
        <v>-3.4217658022331716E-3</v>
      </c>
      <c r="U121" s="405">
        <f t="shared" si="53"/>
        <v>-3.5477555736687675E-3</v>
      </c>
      <c r="V121" s="405">
        <f t="shared" si="53"/>
        <v>-3.8955070590450287E-3</v>
      </c>
      <c r="W121" s="405">
        <f t="shared" si="53"/>
        <v>-1.4051797862411355E-3</v>
      </c>
      <c r="X121" s="405">
        <f t="shared" si="53"/>
        <v>9.6848126288685843E-4</v>
      </c>
      <c r="Y121" s="405">
        <f t="shared" si="53"/>
        <v>3.1653297364756744E-3</v>
      </c>
      <c r="Z121" s="405">
        <f t="shared" si="53"/>
        <v>5.1170456990389584E-3</v>
      </c>
      <c r="AA121" s="405">
        <f t="shared" si="53"/>
        <v>6.8424289688850497E-3</v>
      </c>
      <c r="AB121" s="405">
        <f t="shared" si="53"/>
        <v>8.560985702427042E-3</v>
      </c>
      <c r="AC121" s="405">
        <f t="shared" si="53"/>
        <v>1.0367435927667184E-2</v>
      </c>
      <c r="AD121" s="405">
        <f t="shared" si="53"/>
        <v>1.2154373893296499E-2</v>
      </c>
      <c r="AE121" s="405">
        <f t="shared" si="53"/>
        <v>1.38704234589571E-2</v>
      </c>
      <c r="AF121" s="405">
        <f t="shared" si="53"/>
        <v>1.4519751869620226E-2</v>
      </c>
      <c r="AG121" s="405">
        <f t="shared" si="53"/>
        <v>1.6384382000759402E-2</v>
      </c>
      <c r="AH121" s="405">
        <f t="shared" si="53"/>
        <v>1.7002901635922645E-2</v>
      </c>
      <c r="AI121" s="405">
        <f t="shared" si="53"/>
        <v>0.10734375032673876</v>
      </c>
      <c r="AJ121" s="405">
        <f t="shared" si="53"/>
        <v>0.17761589007557557</v>
      </c>
      <c r="AK121" s="405">
        <f t="shared" si="53"/>
        <v>0.2257628808523639</v>
      </c>
      <c r="AL121" s="405">
        <f t="shared" si="53"/>
        <v>0.26069854092571232</v>
      </c>
      <c r="AM121" s="405">
        <f t="shared" si="53"/>
        <v>0.28823490791942935</v>
      </c>
      <c r="AN121" s="405">
        <f t="shared" si="53"/>
        <v>0.31153172746745905</v>
      </c>
      <c r="AO121" s="405">
        <f t="shared" si="53"/>
        <v>0.3323321201291673</v>
      </c>
      <c r="AP121" s="405">
        <f t="shared" si="53"/>
        <v>0.35161359889834592</v>
      </c>
      <c r="AQ121" s="405">
        <f t="shared" si="53"/>
        <v>0.36992881268323885</v>
      </c>
      <c r="AR121" s="405">
        <f t="shared" si="53"/>
        <v>0.38759111295582249</v>
      </c>
      <c r="AS121" s="405">
        <f t="shared" si="53"/>
        <v>0.40477831281318088</v>
      </c>
      <c r="AT121" s="405">
        <f t="shared" si="53"/>
        <v>0.42159144903115225</v>
      </c>
      <c r="AU121" s="405">
        <f t="shared" si="53"/>
        <v>0.43808820707447571</v>
      </c>
      <c r="AV121" s="405">
        <f t="shared" si="53"/>
        <v>0.45430193103461092</v>
      </c>
      <c r="AW121" s="405">
        <f t="shared" si="53"/>
        <v>0.47025240824043663</v>
      </c>
      <c r="AX121" s="405">
        <f t="shared" si="53"/>
        <v>0.48595196442665439</v>
      </c>
      <c r="AY121" s="405">
        <f t="shared" si="53"/>
        <v>0.50140889241595599</v>
      </c>
      <c r="AZ121" s="405">
        <f t="shared" si="53"/>
        <v>0.51662936981046614</v>
      </c>
      <c r="BA121" s="405">
        <f t="shared" si="53"/>
        <v>0.53161852369866658</v>
      </c>
      <c r="BB121" s="405">
        <f t="shared" si="53"/>
        <v>0.5463810157414799</v>
      </c>
      <c r="BC121" s="405">
        <f t="shared" si="53"/>
        <v>0.5609213586960432</v>
      </c>
      <c r="BD121" s="405">
        <f t="shared" si="53"/>
        <v>0.57524408323537812</v>
      </c>
      <c r="BE121" s="405">
        <f t="shared" si="53"/>
        <v>0.50475799698882795</v>
      </c>
      <c r="BF121" s="405">
        <f t="shared" si="53"/>
        <v>0.40367635860055012</v>
      </c>
      <c r="BG121" s="405">
        <f t="shared" si="53"/>
        <v>0.25980074724084218</v>
      </c>
      <c r="BH121" s="405">
        <f t="shared" si="53"/>
        <v>5.6108311582030418E-2</v>
      </c>
      <c r="BI121" s="405">
        <f t="shared" si="53"/>
        <v>0</v>
      </c>
    </row>
    <row r="122" spans="1:61" s="401" customFormat="1" ht="18" customHeight="1" x14ac:dyDescent="0.2">
      <c r="A122" s="403" t="s">
        <v>951</v>
      </c>
      <c r="B122" s="406">
        <f t="shared" ref="B122:L122" si="54">+(B123/(1000*B$36))^(1/($B$38-1))</f>
        <v>0</v>
      </c>
      <c r="C122" s="406">
        <f t="shared" si="54"/>
        <v>0</v>
      </c>
      <c r="D122" s="406">
        <f t="shared" si="54"/>
        <v>0.22776415265188169</v>
      </c>
      <c r="E122" s="406">
        <f t="shared" si="54"/>
        <v>0.371000368623216</v>
      </c>
      <c r="F122" s="406">
        <f t="shared" si="54"/>
        <v>0.57685947695213025</v>
      </c>
      <c r="G122" s="406">
        <f t="shared" si="54"/>
        <v>0.7277127245855225</v>
      </c>
      <c r="H122" s="406">
        <f t="shared" si="54"/>
        <v>0.8120280503294085</v>
      </c>
      <c r="I122" s="406">
        <f t="shared" si="54"/>
        <v>0.80738357786082082</v>
      </c>
      <c r="J122" s="406">
        <f t="shared" si="54"/>
        <v>0.862214241854656</v>
      </c>
      <c r="K122" s="406">
        <f t="shared" si="54"/>
        <v>0.90307823113480123</v>
      </c>
      <c r="L122" s="406">
        <f t="shared" si="54"/>
        <v>0.93239575062934399</v>
      </c>
      <c r="M122" s="406">
        <f t="shared" ref="M122:BI122" si="55">+(M123/(1000*M$36))^(1/($B$38-1))</f>
        <v>0.9549883705217489</v>
      </c>
      <c r="N122" s="406">
        <f t="shared" si="55"/>
        <v>0.97431602482702317</v>
      </c>
      <c r="O122" s="406">
        <f t="shared" si="55"/>
        <v>0.99154343061249561</v>
      </c>
      <c r="P122" s="406">
        <f t="shared" si="55"/>
        <v>1.0060610973159099</v>
      </c>
      <c r="Q122" s="406">
        <f t="shared" si="55"/>
        <v>1.0185925069932702</v>
      </c>
      <c r="R122" s="406">
        <f t="shared" si="55"/>
        <v>1.0291923853839091</v>
      </c>
      <c r="S122" s="406">
        <f t="shared" si="55"/>
        <v>1.0378613136325676</v>
      </c>
      <c r="T122" s="406">
        <f t="shared" si="55"/>
        <v>1.0459573092003389</v>
      </c>
      <c r="U122" s="406">
        <f t="shared" si="55"/>
        <v>1.0534369204088647</v>
      </c>
      <c r="V122" s="406">
        <f t="shared" si="55"/>
        <v>1.0602551502403883</v>
      </c>
      <c r="W122" s="406">
        <f t="shared" si="55"/>
        <v>1.0218314530435766</v>
      </c>
      <c r="X122" s="406">
        <f t="shared" si="55"/>
        <v>0.98453328079240066</v>
      </c>
      <c r="Y122" s="406">
        <f t="shared" si="55"/>
        <v>0.94833274644845444</v>
      </c>
      <c r="Z122" s="406">
        <f t="shared" si="55"/>
        <v>0.91320293997533331</v>
      </c>
      <c r="AA122" s="406">
        <f t="shared" si="55"/>
        <v>0.87911788422514803</v>
      </c>
      <c r="AB122" s="406">
        <f t="shared" si="55"/>
        <v>0.84605249056854559</v>
      </c>
      <c r="AC122" s="406">
        <f t="shared" si="55"/>
        <v>0.81398251433328273</v>
      </c>
      <c r="AD122" s="406">
        <f t="shared" si="55"/>
        <v>0.78288451013677851</v>
      </c>
      <c r="AE122" s="406">
        <f t="shared" si="55"/>
        <v>0.75273578721826873</v>
      </c>
      <c r="AF122" s="406">
        <f t="shared" si="55"/>
        <v>0.72351436489574772</v>
      </c>
      <c r="AG122" s="406">
        <f t="shared" si="55"/>
        <v>0.69519892829137364</v>
      </c>
      <c r="AH122" s="406">
        <f t="shared" si="55"/>
        <v>0.66776878448593624</v>
      </c>
      <c r="AI122" s="406">
        <f t="shared" si="55"/>
        <v>0.64120381927790615</v>
      </c>
      <c r="AJ122" s="406">
        <f t="shared" si="55"/>
        <v>0.61548445473500535</v>
      </c>
      <c r="AK122" s="406">
        <f t="shared" si="55"/>
        <v>0.5905916077357658</v>
      </c>
      <c r="AL122" s="406">
        <f t="shared" si="55"/>
        <v>0.56650664970477749</v>
      </c>
      <c r="AM122" s="406">
        <f t="shared" si="55"/>
        <v>0.54321136774795964</v>
      </c>
      <c r="AN122" s="406">
        <f t="shared" si="55"/>
        <v>0.52068792739297687</v>
      </c>
      <c r="AO122" s="406">
        <f t="shared" si="55"/>
        <v>0.49891883713471752</v>
      </c>
      <c r="AP122" s="406">
        <f t="shared" si="55"/>
        <v>0.47788691497650299</v>
      </c>
      <c r="AQ122" s="406">
        <f t="shared" si="55"/>
        <v>0.45757525714446146</v>
      </c>
      <c r="AR122" s="406">
        <f t="shared" si="55"/>
        <v>0.4379672091354524</v>
      </c>
      <c r="AS122" s="406">
        <f t="shared" si="55"/>
        <v>0.41904633923833501</v>
      </c>
      <c r="AT122" s="406">
        <f t="shared" si="55"/>
        <v>0.40079641464462457</v>
      </c>
      <c r="AU122" s="406">
        <f t="shared" si="55"/>
        <v>0.38320138023814765</v>
      </c>
      <c r="AV122" s="406">
        <f t="shared" si="55"/>
        <v>0.36624534012474624</v>
      </c>
      <c r="AW122" s="406">
        <f t="shared" si="55"/>
        <v>0.34991254193300608</v>
      </c>
      <c r="AX122" s="406">
        <f t="shared" si="55"/>
        <v>0.33418736388607306</v>
      </c>
      <c r="AY122" s="406">
        <f t="shared" si="55"/>
        <v>0.31905430461354017</v>
      </c>
      <c r="AZ122" s="406">
        <f t="shared" si="55"/>
        <v>0.30449797564184178</v>
      </c>
      <c r="BA122" s="406">
        <f t="shared" si="55"/>
        <v>0.29050309647223133</v>
      </c>
      <c r="BB122" s="406">
        <f t="shared" si="55"/>
        <v>0.27705449212787592</v>
      </c>
      <c r="BC122" s="406">
        <f t="shared" si="55"/>
        <v>0.2641370930264334</v>
      </c>
      <c r="BD122" s="406">
        <f t="shared" si="55"/>
        <v>0.25173593701216246</v>
      </c>
      <c r="BE122" s="406">
        <f t="shared" si="55"/>
        <v>0.34895005960701575</v>
      </c>
      <c r="BF122" s="406">
        <f t="shared" si="55"/>
        <v>0.48370584488243645</v>
      </c>
      <c r="BG122" s="406">
        <f t="shared" si="55"/>
        <v>0.67050094399447302</v>
      </c>
      <c r="BH122" s="406">
        <f t="shared" si="55"/>
        <v>0.92943163836845233</v>
      </c>
      <c r="BI122" s="406">
        <f t="shared" si="55"/>
        <v>1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0</v>
      </c>
      <c r="D123" s="400">
        <f>+Global!D118*D46</f>
        <v>48.096041961936649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3.6950668715066519</v>
      </c>
    </row>
    <row r="124" spans="1:61" s="401" customFormat="1" ht="18" customHeight="1" x14ac:dyDescent="0.2">
      <c r="A124" s="403" t="s">
        <v>969</v>
      </c>
      <c r="B124" s="405">
        <f>+B119*(1-B122)</f>
        <v>0.60192147686379238</v>
      </c>
      <c r="C124" s="405">
        <f t="shared" ref="C124:BI124" si="56">+C119*(1-C122)</f>
        <v>0.36731683901123108</v>
      </c>
      <c r="D124" s="405">
        <f t="shared" si="56"/>
        <v>0.20305835069691791</v>
      </c>
      <c r="E124" s="405">
        <f t="shared" si="56"/>
        <v>0.12274056556398417</v>
      </c>
      <c r="F124" s="405">
        <f t="shared" si="56"/>
        <v>6.0438940728804014E-2</v>
      </c>
      <c r="G124" s="405">
        <f t="shared" si="56"/>
        <v>3.8602990427758846E-2</v>
      </c>
      <c r="H124" s="405">
        <f t="shared" si="56"/>
        <v>2.2922190695170538E-2</v>
      </c>
      <c r="I124" s="405">
        <f t="shared" si="56"/>
        <v>2.0535643183685552E-2</v>
      </c>
      <c r="J124" s="405">
        <f t="shared" si="56"/>
        <v>1.3090435384371444E-2</v>
      </c>
      <c r="K124" s="405">
        <f t="shared" si="56"/>
        <v>8.2179232908439395E-3</v>
      </c>
      <c r="L124" s="405">
        <f t="shared" si="56"/>
        <v>5.4184372005353304E-3</v>
      </c>
      <c r="M124" s="405">
        <f t="shared" si="56"/>
        <v>3.4837162187705511E-3</v>
      </c>
      <c r="N124" s="405">
        <f t="shared" si="56"/>
        <v>1.9200641786283874E-3</v>
      </c>
      <c r="O124" s="405">
        <f t="shared" si="56"/>
        <v>6.1898064702438761E-4</v>
      </c>
      <c r="P124" s="405">
        <f t="shared" si="56"/>
        <v>-4.4719114559859399E-4</v>
      </c>
      <c r="Q124" s="405">
        <f t="shared" si="56"/>
        <v>-1.3547896428525027E-3</v>
      </c>
      <c r="R124" s="405">
        <f t="shared" si="56"/>
        <v>-2.1569163227114748E-3</v>
      </c>
      <c r="S124" s="405">
        <f t="shared" si="56"/>
        <v>-2.8470458727249252E-3</v>
      </c>
      <c r="T124" s="405">
        <f t="shared" si="56"/>
        <v>-3.4217658022331716E-3</v>
      </c>
      <c r="U124" s="405">
        <f t="shared" si="56"/>
        <v>-3.5477555736687675E-3</v>
      </c>
      <c r="V124" s="405">
        <f t="shared" si="56"/>
        <v>-3.8955070590450287E-3</v>
      </c>
      <c r="W124" s="405">
        <f t="shared" si="56"/>
        <v>-1.4051797862411355E-3</v>
      </c>
      <c r="X124" s="405">
        <f t="shared" si="56"/>
        <v>9.6848126288685843E-4</v>
      </c>
      <c r="Y124" s="405">
        <f t="shared" si="56"/>
        <v>3.1653297364756744E-3</v>
      </c>
      <c r="Z124" s="405">
        <f t="shared" si="56"/>
        <v>5.1170456990389584E-3</v>
      </c>
      <c r="AA124" s="405">
        <f t="shared" si="56"/>
        <v>6.8424289688850497E-3</v>
      </c>
      <c r="AB124" s="405">
        <f t="shared" si="56"/>
        <v>8.560985702427042E-3</v>
      </c>
      <c r="AC124" s="405">
        <f t="shared" si="56"/>
        <v>1.0367435927667184E-2</v>
      </c>
      <c r="AD124" s="405">
        <f t="shared" si="56"/>
        <v>1.2154373893296499E-2</v>
      </c>
      <c r="AE124" s="405">
        <f t="shared" si="56"/>
        <v>1.38704234589571E-2</v>
      </c>
      <c r="AF124" s="405">
        <f t="shared" si="56"/>
        <v>1.4519751869620226E-2</v>
      </c>
      <c r="AG124" s="405">
        <f t="shared" si="56"/>
        <v>1.6384382000759402E-2</v>
      </c>
      <c r="AH124" s="405">
        <f t="shared" si="56"/>
        <v>1.7002901635922645E-2</v>
      </c>
      <c r="AI124" s="405">
        <f t="shared" si="56"/>
        <v>0.10734375032673876</v>
      </c>
      <c r="AJ124" s="405">
        <f t="shared" si="56"/>
        <v>0.17761589007557557</v>
      </c>
      <c r="AK124" s="405">
        <f t="shared" si="56"/>
        <v>0.2257628808523639</v>
      </c>
      <c r="AL124" s="405">
        <f t="shared" si="56"/>
        <v>0.26069854092571232</v>
      </c>
      <c r="AM124" s="405">
        <f t="shared" si="56"/>
        <v>0.28823490791942935</v>
      </c>
      <c r="AN124" s="405">
        <f t="shared" si="56"/>
        <v>0.31153172746745905</v>
      </c>
      <c r="AO124" s="405">
        <f t="shared" si="56"/>
        <v>0.3323321201291673</v>
      </c>
      <c r="AP124" s="405">
        <f t="shared" si="56"/>
        <v>0.35161359889834592</v>
      </c>
      <c r="AQ124" s="405">
        <f t="shared" si="56"/>
        <v>0.36992881268323885</v>
      </c>
      <c r="AR124" s="405">
        <f t="shared" si="56"/>
        <v>0.38759111295582249</v>
      </c>
      <c r="AS124" s="405">
        <f t="shared" si="56"/>
        <v>0.40477831281318088</v>
      </c>
      <c r="AT124" s="405">
        <f t="shared" si="56"/>
        <v>0.42159144903115225</v>
      </c>
      <c r="AU124" s="405">
        <f t="shared" si="56"/>
        <v>0.43808820707447571</v>
      </c>
      <c r="AV124" s="405">
        <f t="shared" si="56"/>
        <v>0.45430193103461092</v>
      </c>
      <c r="AW124" s="405">
        <f t="shared" si="56"/>
        <v>0.47025240824043663</v>
      </c>
      <c r="AX124" s="405">
        <f t="shared" si="56"/>
        <v>0.48595196442665439</v>
      </c>
      <c r="AY124" s="405">
        <f t="shared" si="56"/>
        <v>0.50140889241595599</v>
      </c>
      <c r="AZ124" s="405">
        <f t="shared" si="56"/>
        <v>0.51662936981046614</v>
      </c>
      <c r="BA124" s="405">
        <f t="shared" si="56"/>
        <v>0.53161852369866658</v>
      </c>
      <c r="BB124" s="405">
        <f t="shared" si="56"/>
        <v>0.5463810157414799</v>
      </c>
      <c r="BC124" s="405">
        <f t="shared" si="56"/>
        <v>0.5609213586960432</v>
      </c>
      <c r="BD124" s="405">
        <f t="shared" si="56"/>
        <v>0.57524408323537812</v>
      </c>
      <c r="BE124" s="405">
        <f t="shared" si="56"/>
        <v>0.50475799698882795</v>
      </c>
      <c r="BF124" s="405">
        <f t="shared" si="56"/>
        <v>0.40367635860055012</v>
      </c>
      <c r="BG124" s="405">
        <f t="shared" si="56"/>
        <v>0.25980074724084218</v>
      </c>
      <c r="BH124" s="405">
        <f t="shared" si="56"/>
        <v>5.6108311582030418E-2</v>
      </c>
      <c r="BI124" s="405">
        <f t="shared" si="56"/>
        <v>0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7">+$B$7*C61/C74</f>
        <v>0.12389593869542322</v>
      </c>
      <c r="D128" s="23">
        <f t="shared" si="57"/>
        <v>8.6171818593507823E-2</v>
      </c>
      <c r="E128" s="23">
        <f t="shared" si="57"/>
        <v>8.002665568652674E-2</v>
      </c>
      <c r="F128" s="23">
        <f t="shared" si="57"/>
        <v>7.6468480923599938E-2</v>
      </c>
      <c r="G128" s="23">
        <f t="shared" si="57"/>
        <v>0.10110184013067573</v>
      </c>
      <c r="H128" s="23">
        <f t="shared" si="57"/>
        <v>9.5708607182808131E-2</v>
      </c>
      <c r="I128" s="23">
        <f t="shared" si="57"/>
        <v>9.4407395508077779E-2</v>
      </c>
      <c r="J128" s="23">
        <f t="shared" si="57"/>
        <v>9.4695974752945833E-2</v>
      </c>
      <c r="K128" s="23">
        <f t="shared" si="57"/>
        <v>9.383588803170162E-2</v>
      </c>
      <c r="L128" s="23">
        <f t="shared" si="57"/>
        <v>9.6307604625732693E-2</v>
      </c>
      <c r="M128" s="23">
        <f t="shared" si="57"/>
        <v>9.6660690179862299E-2</v>
      </c>
      <c r="N128" s="23">
        <f t="shared" si="57"/>
        <v>9.4339370286752849E-2</v>
      </c>
      <c r="O128" s="23">
        <f t="shared" si="57"/>
        <v>9.425498999484376E-2</v>
      </c>
      <c r="P128" s="23">
        <f t="shared" si="57"/>
        <v>9.6419509854746385E-2</v>
      </c>
      <c r="Q128" s="23">
        <f t="shared" si="57"/>
        <v>9.4637929332913248E-2</v>
      </c>
      <c r="R128" s="23">
        <f t="shared" si="57"/>
        <v>9.612569015728134E-2</v>
      </c>
      <c r="S128" s="23">
        <f t="shared" si="57"/>
        <v>9.6538171358172303E-2</v>
      </c>
      <c r="T128" s="23">
        <f t="shared" si="57"/>
        <v>9.3679764312459973E-2</v>
      </c>
      <c r="U128" s="23">
        <f t="shared" si="57"/>
        <v>8.3232072163846593E-2</v>
      </c>
      <c r="V128" s="23">
        <f t="shared" si="57"/>
        <v>8.7031169459593286E-2</v>
      </c>
      <c r="W128" s="23">
        <f t="shared" si="57"/>
        <v>9.0128728050198406E-2</v>
      </c>
      <c r="X128" s="23">
        <f t="shared" si="57"/>
        <v>8.8877339132914124E-2</v>
      </c>
      <c r="Y128" s="23">
        <f t="shared" si="57"/>
        <v>8.8758712862719774E-2</v>
      </c>
      <c r="Z128" s="23">
        <f t="shared" si="57"/>
        <v>8.7079724623517388E-2</v>
      </c>
      <c r="AA128" s="23">
        <f t="shared" si="57"/>
        <v>8.6162658030128431E-2</v>
      </c>
      <c r="AB128" s="23">
        <f t="shared" si="57"/>
        <v>8.7717154874042483E-2</v>
      </c>
      <c r="AC128" s="23">
        <f t="shared" si="57"/>
        <v>9.0022919956187442E-2</v>
      </c>
      <c r="AD128" s="23">
        <f t="shared" si="57"/>
        <v>9.0871365084937594E-2</v>
      </c>
      <c r="AE128" s="23">
        <f t="shared" si="57"/>
        <v>9.0808369583957618E-2</v>
      </c>
      <c r="AF128" s="23">
        <f t="shared" si="57"/>
        <v>8.4741612476452371E-2</v>
      </c>
      <c r="AG128" s="23">
        <f t="shared" si="57"/>
        <v>9.0389849455219079E-2</v>
      </c>
      <c r="AH128" s="23">
        <f t="shared" si="57"/>
        <v>8.5848717581335152E-2</v>
      </c>
      <c r="AI128" s="23">
        <f t="shared" si="57"/>
        <v>0.51749636113869468</v>
      </c>
      <c r="AJ128" s="23">
        <f t="shared" si="57"/>
        <v>0.19261240458282933</v>
      </c>
      <c r="AK128" s="23">
        <f t="shared" si="57"/>
        <v>0.13057467111070198</v>
      </c>
      <c r="AL128" s="23">
        <f t="shared" si="57"/>
        <v>0.1092497645182452</v>
      </c>
      <c r="AM128" s="23">
        <f t="shared" si="57"/>
        <v>9.998438760815713E-2</v>
      </c>
      <c r="AN128" s="23">
        <f t="shared" si="57"/>
        <v>9.5492110630170296E-2</v>
      </c>
      <c r="AO128" s="23">
        <f t="shared" si="57"/>
        <v>9.3180991427722848E-2</v>
      </c>
      <c r="AP128" s="23">
        <f t="shared" si="57"/>
        <v>9.1944871106426893E-2</v>
      </c>
      <c r="AQ128" s="23">
        <f t="shared" si="57"/>
        <v>9.1261248837847073E-2</v>
      </c>
      <c r="AR128" s="23">
        <f t="shared" si="57"/>
        <v>9.0868940902431458E-2</v>
      </c>
      <c r="AS128" s="23">
        <f t="shared" si="57"/>
        <v>9.0633170787104519E-2</v>
      </c>
      <c r="AT128" s="23">
        <f t="shared" si="57"/>
        <v>9.0483089113274393E-2</v>
      </c>
      <c r="AU128" s="23">
        <f t="shared" si="57"/>
        <v>9.0380999868978448E-2</v>
      </c>
      <c r="AV128" s="23">
        <f t="shared" si="57"/>
        <v>9.0306649551147797E-2</v>
      </c>
      <c r="AW128" s="23">
        <f t="shared" si="57"/>
        <v>9.024904113479415E-2</v>
      </c>
      <c r="AX128" s="23">
        <f t="shared" si="57"/>
        <v>9.0202119291895283E-2</v>
      </c>
      <c r="AY128" s="23">
        <f t="shared" si="57"/>
        <v>9.0162480829384078E-2</v>
      </c>
      <c r="AZ128" s="23">
        <f t="shared" si="57"/>
        <v>9.0128154664702781E-2</v>
      </c>
      <c r="BA128" s="23">
        <f t="shared" si="57"/>
        <v>9.0097949696911317E-2</v>
      </c>
      <c r="BB128" s="23">
        <f t="shared" si="57"/>
        <v>9.0071105193278253E-2</v>
      </c>
      <c r="BC128" s="23">
        <f t="shared" si="57"/>
        <v>9.0047102671336837E-2</v>
      </c>
      <c r="BD128" s="23">
        <f t="shared" si="57"/>
        <v>9.0025564142275999E-2</v>
      </c>
      <c r="BE128" s="23">
        <f t="shared" si="57"/>
        <v>9.000619661821406E-2</v>
      </c>
      <c r="BF128" s="23">
        <f t="shared" si="57"/>
        <v>8.9981914534736071E-2</v>
      </c>
      <c r="BG128" s="23">
        <f t="shared" si="57"/>
        <v>8.9959494060828135E-2</v>
      </c>
      <c r="BH128" s="23">
        <f t="shared" si="57"/>
        <v>8.9940533365957337E-2</v>
      </c>
      <c r="BI128" s="23">
        <f t="shared" si="57"/>
        <v>8.9924872927983221E-2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-1.3297996838866691E-3</v>
      </c>
      <c r="D129" s="23">
        <f t="shared" ref="D129:BH129" si="58">+$B$14+LN(E56/D56)/10+$B$18*LN(E88/D88)/10</f>
        <v>1.4329016524720819E-3</v>
      </c>
      <c r="E129" s="23">
        <f t="shared" si="58"/>
        <v>-3.1281220084042379E-3</v>
      </c>
      <c r="F129" s="23">
        <f t="shared" si="58"/>
        <v>4.0332816785001641E-2</v>
      </c>
      <c r="G129" s="23">
        <f t="shared" si="58"/>
        <v>1.6945130510838076E-2</v>
      </c>
      <c r="H129" s="23">
        <f t="shared" si="58"/>
        <v>1.7348529706771521E-2</v>
      </c>
      <c r="I129" s="23">
        <f t="shared" si="58"/>
        <v>1.8390039645268232E-2</v>
      </c>
      <c r="J129" s="23">
        <f t="shared" si="58"/>
        <v>1.6114038762677967E-2</v>
      </c>
      <c r="K129" s="23">
        <f t="shared" si="58"/>
        <v>2.2481177362345717E-2</v>
      </c>
      <c r="L129" s="23">
        <f t="shared" si="58"/>
        <v>2.3515202505982304E-2</v>
      </c>
      <c r="M129" s="23">
        <f t="shared" si="58"/>
        <v>2.3633376481201274E-2</v>
      </c>
      <c r="N129" s="23">
        <f t="shared" si="58"/>
        <v>2.4693730261350008E-2</v>
      </c>
      <c r="O129" s="23">
        <f t="shared" si="58"/>
        <v>2.8171282546961839E-2</v>
      </c>
      <c r="P129" s="23">
        <f t="shared" si="58"/>
        <v>2.4211347733316624E-2</v>
      </c>
      <c r="Q129" s="23">
        <f t="shared" si="58"/>
        <v>2.7482611592866808E-2</v>
      </c>
      <c r="R129" s="23">
        <f t="shared" si="58"/>
        <v>2.7354859884944235E-2</v>
      </c>
      <c r="S129" s="23">
        <f t="shared" si="58"/>
        <v>2.2682024906172639E-2</v>
      </c>
      <c r="T129" s="23">
        <f t="shared" si="58"/>
        <v>6.3578433126958607E-3</v>
      </c>
      <c r="U129" s="23">
        <f t="shared" si="58"/>
        <v>1.8959736383393339E-2</v>
      </c>
      <c r="V129" s="23">
        <f t="shared" si="58"/>
        <v>2.177985565142266E-2</v>
      </c>
      <c r="W129" s="23">
        <f t="shared" si="58"/>
        <v>1.7867121101284061E-2</v>
      </c>
      <c r="X129" s="23">
        <f t="shared" si="58"/>
        <v>1.8369456246488461E-2</v>
      </c>
      <c r="Y129" s="23">
        <f t="shared" si="58"/>
        <v>1.5553020605740958E-2</v>
      </c>
      <c r="Z129" s="23">
        <f t="shared" si="58"/>
        <v>1.4884570251976302E-2</v>
      </c>
      <c r="AA129" s="23">
        <f t="shared" si="58"/>
        <v>1.7826052237446363E-2</v>
      </c>
      <c r="AB129" s="23">
        <f t="shared" si="58"/>
        <v>2.0961717591213638E-2</v>
      </c>
      <c r="AC129" s="23">
        <f t="shared" si="58"/>
        <v>2.1070355897294023E-2</v>
      </c>
      <c r="AD129" s="23">
        <f t="shared" si="58"/>
        <v>2.0430676395485219E-2</v>
      </c>
      <c r="AE129" s="23">
        <f t="shared" si="58"/>
        <v>1.0240817003463566E-2</v>
      </c>
      <c r="AF129" s="23">
        <f t="shared" si="58"/>
        <v>2.3702336890041843E-2</v>
      </c>
      <c r="AG129" s="23">
        <f t="shared" si="58"/>
        <v>1.2605472805408642E-2</v>
      </c>
      <c r="AH129" s="23">
        <f t="shared" si="58"/>
        <v>0.28458374516604756</v>
      </c>
      <c r="AI129" s="23">
        <f t="shared" si="58"/>
        <v>8.5296695761453226E-2</v>
      </c>
      <c r="AJ129" s="23">
        <f t="shared" si="58"/>
        <v>4.6219370954765499E-2</v>
      </c>
      <c r="AK129" s="23">
        <f t="shared" si="58"/>
        <v>3.2569808064732031E-2</v>
      </c>
      <c r="AL129" s="23">
        <f t="shared" si="58"/>
        <v>2.6692333340723164E-2</v>
      </c>
      <c r="AM129" s="23">
        <f t="shared" si="58"/>
        <v>2.3848806915792366E-2</v>
      </c>
      <c r="AN129" s="23">
        <f t="shared" si="58"/>
        <v>2.2376649884054606E-2</v>
      </c>
      <c r="AO129" s="23">
        <f t="shared" si="58"/>
        <v>2.1577128276739105E-2</v>
      </c>
      <c r="AP129" s="23">
        <f t="shared" si="58"/>
        <v>2.1123400054129316E-2</v>
      </c>
      <c r="AQ129" s="23">
        <f t="shared" si="58"/>
        <v>2.08529030938517E-2</v>
      </c>
      <c r="AR129" s="23">
        <f t="shared" si="58"/>
        <v>2.0681888626281068E-2</v>
      </c>
      <c r="AS129" s="23">
        <f t="shared" si="58"/>
        <v>2.0566288210835601E-2</v>
      </c>
      <c r="AT129" s="23">
        <f t="shared" si="58"/>
        <v>2.0482571400282912E-2</v>
      </c>
      <c r="AU129" s="23">
        <f t="shared" si="58"/>
        <v>2.0418009690540261E-2</v>
      </c>
      <c r="AV129" s="23">
        <f t="shared" si="58"/>
        <v>2.0365612798442928E-2</v>
      </c>
      <c r="AW129" s="23">
        <f t="shared" si="58"/>
        <v>2.032146127938745E-2</v>
      </c>
      <c r="AX129" s="23">
        <f t="shared" si="58"/>
        <v>2.0283290885513228E-2</v>
      </c>
      <c r="AY129" s="23">
        <f t="shared" si="58"/>
        <v>2.0249737587669212E-2</v>
      </c>
      <c r="AZ129" s="23">
        <f t="shared" si="58"/>
        <v>2.0219933373972796E-2</v>
      </c>
      <c r="BA129" s="23">
        <f t="shared" si="58"/>
        <v>2.019328896472361E-2</v>
      </c>
      <c r="BB129" s="23">
        <f t="shared" si="58"/>
        <v>2.0169376375977304E-2</v>
      </c>
      <c r="BC129" s="23">
        <f t="shared" si="58"/>
        <v>2.014786493514158E-2</v>
      </c>
      <c r="BD129" s="23">
        <f t="shared" si="58"/>
        <v>2.0153075440541464E-2</v>
      </c>
      <c r="BE129" s="23">
        <f t="shared" si="58"/>
        <v>2.0126859914132433E-2</v>
      </c>
      <c r="BF129" s="23">
        <f t="shared" si="58"/>
        <v>2.0104420405252496E-2</v>
      </c>
      <c r="BG129" s="23">
        <f t="shared" si="58"/>
        <v>2.0085681652217396E-2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-5.8155506347169032E-3</v>
      </c>
      <c r="D130" s="23">
        <f t="shared" ref="D130:BH130" si="59">+$B$14+LN(D56/C56)/10+$B$18*LN(D88/C88)/10</f>
        <v>-1.3297996838866691E-3</v>
      </c>
      <c r="E130" s="23">
        <f t="shared" si="59"/>
        <v>1.4329016524720819E-3</v>
      </c>
      <c r="F130" s="23">
        <f t="shared" si="59"/>
        <v>-3.1281220084042379E-3</v>
      </c>
      <c r="G130" s="23">
        <f t="shared" si="59"/>
        <v>4.0332816785001641E-2</v>
      </c>
      <c r="H130" s="23">
        <f t="shared" si="59"/>
        <v>1.6945130510838076E-2</v>
      </c>
      <c r="I130" s="23">
        <f t="shared" si="59"/>
        <v>1.7348529706771521E-2</v>
      </c>
      <c r="J130" s="23">
        <f t="shared" si="59"/>
        <v>1.8390039645268232E-2</v>
      </c>
      <c r="K130" s="23">
        <f t="shared" si="59"/>
        <v>1.6114038762677967E-2</v>
      </c>
      <c r="L130" s="23">
        <f t="shared" si="59"/>
        <v>2.2481177362345717E-2</v>
      </c>
      <c r="M130" s="23">
        <f t="shared" si="59"/>
        <v>2.3515202505982304E-2</v>
      </c>
      <c r="N130" s="23">
        <f t="shared" si="59"/>
        <v>2.3633376481201274E-2</v>
      </c>
      <c r="O130" s="23">
        <f t="shared" si="59"/>
        <v>2.4693730261350008E-2</v>
      </c>
      <c r="P130" s="23">
        <f t="shared" si="59"/>
        <v>2.8171282546961839E-2</v>
      </c>
      <c r="Q130" s="23">
        <f t="shared" si="59"/>
        <v>2.4211347733316624E-2</v>
      </c>
      <c r="R130" s="23">
        <f t="shared" si="59"/>
        <v>2.7482611592866808E-2</v>
      </c>
      <c r="S130" s="23">
        <f t="shared" si="59"/>
        <v>2.7354859884944235E-2</v>
      </c>
      <c r="T130" s="23">
        <f t="shared" si="59"/>
        <v>2.2682024906172639E-2</v>
      </c>
      <c r="U130" s="23">
        <f t="shared" si="59"/>
        <v>6.3578433126958607E-3</v>
      </c>
      <c r="V130" s="23">
        <f t="shared" si="59"/>
        <v>1.8959736383393339E-2</v>
      </c>
      <c r="W130" s="23">
        <f t="shared" si="59"/>
        <v>2.177985565142266E-2</v>
      </c>
      <c r="X130" s="23">
        <f t="shared" si="59"/>
        <v>1.7867121101284061E-2</v>
      </c>
      <c r="Y130" s="23">
        <f t="shared" si="59"/>
        <v>1.8369456246488461E-2</v>
      </c>
      <c r="Z130" s="23">
        <f t="shared" si="59"/>
        <v>1.5553020605740958E-2</v>
      </c>
      <c r="AA130" s="23">
        <f t="shared" si="59"/>
        <v>1.4884570251976302E-2</v>
      </c>
      <c r="AB130" s="23">
        <f t="shared" si="59"/>
        <v>1.7826052237446363E-2</v>
      </c>
      <c r="AC130" s="23">
        <f t="shared" si="59"/>
        <v>2.0961717591213638E-2</v>
      </c>
      <c r="AD130" s="23">
        <f t="shared" si="59"/>
        <v>2.1070355897294023E-2</v>
      </c>
      <c r="AE130" s="23">
        <f t="shared" si="59"/>
        <v>2.0430676395485219E-2</v>
      </c>
      <c r="AF130" s="23">
        <f t="shared" si="59"/>
        <v>1.0240817003463566E-2</v>
      </c>
      <c r="AG130" s="23">
        <f t="shared" si="59"/>
        <v>2.3702336890041843E-2</v>
      </c>
      <c r="AH130" s="23">
        <f t="shared" si="59"/>
        <v>1.2605472805408642E-2</v>
      </c>
      <c r="AI130" s="23">
        <f t="shared" si="59"/>
        <v>0.28458374516604756</v>
      </c>
      <c r="AJ130" s="23">
        <f t="shared" si="59"/>
        <v>8.5296695761453226E-2</v>
      </c>
      <c r="AK130" s="23">
        <f t="shared" si="59"/>
        <v>4.6219370954765499E-2</v>
      </c>
      <c r="AL130" s="23">
        <f t="shared" si="59"/>
        <v>3.2569808064732031E-2</v>
      </c>
      <c r="AM130" s="23">
        <f t="shared" si="59"/>
        <v>2.6692333340723164E-2</v>
      </c>
      <c r="AN130" s="23">
        <f t="shared" si="59"/>
        <v>2.3848806915792366E-2</v>
      </c>
      <c r="AO130" s="23">
        <f t="shared" si="59"/>
        <v>2.2376649884054606E-2</v>
      </c>
      <c r="AP130" s="23">
        <f t="shared" si="59"/>
        <v>2.1577128276739105E-2</v>
      </c>
      <c r="AQ130" s="23">
        <f t="shared" si="59"/>
        <v>2.1123400054129316E-2</v>
      </c>
      <c r="AR130" s="23">
        <f t="shared" si="59"/>
        <v>2.08529030938517E-2</v>
      </c>
      <c r="AS130" s="23">
        <f t="shared" si="59"/>
        <v>2.0681888626281068E-2</v>
      </c>
      <c r="AT130" s="23">
        <f t="shared" si="59"/>
        <v>2.0566288210835601E-2</v>
      </c>
      <c r="AU130" s="23">
        <f t="shared" si="59"/>
        <v>2.0482571400282912E-2</v>
      </c>
      <c r="AV130" s="23">
        <f t="shared" si="59"/>
        <v>2.0418009690540261E-2</v>
      </c>
      <c r="AW130" s="23">
        <f t="shared" si="59"/>
        <v>2.0365612798442928E-2</v>
      </c>
      <c r="AX130" s="23">
        <f t="shared" si="59"/>
        <v>2.032146127938745E-2</v>
      </c>
      <c r="AY130" s="23">
        <f t="shared" si="59"/>
        <v>2.0283290885513228E-2</v>
      </c>
      <c r="AZ130" s="23">
        <f t="shared" si="59"/>
        <v>2.0249737587669212E-2</v>
      </c>
      <c r="BA130" s="23">
        <f t="shared" si="59"/>
        <v>2.0219933373972796E-2</v>
      </c>
      <c r="BB130" s="23">
        <f t="shared" si="59"/>
        <v>2.019328896472361E-2</v>
      </c>
      <c r="BC130" s="23">
        <f t="shared" si="59"/>
        <v>2.0169376375977304E-2</v>
      </c>
      <c r="BD130" s="23">
        <f t="shared" si="59"/>
        <v>2.014786493514158E-2</v>
      </c>
      <c r="BE130" s="23">
        <f t="shared" si="59"/>
        <v>2.0153075440541464E-2</v>
      </c>
      <c r="BF130" s="23">
        <f t="shared" si="59"/>
        <v>2.0126859914132433E-2</v>
      </c>
      <c r="BG130" s="23">
        <f t="shared" si="59"/>
        <v>2.0104420405252496E-2</v>
      </c>
      <c r="BH130" s="23">
        <f t="shared" si="59"/>
        <v>2.0085681652217396E-2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0">+AVERAGE(C129:C130)</f>
        <v>-3.5726751593017862E-3</v>
      </c>
      <c r="D131" s="23">
        <f t="shared" si="60"/>
        <v>5.1550984292706402E-5</v>
      </c>
      <c r="E131" s="23">
        <f t="shared" si="60"/>
        <v>-8.4761017796607802E-4</v>
      </c>
      <c r="F131" s="23">
        <f t="shared" si="60"/>
        <v>1.86023473882987E-2</v>
      </c>
      <c r="G131" s="23">
        <f t="shared" si="60"/>
        <v>2.8638973647919858E-2</v>
      </c>
      <c r="H131" s="23">
        <f t="shared" si="60"/>
        <v>1.71468301088048E-2</v>
      </c>
      <c r="I131" s="23">
        <f t="shared" si="60"/>
        <v>1.7869284676019878E-2</v>
      </c>
      <c r="J131" s="23">
        <f t="shared" si="60"/>
        <v>1.7252039203973099E-2</v>
      </c>
      <c r="K131" s="23">
        <f t="shared" si="60"/>
        <v>1.9297608062511844E-2</v>
      </c>
      <c r="L131" s="23">
        <f t="shared" si="60"/>
        <v>2.2998189934164012E-2</v>
      </c>
      <c r="M131" s="23">
        <f t="shared" si="60"/>
        <v>2.3574289493591791E-2</v>
      </c>
      <c r="N131" s="23">
        <f t="shared" si="60"/>
        <v>2.416355337127564E-2</v>
      </c>
      <c r="O131" s="23">
        <f t="shared" si="60"/>
        <v>2.6432506404155925E-2</v>
      </c>
      <c r="P131" s="23">
        <f t="shared" si="60"/>
        <v>2.6191315140139233E-2</v>
      </c>
      <c r="Q131" s="23">
        <f t="shared" si="60"/>
        <v>2.5846979663091716E-2</v>
      </c>
      <c r="R131" s="23">
        <f t="shared" si="60"/>
        <v>2.741873573890552E-2</v>
      </c>
      <c r="S131" s="23">
        <f t="shared" si="60"/>
        <v>2.5018442395558435E-2</v>
      </c>
      <c r="T131" s="23">
        <f t="shared" si="60"/>
        <v>1.451993410943425E-2</v>
      </c>
      <c r="U131" s="23">
        <f t="shared" si="60"/>
        <v>1.26587898480446E-2</v>
      </c>
      <c r="V131" s="23">
        <f t="shared" si="60"/>
        <v>2.0369796017408001E-2</v>
      </c>
      <c r="W131" s="23">
        <f t="shared" si="60"/>
        <v>1.9823488376353358E-2</v>
      </c>
      <c r="X131" s="23">
        <f t="shared" si="60"/>
        <v>1.8118288673886263E-2</v>
      </c>
      <c r="Y131" s="23">
        <f t="shared" si="60"/>
        <v>1.6961238426114709E-2</v>
      </c>
      <c r="Z131" s="23">
        <f t="shared" si="60"/>
        <v>1.5218795428858629E-2</v>
      </c>
      <c r="AA131" s="23">
        <f t="shared" si="60"/>
        <v>1.6355311244711332E-2</v>
      </c>
      <c r="AB131" s="23">
        <f t="shared" si="60"/>
        <v>1.9393884914330001E-2</v>
      </c>
      <c r="AC131" s="23">
        <f t="shared" si="60"/>
        <v>2.1016036744253831E-2</v>
      </c>
      <c r="AD131" s="23">
        <f t="shared" si="60"/>
        <v>2.0750516146389619E-2</v>
      </c>
      <c r="AE131" s="23">
        <f t="shared" si="60"/>
        <v>1.5335746699474392E-2</v>
      </c>
      <c r="AF131" s="23">
        <f t="shared" si="60"/>
        <v>1.6971576946752706E-2</v>
      </c>
      <c r="AG131" s="23">
        <f t="shared" si="60"/>
        <v>1.8153904847725243E-2</v>
      </c>
      <c r="AH131" s="23">
        <f t="shared" si="60"/>
        <v>0.1485946089857281</v>
      </c>
      <c r="AI131" s="23">
        <f t="shared" si="60"/>
        <v>0.18494022046375039</v>
      </c>
      <c r="AJ131" s="23">
        <f t="shared" si="60"/>
        <v>6.5758033358109369E-2</v>
      </c>
      <c r="AK131" s="23">
        <f t="shared" si="60"/>
        <v>3.9394589509748765E-2</v>
      </c>
      <c r="AL131" s="23">
        <f t="shared" si="60"/>
        <v>2.9631070702727597E-2</v>
      </c>
      <c r="AM131" s="23">
        <f t="shared" si="60"/>
        <v>2.5270570128257765E-2</v>
      </c>
      <c r="AN131" s="23">
        <f t="shared" si="60"/>
        <v>2.3112728399923486E-2</v>
      </c>
      <c r="AO131" s="23">
        <f t="shared" si="60"/>
        <v>2.1976889080396855E-2</v>
      </c>
      <c r="AP131" s="23">
        <f t="shared" si="60"/>
        <v>2.1350264165434209E-2</v>
      </c>
      <c r="AQ131" s="23">
        <f t="shared" si="60"/>
        <v>2.0988151573990508E-2</v>
      </c>
      <c r="AR131" s="23">
        <f t="shared" si="60"/>
        <v>2.0767395860066384E-2</v>
      </c>
      <c r="AS131" s="23">
        <f t="shared" si="60"/>
        <v>2.0624088418558333E-2</v>
      </c>
      <c r="AT131" s="23">
        <f t="shared" si="60"/>
        <v>2.0524429805559255E-2</v>
      </c>
      <c r="AU131" s="23">
        <f t="shared" si="60"/>
        <v>2.0450290545411587E-2</v>
      </c>
      <c r="AV131" s="23">
        <f t="shared" si="60"/>
        <v>2.0391811244491596E-2</v>
      </c>
      <c r="AW131" s="23">
        <f t="shared" si="60"/>
        <v>2.0343537038915189E-2</v>
      </c>
      <c r="AX131" s="23">
        <f t="shared" si="60"/>
        <v>2.0302376082450339E-2</v>
      </c>
      <c r="AY131" s="23">
        <f t="shared" si="60"/>
        <v>2.0266514236591218E-2</v>
      </c>
      <c r="AZ131" s="23">
        <f t="shared" si="60"/>
        <v>2.0234835480821004E-2</v>
      </c>
      <c r="BA131" s="23">
        <f t="shared" si="60"/>
        <v>2.0206611169348201E-2</v>
      </c>
      <c r="BB131" s="23">
        <f t="shared" si="60"/>
        <v>2.0181332670350459E-2</v>
      </c>
      <c r="BC131" s="23">
        <f>+AVERAGE(BC129:BC130)</f>
        <v>2.0158620655559442E-2</v>
      </c>
      <c r="BD131" s="23">
        <f>+AVERAGE(BD129:BD130)</f>
        <v>2.0150470187841524E-2</v>
      </c>
      <c r="BE131" s="23">
        <f>+AVERAGE(BE129:BE130)</f>
        <v>2.0139967677336949E-2</v>
      </c>
      <c r="BF131" s="23">
        <f>+AVERAGE(BF129:BF130)</f>
        <v>2.0115640159692465E-2</v>
      </c>
      <c r="BG131" s="23">
        <f>+AVERAGE(BG129:BG130)</f>
        <v>2.0095051028734948E-2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1">+B88^-$B$18</f>
        <v>3.276133352572793E-2</v>
      </c>
      <c r="C132" s="23">
        <f t="shared" si="61"/>
        <v>4.080512138792617E-2</v>
      </c>
      <c r="D132" s="23">
        <f t="shared" si="61"/>
        <v>4.8499636060599129E-2</v>
      </c>
      <c r="E132" s="23">
        <f t="shared" si="61"/>
        <v>5.5044009339835574E-2</v>
      </c>
      <c r="F132" s="23">
        <f t="shared" si="61"/>
        <v>6.479241567883072E-2</v>
      </c>
      <c r="G132" s="23">
        <f t="shared" si="61"/>
        <v>4.882548401672919E-2</v>
      </c>
      <c r="H132" s="23">
        <f t="shared" si="61"/>
        <v>4.6331749499906233E-2</v>
      </c>
      <c r="I132" s="23">
        <f t="shared" si="61"/>
        <v>4.3788382342449639E-2</v>
      </c>
      <c r="J132" s="23">
        <f t="shared" si="61"/>
        <v>4.0955844295069883E-2</v>
      </c>
      <c r="K132" s="23">
        <f t="shared" si="61"/>
        <v>3.9188389074337325E-2</v>
      </c>
      <c r="L132" s="23">
        <f t="shared" si="61"/>
        <v>3.5769026401761904E-2</v>
      </c>
      <c r="M132" s="23">
        <f t="shared" si="61"/>
        <v>3.2849323096276507E-2</v>
      </c>
      <c r="N132" s="23">
        <f t="shared" si="61"/>
        <v>3.0132315583616197E-2</v>
      </c>
      <c r="O132" s="23">
        <f t="shared" si="61"/>
        <v>2.7348501290293401E-2</v>
      </c>
      <c r="P132" s="23">
        <f t="shared" si="61"/>
        <v>2.3973516304322241E-2</v>
      </c>
      <c r="Q132" s="23">
        <f t="shared" si="61"/>
        <v>2.186390460865309E-2</v>
      </c>
      <c r="R132" s="23">
        <f t="shared" si="61"/>
        <v>1.9298199453941196E-2</v>
      </c>
      <c r="S132" s="23">
        <f t="shared" si="61"/>
        <v>1.7055351568015832E-2</v>
      </c>
      <c r="T132" s="23">
        <f t="shared" si="61"/>
        <v>1.5794228834155478E-2</v>
      </c>
      <c r="U132" s="23">
        <f t="shared" si="61"/>
        <v>1.7219922627112569E-2</v>
      </c>
      <c r="V132" s="23">
        <f t="shared" si="61"/>
        <v>1.6595662064263599E-2</v>
      </c>
      <c r="W132" s="23">
        <f t="shared" si="61"/>
        <v>1.5590867866123414E-2</v>
      </c>
      <c r="X132" s="23">
        <f t="shared" si="61"/>
        <v>1.5231363726462147E-2</v>
      </c>
      <c r="Y132" s="23">
        <f t="shared" si="61"/>
        <v>1.4805588471642725E-2</v>
      </c>
      <c r="Z132" s="23">
        <f t="shared" si="61"/>
        <v>1.4802810616436055E-2</v>
      </c>
      <c r="AA132" s="23">
        <f t="shared" si="61"/>
        <v>1.4899295547122084E-2</v>
      </c>
      <c r="AB132" s="23">
        <f t="shared" si="61"/>
        <v>1.4561717225465336E-2</v>
      </c>
      <c r="AC132" s="23">
        <f t="shared" si="61"/>
        <v>1.3792450366780352E-2</v>
      </c>
      <c r="AD132" s="23">
        <f t="shared" si="61"/>
        <v>1.3049637753095924E-2</v>
      </c>
      <c r="AE132" s="23">
        <f t="shared" si="61"/>
        <v>1.2426063693160535E-2</v>
      </c>
      <c r="AF132" s="23">
        <f t="shared" si="61"/>
        <v>1.3066599144232093E-2</v>
      </c>
      <c r="AG132" s="23">
        <f t="shared" si="61"/>
        <v>1.1977572247373664E-2</v>
      </c>
      <c r="AH132" s="23">
        <f t="shared" si="61"/>
        <v>1.226783987144385E-2</v>
      </c>
      <c r="AI132" s="23">
        <f t="shared" si="61"/>
        <v>8.2790550290739702E-4</v>
      </c>
      <c r="AJ132" s="23">
        <f t="shared" si="61"/>
        <v>4.0990772087698375E-4</v>
      </c>
      <c r="AK132" s="23">
        <f t="shared" si="61"/>
        <v>2.9998676403113276E-4</v>
      </c>
      <c r="AL132" s="23">
        <f t="shared" si="61"/>
        <v>2.5165026169524362E-4</v>
      </c>
      <c r="AM132" s="23">
        <f t="shared" si="61"/>
        <v>2.238815102344148E-4</v>
      </c>
      <c r="AN132" s="23">
        <f t="shared" si="61"/>
        <v>2.0492188762992751E-4</v>
      </c>
      <c r="AO132" s="23">
        <f t="shared" si="61"/>
        <v>1.9034959815351714E-4</v>
      </c>
      <c r="AP132" s="23">
        <f t="shared" si="61"/>
        <v>1.7823289410984889E-4</v>
      </c>
      <c r="AQ132" s="23">
        <f t="shared" si="61"/>
        <v>1.6764641492904059E-4</v>
      </c>
      <c r="AR132" s="23">
        <f t="shared" si="61"/>
        <v>1.5811586032363491E-4</v>
      </c>
      <c r="AS132" s="23">
        <f t="shared" si="61"/>
        <v>1.4938235668149411E-4</v>
      </c>
      <c r="AT132" s="23">
        <f t="shared" si="61"/>
        <v>1.4129448932618394E-4</v>
      </c>
      <c r="AU132" s="23">
        <f t="shared" si="61"/>
        <v>1.3375644547903472E-4</v>
      </c>
      <c r="AV132" s="23">
        <f t="shared" si="61"/>
        <v>1.2670233014591635E-4</v>
      </c>
      <c r="AW132" s="23">
        <f t="shared" si="61"/>
        <v>1.200831416818184E-4</v>
      </c>
      <c r="AX132" s="23">
        <f t="shared" si="61"/>
        <v>1.1386001296931583E-4</v>
      </c>
      <c r="AY132" s="23">
        <f t="shared" si="61"/>
        <v>1.0800060495822828E-4</v>
      </c>
      <c r="AZ132" s="23">
        <f t="shared" si="61"/>
        <v>1.024771096034745E-4</v>
      </c>
      <c r="BA132" s="23">
        <f t="shared" si="61"/>
        <v>9.7265088190936051E-5</v>
      </c>
      <c r="BB132" s="23">
        <f t="shared" si="61"/>
        <v>9.23427529024555E-5</v>
      </c>
      <c r="BC132" s="23">
        <f t="shared" si="61"/>
        <v>8.769049086885321E-5</v>
      </c>
      <c r="BD132" s="23">
        <f t="shared" si="61"/>
        <v>8.3290526581993217E-5</v>
      </c>
      <c r="BE132" s="23">
        <f t="shared" si="61"/>
        <v>7.9107213222132645E-5</v>
      </c>
      <c r="BF132" s="23">
        <f t="shared" si="61"/>
        <v>7.5153708477445334E-5</v>
      </c>
      <c r="BG132" s="23">
        <f t="shared" si="61"/>
        <v>7.1413809327977657E-5</v>
      </c>
      <c r="BH132" s="23">
        <f t="shared" si="61"/>
        <v>6.7872737344715765E-5</v>
      </c>
      <c r="BI132" s="23">
        <f t="shared" si="61"/>
        <v>6.7872737344715765E-5</v>
      </c>
    </row>
    <row r="133" spans="1:61" ht="18" customHeight="1" x14ac:dyDescent="0.2">
      <c r="A133" s="23" t="s">
        <v>14</v>
      </c>
      <c r="B133" s="23">
        <f t="shared" ref="B133:AG133" si="62">+B17*B132/$B132</f>
        <v>1</v>
      </c>
      <c r="C133" s="23">
        <f t="shared" si="62"/>
        <v>1.0732296949637314</v>
      </c>
      <c r="D133" s="23">
        <f t="shared" si="62"/>
        <v>1.0991477206303286</v>
      </c>
      <c r="E133" s="23">
        <f t="shared" si="62"/>
        <v>1.0748979170641482</v>
      </c>
      <c r="F133" s="23">
        <f t="shared" si="62"/>
        <v>1.0902369857135048</v>
      </c>
      <c r="G133" s="23">
        <f t="shared" si="62"/>
        <v>0.70791786723580197</v>
      </c>
      <c r="H133" s="23">
        <f t="shared" si="62"/>
        <v>0.57883474695845938</v>
      </c>
      <c r="I133" s="23">
        <f t="shared" si="62"/>
        <v>0.47138349597327411</v>
      </c>
      <c r="J133" s="23">
        <f t="shared" si="62"/>
        <v>0.37990143342722965</v>
      </c>
      <c r="K133" s="23">
        <f t="shared" si="62"/>
        <v>0.313221840885332</v>
      </c>
      <c r="L133" s="23">
        <f t="shared" si="62"/>
        <v>0.24634362236621118</v>
      </c>
      <c r="M133" s="23">
        <f t="shared" si="62"/>
        <v>0.19493966090443787</v>
      </c>
      <c r="N133" s="23">
        <f t="shared" si="62"/>
        <v>0.15407985684309752</v>
      </c>
      <c r="O133" s="23">
        <f t="shared" si="62"/>
        <v>0.12049983946164444</v>
      </c>
      <c r="P133" s="23">
        <f t="shared" si="62"/>
        <v>9.1017363820113314E-2</v>
      </c>
      <c r="Q133" s="23">
        <f t="shared" si="62"/>
        <v>7.1525320975484377E-2</v>
      </c>
      <c r="R133" s="23">
        <f t="shared" si="62"/>
        <v>5.4398692297768884E-2</v>
      </c>
      <c r="S133" s="23">
        <f t="shared" si="62"/>
        <v>4.1425897155082006E-2</v>
      </c>
      <c r="T133" s="23">
        <f t="shared" si="62"/>
        <v>3.3055920095371949E-2</v>
      </c>
      <c r="U133" s="23">
        <f t="shared" si="62"/>
        <v>3.1054289497017992E-2</v>
      </c>
      <c r="V133" s="23">
        <f t="shared" si="62"/>
        <v>2.5788409735787342E-2</v>
      </c>
      <c r="W133" s="23">
        <f t="shared" si="62"/>
        <v>2.0875642336480319E-2</v>
      </c>
      <c r="X133" s="23">
        <f t="shared" si="62"/>
        <v>1.7573081505363908E-2</v>
      </c>
      <c r="Y133" s="23">
        <f t="shared" si="62"/>
        <v>1.4718867147961995E-2</v>
      </c>
      <c r="Z133" s="23">
        <f t="shared" si="62"/>
        <v>1.2680385942709932E-2</v>
      </c>
      <c r="AA133" s="23">
        <f t="shared" si="62"/>
        <v>1.0997490655988137E-2</v>
      </c>
      <c r="AB133" s="23">
        <f t="shared" si="62"/>
        <v>9.2614724107720967E-3</v>
      </c>
      <c r="AC133" s="23">
        <f t="shared" si="62"/>
        <v>7.558723367444114E-3</v>
      </c>
      <c r="AD133" s="23">
        <f t="shared" si="62"/>
        <v>6.1623314720613016E-3</v>
      </c>
      <c r="AE133" s="23">
        <f t="shared" si="62"/>
        <v>5.0561476995759557E-3</v>
      </c>
      <c r="AF133" s="23">
        <f t="shared" si="62"/>
        <v>4.5812956785699251E-3</v>
      </c>
      <c r="AG133" s="23">
        <f t="shared" si="62"/>
        <v>3.6185462744220136E-3</v>
      </c>
      <c r="AH133" s="23">
        <f t="shared" ref="AH133:BI133" si="63">+AH17*AH132/$B132</f>
        <v>3.1935447620693633E-3</v>
      </c>
      <c r="AI133" s="23">
        <f t="shared" si="63"/>
        <v>1.8570570935343039E-4</v>
      </c>
      <c r="AJ133" s="23">
        <f t="shared" si="63"/>
        <v>7.9226443872488641E-5</v>
      </c>
      <c r="AK133" s="23">
        <f t="shared" si="63"/>
        <v>4.9960380228461065E-5</v>
      </c>
      <c r="AL133" s="23">
        <f t="shared" si="63"/>
        <v>3.6112753673471731E-5</v>
      </c>
      <c r="AM133" s="23">
        <f t="shared" si="63"/>
        <v>2.7683501774898151E-5</v>
      </c>
      <c r="AN133" s="23">
        <f t="shared" si="63"/>
        <v>2.1833870088154072E-5</v>
      </c>
      <c r="AO133" s="23">
        <f t="shared" si="63"/>
        <v>1.7475673254176545E-5</v>
      </c>
      <c r="AP133" s="23">
        <f t="shared" si="63"/>
        <v>1.4099684290351381E-5</v>
      </c>
      <c r="AQ133" s="23">
        <f t="shared" si="63"/>
        <v>1.1427609129439735E-5</v>
      </c>
      <c r="AR133" s="23">
        <f t="shared" si="63"/>
        <v>9.2870144155668637E-6</v>
      </c>
      <c r="AS133" s="23">
        <f t="shared" si="63"/>
        <v>7.560309388985882E-6</v>
      </c>
      <c r="AT133" s="23">
        <f t="shared" si="63"/>
        <v>6.1617640406040268E-6</v>
      </c>
      <c r="AU133" s="23">
        <f t="shared" si="63"/>
        <v>5.0261348429328874E-6</v>
      </c>
      <c r="AV133" s="23">
        <f t="shared" si="63"/>
        <v>4.1024528297749005E-6</v>
      </c>
      <c r="AW133" s="23">
        <f t="shared" si="63"/>
        <v>3.3502762096237063E-6</v>
      </c>
      <c r="AX133" s="23">
        <f t="shared" si="63"/>
        <v>2.7372179430739648E-6</v>
      </c>
      <c r="AY133" s="23">
        <f t="shared" si="63"/>
        <v>2.2371953859648582E-6</v>
      </c>
      <c r="AZ133" s="23">
        <f t="shared" si="63"/>
        <v>1.8291283112741715E-6</v>
      </c>
      <c r="BA133" s="23">
        <f t="shared" si="63"/>
        <v>1.4959389382726609E-6</v>
      </c>
      <c r="BB133" s="23">
        <f t="shared" si="63"/>
        <v>1.2237685186707217E-6</v>
      </c>
      <c r="BC133" s="23">
        <f t="shared" si="63"/>
        <v>1.0013560774171583E-6</v>
      </c>
      <c r="BD133" s="23">
        <f t="shared" si="63"/>
        <v>8.1954201297706265E-7</v>
      </c>
      <c r="BE133" s="23">
        <f t="shared" si="63"/>
        <v>6.7070458828726393E-7</v>
      </c>
      <c r="BF133" s="23">
        <f t="shared" si="63"/>
        <v>5.4904151614622403E-7</v>
      </c>
      <c r="BG133" s="23">
        <f t="shared" si="63"/>
        <v>4.4954849339200069E-7</v>
      </c>
      <c r="BH133" s="23">
        <f t="shared" si="63"/>
        <v>3.6815380145612766E-7</v>
      </c>
      <c r="BI133" s="23">
        <f t="shared" si="63"/>
        <v>3.1722606694870031E-7</v>
      </c>
    </row>
    <row r="134" spans="1:61" ht="18" customHeight="1" x14ac:dyDescent="0.2">
      <c r="A134" s="23" t="s">
        <v>15</v>
      </c>
      <c r="B134" s="23"/>
      <c r="C134" s="23">
        <f>+(C133/B133)^-0.1-1</f>
        <v>-7.042336582843256E-3</v>
      </c>
      <c r="D134" s="23">
        <f t="shared" ref="D134:BI134" si="64">+(D133/C133)^-0.1-1</f>
        <v>-2.3834122843565675E-3</v>
      </c>
      <c r="E134" s="23">
        <f t="shared" si="64"/>
        <v>2.2334287811847098E-3</v>
      </c>
      <c r="F134" s="23">
        <f t="shared" si="64"/>
        <v>-1.4159360647612029E-3</v>
      </c>
      <c r="G134" s="23">
        <f t="shared" si="64"/>
        <v>4.4128147885255098E-2</v>
      </c>
      <c r="H134" s="23">
        <f t="shared" si="64"/>
        <v>2.0335102753413548E-2</v>
      </c>
      <c r="I134" s="23">
        <f t="shared" si="64"/>
        <v>2.0746788144641926E-2</v>
      </c>
      <c r="J134" s="23">
        <f t="shared" si="64"/>
        <v>2.1810459885376998E-2</v>
      </c>
      <c r="K134" s="23">
        <f t="shared" si="64"/>
        <v>1.9487462951169432E-2</v>
      </c>
      <c r="L134" s="23">
        <f t="shared" si="64"/>
        <v>2.4309195342347545E-2</v>
      </c>
      <c r="M134" s="23">
        <f t="shared" si="64"/>
        <v>2.3679748475365914E-2</v>
      </c>
      <c r="N134" s="23">
        <f t="shared" si="64"/>
        <v>2.3800727928765086E-2</v>
      </c>
      <c r="O134" s="23">
        <f t="shared" si="64"/>
        <v>2.488689465947358E-2</v>
      </c>
      <c r="P134" s="23">
        <f t="shared" si="64"/>
        <v>2.8457196780559579E-2</v>
      </c>
      <c r="Q134" s="23">
        <f t="shared" si="64"/>
        <v>2.4392626351061875E-2</v>
      </c>
      <c r="R134" s="23">
        <f t="shared" si="64"/>
        <v>2.774917200763749E-2</v>
      </c>
      <c r="S134" s="23">
        <f t="shared" si="64"/>
        <v>2.7617883681930078E-2</v>
      </c>
      <c r="T134" s="23">
        <f t="shared" si="64"/>
        <v>2.2827196652417392E-2</v>
      </c>
      <c r="U134" s="23">
        <f t="shared" si="64"/>
        <v>6.2659221492782358E-3</v>
      </c>
      <c r="V134" s="23">
        <f t="shared" si="64"/>
        <v>1.8754883411875589E-2</v>
      </c>
      <c r="W134" s="23">
        <f t="shared" si="64"/>
        <v>2.1359120586064595E-2</v>
      </c>
      <c r="X134" s="23">
        <f t="shared" si="64"/>
        <v>1.737062152437896E-2</v>
      </c>
      <c r="Y134" s="23">
        <f t="shared" si="64"/>
        <v>1.788181092672092E-2</v>
      </c>
      <c r="Z134" s="23">
        <f t="shared" si="64"/>
        <v>1.5019045605860093E-2</v>
      </c>
      <c r="AA134" s="23">
        <f t="shared" si="64"/>
        <v>1.4340782483614589E-2</v>
      </c>
      <c r="AB134" s="23">
        <f t="shared" si="64"/>
        <v>1.7328840126814127E-2</v>
      </c>
      <c r="AC134" s="23">
        <f t="shared" si="64"/>
        <v>2.0523849546476125E-2</v>
      </c>
      <c r="AD134" s="23">
        <f t="shared" si="64"/>
        <v>2.0634723551278489E-2</v>
      </c>
      <c r="AE134" s="23">
        <f t="shared" si="64"/>
        <v>1.998205321196278E-2</v>
      </c>
      <c r="AF134" s="23">
        <f t="shared" si="64"/>
        <v>9.9110939414988053E-3</v>
      </c>
      <c r="AG134" s="23">
        <f t="shared" si="64"/>
        <v>2.3871416986590344E-2</v>
      </c>
      <c r="AH134" s="23">
        <f t="shared" si="64"/>
        <v>1.2572462459727429E-2</v>
      </c>
      <c r="AI134" s="23">
        <f t="shared" si="64"/>
        <v>0.32906057444764736</v>
      </c>
      <c r="AJ134" s="23">
        <f t="shared" si="64"/>
        <v>8.891883365240294E-2</v>
      </c>
      <c r="AK134" s="23">
        <f t="shared" si="64"/>
        <v>4.7187483767571425E-2</v>
      </c>
      <c r="AL134" s="23">
        <f t="shared" si="64"/>
        <v>3.299094106459477E-2</v>
      </c>
      <c r="AM134" s="23">
        <f t="shared" si="64"/>
        <v>2.6937370199792143E-2</v>
      </c>
      <c r="AN134" s="23">
        <f t="shared" si="64"/>
        <v>2.4021394442734323E-2</v>
      </c>
      <c r="AO134" s="23">
        <f t="shared" si="64"/>
        <v>2.2514983255230492E-2</v>
      </c>
      <c r="AP134" s="23">
        <f t="shared" si="64"/>
        <v>2.1697787158813986E-2</v>
      </c>
      <c r="AQ134" s="23">
        <f t="shared" si="64"/>
        <v>2.123431919000196E-2</v>
      </c>
      <c r="AR134" s="23">
        <f t="shared" si="64"/>
        <v>2.0958115768707097E-2</v>
      </c>
      <c r="AS134" s="23">
        <f t="shared" si="64"/>
        <v>2.0783532088719747E-2</v>
      </c>
      <c r="AT134" s="23">
        <f t="shared" si="64"/>
        <v>2.0665535908665822E-2</v>
      </c>
      <c r="AU134" s="23">
        <f t="shared" si="64"/>
        <v>2.058009262192817E-2</v>
      </c>
      <c r="AV134" s="23">
        <f t="shared" si="64"/>
        <v>2.0514204353171639E-2</v>
      </c>
      <c r="AW134" s="23">
        <f t="shared" si="64"/>
        <v>2.0460733981375157E-2</v>
      </c>
      <c r="AX134" s="23">
        <f t="shared" si="64"/>
        <v>2.0415680084439503E-2</v>
      </c>
      <c r="AY134" s="23">
        <f t="shared" si="64"/>
        <v>2.0376731159368333E-2</v>
      </c>
      <c r="AZ134" s="23">
        <f t="shared" si="64"/>
        <v>2.034249472937022E-2</v>
      </c>
      <c r="BA134" s="23">
        <f t="shared" si="64"/>
        <v>2.031208467678991E-2</v>
      </c>
      <c r="BB134" s="23">
        <f t="shared" si="64"/>
        <v>2.0284899426213032E-2</v>
      </c>
      <c r="BC134" s="23">
        <f t="shared" si="64"/>
        <v>2.0260502064711972E-2</v>
      </c>
      <c r="BD134" s="23">
        <f t="shared" si="64"/>
        <v>2.0238555027342064E-2</v>
      </c>
      <c r="BE134" s="23">
        <f t="shared" si="64"/>
        <v>2.0243870999691493E-2</v>
      </c>
      <c r="BF134" s="23">
        <f t="shared" si="64"/>
        <v>2.0217125120127966E-2</v>
      </c>
      <c r="BG134" s="23">
        <f t="shared" si="64"/>
        <v>2.0194232205742901E-2</v>
      </c>
      <c r="BH134" s="23">
        <f t="shared" si="64"/>
        <v>2.0175115217093031E-2</v>
      </c>
      <c r="BI134" s="23">
        <f t="shared" si="64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 x14ac:dyDescent="0.2">
      <c r="A136" s="23" t="s">
        <v>207</v>
      </c>
      <c r="B136" s="23"/>
      <c r="C136" s="23">
        <f>+C134+C135</f>
        <v>-5.9020238499070329E-3</v>
      </c>
      <c r="D136" s="23">
        <f t="shared" ref="D136:K136" si="66">+D134+D135</f>
        <v>-1.438342341881022E-3</v>
      </c>
      <c r="E136" s="23">
        <f t="shared" si="66"/>
        <v>1.3240045408927329E-3</v>
      </c>
      <c r="F136" s="23">
        <f t="shared" si="66"/>
        <v>-3.2385061299196518E-3</v>
      </c>
      <c r="G136" s="23">
        <f t="shared" si="66"/>
        <v>4.1167348219831118E-2</v>
      </c>
      <c r="H136" s="23">
        <f t="shared" si="66"/>
        <v>1.7037740305489862E-2</v>
      </c>
      <c r="I136" s="23">
        <f t="shared" si="66"/>
        <v>1.7449425696718226E-2</v>
      </c>
      <c r="J136" s="23">
        <f t="shared" si="66"/>
        <v>1.8513097437453312E-2</v>
      </c>
      <c r="K136" s="23">
        <f t="shared" si="66"/>
        <v>1.6190100503245732E-2</v>
      </c>
    </row>
    <row r="137" spans="1:61" ht="18" customHeight="1" x14ac:dyDescent="0.2">
      <c r="A137" s="23" t="s">
        <v>208</v>
      </c>
      <c r="B137" s="23"/>
      <c r="C137" s="23">
        <f>+C136-C129</f>
        <v>-4.5722241660203639E-3</v>
      </c>
      <c r="D137" s="23">
        <f t="shared" ref="D137:K137" si="67">+D136-D129</f>
        <v>-2.8712439943531041E-3</v>
      </c>
      <c r="E137" s="23">
        <f t="shared" si="67"/>
        <v>4.4521265492969706E-3</v>
      </c>
      <c r="F137" s="23">
        <f t="shared" si="67"/>
        <v>-4.3571322914921294E-2</v>
      </c>
      <c r="G137" s="23">
        <f t="shared" si="67"/>
        <v>2.4222217708993042E-2</v>
      </c>
      <c r="H137" s="23">
        <f t="shared" si="67"/>
        <v>-3.1078940128165949E-4</v>
      </c>
      <c r="I137" s="23">
        <f t="shared" si="67"/>
        <v>-9.4061394855000577E-4</v>
      </c>
      <c r="J137" s="23">
        <f t="shared" si="67"/>
        <v>2.3990586747753458E-3</v>
      </c>
      <c r="K137" s="23">
        <f t="shared" si="67"/>
        <v>-6.2910768590999852E-3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68">+$B$7*B68/B74-(1-(1-0.1)^10)/10</f>
        <v>0.3514731238921201</v>
      </c>
      <c r="C139" s="23">
        <f t="shared" si="68"/>
        <v>5.8687907443732867E-2</v>
      </c>
      <c r="D139" s="23">
        <f t="shared" si="68"/>
        <v>2.1010060717292486E-2</v>
      </c>
      <c r="E139" s="23">
        <f t="shared" si="68"/>
        <v>1.486566699893381E-2</v>
      </c>
      <c r="F139" s="23">
        <f t="shared" si="68"/>
        <v>1.1299865436702944E-2</v>
      </c>
      <c r="G139" s="23">
        <f t="shared" si="68"/>
        <v>3.5898996918784565E-2</v>
      </c>
      <c r="H139" s="23">
        <f t="shared" si="68"/>
        <v>3.0526837889075523E-2</v>
      </c>
      <c r="I139" s="23">
        <f t="shared" si="68"/>
        <v>2.9204531759578101E-2</v>
      </c>
      <c r="J139" s="23">
        <f t="shared" si="68"/>
        <v>2.9464688133352901E-2</v>
      </c>
      <c r="K139" s="23">
        <f t="shared" si="68"/>
        <v>2.8645848758221071E-2</v>
      </c>
      <c r="L139" s="23">
        <f t="shared" si="68"/>
        <v>3.1113899763568098E-2</v>
      </c>
      <c r="M139" s="23">
        <f t="shared" si="68"/>
        <v>3.1440395081473616E-2</v>
      </c>
      <c r="N139" s="23">
        <f t="shared" si="68"/>
        <v>2.9099712323267385E-2</v>
      </c>
      <c r="O139" s="23">
        <f t="shared" si="68"/>
        <v>2.9017036675449928E-2</v>
      </c>
      <c r="P139" s="23">
        <f t="shared" si="68"/>
        <v>3.1197635276150215E-2</v>
      </c>
      <c r="Q139" s="23">
        <f t="shared" si="68"/>
        <v>2.9386993125412778E-2</v>
      </c>
      <c r="R139" s="23">
        <f t="shared" si="68"/>
        <v>3.0879182383629578E-2</v>
      </c>
      <c r="S139" s="23">
        <f t="shared" si="68"/>
        <v>3.1285813319767666E-2</v>
      </c>
      <c r="T139" s="23">
        <f t="shared" si="68"/>
        <v>2.8455758672541631E-2</v>
      </c>
      <c r="U139" s="23">
        <f t="shared" si="68"/>
        <v>1.7997117361736134E-2</v>
      </c>
      <c r="V139" s="23">
        <f t="shared" si="68"/>
        <v>2.1776055705855848E-2</v>
      </c>
      <c r="W139" s="23">
        <f t="shared" si="68"/>
        <v>2.4892854487798072E-2</v>
      </c>
      <c r="X139" s="23">
        <f t="shared" si="68"/>
        <v>2.3633976154278646E-2</v>
      </c>
      <c r="Y139" s="23">
        <f t="shared" si="68"/>
        <v>2.3508486616599544E-2</v>
      </c>
      <c r="Z139" s="23">
        <f t="shared" si="68"/>
        <v>2.1817842850368377E-2</v>
      </c>
      <c r="AA139" s="23">
        <f t="shared" si="68"/>
        <v>2.0862450965637547E-2</v>
      </c>
      <c r="AB139" s="23">
        <f t="shared" si="68"/>
        <v>2.2231068609010057E-2</v>
      </c>
      <c r="AC139" s="23">
        <f t="shared" si="68"/>
        <v>2.4564160068264396E-2</v>
      </c>
      <c r="AD139" s="23">
        <f t="shared" si="68"/>
        <v>2.5438205177357828E-2</v>
      </c>
      <c r="AE139" s="23">
        <f t="shared" si="68"/>
        <v>2.5347491760550622E-2</v>
      </c>
      <c r="AF139" s="23">
        <f t="shared" si="68"/>
        <v>1.9301488970688174E-2</v>
      </c>
      <c r="AG139" s="23">
        <f t="shared" si="68"/>
        <v>2.4981722264870512E-2</v>
      </c>
      <c r="AH139" s="23">
        <f t="shared" si="68"/>
        <v>2.0450167834480226E-2</v>
      </c>
      <c r="AI139" s="23">
        <f t="shared" si="68"/>
        <v>0.45030117154200355</v>
      </c>
      <c r="AJ139" s="23">
        <f t="shared" si="68"/>
        <v>0.1272201004286565</v>
      </c>
      <c r="AK139" s="23">
        <f t="shared" si="68"/>
        <v>6.5268268699475399E-2</v>
      </c>
      <c r="AL139" s="23">
        <f t="shared" si="68"/>
        <v>4.3975518982032599E-2</v>
      </c>
      <c r="AM139" s="23">
        <f t="shared" si="68"/>
        <v>3.4726024089917679E-2</v>
      </c>
      <c r="AN139" s="23">
        <f t="shared" si="68"/>
        <v>3.0243079763531189E-2</v>
      </c>
      <c r="AO139" s="23">
        <f t="shared" si="68"/>
        <v>2.7938211658563666E-2</v>
      </c>
      <c r="AP139" s="23">
        <f t="shared" si="68"/>
        <v>2.6706729363498341E-2</v>
      </c>
      <c r="AQ139" s="23">
        <f t="shared" si="68"/>
        <v>2.6026819534322468E-2</v>
      </c>
      <c r="AR139" s="23">
        <f t="shared" si="68"/>
        <v>2.5637641862881269E-2</v>
      </c>
      <c r="AS139" s="23">
        <f t="shared" si="68"/>
        <v>2.5404600299131719E-2</v>
      </c>
      <c r="AT139" s="23">
        <f t="shared" si="68"/>
        <v>2.5256945200915898E-2</v>
      </c>
      <c r="AU139" s="23">
        <f t="shared" si="68"/>
        <v>2.5157039017245808E-2</v>
      </c>
      <c r="AV139" s="23">
        <f t="shared" si="68"/>
        <v>2.5084665013369464E-2</v>
      </c>
      <c r="AW139" s="23">
        <f t="shared" si="68"/>
        <v>2.5028851178911779E-2</v>
      </c>
      <c r="AX139" s="23">
        <f t="shared" si="68"/>
        <v>2.4983560577928138E-2</v>
      </c>
      <c r="AY139" s="23">
        <f t="shared" si="68"/>
        <v>2.4945404480249747E-2</v>
      </c>
      <c r="AZ139" s="23">
        <f t="shared" si="68"/>
        <v>2.4912423779306705E-2</v>
      </c>
      <c r="BA139" s="23">
        <f t="shared" si="68"/>
        <v>2.4883437656730942E-2</v>
      </c>
      <c r="BB139" s="23">
        <f t="shared" si="68"/>
        <v>2.4857694422210183E-2</v>
      </c>
      <c r="BC139" s="23">
        <f t="shared" si="68"/>
        <v>2.4834683667806765E-2</v>
      </c>
      <c r="BD139" s="23">
        <f t="shared" si="68"/>
        <v>2.481403468538082E-2</v>
      </c>
      <c r="BE139" s="23">
        <f t="shared" si="68"/>
        <v>2.4810204112336101E-2</v>
      </c>
      <c r="BF139" s="23">
        <f t="shared" si="68"/>
        <v>2.4793196009623791E-2</v>
      </c>
      <c r="BG139" s="23">
        <f t="shared" si="68"/>
        <v>2.477401569406272E-2</v>
      </c>
      <c r="BH139" s="23">
        <f t="shared" si="68"/>
        <v>2.4756323505554678E-2</v>
      </c>
      <c r="BI139" s="23">
        <f t="shared" si="68"/>
        <v>2.4740964734884158E-2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69">+B140/(1+C131)^10</f>
        <v>1.0364389220489716</v>
      </c>
      <c r="D140" s="23">
        <f t="shared" si="69"/>
        <v>1.0359047790405616</v>
      </c>
      <c r="E140" s="23">
        <f t="shared" si="69"/>
        <v>1.0447262856666089</v>
      </c>
      <c r="F140" s="23">
        <f t="shared" si="69"/>
        <v>0.86887198603326177</v>
      </c>
      <c r="G140" s="23">
        <f t="shared" si="69"/>
        <v>0.65512782302328987</v>
      </c>
      <c r="H140" s="23">
        <f t="shared" si="69"/>
        <v>0.55270010155465243</v>
      </c>
      <c r="I140" s="23">
        <f t="shared" si="69"/>
        <v>0.46298769833127601</v>
      </c>
      <c r="J140" s="23">
        <f t="shared" si="69"/>
        <v>0.39019685142911581</v>
      </c>
      <c r="K140" s="23">
        <f t="shared" si="69"/>
        <v>0.32230994787585232</v>
      </c>
      <c r="L140" s="23">
        <f t="shared" si="69"/>
        <v>0.25675863434683982</v>
      </c>
      <c r="M140" s="23">
        <f t="shared" si="69"/>
        <v>0.20339083122396259</v>
      </c>
      <c r="N140" s="23">
        <f t="shared" si="69"/>
        <v>0.16019103399740225</v>
      </c>
      <c r="O140" s="23">
        <f t="shared" si="69"/>
        <v>0.12340541895624636</v>
      </c>
      <c r="P140" s="23">
        <f t="shared" si="69"/>
        <v>9.5290780166568861E-2</v>
      </c>
      <c r="Q140" s="23">
        <f t="shared" si="69"/>
        <v>7.382866941605444E-2</v>
      </c>
      <c r="R140" s="23">
        <f t="shared" si="69"/>
        <v>5.6331359156897069E-2</v>
      </c>
      <c r="S140" s="23">
        <f t="shared" si="69"/>
        <v>4.3998050714484656E-2</v>
      </c>
      <c r="T140" s="23">
        <f t="shared" si="69"/>
        <v>3.8091457261194728E-2</v>
      </c>
      <c r="U140" s="23">
        <f t="shared" si="69"/>
        <v>3.3588933960501284E-2</v>
      </c>
      <c r="V140" s="23">
        <f t="shared" si="69"/>
        <v>2.745492583045548E-2</v>
      </c>
      <c r="W140" s="23">
        <f t="shared" si="69"/>
        <v>2.2561614349940626E-2</v>
      </c>
      <c r="X140" s="23">
        <f t="shared" si="69"/>
        <v>1.8853317575314988E-2</v>
      </c>
      <c r="Y140" s="23">
        <f t="shared" si="69"/>
        <v>1.5934695998923946E-2</v>
      </c>
      <c r="Z140" s="23">
        <f t="shared" si="69"/>
        <v>1.3700842913752422E-2</v>
      </c>
      <c r="AA140" s="23">
        <f t="shared" si="69"/>
        <v>1.1649081309778243E-2</v>
      </c>
      <c r="AB140" s="23">
        <f t="shared" si="69"/>
        <v>9.6132765540069033E-3</v>
      </c>
      <c r="AC140" s="23">
        <f t="shared" si="69"/>
        <v>7.8081078192692877E-3</v>
      </c>
      <c r="AD140" s="23">
        <f t="shared" si="69"/>
        <v>6.3584274412957775E-3</v>
      </c>
      <c r="AE140" s="23">
        <f t="shared" si="69"/>
        <v>5.4607582945548081E-3</v>
      </c>
      <c r="AF140" s="23">
        <f t="shared" si="69"/>
        <v>4.614926652401828E-3</v>
      </c>
      <c r="AG140" s="23">
        <f t="shared" si="69"/>
        <v>3.8550542211773006E-3</v>
      </c>
      <c r="AH140" s="23">
        <f t="shared" si="69"/>
        <v>9.6463442195357909E-4</v>
      </c>
      <c r="AI140" s="23">
        <f t="shared" ref="AI140:BG140" si="70">+AH140/(1+AI131)^10</f>
        <v>1.7676584156553444E-4</v>
      </c>
      <c r="AJ140" s="23">
        <f t="shared" si="70"/>
        <v>9.3500125997901155E-5</v>
      </c>
      <c r="AK140" s="23">
        <f t="shared" si="70"/>
        <v>6.3534216421175596E-5</v>
      </c>
      <c r="AL140" s="23">
        <f t="shared" si="70"/>
        <v>4.7445090794726213E-5</v>
      </c>
      <c r="AM140" s="23">
        <f t="shared" si="70"/>
        <v>3.6966332758962737E-5</v>
      </c>
      <c r="AN140" s="23">
        <f t="shared" si="70"/>
        <v>2.9415178734374908E-5</v>
      </c>
      <c r="AO140" s="23">
        <f t="shared" si="70"/>
        <v>2.3667955475050102E-5</v>
      </c>
      <c r="AP140" s="23">
        <f t="shared" si="70"/>
        <v>1.9160802216428099E-5</v>
      </c>
      <c r="AQ140" s="23">
        <f t="shared" si="70"/>
        <v>1.5567062393617794E-5</v>
      </c>
      <c r="AR140" s="23">
        <f t="shared" si="70"/>
        <v>1.2674731477613548E-5</v>
      </c>
      <c r="AS140" s="23">
        <f t="shared" si="70"/>
        <v>1.0334289545870476E-5</v>
      </c>
      <c r="AT140" s="23">
        <f t="shared" si="70"/>
        <v>8.4342519488240873E-6</v>
      </c>
      <c r="AU140" s="23">
        <f t="shared" si="70"/>
        <v>6.8885534644080295E-6</v>
      </c>
      <c r="AV140" s="23">
        <f t="shared" si="70"/>
        <v>5.629351752023607E-6</v>
      </c>
      <c r="AW140" s="23">
        <f t="shared" si="70"/>
        <v>4.602504342740518E-6</v>
      </c>
      <c r="AX140" s="23">
        <f t="shared" si="70"/>
        <v>3.7644820145312602E-6</v>
      </c>
      <c r="AY140" s="23">
        <f t="shared" si="70"/>
        <v>3.0801289294173884E-6</v>
      </c>
      <c r="AZ140" s="23">
        <f t="shared" si="70"/>
        <v>2.5209684662619651E-6</v>
      </c>
      <c r="BA140" s="23">
        <f t="shared" si="70"/>
        <v>2.0638877721172996E-6</v>
      </c>
      <c r="BB140" s="23">
        <f t="shared" si="70"/>
        <v>1.6900998092719623E-6</v>
      </c>
      <c r="BC140" s="23">
        <f t="shared" si="70"/>
        <v>1.3843162416680563E-6</v>
      </c>
      <c r="BD140" s="23">
        <f t="shared" si="70"/>
        <v>1.1339475673441909E-6</v>
      </c>
      <c r="BE140" s="23">
        <f t="shared" si="70"/>
        <v>9.2895642771206739E-7</v>
      </c>
      <c r="BF140" s="23">
        <f t="shared" si="70"/>
        <v>7.6120438770732624E-7</v>
      </c>
      <c r="BG140" s="23">
        <f t="shared" si="70"/>
        <v>6.2387111291991441E-7</v>
      </c>
      <c r="BH140" s="23">
        <f>+BG140</f>
        <v>6.2387111291991441E-7</v>
      </c>
      <c r="BI140" s="23">
        <f>+BH140</f>
        <v>6.2387111291991441E-7</v>
      </c>
    </row>
    <row r="141" spans="1:61" ht="18" customHeight="1" x14ac:dyDescent="0.2">
      <c r="A141" s="23" t="s">
        <v>208</v>
      </c>
      <c r="B141" s="23">
        <f t="shared" ref="B141:K141" si="71">+B139-C131</f>
        <v>0.35504579905142186</v>
      </c>
      <c r="C141" s="23">
        <f t="shared" si="71"/>
        <v>5.863635645944016E-2</v>
      </c>
      <c r="D141" s="23">
        <f t="shared" si="71"/>
        <v>2.1857670895258564E-2</v>
      </c>
      <c r="E141" s="23">
        <f t="shared" si="71"/>
        <v>-3.7366803893648902E-3</v>
      </c>
      <c r="F141" s="23">
        <f t="shared" si="71"/>
        <v>-1.7339108211216914E-2</v>
      </c>
      <c r="G141" s="23">
        <f t="shared" si="71"/>
        <v>1.8752166809979764E-2</v>
      </c>
      <c r="H141" s="23">
        <f t="shared" si="71"/>
        <v>1.2657553213055645E-2</v>
      </c>
      <c r="I141" s="23">
        <f t="shared" si="71"/>
        <v>1.1952492555605002E-2</v>
      </c>
      <c r="J141" s="23">
        <f t="shared" si="71"/>
        <v>1.0167080070841057E-2</v>
      </c>
      <c r="K141" s="23">
        <f t="shared" si="71"/>
        <v>5.6476588240570585E-3</v>
      </c>
    </row>
    <row r="142" spans="1:61" ht="18" customHeight="1" x14ac:dyDescent="0.2">
      <c r="A142" s="23" t="s">
        <v>13</v>
      </c>
      <c r="B142" s="23"/>
      <c r="C142" s="23">
        <f>+EXP(C128-0.1)</f>
        <v>1.0241837344495786</v>
      </c>
      <c r="D142" s="23">
        <f>+EXP(D128-0.1)</f>
        <v>0.98626698871241536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103.75234124248539</v>
      </c>
    </row>
    <row r="145" spans="1:74" ht="18" customHeight="1" x14ac:dyDescent="0.2">
      <c r="A145" s="23" t="s">
        <v>150</v>
      </c>
      <c r="B145" s="23">
        <f>+SUMPRODUCT(B140:AE140*B84:AE84)*10</f>
        <v>106.77900274648636</v>
      </c>
    </row>
    <row r="146" spans="1:74" ht="18" customHeight="1" x14ac:dyDescent="0.2">
      <c r="A146" s="23" t="s">
        <v>151</v>
      </c>
      <c r="B146" s="23">
        <f>+SUMPRODUCT(B140:BI140*B84:BI84)*10</f>
        <v>107.19207934141245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2">+B148/(1+B79)^10</f>
        <v>1.0732296949637317</v>
      </c>
      <c r="D148" s="23">
        <f t="shared" si="72"/>
        <v>1.099147720630328</v>
      </c>
      <c r="E148" s="23">
        <f t="shared" si="72"/>
        <v>1.0748979170641486</v>
      </c>
      <c r="F148" s="23">
        <f t="shared" si="72"/>
        <v>1.0902369857135048</v>
      </c>
      <c r="G148" s="23">
        <f t="shared" si="72"/>
        <v>0.70791786723580152</v>
      </c>
      <c r="H148" s="23">
        <f t="shared" si="72"/>
        <v>0.57883474695845871</v>
      </c>
      <c r="I148" s="23">
        <f t="shared" si="72"/>
        <v>0.47138349597327378</v>
      </c>
      <c r="J148" s="23">
        <f t="shared" si="72"/>
        <v>0.3799014334272291</v>
      </c>
      <c r="K148" s="23">
        <f t="shared" si="72"/>
        <v>0.31322184088533106</v>
      </c>
      <c r="L148" s="23">
        <f t="shared" si="72"/>
        <v>0.24634362236621024</v>
      </c>
      <c r="M148" s="23">
        <f t="shared" si="72"/>
        <v>0.19493966090443718</v>
      </c>
      <c r="N148" s="23">
        <f t="shared" si="72"/>
        <v>0.15407985684309691</v>
      </c>
      <c r="O148" s="23">
        <f t="shared" si="72"/>
        <v>0.12049983946164385</v>
      </c>
      <c r="P148" s="23">
        <f t="shared" si="72"/>
        <v>9.1017363820112898E-2</v>
      </c>
      <c r="Q148" s="23">
        <f t="shared" si="72"/>
        <v>7.1525320975483905E-2</v>
      </c>
      <c r="R148" s="23">
        <f t="shared" si="72"/>
        <v>5.4398692297768586E-2</v>
      </c>
      <c r="S148" s="23">
        <f t="shared" si="72"/>
        <v>4.1425897155081749E-2</v>
      </c>
      <c r="T148" s="23">
        <f t="shared" si="72"/>
        <v>3.3055920095371706E-2</v>
      </c>
      <c r="U148" s="23">
        <f t="shared" si="72"/>
        <v>3.105428949701777E-2</v>
      </c>
      <c r="V148" s="23">
        <f t="shared" si="72"/>
        <v>2.5788409735787152E-2</v>
      </c>
      <c r="W148" s="23">
        <f t="shared" si="72"/>
        <v>2.0875642336480139E-2</v>
      </c>
      <c r="X148" s="23">
        <f t="shared" si="72"/>
        <v>1.7573081505363748E-2</v>
      </c>
      <c r="Y148" s="23">
        <f t="shared" si="72"/>
        <v>1.4718867147961879E-2</v>
      </c>
      <c r="Z148" s="23">
        <f t="shared" si="72"/>
        <v>1.2680385942709833E-2</v>
      </c>
      <c r="AA148" s="23">
        <f t="shared" si="72"/>
        <v>1.0997490655988059E-2</v>
      </c>
      <c r="AB148" s="23">
        <f t="shared" si="72"/>
        <v>9.2614724107720377E-3</v>
      </c>
      <c r="AC148" s="23">
        <f t="shared" si="72"/>
        <v>7.5587233674440707E-3</v>
      </c>
      <c r="AD148" s="23">
        <f t="shared" si="72"/>
        <v>6.1623314720612669E-3</v>
      </c>
      <c r="AE148" s="23">
        <f t="shared" si="72"/>
        <v>5.0561476995759315E-3</v>
      </c>
      <c r="AF148" s="23">
        <f t="shared" si="72"/>
        <v>4.5812956785699086E-3</v>
      </c>
      <c r="AG148" s="23">
        <f t="shared" si="72"/>
        <v>3.6185462744219997E-3</v>
      </c>
      <c r="AH148" s="23">
        <f t="shared" si="72"/>
        <v>3.1935447620693481E-3</v>
      </c>
      <c r="AI148" s="23">
        <f t="shared" ref="AI148:BI148" si="73">+AH148/(1+AH79)^10</f>
        <v>1.8570570935342939E-4</v>
      </c>
      <c r="AJ148" s="23">
        <f t="shared" si="73"/>
        <v>7.9226443872488153E-5</v>
      </c>
      <c r="AK148" s="23">
        <f t="shared" si="73"/>
        <v>4.9960380228460692E-5</v>
      </c>
      <c r="AL148" s="23">
        <f t="shared" si="73"/>
        <v>3.6112753673471474E-5</v>
      </c>
      <c r="AM148" s="23">
        <f t="shared" si="73"/>
        <v>2.7683501774897937E-5</v>
      </c>
      <c r="AN148" s="23">
        <f t="shared" si="73"/>
        <v>2.1833870088153913E-5</v>
      </c>
      <c r="AO148" s="23">
        <f t="shared" si="73"/>
        <v>1.7475673254176423E-5</v>
      </c>
      <c r="AP148" s="23">
        <f t="shared" si="73"/>
        <v>1.4099684290351276E-5</v>
      </c>
      <c r="AQ148" s="23">
        <f t="shared" si="73"/>
        <v>1.1427609129439643E-5</v>
      </c>
      <c r="AR148" s="23">
        <f t="shared" si="73"/>
        <v>9.2870144155667892E-6</v>
      </c>
      <c r="AS148" s="23">
        <f t="shared" si="73"/>
        <v>7.5603093889858261E-6</v>
      </c>
      <c r="AT148" s="23">
        <f t="shared" si="73"/>
        <v>6.1617640406039819E-6</v>
      </c>
      <c r="AU148" s="23">
        <f t="shared" si="73"/>
        <v>5.0261348429328467E-6</v>
      </c>
      <c r="AV148" s="23">
        <f t="shared" si="73"/>
        <v>4.1024528297748657E-6</v>
      </c>
      <c r="AW148" s="23">
        <f t="shared" si="73"/>
        <v>3.3502762096236741E-6</v>
      </c>
      <c r="AX148" s="23">
        <f t="shared" si="73"/>
        <v>2.7372179430739394E-6</v>
      </c>
      <c r="AY148" s="23">
        <f t="shared" si="73"/>
        <v>2.2371953859648362E-6</v>
      </c>
      <c r="AZ148" s="23">
        <f t="shared" si="73"/>
        <v>1.8291283112741533E-6</v>
      </c>
      <c r="BA148" s="23">
        <f t="shared" si="73"/>
        <v>1.4959389382726448E-6</v>
      </c>
      <c r="BB148" s="23">
        <f t="shared" si="73"/>
        <v>1.2237685186707067E-6</v>
      </c>
      <c r="BC148" s="23">
        <f t="shared" si="73"/>
        <v>1.0013560774171458E-6</v>
      </c>
      <c r="BD148" s="23">
        <f t="shared" si="73"/>
        <v>8.1954201297705196E-7</v>
      </c>
      <c r="BE148" s="23">
        <f t="shared" si="73"/>
        <v>6.7070458828725461E-7</v>
      </c>
      <c r="BF148" s="23">
        <f t="shared" si="73"/>
        <v>5.490415161462162E-7</v>
      </c>
      <c r="BG148" s="23">
        <f t="shared" si="73"/>
        <v>4.495484933919945E-7</v>
      </c>
      <c r="BH148" s="23">
        <f t="shared" si="73"/>
        <v>3.6815380145612194E-7</v>
      </c>
      <c r="BI148" s="23">
        <f t="shared" si="73"/>
        <v>3.1722606694869539E-7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107.51911287006436</v>
      </c>
    </row>
    <row r="152" spans="1:74" ht="18" customHeight="1" x14ac:dyDescent="0.2">
      <c r="A152" s="23" t="s">
        <v>150</v>
      </c>
      <c r="B152" s="23">
        <f>+SUMPRODUCT(B148:AE148*B84:AE84)*10</f>
        <v>110.35741426182361</v>
      </c>
    </row>
    <row r="153" spans="1:74" ht="18" customHeight="1" x14ac:dyDescent="0.2">
      <c r="A153" s="23" t="s">
        <v>151</v>
      </c>
      <c r="B153" s="23">
        <f>+SUMPRODUCT(B148:BI148*B84:BI84)*10</f>
        <v>110.78733286217597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1.2805855118474083E-3</v>
      </c>
      <c r="C155" s="29">
        <f t="shared" ref="C155:BI155" si="74">+C63*C61</f>
        <v>1.0533203731447483E-3</v>
      </c>
      <c r="D155" s="29">
        <f t="shared" si="74"/>
        <v>5.2625654895815596E-4</v>
      </c>
      <c r="E155" s="29">
        <f t="shared" si="74"/>
        <v>4.9986527097362543E-4</v>
      </c>
      <c r="F155" s="29">
        <f t="shared" si="74"/>
        <v>5.8070253770992162E-4</v>
      </c>
      <c r="G155" s="29">
        <f t="shared" si="74"/>
        <v>9.9790747797734967E-4</v>
      </c>
      <c r="H155" s="29">
        <f t="shared" si="74"/>
        <v>7.4083271201037218E-4</v>
      </c>
      <c r="I155" s="29">
        <f t="shared" si="74"/>
        <v>1.0756409143303967E-3</v>
      </c>
      <c r="J155" s="29">
        <f t="shared" si="74"/>
        <v>1.5224264006597514E-3</v>
      </c>
      <c r="K155" s="29">
        <f t="shared" si="74"/>
        <v>9.0050870531575107E-4</v>
      </c>
      <c r="L155" s="29">
        <f t="shared" si="74"/>
        <v>9.8277879588731082E-4</v>
      </c>
      <c r="M155" s="29">
        <f t="shared" si="74"/>
        <v>1.496403303247874E-3</v>
      </c>
      <c r="N155" s="29">
        <f t="shared" si="74"/>
        <v>1.9812927527108433E-3</v>
      </c>
      <c r="O155" s="29">
        <f t="shared" si="74"/>
        <v>2.0818741113728888E-3</v>
      </c>
      <c r="P155" s="29">
        <f t="shared" si="74"/>
        <v>1.8838792466552754E-3</v>
      </c>
      <c r="Q155" s="29">
        <f t="shared" si="74"/>
        <v>2.7028706708186446E-3</v>
      </c>
      <c r="R155" s="29">
        <f t="shared" si="74"/>
        <v>2.7839559199212657E-3</v>
      </c>
      <c r="S155" s="29">
        <f t="shared" si="74"/>
        <v>3.1642218625592554E-3</v>
      </c>
      <c r="T155" s="29">
        <f t="shared" si="74"/>
        <v>2.6218789279151434E-3</v>
      </c>
      <c r="U155" s="29">
        <f t="shared" si="74"/>
        <v>3.11865637054006E-3</v>
      </c>
      <c r="V155" s="29">
        <f t="shared" si="74"/>
        <v>3.6667384650092474E-3</v>
      </c>
      <c r="W155" s="29">
        <f t="shared" si="74"/>
        <v>3.1295151804073807E-3</v>
      </c>
      <c r="X155" s="29">
        <f t="shared" si="74"/>
        <v>3.4749396452466532E-3</v>
      </c>
      <c r="Y155" s="29">
        <f t="shared" si="74"/>
        <v>3.7852893441424735E-3</v>
      </c>
      <c r="Z155" s="29">
        <f t="shared" si="74"/>
        <v>4.2630729855051477E-3</v>
      </c>
      <c r="AA155" s="29">
        <f t="shared" si="74"/>
        <v>5.5895305991636663E-3</v>
      </c>
      <c r="AB155" s="29">
        <f t="shared" si="74"/>
        <v>6.7665966916626826E-3</v>
      </c>
      <c r="AC155" s="29">
        <f t="shared" si="74"/>
        <v>6.1873209210130849E-3</v>
      </c>
      <c r="AD155" s="29">
        <f t="shared" si="74"/>
        <v>5.8051399964007353E-3</v>
      </c>
      <c r="AE155" s="29">
        <f t="shared" si="74"/>
        <v>7.3873492873371719E-3</v>
      </c>
      <c r="AF155" s="29">
        <f t="shared" si="74"/>
        <v>7.5067681962338101E-3</v>
      </c>
      <c r="AG155" s="29">
        <f t="shared" si="74"/>
        <v>6.2632049807541607E-3</v>
      </c>
      <c r="AH155" s="29">
        <f t="shared" si="74"/>
        <v>6.5904475232117588E-3</v>
      </c>
      <c r="AI155" s="29">
        <f t="shared" si="74"/>
        <v>5.907580836578754E-2</v>
      </c>
      <c r="AJ155" s="29">
        <f t="shared" si="74"/>
        <v>1.1384621196218952E-2</v>
      </c>
      <c r="AK155" s="29">
        <f t="shared" si="74"/>
        <v>1.5754302119897472E-2</v>
      </c>
      <c r="AL155" s="29">
        <f t="shared" si="74"/>
        <v>1.8665467899502831E-2</v>
      </c>
      <c r="AM155" s="29">
        <f t="shared" si="74"/>
        <v>2.0790351782947424E-2</v>
      </c>
      <c r="AN155" s="29">
        <f t="shared" si="74"/>
        <v>2.2504997834168244E-2</v>
      </c>
      <c r="AO155" s="29">
        <f t="shared" si="74"/>
        <v>2.4013520546222668E-2</v>
      </c>
      <c r="AP155" s="29">
        <f t="shared" si="74"/>
        <v>2.5429086937609716E-2</v>
      </c>
      <c r="AQ155" s="29">
        <f t="shared" si="74"/>
        <v>2.68157389402514E-2</v>
      </c>
      <c r="AR155" s="29">
        <f t="shared" si="74"/>
        <v>2.8210545617458126E-2</v>
      </c>
      <c r="AS155" s="29">
        <f t="shared" si="74"/>
        <v>2.9635644545752109E-2</v>
      </c>
      <c r="AT155" s="29">
        <f t="shared" si="74"/>
        <v>3.1104891328911644E-2</v>
      </c>
      <c r="AU155" s="29">
        <f t="shared" si="74"/>
        <v>3.2627564330699348E-2</v>
      </c>
      <c r="AV155" s="29">
        <f t="shared" si="74"/>
        <v>3.4210439291217733E-2</v>
      </c>
      <c r="AW155" s="29">
        <f t="shared" si="74"/>
        <v>3.5858955103087967E-2</v>
      </c>
      <c r="AX155" s="29">
        <f t="shared" si="74"/>
        <v>3.7577871082139912E-2</v>
      </c>
      <c r="AY155" s="29">
        <f t="shared" si="74"/>
        <v>3.9371639298048544E-2</v>
      </c>
      <c r="AZ155" s="29">
        <f t="shared" si="74"/>
        <v>4.1244617202351126E-2</v>
      </c>
      <c r="BA155" s="29">
        <f t="shared" si="74"/>
        <v>4.3201190814077126E-2</v>
      </c>
      <c r="BB155" s="29">
        <f t="shared" si="74"/>
        <v>4.5245847905816969E-2</v>
      </c>
      <c r="BC155" s="29">
        <f t="shared" si="74"/>
        <v>4.7383223338378015E-2</v>
      </c>
      <c r="BD155" s="29">
        <f t="shared" si="74"/>
        <v>4.9618128982401623E-2</v>
      </c>
      <c r="BE155" s="29">
        <f t="shared" si="74"/>
        <v>5.1955575213879779E-2</v>
      </c>
      <c r="BF155" s="29">
        <f t="shared" si="74"/>
        <v>5.4402561933545965E-2</v>
      </c>
      <c r="BG155" s="29">
        <f t="shared" si="74"/>
        <v>5.6963367807255832E-2</v>
      </c>
      <c r="BH155" s="29">
        <f t="shared" si="74"/>
        <v>5.9642765826102617E-2</v>
      </c>
      <c r="BI155" s="29">
        <f t="shared" si="74"/>
        <v>6.2446520366833749E-2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CD47" activePane="bottomRight" state="frozen"/>
      <selection pane="topRight" activeCell="J1" sqref="J1"/>
      <selection pane="bottomLeft" activeCell="A4" sqref="A4"/>
      <selection pane="bottomRight" activeCell="B64" sqref="B64:CV64"/>
    </sheetView>
  </sheetViews>
  <sheetFormatPr baseColWidth="10" defaultColWidth="11.6640625" defaultRowHeight="18" customHeight="1" x14ac:dyDescent="0.2"/>
  <cols>
    <col min="1" max="1" width="63.6640625" style="21" customWidth="1"/>
    <col min="2" max="2" width="11.6640625" style="29" customWidth="1"/>
    <col min="3" max="3" width="12.6640625" style="23" bestFit="1" customWidth="1"/>
    <col min="4" max="4" width="12.1640625" style="23" bestFit="1" customWidth="1"/>
    <col min="5" max="7" width="11.83203125" style="23" bestFit="1" customWidth="1"/>
    <col min="8" max="8" width="13.5" style="23" bestFit="1" customWidth="1"/>
    <col min="9" max="10" width="11.83203125" style="23" bestFit="1" customWidth="1"/>
    <col min="11" max="16384" width="11.6640625" style="23"/>
  </cols>
  <sheetData>
    <row r="1" spans="1:61" ht="18" customHeight="1" x14ac:dyDescent="0.2">
      <c r="A1" s="21" t="s">
        <v>54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+Parameters!K35</f>
        <v>0.3</v>
      </c>
    </row>
    <row r="8" spans="1:61" ht="18" customHeight="1" x14ac:dyDescent="0.2">
      <c r="A8" s="21" t="s">
        <v>108</v>
      </c>
      <c r="B8" s="31">
        <f>+Parameters!K36</f>
        <v>0.1</v>
      </c>
    </row>
    <row r="9" spans="1:61" ht="18" customHeight="1" x14ac:dyDescent="0.2">
      <c r="A9" s="23" t="s">
        <v>49</v>
      </c>
      <c r="B9" s="29">
        <f>Parameters!K37</f>
        <v>5.3332327426145003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 x14ac:dyDescent="0.2">
      <c r="A11" s="23" t="s">
        <v>38</v>
      </c>
      <c r="B11" s="29">
        <f>+Parameters!K39</f>
        <v>9.2609350350421433</v>
      </c>
    </row>
    <row r="12" spans="1:61" ht="18" customHeight="1" x14ac:dyDescent="0.2">
      <c r="A12" s="23" t="s">
        <v>162</v>
      </c>
      <c r="B12" s="29">
        <f>+Parameters!K40</f>
        <v>2.2708227004455939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+Parameters!K43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+Parameters!K45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 x14ac:dyDescent="0.2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 x14ac:dyDescent="0.2">
      <c r="A21" s="21" t="s">
        <v>190</v>
      </c>
      <c r="B21" s="29">
        <f>+Parameters!K40</f>
        <v>2.2708227004455939</v>
      </c>
    </row>
    <row r="22" spans="1:103" ht="18" customHeight="1" x14ac:dyDescent="0.2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+Parameters!K51</f>
        <v>7.8458281280446962E-2</v>
      </c>
    </row>
    <row r="25" spans="1:103" ht="18" customHeight="1" x14ac:dyDescent="0.2">
      <c r="A25" s="21" t="s">
        <v>182</v>
      </c>
      <c r="B25" s="29">
        <f>+Parameters!K52</f>
        <v>0.12589302830091467</v>
      </c>
    </row>
    <row r="26" spans="1:103" ht="18" customHeight="1" x14ac:dyDescent="0.2">
      <c r="A26" s="21" t="s">
        <v>47</v>
      </c>
      <c r="B26" s="29">
        <f>+Parameters!K53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+Parameters!K54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+Parameters!K55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2.2588686544339235E-3</v>
      </c>
      <c r="AB31" s="33">
        <f t="shared" si="7"/>
        <v>2.090614402247417E-3</v>
      </c>
      <c r="AC31" s="33">
        <f t="shared" si="7"/>
        <v>1.9390653566817744E-3</v>
      </c>
      <c r="AD31" s="33">
        <f t="shared" si="7"/>
        <v>1.8021115875624378E-3</v>
      </c>
      <c r="AE31" s="33">
        <f t="shared" si="7"/>
        <v>1.6779677124637488E-3</v>
      </c>
      <c r="AF31" s="33">
        <f t="shared" si="7"/>
        <v>1.5651149982641732E-3</v>
      </c>
      <c r="AG31" s="33">
        <f t="shared" si="7"/>
        <v>1.4622549963836686E-3</v>
      </c>
      <c r="AH31" s="33">
        <f t="shared" si="7"/>
        <v>1.3682722018652984E-3</v>
      </c>
      <c r="AI31" s="33">
        <f t="shared" si="7"/>
        <v>1.2822038158880179E-3</v>
      </c>
      <c r="AJ31" s="33">
        <f t="shared" si="7"/>
        <v>1.2032151325838032E-3</v>
      </c>
      <c r="AK31" s="33">
        <f t="shared" si="7"/>
        <v>1.1305794037346046E-3</v>
      </c>
      <c r="AL31" s="33">
        <f t="shared" si="7"/>
        <v>1.0636612874506276E-3</v>
      </c>
      <c r="AM31" s="33">
        <f t="shared" si="7"/>
        <v>1.0019031798386227E-3</v>
      </c>
      <c r="AN31" s="33">
        <f t="shared" si="7"/>
        <v>9.4481387694277412E-4</v>
      </c>
      <c r="AO31" s="33">
        <f t="shared" si="7"/>
        <v>8.9195912888217078E-4</v>
      </c>
      <c r="AP31" s="33">
        <f t="shared" si="7"/>
        <v>8.4295373724810265E-4</v>
      </c>
      <c r="AQ31" s="33">
        <f t="shared" si="7"/>
        <v>7.9745491650976322E-4</v>
      </c>
      <c r="AR31" s="33">
        <f t="shared" si="7"/>
        <v>7.5515669493598971E-4</v>
      </c>
      <c r="AS31" s="33">
        <f t="shared" si="7"/>
        <v>7.1578517378343234E-4</v>
      </c>
      <c r="AT31" s="33">
        <f t="shared" si="7"/>
        <v>6.7909449781132611E-4</v>
      </c>
      <c r="AU31" s="33">
        <f t="shared" si="7"/>
        <v>6.4486341752796193E-4</v>
      </c>
      <c r="AV31" s="33">
        <f t="shared" si="7"/>
        <v>6.1289234546173656E-4</v>
      </c>
      <c r="AW31" s="33">
        <f t="shared" si="7"/>
        <v>5.8300082634131305E-4</v>
      </c>
      <c r="AX31" s="33">
        <f t="shared" si="7"/>
        <v>5.5502535526366517E-4</v>
      </c>
      <c r="AY31" s="33">
        <f t="shared" si="7"/>
        <v>5.288174894246074E-4</v>
      </c>
      <c r="AZ31" s="33">
        <f t="shared" si="7"/>
        <v>5.0424220833013473E-4</v>
      </c>
      <c r="BA31" s="33">
        <f t="shared" si="7"/>
        <v>4.8117648502741384E-4</v>
      </c>
      <c r="BB31" s="33">
        <f t="shared" si="7"/>
        <v>4.5950803712974949E-4</v>
      </c>
      <c r="BC31" s="33">
        <f t="shared" si="7"/>
        <v>4.3913423152812646E-4</v>
      </c>
      <c r="BD31" s="33">
        <f t="shared" si="7"/>
        <v>4.1996112089587529E-4</v>
      </c>
      <c r="BE31" s="33">
        <f t="shared" si="7"/>
        <v>2.0464132817062472E-4</v>
      </c>
      <c r="BF31" s="33">
        <f t="shared" si="7"/>
        <v>9.9726469318347355E-5</v>
      </c>
      <c r="BG31" s="33">
        <f t="shared" si="7"/>
        <v>4.8602330687740713E-5</v>
      </c>
      <c r="BH31" s="33">
        <f t="shared" si="7"/>
        <v>2.3688106521823335E-5</v>
      </c>
      <c r="BI31" s="33">
        <f t="shared" si="7"/>
        <v>1.1545893248371695E-5</v>
      </c>
    </row>
    <row r="32" spans="1:103" s="33" customFormat="1" ht="18" customHeight="1" x14ac:dyDescent="0.2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0.30839184314411128</v>
      </c>
      <c r="AB36" s="23">
        <f>+IF(AB4&gt;$B$37,AA36*Parameters!$B$105,$B$33*$B$32+(AA36-$B$33*$B$32)*(1-$B$34))</f>
        <v>0.29738225098690574</v>
      </c>
      <c r="AC36" s="23">
        <f>+IF(AC4&gt;$B$37,AB36*Parameters!$B$105,$B$33*$B$32+(AB36-$B$33*$B$32)*(1-$B$34))</f>
        <v>0.28692313843756045</v>
      </c>
      <c r="AD36" s="23">
        <f>+IF(AD4&gt;$B$37,AC36*Parameters!$B$105,$B$33*$B$32+(AC36-$B$33*$B$32)*(1-$B$34))</f>
        <v>0.27698698151568246</v>
      </c>
      <c r="AE36" s="23">
        <f>+IF(AE4&gt;$B$37,AD36*Parameters!$B$105,$B$33*$B$32+(AD36-$B$33*$B$32)*(1-$B$34))</f>
        <v>0.26754763243989832</v>
      </c>
      <c r="AF36" s="23">
        <f>+IF(AF4&gt;$B$37,AE36*Parameters!$B$105,$B$33*$B$32+(AE36-$B$33*$B$32)*(1-$B$34))</f>
        <v>0.25858025081790337</v>
      </c>
      <c r="AG36" s="23">
        <f>+IF(AG4&gt;$B$37,AF36*Parameters!$B$105,$B$33*$B$32+(AF36-$B$33*$B$32)*(1-$B$34))</f>
        <v>0.25006123827700821</v>
      </c>
      <c r="AH36" s="23">
        <f>+IF(AH4&gt;$B$37,AG36*Parameters!$B$105,$B$33*$B$32+(AG36-$B$33*$B$32)*(1-$B$34))</f>
        <v>0.24196817636315779</v>
      </c>
      <c r="AI36" s="23">
        <f>+IF(AI4&gt;$B$37,AH36*Parameters!$B$105,$B$33*$B$32+(AH36-$B$33*$B$32)*(1-$B$34))</f>
        <v>0.23427976754499991</v>
      </c>
      <c r="AJ36" s="23">
        <f>+IF(AJ4&gt;$B$37,AI36*Parameters!$B$105,$B$33*$B$32+(AI36-$B$33*$B$32)*(1-$B$34))</f>
        <v>0.22697577916774991</v>
      </c>
      <c r="AK36" s="23">
        <f>+IF(AK4&gt;$B$37,AJ36*Parameters!$B$105,$B$33*$B$32+(AJ36-$B$33*$B$32)*(1-$B$34))</f>
        <v>0.2200369902093624</v>
      </c>
      <c r="AL36" s="23">
        <f>+IF(AL4&gt;$B$37,AK36*Parameters!$B$105,$B$33*$B$32+(AK36-$B$33*$B$32)*(1-$B$34))</f>
        <v>0.21344514069889428</v>
      </c>
      <c r="AM36" s="23">
        <f>+IF(AM4&gt;$B$37,AL36*Parameters!$B$105,$B$33*$B$32+(AL36-$B$33*$B$32)*(1-$B$34))</f>
        <v>0.20718288366394955</v>
      </c>
      <c r="AN36" s="23">
        <f>+IF(AN4&gt;$B$37,AM36*Parameters!$B$105,$B$33*$B$32+(AM36-$B$33*$B$32)*(1-$B$34))</f>
        <v>0.20123373948075207</v>
      </c>
      <c r="AO36" s="23">
        <f>+IF(AO4&gt;$B$37,AN36*Parameters!$B$105,$B$33*$B$32+(AN36-$B$33*$B$32)*(1-$B$34))</f>
        <v>0.19558205250671445</v>
      </c>
      <c r="AP36" s="23">
        <f>+IF(AP4&gt;$B$37,AO36*Parameters!$B$105,$B$33*$B$32+(AO36-$B$33*$B$32)*(1-$B$34))</f>
        <v>0.19021294988137871</v>
      </c>
      <c r="AQ36" s="23">
        <f>+IF(AQ4&gt;$B$37,AP36*Parameters!$B$105,$B$33*$B$32+(AP36-$B$33*$B$32)*(1-$B$34))</f>
        <v>0.18511230238730977</v>
      </c>
      <c r="AR36" s="23">
        <f>+IF(AR4&gt;$B$37,AQ36*Parameters!$B$105,$B$33*$B$32+(AQ36-$B$33*$B$32)*(1-$B$34))</f>
        <v>0.18026668726794429</v>
      </c>
      <c r="AS36" s="23">
        <f>+IF(AS4&gt;$B$37,AR36*Parameters!$B$105,$B$33*$B$32+(AR36-$B$33*$B$32)*(1-$B$34))</f>
        <v>0.17566335290454707</v>
      </c>
      <c r="AT36" s="23">
        <f>+IF(AT4&gt;$B$37,AS36*Parameters!$B$105,$B$33*$B$32+(AS36-$B$33*$B$32)*(1-$B$34))</f>
        <v>0.17129018525931972</v>
      </c>
      <c r="AU36" s="23">
        <f>+IF(AU4&gt;$B$37,AT36*Parameters!$B$105,$B$33*$B$32+(AT36-$B$33*$B$32)*(1-$B$34))</f>
        <v>0.16713567599635373</v>
      </c>
      <c r="AV36" s="23">
        <f>+IF(AV4&gt;$B$37,AU36*Parameters!$B$105,$B$33*$B$32+(AU36-$B$33*$B$32)*(1-$B$34))</f>
        <v>0.16318889219653604</v>
      </c>
      <c r="AW36" s="23">
        <f>+IF(AW4&gt;$B$37,AV36*Parameters!$B$105,$B$33*$B$32+(AV36-$B$33*$B$32)*(1-$B$34))</f>
        <v>0.15943944758670925</v>
      </c>
      <c r="AX36" s="23">
        <f>+IF(AX4&gt;$B$37,AW36*Parameters!$B$105,$B$33*$B$32+(AW36-$B$33*$B$32)*(1-$B$34))</f>
        <v>0.15587747520737377</v>
      </c>
      <c r="AY36" s="23">
        <f>+IF(AY4&gt;$B$37,AX36*Parameters!$B$105,$B$33*$B$32+(AX36-$B$33*$B$32)*(1-$B$34))</f>
        <v>0.15249360144700508</v>
      </c>
      <c r="AZ36" s="23">
        <f>+IF(AZ4&gt;$B$37,AY36*Parameters!$B$105,$B$33*$B$32+(AY36-$B$33*$B$32)*(1-$B$34))</f>
        <v>0.14927892137465482</v>
      </c>
      <c r="BA36" s="23">
        <f>+IF(BA4&gt;$B$37,AZ36*Parameters!$B$105,$B$33*$B$32+(AZ36-$B$33*$B$32)*(1-$B$34))</f>
        <v>0.14622497530592207</v>
      </c>
      <c r="BB36" s="23">
        <f>+IF(BB4&gt;$B$37,BA36*Parameters!$B$105,$B$33*$B$32+(BA36-$B$33*$B$32)*(1-$B$34))</f>
        <v>0.14332372654062597</v>
      </c>
      <c r="BC36" s="23">
        <f>+IF(BC4&gt;$B$37,BB36*Parameters!$B$105,$B$33*$B$32+(BB36-$B$33*$B$32)*(1-$B$34))</f>
        <v>0.14056754021359469</v>
      </c>
      <c r="BD36" s="23">
        <f>+IF(BD4&gt;$B$37,BC36*Parameters!$B$105,$B$33*$B$32+(BC36-$B$33*$B$32)*(1-$B$34))</f>
        <v>0.13794916320291495</v>
      </c>
      <c r="BE36" s="23">
        <f>+IF(BE4&gt;$B$37,BD36*Parameters!$B$105,$B$33*$B$32+(BD36-$B$33*$B$32)*(1-$B$34))</f>
        <v>6.8974581601457474E-2</v>
      </c>
      <c r="BF36" s="23">
        <f>+IF(BF4&gt;$B$37,BE36*Parameters!$B$105,$B$33*$B$32+(BE36-$B$33*$B$32)*(1-$B$34))</f>
        <v>3.4487290800728737E-2</v>
      </c>
      <c r="BG36" s="23">
        <f>+IF(BG4&gt;$B$37,BF36*Parameters!$B$105,$B$33*$B$32+(BF36-$B$33*$B$32)*(1-$B$34))</f>
        <v>1.7243645400364369E-2</v>
      </c>
      <c r="BH36" s="23">
        <f>+IF(BH4&gt;$B$37,BG36*Parameters!$B$105,$B$33*$B$32+(BG36-$B$33*$B$32)*(1-$B$34))</f>
        <v>8.6218227001821843E-3</v>
      </c>
      <c r="BI36" s="23">
        <f>+IF(BI4&gt;$B$37,BH36*Parameters!$B$105,$B$33*$B$32+(BH36-$B$33*$B$32)*(1-$B$34))</f>
        <v>4.3109113500910921E-3</v>
      </c>
    </row>
    <row r="37" spans="1:61 16384:16384" s="33" customFormat="1" ht="18" customHeight="1" x14ac:dyDescent="0.2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 x14ac:dyDescent="0.2">
      <c r="A41" s="21" t="s">
        <v>92</v>
      </c>
      <c r="B41" s="29">
        <f>+Parameters!K69</f>
        <v>0.30014462246061224</v>
      </c>
    </row>
    <row r="42" spans="1:61 16384:16384" s="45" customFormat="1" ht="18" customHeight="1" x14ac:dyDescent="0.2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 x14ac:dyDescent="0.2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 x14ac:dyDescent="0.2">
      <c r="A44" s="21" t="s">
        <v>23</v>
      </c>
      <c r="B44" s="29">
        <f>+Parameters!K70</f>
        <v>0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+Parameters!D136</f>
        <v>1.1718037733455092E-2</v>
      </c>
      <c r="C48" s="219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0.28208082784621008</v>
      </c>
      <c r="D50" s="44">
        <f>100*$B$49*(Global!C135*$B$48+Global!C135^2*$C$48)*(C61/$B61)^(1/$C$49)</f>
        <v>0.33450787043020558</v>
      </c>
      <c r="E50" s="44">
        <f>100*$B$49*(Global!D135*$B$48+Global!D135^2*$C$48)*(D61/$B61)^(1/$C$49)</f>
        <v>0.40126891347340538</v>
      </c>
      <c r="F50" s="44">
        <f>100*$B$49*(Global!E135*$B$48+Global!E135^2*$C$48)*(E61/$B61)^(1/$C$49)</f>
        <v>0.47194632642303669</v>
      </c>
      <c r="G50" s="44">
        <f>100*$B$49*(Global!F135*$B$48+Global!F135^2*$C$48)*(F61/$B61)^(1/$C$49)</f>
        <v>0.55018401691193553</v>
      </c>
      <c r="H50" s="44">
        <f>100*$B$49*(Global!G135*$B$48+Global!G135^2*$C$48)*(G61/$B61)^(1/$C$49)</f>
        <v>0.63724800713229857</v>
      </c>
      <c r="I50" s="44">
        <f>100*$B$49*(Global!H135*$B$48+Global!H135^2*$C$48)*(H61/$B61)^(1/$C$49)</f>
        <v>0.71927059365263679</v>
      </c>
      <c r="J50" s="44">
        <f>100*$B$49*(Global!I135*$B$48+Global!I135^2*$C$48)*(I61/$B61)^(1/$C$49)</f>
        <v>0.81116416188845197</v>
      </c>
      <c r="K50" s="44">
        <f>100*$B$49*(Global!J135*$B$48+Global!J135^2*$C$48)*(J61/$B61)^(1/$C$49)</f>
        <v>0.91196641459119832</v>
      </c>
      <c r="L50" s="44">
        <f>100*$B$49*(Global!K135*$B$48+Global!K135^2*$C$48)*(K61/$B61)^(1/$C$49)</f>
        <v>1.0007527441096329</v>
      </c>
      <c r="M50" s="44">
        <f>100*$B$49*(Global!L135*$B$48+Global!L135^2*$C$48)*(L61/$B61)^(1/$C$49)</f>
        <v>1.0946257568809561</v>
      </c>
      <c r="N50" s="44">
        <f>100*$B$49*(Global!M135*$B$48+Global!M135^2*$C$48)*(M61/$B61)^(1/$C$49)</f>
        <v>1.1828678685227803</v>
      </c>
      <c r="O50" s="44">
        <f>100*$B$49*(Global!N135*$B$48+Global!N135^2*$C$48)*(N61/$B61)^(1/$C$49)</f>
        <v>1.282288433541968</v>
      </c>
      <c r="P50" s="44">
        <f>100*$B$49*(Global!O135*$B$48+Global!O135^2*$C$48)*(O61/$B61)^(1/$C$49)</f>
        <v>1.3865653477585762</v>
      </c>
      <c r="Q50" s="44">
        <f>100*$B$49*(Global!P135*$B$48+Global!P135^2*$C$48)*(P61/$B61)^(1/$C$49)</f>
        <v>1.4881007764324663</v>
      </c>
      <c r="R50" s="44">
        <f>100*$B$49*(Global!Q135*$B$48+Global!Q135^2*$C$48)*(Q61/$B61)^(1/$C$49)</f>
        <v>1.6072261260975305</v>
      </c>
      <c r="S50" s="44">
        <f>100*$B$49*(Global!R135*$B$48+Global!R135^2*$C$48)*(R61/$B61)^(1/$C$49)</f>
        <v>1.7334926567677518</v>
      </c>
      <c r="T50" s="44">
        <f>100*$B$49*(Global!S135*$B$48+Global!S135^2*$C$48)*(S61/$B61)^(1/$C$49)</f>
        <v>1.8724357092477018</v>
      </c>
      <c r="U50" s="44">
        <f>100*$B$49*(Global!T135*$B$48+Global!T135^2*$C$48)*(T61/$B61)^(1/$C$49)</f>
        <v>1.9881020947739612</v>
      </c>
      <c r="V50" s="44">
        <f>100*$B$49*(Global!U135*$B$48+Global!U135^2*$C$48)*(U61/$B61)^(1/$C$49)</f>
        <v>2.1142533877404293</v>
      </c>
      <c r="W50" s="44">
        <f>100*$B$49*(Global!V135*$B$48+Global!V135^2*$C$48)*(V61/$B61)^(1/$C$49)</f>
        <v>2.2555721181110333</v>
      </c>
      <c r="X50" s="44">
        <f>100*$B$49*(Global!W135*$B$48+Global!W135^2*$C$48)*(W61/$B61)^(1/$C$49)</f>
        <v>2.3868866555698141</v>
      </c>
      <c r="Y50" s="44">
        <f>100*$B$49*(Global!X135*$B$48+Global!X135^2*$C$48)*(X61/$B61)^(1/$C$49)</f>
        <v>2.5153168395046435</v>
      </c>
      <c r="Z50" s="44">
        <f>100*$B$49*(Global!Y135*$B$48+Global!Y135^2*$C$48)*(Y61/$B61)^(1/$C$49)</f>
        <v>2.6483600557819567</v>
      </c>
      <c r="AA50" s="44">
        <f>100*$B$49*(Global!Z135*$B$48+Global!Z135^2*$C$48)*(Z61/$B61)^(1/$C$49)</f>
        <v>2.7868662615054944</v>
      </c>
      <c r="AB50" s="44">
        <f>100*$B$49*(Global!AA135*$B$48+Global!AA135^2*$C$48)*(AA61/$B61)^(1/$C$49)</f>
        <v>2.938418682526998</v>
      </c>
      <c r="AC50" s="44">
        <f>100*$B$49*(Global!AB135*$B$48+Global!AB135^2*$C$48)*(AB61/$B61)^(1/$C$49)</f>
        <v>3.1000872581059293</v>
      </c>
      <c r="AD50" s="44">
        <f>100*$B$49*(Global!AC135*$B$48+Global!AC135^2*$C$48)*(AC61/$B61)^(1/$C$49)</f>
        <v>3.2575689160204391</v>
      </c>
      <c r="AE50" s="44">
        <f>100*$B$49*(Global!AD135*$B$48+Global!AD135^2*$C$48)*(AD61/$B61)^(1/$C$49)</f>
        <v>3.4102798345143421</v>
      </c>
      <c r="AF50" s="44">
        <f>100*$B$49*(Global!AE135*$B$48+Global!AE135^2*$C$48)*(AE61/$B61)^(1/$C$49)</f>
        <v>3.5696176394433143</v>
      </c>
      <c r="AG50" s="44">
        <f>100*$B$49*(Global!AF135*$B$48+Global!AF135^2*$C$48)*(AF61/$B61)^(1/$C$49)</f>
        <v>3.7002642613406991</v>
      </c>
      <c r="AH50" s="44">
        <f>100*$B$49*(Global!AG135*$B$48+Global!AG135^2*$C$48)*(AG61/$B61)^(1/$C$49)</f>
        <v>3.8737239978330362</v>
      </c>
      <c r="AI50" s="44">
        <f>100*$B$49*(Global!AH135*$B$48+Global!AH135^2*$C$48)*(AH61/$B61)^(1/$C$49)</f>
        <v>4.0025427458084453</v>
      </c>
      <c r="AJ50" s="44">
        <f>100*$B$49*(Global!AI135*$B$48+Global!AI135^2*$C$48)*(AI61/$B61)^(1/$C$49)</f>
        <v>6.6384383117481747</v>
      </c>
      <c r="AK50" s="44">
        <f>100*$B$49*(Global!AJ135*$B$48+Global!AJ135^2*$C$48)*(AJ61/$B61)^(1/$C$49)</f>
        <v>7.523703293971697</v>
      </c>
      <c r="AL50" s="44">
        <f>100*$B$49*(Global!AK135*$B$48+Global!AK135^2*$C$48)*(AK61/$B61)^(1/$C$49)</f>
        <v>7.9360558594203736</v>
      </c>
      <c r="AM50" s="44">
        <f>100*$B$49*(Global!AL135*$B$48+Global!AL135^2*$C$48)*(AL61/$B61)^(1/$C$49)</f>
        <v>8.1748108056150617</v>
      </c>
      <c r="AN50" s="44">
        <f>100*$B$49*(Global!AM135*$B$48+Global!AM135^2*$C$48)*(AM61/$B61)^(1/$C$49)</f>
        <v>8.3388436095113487</v>
      </c>
      <c r="AO50" s="44">
        <f>100*$B$49*(Global!AN135*$B$48+Global!AN135^2*$C$48)*(AN61/$B61)^(1/$C$49)</f>
        <v>8.4676931983459234</v>
      </c>
      <c r="AP50" s="44">
        <f>100*$B$49*(Global!AO135*$B$48+Global!AO135^2*$C$48)*(AO61/$B61)^(1/$C$49)</f>
        <v>8.5794594170481151</v>
      </c>
      <c r="AQ50" s="44">
        <f>100*$B$49*(Global!AP135*$B$48+Global!AP135^2*$C$48)*(AP61/$B61)^(1/$C$49)</f>
        <v>8.6830693946565738</v>
      </c>
      <c r="AR50" s="44">
        <f>100*$B$49*(Global!AQ135*$B$48+Global!AQ135^2*$C$48)*(AQ61/$B61)^(1/$C$49)</f>
        <v>8.7831140786989366</v>
      </c>
      <c r="AS50" s="44">
        <f>100*$B$49*(Global!AR135*$B$48+Global!AR135^2*$C$48)*(AR61/$B61)^(1/$C$49)</f>
        <v>8.8820175659692939</v>
      </c>
      <c r="AT50" s="44">
        <f>100*$B$49*(Global!AS135*$B$48+Global!AS135^2*$C$48)*(AS61/$B61)^(1/$C$49)</f>
        <v>8.981087264000104</v>
      </c>
      <c r="AU50" s="44">
        <f>100*$B$49*(Global!AT135*$B$48+Global!AT135^2*$C$48)*(AT61/$B61)^(1/$C$49)</f>
        <v>9.0810447506012455</v>
      </c>
      <c r="AV50" s="44">
        <f>100*$B$49*(Global!AU135*$B$48+Global!AU135^2*$C$48)*(AU61/$B61)^(1/$C$49)</f>
        <v>9.1823006627181378</v>
      </c>
      <c r="AW50" s="44">
        <f>100*$B$49*(Global!AV135*$B$48+Global!AV135^2*$C$48)*(AV61/$B61)^(1/$C$49)</f>
        <v>9.2850989751472195</v>
      </c>
      <c r="AX50" s="44">
        <f>100*$B$49*(Global!AW135*$B$48+Global!AW135^2*$C$48)*(AW61/$B61)^(1/$C$49)</f>
        <v>9.3895933400665061</v>
      </c>
      <c r="AY50" s="44">
        <f>100*$B$49*(Global!AX135*$B$48+Global!AX135^2*$C$48)*(AX61/$B61)^(1/$C$49)</f>
        <v>9.4958877086161877</v>
      </c>
      <c r="AZ50" s="44">
        <f>100*$B$49*(Global!AY135*$B$48+Global!AY135^2*$C$48)*(AY61/$B61)^(1/$C$49)</f>
        <v>9.6040580606513632</v>
      </c>
      <c r="BA50" s="44">
        <f>100*$B$49*(Global!AZ135*$B$48+Global!AZ135^2*$C$48)*(AZ61/$B61)^(1/$C$49)</f>
        <v>9.714164104962201</v>
      </c>
      <c r="BB50" s="44">
        <f>100*$B$49*(Global!BA135*$B$48+Global!BA135^2*$C$48)*(BA61/$B61)^(1/$C$49)</f>
        <v>9.8262556399585748</v>
      </c>
      <c r="BC50" s="44">
        <f>100*$B$49*(Global!BB135*$B$48+Global!BB135^2*$C$48)*(BB61/$B61)^(1/$C$49)</f>
        <v>9.9403760636402154</v>
      </c>
      <c r="BD50" s="44">
        <f>100*$B$49*(Global!BC135*$B$48+Global!BC135^2*$C$48)*(BC61/$B61)^(1/$C$49)</f>
        <v>10.056564355934466</v>
      </c>
      <c r="BE50" s="44">
        <f>100*$B$49*(Global!BD135*$B$48+Global!BD135^2*$C$48)*(BD61/$B61)^(1/$C$49)</f>
        <v>10.174856237772785</v>
      </c>
      <c r="BF50" s="44">
        <f>100*$B$49*(Global!BE135*$B$48+Global!BE135^2*$C$48)*(BE61/$B61)^(1/$C$49)</f>
        <v>10.295284882472103</v>
      </c>
      <c r="BG50" s="44">
        <f>100*$B$49*(Global!BF135*$B$48+Global!BF135^2*$C$48)*(BF61/$B61)^(1/$C$49)</f>
        <v>10.417995085375271</v>
      </c>
      <c r="BH50" s="44">
        <f>100*$B$49*(Global!BG135*$B$48+Global!BG135^2*$C$48)*(BG61/$B61)^(1/$C$49)</f>
        <v>10.542903313422316</v>
      </c>
      <c r="BI50" s="44">
        <f>100*$B$49*(Global!BH135*$B$48+Global!BH135^2*$C$48)*(BH61/$B61)^(1/$C$49)</f>
        <v>10.670006480453694</v>
      </c>
      <c r="BJ50" s="44">
        <f>100*$B$49*(Global!BI135*$B$48+Global!BI135^2*$C$48)*(BI61/$B61)^(1/$C$49)</f>
        <v>10.799330240347359</v>
      </c>
      <c r="BK50" s="44">
        <f>100*$B$49*(Global!BJ80*$B$48+Global!BJ80^2*$C$48)*(BJ61/$B61)^(1/$C$49)</f>
        <v>10.840911488231297</v>
      </c>
      <c r="BL50" s="44">
        <f>100*$B$49*(Global!BK80*$B$48+Global!BK80^2*$C$48)*(BK61/$B61)^(1/$C$49)</f>
        <v>10.883544224166004</v>
      </c>
      <c r="BM50" s="44">
        <f>100*$B$49*(Global!BL80*$B$48+Global!BL80^2*$C$48)*(BL61/$B61)^(1/$C$49)</f>
        <v>10.927201927522727</v>
      </c>
      <c r="BN50" s="44">
        <f>100*$B$49*(Global!BM80*$B$48+Global!BM80^2*$C$48)*(BM61/$B61)^(1/$C$49)</f>
        <v>10.971858717196177</v>
      </c>
      <c r="BO50" s="44">
        <f>100*$B$49*(Global!BN80*$B$48+Global!BN80^2*$C$48)*(BN61/$B61)^(1/$C$49)</f>
        <v>11.017489336204942</v>
      </c>
      <c r="BP50" s="44">
        <f>100*$B$49*(Global!BO80*$B$48+Global!BO80^2*$C$48)*(BO61/$B61)^(1/$C$49)</f>
        <v>11.064069136662809</v>
      </c>
      <c r="BQ50" s="44">
        <f>100*$B$49*(Global!BP80*$B$48+Global!BP80^2*$C$48)*(BP61/$B61)^(1/$C$49)</f>
        <v>11.111574065111938</v>
      </c>
      <c r="BR50" s="44">
        <f>100*$B$49*(Global!BQ80*$B$48+Global!BQ80^2*$C$48)*(BQ61/$B61)^(1/$C$49)</f>
        <v>11.15998064820927</v>
      </c>
      <c r="BS50" s="44">
        <f>100*$B$49*(Global!BR80*$B$48+Global!BR80^2*$C$48)*(BR61/$B61)^(1/$C$49)</f>
        <v>11.209265978757616</v>
      </c>
      <c r="BT50" s="44">
        <f>100*$B$49*(Global!BS80*$B$48+Global!BS80^2*$C$48)*(BS61/$B61)^(1/$C$49)</f>
        <v>11.259407702073128</v>
      </c>
      <c r="BU50" s="44">
        <f>100*$B$49*(Global!BT80*$B$48+Global!BT80^2*$C$48)*(BT61/$B61)^(1/$C$49)</f>
        <v>11.310384002681033</v>
      </c>
      <c r="BV50" s="44">
        <f>100*$B$49*(Global!BU80*$B$48+Global!BU80^2*$C$48)*(BU61/$B61)^(1/$C$49)</f>
        <v>11.362173591331798</v>
      </c>
      <c r="BW50" s="44">
        <f>100*$B$49*(Global!BV80*$B$48+Global!BV80^2*$C$48)*(BV61/$B61)^(1/$C$49)</f>
        <v>11.414755692329905</v>
      </c>
      <c r="BX50" s="44">
        <f>100*$B$49*(Global!BW80*$B$48+Global!BW80^2*$C$48)*(BW61/$B61)^(1/$C$49)</f>
        <v>11.468110031167768</v>
      </c>
      <c r="BY50" s="44">
        <f>100*$B$49*(Global!BX80*$B$48+Global!BX80^2*$C$48)*(BX61/$B61)^(1/$C$49)</f>
        <v>11.522216822457439</v>
      </c>
      <c r="BZ50" s="44">
        <f>100*$B$49*(Global!BY80*$B$48+Global!BY80^2*$C$48)*(BY61/$B61)^(1/$C$49)</f>
        <v>11.577056758152938</v>
      </c>
      <c r="CA50" s="44">
        <f>100*$B$49*(Global!BZ80*$B$48+Global!BZ80^2*$C$48)*(BZ61/$B61)^(1/$C$49)</f>
        <v>11.632610996056121</v>
      </c>
      <c r="CB50" s="44">
        <f>100*$B$49*(Global!CA80*$B$48+Global!CA80^2*$C$48)*(CA61/$B61)^(1/$C$49)</f>
        <v>11.688861148599434</v>
      </c>
      <c r="CC50" s="44">
        <f>100*$B$49*(Global!CB80*$B$48+Global!CB80^2*$C$48)*(CB61/$B61)^(1/$C$49)</f>
        <v>11.745789271898682</v>
      </c>
      <c r="CD50" s="44">
        <f>100*$B$49*(Global!CC80*$B$48+Global!CC80^2*$C$48)*(CC61/$B61)^(1/$C$49)</f>
        <v>11.80337785506946</v>
      </c>
      <c r="CE50" s="44">
        <f>100*$B$49*(Global!CD80*$B$48+Global!CD80^2*$C$48)*(CD61/$B61)^(1/$C$49)</f>
        <v>11.861609809800827</v>
      </c>
      <c r="CF50" s="44">
        <f>100*$B$49*(Global!CE80*$B$48+Global!CE80^2*$C$48)*(CE61/$B61)^(1/$C$49)</f>
        <v>11.920468460180023</v>
      </c>
      <c r="CG50" s="44">
        <f>100*$B$49*(Global!CF80*$B$48+Global!CF80^2*$C$48)*(CF61/$B61)^(1/$C$49)</f>
        <v>11.979937532762246</v>
      </c>
      <c r="CH50" s="44">
        <f>100*$B$49*(Global!CG80*$B$48+Global!CG80^2*$C$48)*(CG61/$B61)^(1/$C$49)</f>
        <v>12.040001146879492</v>
      </c>
      <c r="CI50" s="44">
        <f>100*$B$49*(Global!CH80*$B$48+Global!CH80^2*$C$48)*(CH61/$B61)^(1/$C$49)</f>
        <v>12.100643805182782</v>
      </c>
      <c r="CJ50" s="44">
        <f>100*$B$49*(Global!CI80*$B$48+Global!CI80^2*$C$48)*(CI61/$B61)^(1/$C$49)</f>
        <v>12.161850384412132</v>
      </c>
      <c r="CK50" s="44">
        <f>100*$B$49*(Global!CJ80*$B$48+Global!CJ80^2*$C$48)*(CJ61/$B61)^(1/$C$49)</f>
        <v>12.223606126388736</v>
      </c>
      <c r="CL50" s="44">
        <f>100*$B$49*(Global!CK80*$B$48+Global!CK80^2*$C$48)*(CK61/$B61)^(1/$C$49)</f>
        <v>12.285896629224101</v>
      </c>
      <c r="CM50" s="44">
        <f>100*$B$49*(Global!CL80*$B$48+Global!CL80^2*$C$48)*(CL61/$B61)^(1/$C$49)</f>
        <v>12.348707838740804</v>
      </c>
      <c r="CN50" s="44">
        <f>100*$B$49*(Global!CM80*$B$48+Global!CM80^2*$C$48)*(CM61/$B61)^(1/$C$49)</f>
        <v>12.412026040099862</v>
      </c>
      <c r="CO50" s="44">
        <f>100*$B$49*(Global!CN80*$B$48+Global!CN80^2*$C$48)*(CN61/$B61)^(1/$C$49)</f>
        <v>12.475837849629704</v>
      </c>
      <c r="CP50" s="44">
        <f>100*$B$49*(Global!CO80*$B$48+Global!CO80^2*$C$48)*(CO61/$B61)^(1/$C$49)</f>
        <v>12.540130206851867</v>
      </c>
      <c r="CQ50" s="44">
        <f>100*$B$49*(Global!CP80*$B$48+Global!CP80^2*$C$48)*(CP61/$B61)^(1/$C$49)</f>
        <v>12.60489036669872</v>
      </c>
      <c r="CR50" s="44">
        <f>100*$B$49*(Global!CQ80*$B$48+Global!CQ80^2*$C$48)*(CQ61/$B61)^(1/$C$49)</f>
        <v>12.670105891918586</v>
      </c>
      <c r="CS50" s="44">
        <f>100*$B$49*(Global!CR80*$B$48+Global!CR80^2*$C$48)*(CR61/$B61)^(1/$C$49)</f>
        <v>12.7357646456637</v>
      </c>
      <c r="CT50" s="44">
        <f>100*$B$49*(Global!CS80*$B$48+Global!CS80^2*$C$48)*(CS61/$B61)^(1/$C$49)</f>
        <v>12.801854784256667</v>
      </c>
      <c r="CU50" s="44">
        <f>100*$B$49*(Global!CT80*$B$48+Global!CT80^2*$C$48)*(CT61/$B61)^(1/$C$49)</f>
        <v>12.868364750131098</v>
      </c>
      <c r="CV50" s="44">
        <f>100*$B$49*(Global!CU80*$B$48+Global!CU80^2*$C$48)*(CU61/$B61)^(1/$C$49)</f>
        <v>12.935283264942184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35">
        <f>+Data!B239/1000</f>
        <v>4.2517250466567388E-3</v>
      </c>
      <c r="C52" s="114">
        <f>+B95-B92</f>
        <v>-562.71891136064073</v>
      </c>
    </row>
    <row r="53" spans="1:105" ht="18" customHeight="1" x14ac:dyDescent="0.2">
      <c r="A53" s="21" t="s">
        <v>121</v>
      </c>
      <c r="B53" s="135">
        <f>+Data!O174</f>
        <v>-49.388505744836294</v>
      </c>
      <c r="C53" s="114">
        <f>+Data!Q174</f>
        <v>272.42355548616791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5" x14ac:dyDescent="0.2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5" x14ac:dyDescent="0.2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1.6163857757071491</v>
      </c>
      <c r="C61" s="682">
        <v>1.7661081324041139</v>
      </c>
      <c r="D61" s="682">
        <v>2.0173287063455381</v>
      </c>
      <c r="E61" s="682">
        <v>2.2974091630681714</v>
      </c>
      <c r="F61" s="682">
        <v>2.5969179532529947</v>
      </c>
      <c r="G61" s="682">
        <v>2.8813831600170006</v>
      </c>
      <c r="H61" s="682">
        <v>3.1672900394323209</v>
      </c>
      <c r="I61" s="682">
        <v>3.4598456489798934</v>
      </c>
      <c r="J61" s="682">
        <v>3.7313034703421142</v>
      </c>
      <c r="K61" s="682">
        <v>4.0171829388770073</v>
      </c>
      <c r="L61" s="682">
        <v>4.3582455225832231</v>
      </c>
      <c r="M61" s="682">
        <v>4.7215372535657121</v>
      </c>
      <c r="N61" s="682">
        <v>5.1527850338972137</v>
      </c>
      <c r="O61" s="682">
        <v>5.67002316641278</v>
      </c>
      <c r="P61" s="682">
        <v>6.2434678415541338</v>
      </c>
      <c r="Q61" s="682">
        <v>6.9548855168059793</v>
      </c>
      <c r="R61" s="682">
        <v>7.8396134198770078</v>
      </c>
      <c r="S61" s="682">
        <v>8.9552579034265971</v>
      </c>
      <c r="T61" s="682">
        <v>9.8195010899961819</v>
      </c>
      <c r="U61" s="682">
        <v>10.742409055840049</v>
      </c>
      <c r="V61" s="682">
        <v>11.884957832396907</v>
      </c>
      <c r="W61" s="682">
        <v>13.020070209495271</v>
      </c>
      <c r="X61" s="682">
        <v>14.043934216173476</v>
      </c>
      <c r="Y61" s="682">
        <v>15.134607226975881</v>
      </c>
      <c r="Z61" s="682">
        <v>16.258467389910336</v>
      </c>
      <c r="AA61" s="682">
        <v>17.403279549596206</v>
      </c>
      <c r="AB61" s="682">
        <v>18.5951887817223</v>
      </c>
      <c r="AC61" s="682">
        <v>19.887033884256706</v>
      </c>
      <c r="AD61" s="682">
        <v>21.229363693438955</v>
      </c>
      <c r="AE61" s="682">
        <v>22.492617140169905</v>
      </c>
      <c r="AF61" s="682">
        <v>22.996145494904699</v>
      </c>
      <c r="AG61" s="682">
        <v>24.938967813965299</v>
      </c>
      <c r="AH61" s="682">
        <v>25.68441453211431</v>
      </c>
      <c r="AI61" s="45">
        <f t="shared" ref="B61:BI61" si="11">AI20*AI74^$B7*(AI56/1000)^(1-$B7)</f>
        <v>172.38429831697047</v>
      </c>
      <c r="AJ61" s="45">
        <f t="shared" si="11"/>
        <v>284.15117191772413</v>
      </c>
      <c r="AK61" s="45">
        <f t="shared" si="11"/>
        <v>351.14412628207162</v>
      </c>
      <c r="AL61" s="45">
        <f t="shared" si="11"/>
        <v>394.3528800954997</v>
      </c>
      <c r="AM61" s="45">
        <f t="shared" si="11"/>
        <v>425.57681168360199</v>
      </c>
      <c r="AN61" s="45">
        <f t="shared" si="11"/>
        <v>450.68934645048608</v>
      </c>
      <c r="AO61" s="45">
        <f t="shared" si="11"/>
        <v>472.72579463851258</v>
      </c>
      <c r="AP61" s="45">
        <f t="shared" si="11"/>
        <v>493.30420468884955</v>
      </c>
      <c r="AQ61" s="45">
        <f t="shared" si="11"/>
        <v>513.30562170346388</v>
      </c>
      <c r="AR61" s="45">
        <f t="shared" si="11"/>
        <v>533.21865828683758</v>
      </c>
      <c r="AS61" s="45">
        <f t="shared" si="11"/>
        <v>553.32034711838583</v>
      </c>
      <c r="AT61" s="45">
        <f t="shared" si="11"/>
        <v>573.77297128333373</v>
      </c>
      <c r="AU61" s="45">
        <f t="shared" si="11"/>
        <v>594.67646227113937</v>
      </c>
      <c r="AV61" s="45">
        <f t="shared" si="11"/>
        <v>616.09691216292515</v>
      </c>
      <c r="AW61" s="45">
        <f t="shared" si="11"/>
        <v>638.08213415474768</v>
      </c>
      <c r="AX61" s="45">
        <f t="shared" si="11"/>
        <v>660.67016988536102</v>
      </c>
      <c r="AY61" s="45">
        <f t="shared" si="11"/>
        <v>683.89394810520037</v>
      </c>
      <c r="AZ61" s="45">
        <f t="shared" si="11"/>
        <v>707.78384176072018</v>
      </c>
      <c r="BA61" s="45">
        <f t="shared" si="11"/>
        <v>732.36907748700264</v>
      </c>
      <c r="BB61" s="45">
        <f t="shared" si="11"/>
        <v>757.67851873036932</v>
      </c>
      <c r="BC61" s="45">
        <f t="shared" si="11"/>
        <v>783.74110727690754</v>
      </c>
      <c r="BD61" s="45">
        <f t="shared" si="11"/>
        <v>810.58611872998392</v>
      </c>
      <c r="BE61" s="45">
        <f t="shared" si="11"/>
        <v>838.24331685036259</v>
      </c>
      <c r="BF61" s="45">
        <f t="shared" si="11"/>
        <v>866.78089374347246</v>
      </c>
      <c r="BG61" s="45">
        <f t="shared" si="11"/>
        <v>896.19394345373053</v>
      </c>
      <c r="BH61" s="45">
        <f t="shared" si="11"/>
        <v>926.50350536473002</v>
      </c>
      <c r="BI61" s="45">
        <f t="shared" si="11"/>
        <v>957.7411261657096</v>
      </c>
      <c r="BJ61" s="45">
        <f>+BI61</f>
        <v>957.7411261657096</v>
      </c>
      <c r="BK61" s="45">
        <f t="shared" ref="BK61:CV61" si="12">+BJ61</f>
        <v>957.7411261657096</v>
      </c>
      <c r="BL61" s="45">
        <f t="shared" si="12"/>
        <v>957.7411261657096</v>
      </c>
      <c r="BM61" s="45">
        <f t="shared" si="12"/>
        <v>957.7411261657096</v>
      </c>
      <c r="BN61" s="45">
        <f t="shared" si="12"/>
        <v>957.7411261657096</v>
      </c>
      <c r="BO61" s="45">
        <f t="shared" si="12"/>
        <v>957.7411261657096</v>
      </c>
      <c r="BP61" s="45">
        <f t="shared" si="12"/>
        <v>957.7411261657096</v>
      </c>
      <c r="BQ61" s="45">
        <f t="shared" si="12"/>
        <v>957.7411261657096</v>
      </c>
      <c r="BR61" s="45">
        <f t="shared" si="12"/>
        <v>957.7411261657096</v>
      </c>
      <c r="BS61" s="45">
        <f t="shared" si="12"/>
        <v>957.7411261657096</v>
      </c>
      <c r="BT61" s="45">
        <f t="shared" si="12"/>
        <v>957.7411261657096</v>
      </c>
      <c r="BU61" s="45">
        <f t="shared" si="12"/>
        <v>957.7411261657096</v>
      </c>
      <c r="BV61" s="45">
        <f t="shared" si="12"/>
        <v>957.7411261657096</v>
      </c>
      <c r="BW61" s="45">
        <f t="shared" si="12"/>
        <v>957.7411261657096</v>
      </c>
      <c r="BX61" s="45">
        <f t="shared" si="12"/>
        <v>957.7411261657096</v>
      </c>
      <c r="BY61" s="45">
        <f t="shared" si="12"/>
        <v>957.7411261657096</v>
      </c>
      <c r="BZ61" s="45">
        <f t="shared" si="12"/>
        <v>957.7411261657096</v>
      </c>
      <c r="CA61" s="45">
        <f t="shared" si="12"/>
        <v>957.7411261657096</v>
      </c>
      <c r="CB61" s="45">
        <f t="shared" si="12"/>
        <v>957.7411261657096</v>
      </c>
      <c r="CC61" s="45">
        <f t="shared" si="12"/>
        <v>957.7411261657096</v>
      </c>
      <c r="CD61" s="45">
        <f t="shared" si="12"/>
        <v>957.7411261657096</v>
      </c>
      <c r="CE61" s="45">
        <f t="shared" si="12"/>
        <v>957.7411261657096</v>
      </c>
      <c r="CF61" s="45">
        <f t="shared" si="12"/>
        <v>957.7411261657096</v>
      </c>
      <c r="CG61" s="45">
        <f t="shared" si="12"/>
        <v>957.7411261657096</v>
      </c>
      <c r="CH61" s="45">
        <f t="shared" si="12"/>
        <v>957.7411261657096</v>
      </c>
      <c r="CI61" s="45">
        <f t="shared" si="12"/>
        <v>957.7411261657096</v>
      </c>
      <c r="CJ61" s="45">
        <f t="shared" si="12"/>
        <v>957.7411261657096</v>
      </c>
      <c r="CK61" s="45">
        <f t="shared" si="12"/>
        <v>957.7411261657096</v>
      </c>
      <c r="CL61" s="45">
        <f t="shared" si="12"/>
        <v>957.7411261657096</v>
      </c>
      <c r="CM61" s="45">
        <f t="shared" si="12"/>
        <v>957.7411261657096</v>
      </c>
      <c r="CN61" s="45">
        <f t="shared" si="12"/>
        <v>957.7411261657096</v>
      </c>
      <c r="CO61" s="45">
        <f t="shared" si="12"/>
        <v>957.7411261657096</v>
      </c>
      <c r="CP61" s="45">
        <f t="shared" si="12"/>
        <v>957.7411261657096</v>
      </c>
      <c r="CQ61" s="45">
        <f t="shared" si="12"/>
        <v>957.7411261657096</v>
      </c>
      <c r="CR61" s="45">
        <f t="shared" si="12"/>
        <v>957.7411261657096</v>
      </c>
      <c r="CS61" s="45">
        <f t="shared" si="12"/>
        <v>957.7411261657096</v>
      </c>
      <c r="CT61" s="45">
        <f t="shared" si="12"/>
        <v>957.7411261657096</v>
      </c>
      <c r="CU61" s="45">
        <f t="shared" si="12"/>
        <v>957.7411261657096</v>
      </c>
      <c r="CV61" s="45">
        <f t="shared" si="12"/>
        <v>957.7411261657096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1.2175290839311597E-3</v>
      </c>
      <c r="C62" s="63">
        <f>($B24*C81+$B25*C81^$B$26+$B$29*(C81/$B$27)^$B$28)*Parameters!$B$116*0.01</f>
        <v>1.0908042886218006E-3</v>
      </c>
      <c r="D62" s="63">
        <f>($B24*D81+$B25*D81^$B$26+$B$29*(D81/$B$27)^$B$28)*Parameters!$B$116*0.01</f>
        <v>6.8671473922468629E-4</v>
      </c>
      <c r="E62" s="63">
        <f>($B24*E81+$B25*E81^$B$26+$B$29*(E81/$B$27)^$B$28)*Parameters!$B$116*0.01</f>
        <v>7.0702397715452145E-4</v>
      </c>
      <c r="F62" s="63">
        <f>($B24*F81+$B25*F81^$B$26+$B$29*(F81/$B$27)^$B$28)*Parameters!$B$116*0.01</f>
        <v>8.7856217863086926E-4</v>
      </c>
      <c r="G62" s="63">
        <f>($B24*G81+$B25*G81^$B$26+$B$29*(G81/$B$27)^$B$28)*Parameters!$B$116*0.01</f>
        <v>1.1916805527560843E-3</v>
      </c>
      <c r="H62" s="63">
        <f>($B24*H81+$B25*H81^$B$26+$B$29*(H81/$B$27)^$B$28)*Parameters!$B$116*0.01</f>
        <v>9.2396458956597459E-4</v>
      </c>
      <c r="I62" s="63">
        <f>($B24*I81+$B25*I81^$B$26+$B$29*(I81/$B$27)^$B$28)*Parameters!$B$116*0.01</f>
        <v>1.2436294011628371E-3</v>
      </c>
      <c r="J62" s="63">
        <f>($B24*J81+$B25*J81^$B$26+$B$29*(J81/$B$27)^$B$28)*Parameters!$B$116*0.01</f>
        <v>1.6354713783495118E-3</v>
      </c>
      <c r="K62" s="63">
        <f>($B24*K81+$B25*K81^$B$26+$B$29*(K81/$B$27)^$B$28)*Parameters!$B$116*0.01</f>
        <v>1.0418768728942698E-3</v>
      </c>
      <c r="L62" s="63">
        <f>($B24*L81+$B25*L81^$B$26+$B$29*(L81/$B$27)^$B$28)*Parameters!$B$116*0.01</f>
        <v>1.0662146877297343E-3</v>
      </c>
      <c r="M62" s="63">
        <f>($B24*M81+$B25*M81^$B$26+$B$29*(M81/$B$27)^$B$28)*Parameters!$B$116*0.01</f>
        <v>1.4333816313694297E-3</v>
      </c>
      <c r="N62" s="63">
        <f>($B24*N81+$B25*N81^$B$26+$B$29*(N81/$B$27)^$B$28)*Parameters!$B$116*0.01</f>
        <v>1.7258580607614315E-3</v>
      </c>
      <c r="O62" s="63">
        <f>($B24*O81+$B25*O81^$B$26+$B$29*(O81/$B$27)^$B$28)*Parameters!$B$116*0.01</f>
        <v>1.6954773805675234E-3</v>
      </c>
      <c r="P62" s="63">
        <f>($B24*P81+$B25*P81^$B$26+$B$29*(P81/$B$27)^$B$28)*Parameters!$B$116*0.01</f>
        <v>1.4333816313694297E-3</v>
      </c>
      <c r="Q62" s="63">
        <f>($B24*Q81+$B25*Q81^$B$26+$B$29*(Q81/$B$27)^$B$28)*Parameters!$B$116*0.01</f>
        <v>1.8498986421030834E-3</v>
      </c>
      <c r="R62" s="63">
        <f>($B24*R81+$B25*R81^$B$26+$B$29*(R81/$B$27)^$B$28)*Parameters!$B$116*0.01</f>
        <v>1.756490527011942E-3</v>
      </c>
      <c r="S62" s="63">
        <f>($B24*S81+$B25*S81^$B$26+$B$29*(S81/$B$27)^$B$28)*Parameters!$B$116*0.01</f>
        <v>1.818510817682768E-3</v>
      </c>
      <c r="T62" s="63">
        <f>($B24*T81+$B25*T81^$B$26+$B$29*(T81/$B$27)^$B$28)*Parameters!$B$116*0.01</f>
        <v>1.4614962370539219E-3</v>
      </c>
      <c r="U62" s="63">
        <f>($B24*U81+$B25*U81^$B$26+$B$29*(U81/$B$27)^$B$28)*Parameters!$B$116*0.01</f>
        <v>1.7873747793190539E-3</v>
      </c>
      <c r="V62" s="63">
        <f>($B24*V81+$B25*V81^$B$26+$B$29*(V81/$B$27)^$B$28)*Parameters!$B$116*0.01</f>
        <v>2.0106145550536896E-3</v>
      </c>
      <c r="W62" s="63">
        <f>($B24*W81+$B25*W81^$B$26+$B$29*(W81/$B$27)^$B$28)*Parameters!$B$116*0.01</f>
        <v>1.6653484864302165E-3</v>
      </c>
      <c r="X62" s="63">
        <f>($B24*X81+$B25*X81^$B$26+$B$29*(X81/$B$27)^$B$28)*Parameters!$B$116*0.01</f>
        <v>1.7873747793190539E-3</v>
      </c>
      <c r="Y62" s="63">
        <f>($B24*Y81+$B25*Y81^$B$26+$B$29*(Y81/$B$27)^$B$28)*Parameters!$B$116*0.01</f>
        <v>1.8815382525800008E-3</v>
      </c>
      <c r="Z62" s="63">
        <f>($B24*Z81+$B25*Z81^$B$26+$B$29*(Z81/$B$27)^$B$28)*Parameters!$B$116*0.01</f>
        <v>2.0766634226301447E-3</v>
      </c>
      <c r="AA62" s="63">
        <f>($B24*AA81+$B25*AA81^$B$26+$B$29*(AA81/$B$27)^$B$28)*Parameters!$B$116*0.01</f>
        <v>2.6413115553924498E-3</v>
      </c>
      <c r="AB62" s="63">
        <f>($B24*AB81+$B25*AB81^$B$26+$B$29*(AB81/$B$27)^$B$28)*Parameters!$B$116*0.01</f>
        <v>3.066897376071907E-3</v>
      </c>
      <c r="AC62" s="63">
        <f>($B24*AC81+$B25*AC81^$B$26+$B$29*(AC81/$B$27)^$B$28)*Parameters!$B$116*0.01</f>
        <v>2.7164247210065711E-3</v>
      </c>
      <c r="AD62" s="63">
        <f>($B24*AD81+$B25*AD81^$B$26+$B$29*(AD81/$B$27)^$B$28)*Parameters!$B$116*0.01</f>
        <v>2.4579348973476803E-3</v>
      </c>
      <c r="AE62" s="63">
        <f>($B24*AE81+$B25*AE81^$B$26+$B$29*(AE81/$B$27)^$B$28)*Parameters!$B$116*0.01</f>
        <v>2.9478070832073787E-3</v>
      </c>
      <c r="AF62" s="63">
        <f>($B24*AF81+$B25*AF81^$B$26+$B$29*(AF81/$B$27)^$B$28)*Parameters!$B$116*0.01</f>
        <v>3.066897376071907E-3</v>
      </c>
      <c r="AG62" s="63">
        <f>($B24*AG81+$B25*AG81^$B$26+$B$29*(AG81/$B$27)^$B$28)*Parameters!$B$116*0.01</f>
        <v>2.4579348973476803E-3</v>
      </c>
      <c r="AH62" s="63">
        <f>($B24*AH81+$B25*AH81^$B$26+$B$29*(AH81/$B$27)^$B$28)*Parameters!$B$116*0.01</f>
        <v>2.6041326516702923E-3</v>
      </c>
      <c r="AI62" s="63">
        <f>($B24*AI81+$B25*AI81^$B$26+$B$29*(AI81/$B$27)^$B$28)*Parameters!$B$116*0.01</f>
        <v>3.740317085286203E-3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1.2175290839311597E-3</v>
      </c>
      <c r="C63" s="63">
        <f t="shared" si="13"/>
        <v>3.9116125670839016E-3</v>
      </c>
      <c r="D63" s="63">
        <f t="shared" si="13"/>
        <v>4.0317934435267419E-3</v>
      </c>
      <c r="E63" s="63">
        <f t="shared" si="13"/>
        <v>4.7197131118885752E-3</v>
      </c>
      <c r="F63" s="63">
        <f t="shared" si="13"/>
        <v>5.5980254428612359E-3</v>
      </c>
      <c r="G63" s="63">
        <f t="shared" si="13"/>
        <v>6.6935207218754393E-3</v>
      </c>
      <c r="H63" s="63">
        <f t="shared" si="13"/>
        <v>7.2964446608889599E-3</v>
      </c>
      <c r="I63" s="63">
        <f t="shared" si="13"/>
        <v>8.4363353376892044E-3</v>
      </c>
      <c r="J63" s="63">
        <f t="shared" si="13"/>
        <v>9.7471129972340302E-3</v>
      </c>
      <c r="K63" s="63">
        <f t="shared" si="13"/>
        <v>1.0161541018806253E-2</v>
      </c>
      <c r="L63" s="63">
        <f t="shared" si="13"/>
        <v>1.1073742128826062E-2</v>
      </c>
      <c r="M63" s="63">
        <f t="shared" si="13"/>
        <v>1.2379639200178991E-2</v>
      </c>
      <c r="N63" s="63">
        <f t="shared" si="13"/>
        <v>1.3554536745989233E-2</v>
      </c>
      <c r="O63" s="63">
        <f t="shared" si="13"/>
        <v>1.4518361715987202E-2</v>
      </c>
      <c r="P63" s="63">
        <f t="shared" si="13"/>
        <v>1.5299035108955191E-2</v>
      </c>
      <c r="Q63" s="63">
        <f t="shared" si="13"/>
        <v>1.6730906406427746E-2</v>
      </c>
      <c r="R63" s="63">
        <f t="shared" si="13"/>
        <v>1.7828751787987245E-2</v>
      </c>
      <c r="S63" s="63">
        <f t="shared" si="13"/>
        <v>1.9153437385360284E-2</v>
      </c>
      <c r="T63" s="63">
        <f t="shared" si="13"/>
        <v>2.0185853329530937E-2</v>
      </c>
      <c r="U63" s="63">
        <f t="shared" si="13"/>
        <v>2.1668395727058667E-2</v>
      </c>
      <c r="V63" s="63">
        <f t="shared" si="13"/>
        <v>2.3153148432457984E-2</v>
      </c>
      <c r="W63" s="63">
        <f t="shared" si="13"/>
        <v>2.4221069667540548E-2</v>
      </c>
      <c r="X63" s="63">
        <f t="shared" si="13"/>
        <v>2.5656241335017194E-2</v>
      </c>
      <c r="Y63" s="63">
        <f t="shared" si="13"/>
        <v>2.7034706647626434E-2</v>
      </c>
      <c r="Z63" s="63">
        <f t="shared" si="13"/>
        <v>2.8560263980449713E-2</v>
      </c>
      <c r="AA63" s="63">
        <f t="shared" si="13"/>
        <v>3.0509974170447395E-2</v>
      </c>
      <c r="AB63" s="63">
        <f t="shared" si="13"/>
        <v>3.2451084201341886E-2</v>
      </c>
      <c r="AC63" s="63">
        <f t="shared" si="13"/>
        <v>3.3717297302065866E-2</v>
      </c>
      <c r="AD63" s="63">
        <f t="shared" si="13"/>
        <v>3.5033624057552067E-2</v>
      </c>
      <c r="AE63" s="63">
        <f t="shared" si="13"/>
        <v>3.70506054283508E-2</v>
      </c>
      <c r="AF63" s="63">
        <f t="shared" si="13"/>
        <v>3.8763073770505051E-2</v>
      </c>
      <c r="AG63" s="63">
        <f t="shared" si="13"/>
        <v>3.9460577510754671E-2</v>
      </c>
      <c r="AH63" s="63">
        <f t="shared" si="13"/>
        <v>4.134137263000065E-2</v>
      </c>
      <c r="AI63" s="63">
        <f t="shared" si="13"/>
        <v>4.3765744543370656E-2</v>
      </c>
      <c r="AJ63" s="63">
        <f t="shared" si="13"/>
        <v>6.6384383117481752E-2</v>
      </c>
      <c r="AK63" s="63">
        <f t="shared" si="13"/>
        <v>7.5237032939716966E-2</v>
      </c>
      <c r="AL63" s="63">
        <f t="shared" si="13"/>
        <v>7.9360558594203739E-2</v>
      </c>
      <c r="AM63" s="63">
        <f t="shared" si="13"/>
        <v>8.1748108056150612E-2</v>
      </c>
      <c r="AN63" s="63">
        <f t="shared" si="13"/>
        <v>8.3388436095113483E-2</v>
      </c>
      <c r="AO63" s="63">
        <f t="shared" si="13"/>
        <v>8.4676931983459228E-2</v>
      </c>
      <c r="AP63" s="63">
        <f t="shared" si="13"/>
        <v>8.5794594170481145E-2</v>
      </c>
      <c r="AQ63" s="63">
        <f t="shared" si="13"/>
        <v>8.6830693946565743E-2</v>
      </c>
      <c r="AR63" s="63">
        <f t="shared" si="13"/>
        <v>8.7831140786989365E-2</v>
      </c>
      <c r="AS63" s="63">
        <f t="shared" si="13"/>
        <v>8.882017565969294E-2</v>
      </c>
      <c r="AT63" s="63">
        <f t="shared" si="13"/>
        <v>8.9810872640001038E-2</v>
      </c>
      <c r="AU63" s="63">
        <f t="shared" si="13"/>
        <v>9.0810447506012457E-2</v>
      </c>
      <c r="AV63" s="63">
        <f t="shared" si="13"/>
        <v>9.1823006627181375E-2</v>
      </c>
      <c r="AW63" s="63">
        <f t="shared" si="13"/>
        <v>9.2850989751472199E-2</v>
      </c>
      <c r="AX63" s="63">
        <f t="shared" si="13"/>
        <v>9.3895933400665058E-2</v>
      </c>
      <c r="AY63" s="63">
        <f t="shared" si="13"/>
        <v>9.495887708616188E-2</v>
      </c>
      <c r="AZ63" s="63">
        <f t="shared" si="13"/>
        <v>9.6040580606513631E-2</v>
      </c>
      <c r="BA63" s="63">
        <f t="shared" si="13"/>
        <v>9.7141641049622016E-2</v>
      </c>
      <c r="BB63" s="63">
        <f t="shared" si="13"/>
        <v>9.8262556399585754E-2</v>
      </c>
      <c r="BC63" s="63">
        <f t="shared" si="13"/>
        <v>9.9403760636402161E-2</v>
      </c>
      <c r="BD63" s="63">
        <f t="shared" si="13"/>
        <v>0.10056564355934466</v>
      </c>
      <c r="BE63" s="63">
        <f t="shared" si="13"/>
        <v>0.10174856237772785</v>
      </c>
      <c r="BF63" s="63">
        <f t="shared" si="13"/>
        <v>0.10295284882472103</v>
      </c>
      <c r="BG63" s="63">
        <f t="shared" si="13"/>
        <v>0.1041799508537527</v>
      </c>
      <c r="BH63" s="63">
        <f t="shared" si="13"/>
        <v>0.10542903313422317</v>
      </c>
      <c r="BI63" s="63">
        <f t="shared" si="13"/>
        <v>0.10670006480453693</v>
      </c>
      <c r="BJ63" s="63">
        <f t="shared" si="13"/>
        <v>0.10799330240347359</v>
      </c>
      <c r="BK63" s="63">
        <f t="shared" si="13"/>
        <v>0.10840911488231297</v>
      </c>
      <c r="BL63" s="63">
        <f t="shared" si="13"/>
        <v>0.10883544224166003</v>
      </c>
      <c r="BM63" s="63">
        <f t="shared" si="13"/>
        <v>0.10927201927522727</v>
      </c>
      <c r="BN63" s="63">
        <f t="shared" ref="BN63:CV63" si="14">+BN62+BN50/100</f>
        <v>0.10971858717196177</v>
      </c>
      <c r="BO63" s="63">
        <f t="shared" si="14"/>
        <v>0.11017489336204943</v>
      </c>
      <c r="BP63" s="63">
        <f t="shared" si="14"/>
        <v>0.11064069136662809</v>
      </c>
      <c r="BQ63" s="63">
        <f t="shared" si="14"/>
        <v>0.11111574065111939</v>
      </c>
      <c r="BR63" s="63">
        <f t="shared" si="14"/>
        <v>0.11159980648209271</v>
      </c>
      <c r="BS63" s="63">
        <f t="shared" si="14"/>
        <v>0.11209265978757615</v>
      </c>
      <c r="BT63" s="63">
        <f t="shared" si="14"/>
        <v>0.11259407702073128</v>
      </c>
      <c r="BU63" s="63">
        <f t="shared" si="14"/>
        <v>0.11310384002681033</v>
      </c>
      <c r="BV63" s="63">
        <f t="shared" si="14"/>
        <v>0.11362173591331798</v>
      </c>
      <c r="BW63" s="63">
        <f t="shared" si="14"/>
        <v>0.11414755692329905</v>
      </c>
      <c r="BX63" s="63">
        <f t="shared" si="14"/>
        <v>0.11468110031167768</v>
      </c>
      <c r="BY63" s="63">
        <f t="shared" si="14"/>
        <v>0.11522216822457439</v>
      </c>
      <c r="BZ63" s="63">
        <f t="shared" si="14"/>
        <v>0.11577056758152938</v>
      </c>
      <c r="CA63" s="63">
        <f t="shared" si="14"/>
        <v>0.11632610996056121</v>
      </c>
      <c r="CB63" s="63">
        <f t="shared" si="14"/>
        <v>0.11688861148599435</v>
      </c>
      <c r="CC63" s="63">
        <f t="shared" si="14"/>
        <v>0.11745789271898682</v>
      </c>
      <c r="CD63" s="63">
        <f t="shared" si="14"/>
        <v>0.11803377855069459</v>
      </c>
      <c r="CE63" s="63">
        <f t="shared" si="14"/>
        <v>0.11861609809800827</v>
      </c>
      <c r="CF63" s="63">
        <f t="shared" si="14"/>
        <v>0.11920468460180024</v>
      </c>
      <c r="CG63" s="63">
        <f t="shared" si="14"/>
        <v>0.11979937532762247</v>
      </c>
      <c r="CH63" s="63">
        <f t="shared" si="14"/>
        <v>0.12040001146879492</v>
      </c>
      <c r="CI63" s="63">
        <f t="shared" si="14"/>
        <v>0.12100643805182783</v>
      </c>
      <c r="CJ63" s="63">
        <f t="shared" si="14"/>
        <v>0.12161850384412132</v>
      </c>
      <c r="CK63" s="63">
        <f t="shared" si="14"/>
        <v>0.12223606126388736</v>
      </c>
      <c r="CL63" s="63">
        <f t="shared" si="14"/>
        <v>0.12285896629224101</v>
      </c>
      <c r="CM63" s="63">
        <f t="shared" si="14"/>
        <v>0.12348707838740804</v>
      </c>
      <c r="CN63" s="63">
        <f t="shared" si="14"/>
        <v>0.12412026040099862</v>
      </c>
      <c r="CO63" s="63">
        <f t="shared" si="14"/>
        <v>0.12475837849629703</v>
      </c>
      <c r="CP63" s="63">
        <f t="shared" si="14"/>
        <v>0.12540130206851866</v>
      </c>
      <c r="CQ63" s="63">
        <f t="shared" si="14"/>
        <v>0.12604890366698721</v>
      </c>
      <c r="CR63" s="63">
        <f t="shared" si="14"/>
        <v>0.12670105891918587</v>
      </c>
      <c r="CS63" s="63">
        <f t="shared" si="14"/>
        <v>0.127357646456637</v>
      </c>
      <c r="CT63" s="63">
        <f t="shared" si="14"/>
        <v>0.12801854784256667</v>
      </c>
      <c r="CU63" s="63">
        <f t="shared" si="14"/>
        <v>0.12868364750131098</v>
      </c>
      <c r="CV63" s="63">
        <f t="shared" si="14"/>
        <v>0.12935283264942185</v>
      </c>
    </row>
    <row r="64" spans="1:105" s="143" customFormat="1" ht="18" customHeight="1" x14ac:dyDescent="0.2">
      <c r="A64" s="559" t="s">
        <v>1133</v>
      </c>
      <c r="B64" s="143">
        <f>+B61-B65</f>
        <v>1.9656035133310823E-3</v>
      </c>
      <c r="C64" s="143">
        <f>+C63*C61/(1+C63^Parameters!$B$125)</f>
        <v>6.9083307655410115E-3</v>
      </c>
      <c r="D64" s="143">
        <f>+D63*D61/(1+D63^Parameters!$B$125)</f>
        <v>8.1334526516822249E-3</v>
      </c>
      <c r="E64" s="143">
        <f>+E63*E61/(1+E63^Parameters!$B$125)</f>
        <v>1.0843112150305806E-2</v>
      </c>
      <c r="F64" s="143">
        <f>+F63*F61/(1+F63^Parameters!$B$125)</f>
        <v>1.453761277533339E-2</v>
      </c>
      <c r="G64" s="143">
        <f>+G63*G61/(1+G63^Parameters!$B$125)</f>
        <v>1.9286597889236728E-2</v>
      </c>
      <c r="H64" s="143">
        <f>+H63*H61/(1+H63^Parameters!$B$125)</f>
        <v>2.3109956497702741E-2</v>
      </c>
      <c r="I64" s="143">
        <f>+I63*I61/(1+I63^Parameters!$B$125)</f>
        <v>2.9188418111439313E-2</v>
      </c>
      <c r="J64" s="143">
        <f>+J63*J61/(1+J63^Parameters!$B$125)</f>
        <v>3.6369436552396064E-2</v>
      </c>
      <c r="K64" s="143">
        <f>+K63*K61/(1+K63^Parameters!$B$125)</f>
        <v>4.0820769213447364E-2</v>
      </c>
      <c r="L64" s="143">
        <f>+L63*L61/(1+L63^Parameters!$B$125)</f>
        <v>4.8262087051197396E-2</v>
      </c>
      <c r="M64" s="143">
        <f>+M63*M61/(1+M63^Parameters!$B$125)</f>
        <v>5.8450927669347542E-2</v>
      </c>
      <c r="N64" s="143">
        <f>+N63*N61/(1+N63^Parameters!$B$125)</f>
        <v>6.984361408614316E-2</v>
      </c>
      <c r="O64" s="143">
        <f>+O63*O61/(1+O63^Parameters!$B$125)</f>
        <v>8.2319447268007842E-2</v>
      </c>
      <c r="P64" s="143">
        <f>+P63*P61/(1+P63^Parameters!$B$125)</f>
        <v>9.5519033709569379E-2</v>
      </c>
      <c r="Q64" s="143">
        <f>+Q63*Q61/(1+Q63^Parameters!$B$125)</f>
        <v>0.1163615386491007</v>
      </c>
      <c r="R64" s="143">
        <f>+R63*R61/(1+R63^Parameters!$B$125)</f>
        <v>0.139770521776761</v>
      </c>
      <c r="S64" s="143">
        <f>+S63*S61/(1+S63^Parameters!$B$125)</f>
        <v>0.17152397152303414</v>
      </c>
      <c r="T64" s="143">
        <f>+T63*T61/(1+T63^Parameters!$B$125)</f>
        <v>0.1982150087718321</v>
      </c>
      <c r="U64" s="143">
        <f>+U63*U61/(1+U63^Parameters!$B$125)</f>
        <v>0.23277077048388084</v>
      </c>
      <c r="V64" s="143">
        <f>+V63*V61/(1+V63^Parameters!$B$125)</f>
        <v>0.27517419280698968</v>
      </c>
      <c r="W64" s="143">
        <f>+W63*W61/(1+W63^Parameters!$B$125)</f>
        <v>0.31536002762045423</v>
      </c>
      <c r="X64" s="143">
        <f>+X63*X61/(1+X63^Parameters!$B$125)</f>
        <v>0.3603145655432522</v>
      </c>
      <c r="Y64" s="143">
        <f>+Y63*Y61/(1+Y63^Parameters!$B$125)</f>
        <v>0.4091596666083398</v>
      </c>
      <c r="Z64" s="143">
        <f>+Z63*Z61/(1+Z63^Parameters!$B$125)</f>
        <v>0.46434612057337221</v>
      </c>
      <c r="AA64" s="143">
        <f>+AA63*AA61/(1+AA63^Parameters!$B$125)</f>
        <v>0.53097360953925532</v>
      </c>
      <c r="AB64" s="143">
        <f>+AB63*AB61/(1+AB63^Parameters!$B$125)</f>
        <v>0.60343403689551756</v>
      </c>
      <c r="AC64" s="143">
        <f>+AC63*AC61/(1+AC63^Parameters!$B$125)</f>
        <v>0.6705370339317398</v>
      </c>
      <c r="AD64" s="143">
        <f>+AD63*AD61/(1+AD63^Parameters!$B$125)</f>
        <v>0.74374154661698322</v>
      </c>
      <c r="AE64" s="143">
        <f>+AE63*AE61/(1+AE63^Parameters!$B$125)</f>
        <v>0.8333650827113912</v>
      </c>
      <c r="AF64" s="143">
        <f>+AF63*AF61/(1+AF63^Parameters!$B$125)</f>
        <v>0.89140128425625142</v>
      </c>
      <c r="AG64" s="143">
        <f>+AG63*AG61/(1+AG63^Parameters!$B$125)</f>
        <v>0.98410607246118464</v>
      </c>
      <c r="AH64" s="143">
        <f>+AH63*AH61/(1+AH63^Parameters!$B$125)</f>
        <v>1.061828951955526</v>
      </c>
      <c r="AI64" s="143">
        <f>+AI63*AI61/(1+AI63^Parameters!$B$125)</f>
        <v>7.5445271634285351</v>
      </c>
      <c r="AJ64" s="143">
        <f>+AJ63*AJ61/(1+AJ63^Parameters!$B$125)</f>
        <v>18.863200259836272</v>
      </c>
      <c r="AK64" s="143">
        <f>+AK63*AK61/(1+AK63^Parameters!$B$125)</f>
        <v>26.419042195518816</v>
      </c>
      <c r="AL64" s="143">
        <f>+AL63*AL61/(1+AL63^Parameters!$B$125)</f>
        <v>31.296064847301778</v>
      </c>
      <c r="AM64" s="143">
        <f>+AM63*AM61/(1+AM63^Parameters!$B$125)</f>
        <v>34.790099187239456</v>
      </c>
      <c r="AN64" s="143">
        <f>+AN63*AN61/(1+AN63^Parameters!$B$125)</f>
        <v>37.58227976462382</v>
      </c>
      <c r="AO64" s="143">
        <f>+AO63*AO61/(1+AO63^Parameters!$B$125)</f>
        <v>40.028969958673429</v>
      </c>
      <c r="AP64" s="143">
        <f>+AP63*AP61/(1+AP63^Parameters!$B$125)</f>
        <v>42.322834042957332</v>
      </c>
      <c r="AQ64" s="143">
        <f>+AQ63*AQ61/(1+AQ63^Parameters!$B$125)</f>
        <v>44.570683338099236</v>
      </c>
      <c r="AR64" s="143">
        <f>+AR63*AR61/(1+AR63^Parameters!$B$125)</f>
        <v>46.833203044961301</v>
      </c>
      <c r="AS64" s="143">
        <f>+AS63*AS61/(1+AS63^Parameters!$B$125)</f>
        <v>49.146010425635531</v>
      </c>
      <c r="AT64" s="143">
        <f>+AT63*AT61/(1+AT63^Parameters!$B$125)</f>
        <v>51.531051246443084</v>
      </c>
      <c r="AU64" s="143">
        <f>+AU63*AU61/(1+AU63^Parameters!$B$125)</f>
        <v>54.002835658074943</v>
      </c>
      <c r="AV64" s="143">
        <f>+AV63*AV61/(1+AV63^Parameters!$B$125)</f>
        <v>56.571870846111715</v>
      </c>
      <c r="AW64" s="143">
        <f>+AW63*AW61/(1+AW63^Parameters!$B$125)</f>
        <v>59.246557696178172</v>
      </c>
      <c r="AX64" s="143">
        <f>+AX63*AX61/(1+AX63^Parameters!$B$125)</f>
        <v>62.034242268057469</v>
      </c>
      <c r="AY64" s="143">
        <f>+AY63*AY61/(1+AY63^Parameters!$B$125)</f>
        <v>64.941801354220189</v>
      </c>
      <c r="AZ64" s="143">
        <f>+AZ63*AZ61/(1+AZ63^Parameters!$B$125)</f>
        <v>67.975971102069934</v>
      </c>
      <c r="BA64" s="143">
        <f>+BA63*BA61/(1+BA63^Parameters!$B$125)</f>
        <v>71.143534035761803</v>
      </c>
      <c r="BB64" s="143">
        <f>+BB63*BB61/(1+BB63^Parameters!$B$125)</f>
        <v>74.45142817324934</v>
      </c>
      <c r="BC64" s="143">
        <f>+BC63*BC61/(1+BC63^Parameters!$B$125)</f>
        <v>77.90681342132406</v>
      </c>
      <c r="BD64" s="143">
        <f>+BD63*BD61/(1+BD63^Parameters!$B$125)</f>
        <v>81.517114681727477</v>
      </c>
      <c r="BE64" s="143">
        <f>+BE63*BE61/(1+BE63^Parameters!$B$125)</f>
        <v>85.290052402119272</v>
      </c>
      <c r="BF64" s="143">
        <f>+BF63*BF61/(1+BF63^Parameters!$B$125)</f>
        <v>89.23756230579032</v>
      </c>
      <c r="BG64" s="143">
        <f>+BG63*BG61/(1+BG63^Parameters!$B$125)</f>
        <v>93.365440970379098</v>
      </c>
      <c r="BH64" s="143">
        <f>+BH63*BH61/(1+BH63^Parameters!$B$125)</f>
        <v>97.680368749498712</v>
      </c>
      <c r="BI64" s="143">
        <f>+BI63*BI61/(1+BI63^Parameters!$B$125)</f>
        <v>102.19104020830534</v>
      </c>
      <c r="BJ64" s="143">
        <f>+BJ63*BJ61/(1+BJ63^Parameters!$B$125)</f>
        <v>103.42962703994098</v>
      </c>
      <c r="BK64" s="143">
        <f>+BK63*BK61/(1+BK63^Parameters!$B$125)</f>
        <v>103.82786775073481</v>
      </c>
      <c r="BL64" s="143">
        <f>+BL63*BL61/(1+BL63^Parameters!$B$125)</f>
        <v>104.23617899496405</v>
      </c>
      <c r="BM64" s="143">
        <f>+BM63*BM61/(1+BM63^Parameters!$B$125)</f>
        <v>104.65430677365653</v>
      </c>
      <c r="BN64" s="143">
        <f>+BN63*BN61/(1+BN63^Parameters!$B$125)</f>
        <v>105.08200321281898</v>
      </c>
      <c r="BO64" s="143">
        <f>+BO63*BO61/(1+BO63^Parameters!$B$125)</f>
        <v>105.51902641594899</v>
      </c>
      <c r="BP64" s="143">
        <f>+BP63*BP61/(1+BP63^Parameters!$B$125)</f>
        <v>105.965140320099</v>
      </c>
      <c r="BQ64" s="143">
        <f>+BQ63*BQ61/(1+BQ63^Parameters!$B$125)</f>
        <v>106.42011455540629</v>
      </c>
      <c r="BR64" s="143">
        <f>+BR63*BR61/(1+BR63^Parameters!$B$125)</f>
        <v>106.88372430800554</v>
      </c>
      <c r="BS64" s="143">
        <f>+BS63*BS61/(1+BS63^Parameters!$B$125)</f>
        <v>107.35575018624299</v>
      </c>
      <c r="BT64" s="143">
        <f>+BT63*BT61/(1+BT63^Parameters!$B$125)</f>
        <v>107.83597809011208</v>
      </c>
      <c r="BU64" s="143">
        <f>+BU63*BU61/(1+BU63^Parameters!$B$125)</f>
        <v>108.32419908383291</v>
      </c>
      <c r="BV64" s="143">
        <f>+BV63*BV61/(1+BV63^Parameters!$B$125)</f>
        <v>108.82020927150074</v>
      </c>
      <c r="BW64" s="143">
        <f>+BW63*BW61/(1+BW63^Parameters!$B$125)</f>
        <v>109.32380967572846</v>
      </c>
      <c r="BX64" s="143">
        <f>+BX63*BX61/(1+BX63^Parameters!$B$125)</f>
        <v>109.83480611921152</v>
      </c>
      <c r="BY64" s="143">
        <f>+BY63*BY61/(1+BY63^Parameters!$B$125)</f>
        <v>110.35300910914475</v>
      </c>
      <c r="BZ64" s="143">
        <f>+BZ63*BZ61/(1+BZ63^Parameters!$B$125)</f>
        <v>110.878233724423</v>
      </c>
      <c r="CA64" s="143">
        <f>+CA63*CA61/(1+CA63^Parameters!$B$125)</f>
        <v>111.41029950555682</v>
      </c>
      <c r="CB64" s="143">
        <f>+CB63*CB61/(1+CB63^Parameters!$B$125)</f>
        <v>111.94903034724048</v>
      </c>
      <c r="CC64" s="143">
        <f>+CC63*CC61/(1+CC63^Parameters!$B$125)</f>
        <v>112.49425439350557</v>
      </c>
      <c r="CD64" s="143">
        <f>+CD63*CD61/(1+CD63^Parameters!$B$125)</f>
        <v>113.04580393540031</v>
      </c>
      <c r="CE64" s="143">
        <f>+CE63*CE61/(1+CE63^Parameters!$B$125)</f>
        <v>113.60351531113214</v>
      </c>
      <c r="CF64" s="143">
        <f>+CF63*CF61/(1+CF63^Parameters!$B$125)</f>
        <v>114.16722880861478</v>
      </c>
      <c r="CG64" s="143">
        <f>+CG63*CG61/(1+CG63^Parameters!$B$125)</f>
        <v>114.73678857036251</v>
      </c>
      <c r="CH64" s="143">
        <f>+CH63*CH61/(1+CH63^Parameters!$B$125)</f>
        <v>115.3120425006738</v>
      </c>
      <c r="CI64" s="143">
        <f>+CI63*CI61/(1+CI63^Parameters!$B$125)</f>
        <v>115.89284217505036</v>
      </c>
      <c r="CJ64" s="143">
        <f>+CJ63*CJ61/(1+CJ63^Parameters!$B$125)</f>
        <v>116.47904275179724</v>
      </c>
      <c r="CK64" s="143">
        <f>+CK63*CK61/(1+CK63^Parameters!$B$125)</f>
        <v>117.07050288575132</v>
      </c>
      <c r="CL64" s="143">
        <f>+CL63*CL61/(1+CL63^Parameters!$B$125)</f>
        <v>117.66708464408741</v>
      </c>
      <c r="CM64" s="143">
        <f>+CM63*CM61/(1+CM63^Parameters!$B$125)</f>
        <v>118.26865342415144</v>
      </c>
      <c r="CN64" s="143">
        <f>+CN63*CN61/(1+CN63^Parameters!$B$125)</f>
        <v>118.87507787327206</v>
      </c>
      <c r="CO64" s="143">
        <f>+CO63*CO61/(1+CO63^Parameters!$B$125)</f>
        <v>119.48622981050354</v>
      </c>
      <c r="CP64" s="143">
        <f>+CP63*CP61/(1+CP63^Parameters!$B$125)</f>
        <v>120.10198415025239</v>
      </c>
      <c r="CQ64" s="143">
        <f>+CQ63*CQ61/(1+CQ63^Parameters!$B$125)</f>
        <v>120.72221882774335</v>
      </c>
      <c r="CR64" s="143">
        <f>+CR63*CR61/(1+CR63^Parameters!$B$125)</f>
        <v>121.34681472627983</v>
      </c>
      <c r="CS64" s="143">
        <f>+CS63*CS61/(1+CS63^Parameters!$B$125)</f>
        <v>121.975655606256</v>
      </c>
      <c r="CT64" s="143">
        <f>+CT63*CT61/(1+CT63^Parameters!$B$125)</f>
        <v>122.60862803587797</v>
      </c>
      <c r="CU64" s="143">
        <f>+CU63*CU61/(1+CU63^Parameters!$B$125)</f>
        <v>123.24562132355328</v>
      </c>
      <c r="CV64" s="143">
        <f>+CV63*CV61/(1+CV63^Parameters!$B$125)</f>
        <v>123.88652745190799</v>
      </c>
    </row>
    <row r="65" spans="1:237" s="45" customFormat="1" ht="18" customHeight="1" x14ac:dyDescent="0.2">
      <c r="A65" s="555" t="s">
        <v>21</v>
      </c>
      <c r="B65" s="45">
        <f>+B61/(1+B63)</f>
        <v>1.6144201721938181</v>
      </c>
      <c r="C65" s="45">
        <f t="shared" ref="C65:BN65" si="15">+C61-C64</f>
        <v>1.7591998016385728</v>
      </c>
      <c r="D65" s="45">
        <f t="shared" si="15"/>
        <v>2.0091952536938558</v>
      </c>
      <c r="E65" s="45">
        <f t="shared" si="15"/>
        <v>2.2865660509178656</v>
      </c>
      <c r="F65" s="45">
        <f t="shared" si="15"/>
        <v>2.5823803404776613</v>
      </c>
      <c r="G65" s="45">
        <f t="shared" si="15"/>
        <v>2.8620965621277636</v>
      </c>
      <c r="H65" s="45">
        <f t="shared" si="15"/>
        <v>3.1441800829346183</v>
      </c>
      <c r="I65" s="45">
        <f t="shared" si="15"/>
        <v>3.4306572308684542</v>
      </c>
      <c r="J65" s="45">
        <f t="shared" si="15"/>
        <v>3.6949340337897181</v>
      </c>
      <c r="K65" s="45">
        <f t="shared" si="15"/>
        <v>3.97636216966356</v>
      </c>
      <c r="L65" s="45">
        <f t="shared" si="15"/>
        <v>4.3099834355320255</v>
      </c>
      <c r="M65" s="45">
        <f t="shared" si="15"/>
        <v>4.6630863258963648</v>
      </c>
      <c r="N65" s="45">
        <f t="shared" si="15"/>
        <v>5.0829414198110703</v>
      </c>
      <c r="O65" s="45">
        <f t="shared" si="15"/>
        <v>5.5877037191447725</v>
      </c>
      <c r="P65" s="45">
        <f t="shared" si="15"/>
        <v>6.1479488078445641</v>
      </c>
      <c r="Q65" s="45">
        <f t="shared" si="15"/>
        <v>6.8385239781568785</v>
      </c>
      <c r="R65" s="45">
        <f t="shared" si="15"/>
        <v>7.6998428981002469</v>
      </c>
      <c r="S65" s="45">
        <f t="shared" si="15"/>
        <v>8.7837339319035621</v>
      </c>
      <c r="T65" s="45">
        <f t="shared" si="15"/>
        <v>9.6212860812243495</v>
      </c>
      <c r="U65" s="45">
        <f t="shared" si="15"/>
        <v>10.509638285356168</v>
      </c>
      <c r="V65" s="45">
        <f t="shared" si="15"/>
        <v>11.609783639589917</v>
      </c>
      <c r="W65" s="45">
        <f t="shared" si="15"/>
        <v>12.704710181874818</v>
      </c>
      <c r="X65" s="45">
        <f t="shared" si="15"/>
        <v>13.683619650630224</v>
      </c>
      <c r="Y65" s="45">
        <f t="shared" si="15"/>
        <v>14.725447560367542</v>
      </c>
      <c r="Z65" s="45">
        <f t="shared" si="15"/>
        <v>15.794121269336964</v>
      </c>
      <c r="AA65" s="45">
        <f t="shared" si="15"/>
        <v>16.87230594005695</v>
      </c>
      <c r="AB65" s="45">
        <f t="shared" si="15"/>
        <v>17.991754744826782</v>
      </c>
      <c r="AC65" s="45">
        <f t="shared" si="15"/>
        <v>19.216496850324965</v>
      </c>
      <c r="AD65" s="45">
        <f t="shared" si="15"/>
        <v>20.485622146821971</v>
      </c>
      <c r="AE65" s="45">
        <f t="shared" si="15"/>
        <v>21.659252057458513</v>
      </c>
      <c r="AF65" s="45">
        <f t="shared" si="15"/>
        <v>22.104744210648448</v>
      </c>
      <c r="AG65" s="45">
        <f t="shared" si="15"/>
        <v>23.954861741504114</v>
      </c>
      <c r="AH65" s="45">
        <f t="shared" si="15"/>
        <v>24.622585580158784</v>
      </c>
      <c r="AI65" s="45">
        <f t="shared" si="15"/>
        <v>164.83977115354193</v>
      </c>
      <c r="AJ65" s="45">
        <f t="shared" si="15"/>
        <v>265.28797165788785</v>
      </c>
      <c r="AK65" s="45">
        <f t="shared" si="15"/>
        <v>324.72508408655278</v>
      </c>
      <c r="AL65" s="45">
        <f t="shared" si="15"/>
        <v>363.05681524819795</v>
      </c>
      <c r="AM65" s="45">
        <f t="shared" si="15"/>
        <v>390.78671249636255</v>
      </c>
      <c r="AN65" s="45">
        <f t="shared" si="15"/>
        <v>413.10706668586226</v>
      </c>
      <c r="AO65" s="45">
        <f t="shared" si="15"/>
        <v>432.69682467983915</v>
      </c>
      <c r="AP65" s="45">
        <f t="shared" si="15"/>
        <v>450.98137064589224</v>
      </c>
      <c r="AQ65" s="45">
        <f t="shared" si="15"/>
        <v>468.73493836536466</v>
      </c>
      <c r="AR65" s="45">
        <f t="shared" si="15"/>
        <v>486.38545524187629</v>
      </c>
      <c r="AS65" s="45">
        <f t="shared" si="15"/>
        <v>504.17433669275027</v>
      </c>
      <c r="AT65" s="45">
        <f t="shared" si="15"/>
        <v>522.24192003689063</v>
      </c>
      <c r="AU65" s="45">
        <f t="shared" si="15"/>
        <v>540.67362661306447</v>
      </c>
      <c r="AV65" s="45">
        <f t="shared" si="15"/>
        <v>559.52504131681349</v>
      </c>
      <c r="AW65" s="45">
        <f t="shared" si="15"/>
        <v>578.83557645856945</v>
      </c>
      <c r="AX65" s="45">
        <f t="shared" si="15"/>
        <v>598.63592761730354</v>
      </c>
      <c r="AY65" s="45">
        <f t="shared" si="15"/>
        <v>618.95214675098021</v>
      </c>
      <c r="AZ65" s="45">
        <f t="shared" si="15"/>
        <v>639.80787065865024</v>
      </c>
      <c r="BA65" s="45">
        <f t="shared" si="15"/>
        <v>661.22554345124081</v>
      </c>
      <c r="BB65" s="45">
        <f t="shared" si="15"/>
        <v>683.22709055711994</v>
      </c>
      <c r="BC65" s="45">
        <f t="shared" si="15"/>
        <v>705.8342938555835</v>
      </c>
      <c r="BD65" s="45">
        <f t="shared" si="15"/>
        <v>729.06900404825649</v>
      </c>
      <c r="BE65" s="45">
        <f t="shared" si="15"/>
        <v>752.95326444824332</v>
      </c>
      <c r="BF65" s="45">
        <f t="shared" si="15"/>
        <v>777.54333143768213</v>
      </c>
      <c r="BG65" s="45">
        <f t="shared" si="15"/>
        <v>802.82850248335149</v>
      </c>
      <c r="BH65" s="45">
        <f t="shared" si="15"/>
        <v>828.82313661523131</v>
      </c>
      <c r="BI65" s="45">
        <f t="shared" si="15"/>
        <v>855.55008595740424</v>
      </c>
      <c r="BJ65" s="45">
        <f t="shared" si="15"/>
        <v>854.31149912576859</v>
      </c>
      <c r="BK65" s="45">
        <f t="shared" si="15"/>
        <v>853.91325841497473</v>
      </c>
      <c r="BL65" s="45">
        <f t="shared" si="15"/>
        <v>853.5049471707456</v>
      </c>
      <c r="BM65" s="45">
        <f t="shared" si="15"/>
        <v>853.08681939205303</v>
      </c>
      <c r="BN65" s="45">
        <f t="shared" si="15"/>
        <v>852.65912295289058</v>
      </c>
      <c r="BO65" s="45">
        <f t="shared" ref="BO65:CV65" si="16">+BO61-BO64</f>
        <v>852.22209974976067</v>
      </c>
      <c r="BP65" s="45">
        <f t="shared" si="16"/>
        <v>851.77598584561065</v>
      </c>
      <c r="BQ65" s="45">
        <f t="shared" si="16"/>
        <v>851.32101161030334</v>
      </c>
      <c r="BR65" s="45">
        <f t="shared" si="16"/>
        <v>850.85740185770408</v>
      </c>
      <c r="BS65" s="45">
        <f t="shared" si="16"/>
        <v>850.38537597946663</v>
      </c>
      <c r="BT65" s="45">
        <f t="shared" si="16"/>
        <v>849.90514807559748</v>
      </c>
      <c r="BU65" s="45">
        <f t="shared" si="16"/>
        <v>849.41692708187668</v>
      </c>
      <c r="BV65" s="45">
        <f t="shared" si="16"/>
        <v>848.92091689420886</v>
      </c>
      <c r="BW65" s="45">
        <f t="shared" si="16"/>
        <v>848.4173164899812</v>
      </c>
      <c r="BX65" s="45">
        <f t="shared" si="16"/>
        <v>847.90632004649808</v>
      </c>
      <c r="BY65" s="45">
        <f t="shared" si="16"/>
        <v>847.38811705656485</v>
      </c>
      <c r="BZ65" s="45">
        <f t="shared" si="16"/>
        <v>846.86289244128659</v>
      </c>
      <c r="CA65" s="45">
        <f t="shared" si="16"/>
        <v>846.33082666015275</v>
      </c>
      <c r="CB65" s="45">
        <f t="shared" si="16"/>
        <v>845.79209581846908</v>
      </c>
      <c r="CC65" s="45">
        <f t="shared" si="16"/>
        <v>845.24687177220403</v>
      </c>
      <c r="CD65" s="45">
        <f t="shared" si="16"/>
        <v>844.69532223030933</v>
      </c>
      <c r="CE65" s="45">
        <f t="shared" si="16"/>
        <v>844.13761085457747</v>
      </c>
      <c r="CF65" s="45">
        <f t="shared" si="16"/>
        <v>843.57389735709478</v>
      </c>
      <c r="CG65" s="45">
        <f t="shared" si="16"/>
        <v>843.00433759534712</v>
      </c>
      <c r="CH65" s="45">
        <f t="shared" si="16"/>
        <v>842.42908366503582</v>
      </c>
      <c r="CI65" s="45">
        <f t="shared" si="16"/>
        <v>841.84828399065918</v>
      </c>
      <c r="CJ65" s="45">
        <f t="shared" si="16"/>
        <v>841.26208341391236</v>
      </c>
      <c r="CK65" s="45">
        <f t="shared" si="16"/>
        <v>840.67062327995825</v>
      </c>
      <c r="CL65" s="45">
        <f t="shared" si="16"/>
        <v>840.07404152162223</v>
      </c>
      <c r="CM65" s="45">
        <f t="shared" si="16"/>
        <v>839.47247274155814</v>
      </c>
      <c r="CN65" s="45">
        <f t="shared" si="16"/>
        <v>838.86604829243754</v>
      </c>
      <c r="CO65" s="45">
        <f t="shared" si="16"/>
        <v>838.25489635520603</v>
      </c>
      <c r="CP65" s="45">
        <f t="shared" si="16"/>
        <v>837.6391420154572</v>
      </c>
      <c r="CQ65" s="45">
        <f t="shared" si="16"/>
        <v>837.01890733796631</v>
      </c>
      <c r="CR65" s="45">
        <f t="shared" si="16"/>
        <v>836.39431143942977</v>
      </c>
      <c r="CS65" s="45">
        <f t="shared" si="16"/>
        <v>835.76547055945366</v>
      </c>
      <c r="CT65" s="45">
        <f t="shared" si="16"/>
        <v>835.13249812983167</v>
      </c>
      <c r="CU65" s="45">
        <f t="shared" si="16"/>
        <v>834.49550484215638</v>
      </c>
      <c r="CV65" s="45">
        <f t="shared" si="16"/>
        <v>833.85459871380158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3.5525360450537513E-11</v>
      </c>
      <c r="E66" s="33">
        <f t="shared" si="17"/>
        <v>2.9648725395446413E-11</v>
      </c>
      <c r="F66" s="33">
        <f t="shared" si="17"/>
        <v>2.5192738021644431E-11</v>
      </c>
      <c r="G66" s="33">
        <f t="shared" si="17"/>
        <v>2.1754911048566879E-11</v>
      </c>
      <c r="H66" s="33">
        <f t="shared" si="17"/>
        <v>1.9060805102431962E-11</v>
      </c>
      <c r="I66" s="33">
        <f t="shared" si="17"/>
        <v>1.6919490454731205E-11</v>
      </c>
      <c r="J66" s="33">
        <f t="shared" si="17"/>
        <v>1.519564743897711E-11</v>
      </c>
      <c r="K66" s="33">
        <f t="shared" si="17"/>
        <v>1.3791709328497133E-11</v>
      </c>
      <c r="L66" s="33">
        <f t="shared" si="17"/>
        <v>1.2636202138126071E-11</v>
      </c>
      <c r="M66" s="33">
        <f t="shared" si="17"/>
        <v>1.1675988011258249E-11</v>
      </c>
      <c r="N66" s="33">
        <f t="shared" si="17"/>
        <v>1.0871015278388601E-11</v>
      </c>
      <c r="O66" s="33">
        <f t="shared" si="17"/>
        <v>1.019070731052062E-11</v>
      </c>
      <c r="P66" s="33">
        <f t="shared" si="17"/>
        <v>9.6114408978938101E-12</v>
      </c>
      <c r="Q66" s="33">
        <f t="shared" si="17"/>
        <v>9.1147604491548489E-12</v>
      </c>
      <c r="R66" s="33">
        <f t="shared" si="17"/>
        <v>8.6860965019052602E-12</v>
      </c>
      <c r="S66" s="33">
        <f t="shared" si="17"/>
        <v>8.3138346883552052E-12</v>
      </c>
      <c r="T66" s="33">
        <f t="shared" si="17"/>
        <v>7.9886314136683983E-12</v>
      </c>
      <c r="U66" s="33">
        <f t="shared" si="17"/>
        <v>7.7029053462305962E-12</v>
      </c>
      <c r="V66" s="33">
        <f t="shared" si="17"/>
        <v>7.4504556502430995E-12</v>
      </c>
      <c r="W66" s="33">
        <f t="shared" si="17"/>
        <v>7.2261726330015729E-12</v>
      </c>
      <c r="X66" s="33">
        <f t="shared" si="17"/>
        <v>7.025816296546226E-12</v>
      </c>
      <c r="Y66" s="33">
        <f t="shared" si="17"/>
        <v>6.8458455002891798E-12</v>
      </c>
      <c r="Z66" s="33">
        <f t="shared" si="17"/>
        <v>6.6832850316051683E-12</v>
      </c>
      <c r="AA66" s="33">
        <f t="shared" si="17"/>
        <v>6.5356213635455542E-12</v>
      </c>
      <c r="AB66" s="33">
        <f t="shared" si="17"/>
        <v>2.090614402247417E-3</v>
      </c>
      <c r="AC66" s="33">
        <f t="shared" si="17"/>
        <v>1.9390653566817744E-3</v>
      </c>
      <c r="AD66" s="33">
        <f t="shared" si="17"/>
        <v>1.8021115875624378E-3</v>
      </c>
      <c r="AE66" s="33">
        <f t="shared" si="17"/>
        <v>1.6779677124637488E-3</v>
      </c>
      <c r="AF66" s="33">
        <f t="shared" si="17"/>
        <v>1.5651149982641732E-3</v>
      </c>
      <c r="AG66" s="33">
        <f t="shared" si="17"/>
        <v>1.4622549963836686E-3</v>
      </c>
      <c r="AH66" s="33">
        <f t="shared" ref="AH66:BI66" si="18">(AH31*(AH103)^$B38)</f>
        <v>1.3682722018652984E-3</v>
      </c>
      <c r="AI66" s="33">
        <f t="shared" si="18"/>
        <v>1.2822038158880179E-3</v>
      </c>
      <c r="AJ66" s="33">
        <f t="shared" si="18"/>
        <v>1.2032151325838032E-3</v>
      </c>
      <c r="AK66" s="33">
        <f t="shared" si="18"/>
        <v>1.1305794037346046E-3</v>
      </c>
      <c r="AL66" s="33">
        <f t="shared" si="18"/>
        <v>1.0636612874506276E-3</v>
      </c>
      <c r="AM66" s="33">
        <f t="shared" si="18"/>
        <v>1.0019031798386227E-3</v>
      </c>
      <c r="AN66" s="33">
        <f t="shared" si="18"/>
        <v>9.4481387694277412E-4</v>
      </c>
      <c r="AO66" s="33">
        <f t="shared" si="18"/>
        <v>8.9195912888217078E-4</v>
      </c>
      <c r="AP66" s="33">
        <f t="shared" si="18"/>
        <v>8.4295373724810265E-4</v>
      </c>
      <c r="AQ66" s="33">
        <f t="shared" si="18"/>
        <v>7.9745491650976322E-4</v>
      </c>
      <c r="AR66" s="33">
        <f t="shared" si="18"/>
        <v>7.5515669493598971E-4</v>
      </c>
      <c r="AS66" s="33">
        <f t="shared" si="18"/>
        <v>7.1578517378343234E-4</v>
      </c>
      <c r="AT66" s="33">
        <f t="shared" si="18"/>
        <v>6.7909449781132611E-4</v>
      </c>
      <c r="AU66" s="33">
        <f t="shared" si="18"/>
        <v>6.4486341752796193E-4</v>
      </c>
      <c r="AV66" s="33">
        <f t="shared" si="18"/>
        <v>6.1289234546173656E-4</v>
      </c>
      <c r="AW66" s="33">
        <f t="shared" si="18"/>
        <v>5.8300082634131305E-4</v>
      </c>
      <c r="AX66" s="33">
        <f t="shared" si="18"/>
        <v>5.5502535526366517E-4</v>
      </c>
      <c r="AY66" s="33">
        <f t="shared" si="18"/>
        <v>5.288174894246074E-4</v>
      </c>
      <c r="AZ66" s="33">
        <f t="shared" si="18"/>
        <v>5.0424220833013473E-4</v>
      </c>
      <c r="BA66" s="33">
        <f t="shared" si="18"/>
        <v>4.8117648502741384E-4</v>
      </c>
      <c r="BB66" s="33">
        <f t="shared" si="18"/>
        <v>4.5950803712974949E-4</v>
      </c>
      <c r="BC66" s="33">
        <f t="shared" si="18"/>
        <v>4.3913423152812646E-4</v>
      </c>
      <c r="BD66" s="33">
        <f t="shared" si="18"/>
        <v>4.1996112089587529E-4</v>
      </c>
      <c r="BE66" s="33">
        <f t="shared" si="18"/>
        <v>2.0464132817062472E-4</v>
      </c>
      <c r="BF66" s="33">
        <f t="shared" si="18"/>
        <v>9.9726469318347355E-5</v>
      </c>
      <c r="BG66" s="33">
        <f t="shared" si="18"/>
        <v>4.8602330687740713E-5</v>
      </c>
      <c r="BH66" s="33">
        <f t="shared" si="18"/>
        <v>2.3688106521823335E-5</v>
      </c>
      <c r="BI66" s="33">
        <f t="shared" si="18"/>
        <v>1.1545893248371695E-5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8.62341828760189E-11</v>
      </c>
      <c r="C67" s="23">
        <f>+C61*C66</f>
        <v>7.6694920844954403E-11</v>
      </c>
      <c r="D67" s="23">
        <f t="shared" ref="D67:BI67" si="19">+D61*D66</f>
        <v>7.1666329440141786E-11</v>
      </c>
      <c r="E67" s="23">
        <f t="shared" si="19"/>
        <v>6.8115253396790578E-11</v>
      </c>
      <c r="F67" s="23">
        <f t="shared" si="19"/>
        <v>6.542347366000776E-11</v>
      </c>
      <c r="G67" s="23">
        <f t="shared" si="19"/>
        <v>6.2684234343008392E-11</v>
      </c>
      <c r="H67" s="23">
        <f t="shared" si="19"/>
        <v>6.0371098144493507E-11</v>
      </c>
      <c r="I67" s="23">
        <f t="shared" si="19"/>
        <v>5.8538825432758601E-11</v>
      </c>
      <c r="J67" s="23">
        <f t="shared" si="19"/>
        <v>5.669957202315055E-11</v>
      </c>
      <c r="K67" s="23">
        <f t="shared" si="19"/>
        <v>5.5403819412389549E-11</v>
      </c>
      <c r="L67" s="23">
        <f t="shared" si="19"/>
        <v>5.5071671390944497E-11</v>
      </c>
      <c r="M67" s="23">
        <f t="shared" si="19"/>
        <v>5.5128612367342452E-11</v>
      </c>
      <c r="N67" s="23">
        <f t="shared" si="19"/>
        <v>5.6016004829748735E-11</v>
      </c>
      <c r="O67" s="23">
        <f t="shared" si="19"/>
        <v>5.7781546532783989E-11</v>
      </c>
      <c r="P67" s="23">
        <f t="shared" si="19"/>
        <v>6.0008722156998189E-11</v>
      </c>
      <c r="Q67" s="23">
        <f t="shared" si="19"/>
        <v>6.3392115436983026E-11</v>
      </c>
      <c r="R67" s="23">
        <f t="shared" si="19"/>
        <v>6.8095638702683214E-11</v>
      </c>
      <c r="S67" s="23">
        <f t="shared" si="19"/>
        <v>7.4452533800675155E-11</v>
      </c>
      <c r="T67" s="23">
        <f t="shared" si="19"/>
        <v>7.8444374874094582E-11</v>
      </c>
      <c r="U67" s="23">
        <f t="shared" si="19"/>
        <v>8.2747760147626289E-11</v>
      </c>
      <c r="V67" s="23">
        <f t="shared" si="19"/>
        <v>8.8548351235282522E-11</v>
      </c>
      <c r="W67" s="23">
        <f t="shared" si="19"/>
        <v>9.4085275027613784E-11</v>
      </c>
      <c r="X67" s="23">
        <f t="shared" si="19"/>
        <v>9.8670101883614758E-11</v>
      </c>
      <c r="Y67" s="23">
        <f t="shared" si="19"/>
        <v>1.0360918278343693E-10</v>
      </c>
      <c r="Z67" s="23">
        <f t="shared" si="19"/>
        <v>1.086599717438285E-10</v>
      </c>
      <c r="AA67" s="23">
        <f t="shared" si="19"/>
        <v>1.1374124562009641E-10</v>
      </c>
      <c r="AB67" s="23">
        <f t="shared" si="19"/>
        <v>3.8875369479578238E-2</v>
      </c>
      <c r="AC67" s="23">
        <f t="shared" si="19"/>
        <v>3.8562258452118761E-2</v>
      </c>
      <c r="AD67" s="23">
        <f t="shared" si="19"/>
        <v>3.8257682308523652E-2</v>
      </c>
      <c r="AE67" s="23">
        <f t="shared" si="19"/>
        <v>3.7741885330013804E-2</v>
      </c>
      <c r="AF67" s="23">
        <f t="shared" si="19"/>
        <v>3.5991612216340445E-2</v>
      </c>
      <c r="AG67" s="23">
        <f t="shared" si="19"/>
        <v>3.6467130290622256E-2</v>
      </c>
      <c r="AH67" s="23">
        <f t="shared" si="19"/>
        <v>3.5143270425477116E-2</v>
      </c>
      <c r="AI67" s="23">
        <f t="shared" si="19"/>
        <v>0.22103180510119796</v>
      </c>
      <c r="AJ67" s="23">
        <f t="shared" si="19"/>
        <v>0.34189498999282747</v>
      </c>
      <c r="AK67" s="23">
        <f t="shared" si="19"/>
        <v>0.39699631691689324</v>
      </c>
      <c r="AL67" s="23">
        <f t="shared" si="19"/>
        <v>0.41945789215224216</v>
      </c>
      <c r="AM67" s="23">
        <f t="shared" si="19"/>
        <v>0.42638676089138355</v>
      </c>
      <c r="AN67" s="23">
        <f t="shared" si="19"/>
        <v>0.42581754871668887</v>
      </c>
      <c r="AO67" s="23">
        <f t="shared" si="19"/>
        <v>0.42165208798589965</v>
      </c>
      <c r="AP67" s="23">
        <f t="shared" si="19"/>
        <v>0.41583262294266871</v>
      </c>
      <c r="AQ67" s="23">
        <f t="shared" si="19"/>
        <v>0.4093380916995279</v>
      </c>
      <c r="AR67" s="23">
        <f t="shared" si="19"/>
        <v>0.40266363967009117</v>
      </c>
      <c r="AS67" s="23">
        <f t="shared" si="19"/>
        <v>0.3960585008200429</v>
      </c>
      <c r="AT67" s="23">
        <f t="shared" si="19"/>
        <v>0.38964606779136796</v>
      </c>
      <c r="AU67" s="23">
        <f t="shared" si="19"/>
        <v>0.38348509578360507</v>
      </c>
      <c r="AV67" s="23">
        <f t="shared" si="19"/>
        <v>0.37760108152726868</v>
      </c>
      <c r="AW67" s="23">
        <f t="shared" si="19"/>
        <v>0.37200241148584645</v>
      </c>
      <c r="AX67" s="23">
        <f t="shared" si="19"/>
        <v>0.3666886957527285</v>
      </c>
      <c r="AY67" s="23">
        <f t="shared" si="19"/>
        <v>0.36165508066967478</v>
      </c>
      <c r="AZ67" s="23">
        <f t="shared" si="19"/>
        <v>0.35689448738981217</v>
      </c>
      <c r="BA67" s="23">
        <f t="shared" si="19"/>
        <v>0.35239877844796563</v>
      </c>
      <c r="BB67" s="23">
        <f t="shared" si="19"/>
        <v>0.34815936891716814</v>
      </c>
      <c r="BC67" s="23">
        <f t="shared" si="19"/>
        <v>0.34416754886104772</v>
      </c>
      <c r="BD67" s="23">
        <f t="shared" si="19"/>
        <v>0.34041465500448109</v>
      </c>
      <c r="BE67" s="23">
        <f t="shared" si="19"/>
        <v>0.171539225690408</v>
      </c>
      <c r="BF67" s="23">
        <f t="shared" si="19"/>
        <v>8.6440998205638109E-2</v>
      </c>
      <c r="BG67" s="23">
        <f t="shared" si="19"/>
        <v>4.3557114400088609E-2</v>
      </c>
      <c r="BH67" s="23">
        <f t="shared" si="19"/>
        <v>2.1947113727922442E-2</v>
      </c>
      <c r="BI67" s="23">
        <f t="shared" si="19"/>
        <v>1.1057976802284571E-2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1.6144201721075839</v>
      </c>
      <c r="C68" s="23">
        <f>+C65-C67</f>
        <v>1.7591998015618779</v>
      </c>
      <c r="D68" s="23">
        <f>+D65-D67</f>
        <v>2.0091952536221895</v>
      </c>
      <c r="E68" s="23">
        <f>+E65-E67</f>
        <v>2.2865660508497503</v>
      </c>
      <c r="F68" s="23">
        <f>+F65-F67</f>
        <v>2.5823803404122376</v>
      </c>
      <c r="G68" s="23">
        <f t="shared" ref="G68:BI68" si="20">+G65-G67</f>
        <v>2.8620965620650796</v>
      </c>
      <c r="H68" s="23">
        <f t="shared" si="20"/>
        <v>3.144180082874247</v>
      </c>
      <c r="I68" s="23">
        <f t="shared" si="20"/>
        <v>3.4306572308099152</v>
      </c>
      <c r="J68" s="23">
        <f t="shared" si="20"/>
        <v>3.6949340337330185</v>
      </c>
      <c r="K68" s="23">
        <f t="shared" si="20"/>
        <v>3.9763621696081564</v>
      </c>
      <c r="L68" s="23">
        <f t="shared" si="20"/>
        <v>4.309983435476954</v>
      </c>
      <c r="M68" s="23">
        <f t="shared" si="20"/>
        <v>4.6630863258412365</v>
      </c>
      <c r="N68" s="23">
        <f t="shared" si="20"/>
        <v>5.0829414197550546</v>
      </c>
      <c r="O68" s="23">
        <f t="shared" si="20"/>
        <v>5.5877037190869911</v>
      </c>
      <c r="P68" s="23">
        <f t="shared" si="20"/>
        <v>6.1479488077845552</v>
      </c>
      <c r="Q68" s="23">
        <f t="shared" si="20"/>
        <v>6.8385239780934866</v>
      </c>
      <c r="R68" s="23">
        <f t="shared" si="20"/>
        <v>7.6998428980321512</v>
      </c>
      <c r="S68" s="23">
        <f t="shared" si="20"/>
        <v>8.7837339318291097</v>
      </c>
      <c r="T68" s="23">
        <f t="shared" si="20"/>
        <v>9.6212860811459056</v>
      </c>
      <c r="U68" s="23">
        <f t="shared" si="20"/>
        <v>10.50963828527342</v>
      </c>
      <c r="V68" s="23">
        <f t="shared" si="20"/>
        <v>11.609783639501369</v>
      </c>
      <c r="W68" s="23">
        <f t="shared" si="20"/>
        <v>12.704710181780733</v>
      </c>
      <c r="X68" s="23">
        <f t="shared" si="20"/>
        <v>13.683619650531554</v>
      </c>
      <c r="Y68" s="23">
        <f t="shared" si="20"/>
        <v>14.725447560263932</v>
      </c>
      <c r="Z68" s="23">
        <f t="shared" si="20"/>
        <v>15.794121269228304</v>
      </c>
      <c r="AA68" s="23">
        <f t="shared" si="20"/>
        <v>16.87230593994321</v>
      </c>
      <c r="AB68" s="23">
        <f t="shared" si="20"/>
        <v>17.952879375347205</v>
      </c>
      <c r="AC68" s="23">
        <f t="shared" si="20"/>
        <v>19.177934591872848</v>
      </c>
      <c r="AD68" s="23">
        <f t="shared" si="20"/>
        <v>20.447364464513448</v>
      </c>
      <c r="AE68" s="23">
        <f t="shared" si="20"/>
        <v>21.621510172128499</v>
      </c>
      <c r="AF68" s="23">
        <f t="shared" si="20"/>
        <v>22.068752598432109</v>
      </c>
      <c r="AG68" s="23">
        <f t="shared" si="20"/>
        <v>23.918394611213493</v>
      </c>
      <c r="AH68" s="23">
        <f t="shared" si="20"/>
        <v>24.587442309733309</v>
      </c>
      <c r="AI68" s="23">
        <f t="shared" si="20"/>
        <v>164.61873934844073</v>
      </c>
      <c r="AJ68" s="23">
        <f t="shared" si="20"/>
        <v>264.946076667895</v>
      </c>
      <c r="AK68" s="23">
        <f t="shared" si="20"/>
        <v>324.32808776963589</v>
      </c>
      <c r="AL68" s="23">
        <f t="shared" si="20"/>
        <v>362.6373573560457</v>
      </c>
      <c r="AM68" s="23">
        <f t="shared" si="20"/>
        <v>390.36032573547118</v>
      </c>
      <c r="AN68" s="23">
        <f t="shared" si="20"/>
        <v>412.68124913714558</v>
      </c>
      <c r="AO68" s="23">
        <f t="shared" si="20"/>
        <v>432.27517259185328</v>
      </c>
      <c r="AP68" s="23">
        <f t="shared" si="20"/>
        <v>450.56553802294957</v>
      </c>
      <c r="AQ68" s="23">
        <f t="shared" si="20"/>
        <v>468.32560027366515</v>
      </c>
      <c r="AR68" s="23">
        <f t="shared" si="20"/>
        <v>485.98279160220619</v>
      </c>
      <c r="AS68" s="23">
        <f t="shared" si="20"/>
        <v>503.77827819193021</v>
      </c>
      <c r="AT68" s="23">
        <f t="shared" si="20"/>
        <v>521.85227396909931</v>
      </c>
      <c r="AU68" s="23">
        <f t="shared" si="20"/>
        <v>540.29014151728086</v>
      </c>
      <c r="AV68" s="23">
        <f t="shared" si="20"/>
        <v>559.14744023528624</v>
      </c>
      <c r="AW68" s="23">
        <f t="shared" si="20"/>
        <v>578.46357404708363</v>
      </c>
      <c r="AX68" s="23">
        <f t="shared" si="20"/>
        <v>598.26923892155082</v>
      </c>
      <c r="AY68" s="23">
        <f t="shared" si="20"/>
        <v>618.59049167031048</v>
      </c>
      <c r="AZ68" s="23">
        <f t="shared" si="20"/>
        <v>639.45097617126044</v>
      </c>
      <c r="BA68" s="23">
        <f t="shared" si="20"/>
        <v>660.87314467279282</v>
      </c>
      <c r="BB68" s="23">
        <f t="shared" si="20"/>
        <v>682.87893118820273</v>
      </c>
      <c r="BC68" s="23">
        <f t="shared" si="20"/>
        <v>705.49012630672246</v>
      </c>
      <c r="BD68" s="23">
        <f t="shared" si="20"/>
        <v>728.72858939325204</v>
      </c>
      <c r="BE68" s="23">
        <f t="shared" si="20"/>
        <v>752.78172522255295</v>
      </c>
      <c r="BF68" s="23">
        <f t="shared" si="20"/>
        <v>777.45689043947652</v>
      </c>
      <c r="BG68" s="23">
        <f t="shared" si="20"/>
        <v>802.78494536895141</v>
      </c>
      <c r="BH68" s="23">
        <f t="shared" si="20"/>
        <v>828.80118950150336</v>
      </c>
      <c r="BI68" s="23">
        <f t="shared" si="20"/>
        <v>855.53902798060199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0.48490804268827326</v>
      </c>
      <c r="C70" s="45">
        <f t="shared" si="21"/>
        <v>0.42036998311694618</v>
      </c>
      <c r="D70" s="45">
        <f t="shared" si="21"/>
        <v>0.38293478291362321</v>
      </c>
      <c r="E70" s="45">
        <f t="shared" si="21"/>
        <v>0.35486277236465741</v>
      </c>
      <c r="F70" s="45">
        <f t="shared" si="21"/>
        <v>0.33236894449457705</v>
      </c>
      <c r="G70" s="45">
        <f t="shared" si="21"/>
        <v>0.31058672089805961</v>
      </c>
      <c r="H70" s="45">
        <f t="shared" si="21"/>
        <v>0.29178364449996097</v>
      </c>
      <c r="I70" s="45">
        <f t="shared" si="21"/>
        <v>0.27602949053667636</v>
      </c>
      <c r="J70" s="45">
        <f t="shared" si="21"/>
        <v>0.26088309641801505</v>
      </c>
      <c r="K70" s="45">
        <f t="shared" si="21"/>
        <v>0.24879316229458809</v>
      </c>
      <c r="L70" s="45">
        <f t="shared" si="21"/>
        <v>0.24140171106479738</v>
      </c>
      <c r="M70" s="45">
        <f t="shared" si="21"/>
        <v>0.23593165071699002</v>
      </c>
      <c r="N70" s="45">
        <f t="shared" si="21"/>
        <v>0.23410194289183833</v>
      </c>
      <c r="O70" s="45">
        <f t="shared" si="21"/>
        <v>0.23586065067811124</v>
      </c>
      <c r="P70" s="45">
        <f t="shared" si="21"/>
        <v>0.2393023195903034</v>
      </c>
      <c r="Q70" s="45">
        <f t="shared" si="21"/>
        <v>0.24701868868606586</v>
      </c>
      <c r="R70" s="45">
        <f t="shared" si="21"/>
        <v>0.25934319030263631</v>
      </c>
      <c r="S70" s="45">
        <f t="shared" si="21"/>
        <v>0.27720310342025201</v>
      </c>
      <c r="T70" s="45">
        <f t="shared" si="21"/>
        <v>0.28559373075026034</v>
      </c>
      <c r="U70" s="45">
        <f t="shared" si="21"/>
        <v>0.29465899658140621</v>
      </c>
      <c r="V70" s="45">
        <f t="shared" si="21"/>
        <v>0.30848354199007261</v>
      </c>
      <c r="W70" s="45">
        <f t="shared" si="21"/>
        <v>0.32075675789446995</v>
      </c>
      <c r="X70" s="45">
        <f t="shared" si="21"/>
        <v>0.32927596420992844</v>
      </c>
      <c r="Y70" s="45">
        <f t="shared" si="21"/>
        <v>0.33854289903923274</v>
      </c>
      <c r="Z70" s="45">
        <f t="shared" si="21"/>
        <v>0.34773609178764503</v>
      </c>
      <c r="AA70" s="45">
        <f t="shared" si="21"/>
        <v>0.35660673491774747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0.48490804268827326</v>
      </c>
      <c r="C71" s="46">
        <f t="shared" si="23"/>
        <v>0.42036998311694618</v>
      </c>
      <c r="D71" s="46">
        <f t="shared" si="23"/>
        <v>0.38293478291362321</v>
      </c>
      <c r="E71" s="46">
        <f t="shared" si="23"/>
        <v>0.35486277236465741</v>
      </c>
      <c r="F71" s="46">
        <f t="shared" si="23"/>
        <v>0.33236894449457705</v>
      </c>
      <c r="G71" s="46">
        <f t="shared" si="23"/>
        <v>0.31058672089805961</v>
      </c>
      <c r="H71" s="46">
        <f t="shared" si="23"/>
        <v>0.29178364449996097</v>
      </c>
      <c r="I71" s="46">
        <f t="shared" si="23"/>
        <v>0.27602949053667636</v>
      </c>
      <c r="J71" s="46">
        <f t="shared" si="23"/>
        <v>0.26088309641801505</v>
      </c>
      <c r="K71" s="46">
        <f t="shared" si="23"/>
        <v>0.24879316229458809</v>
      </c>
      <c r="L71" s="46">
        <f t="shared" si="23"/>
        <v>0.24140171106479738</v>
      </c>
      <c r="M71" s="46">
        <f t="shared" si="23"/>
        <v>0.23593165071699002</v>
      </c>
      <c r="N71" s="46">
        <f t="shared" si="23"/>
        <v>0.23410194289183833</v>
      </c>
      <c r="O71" s="46">
        <f t="shared" si="23"/>
        <v>0.23586065067811124</v>
      </c>
      <c r="P71" s="46">
        <f t="shared" si="23"/>
        <v>0.2393023195903034</v>
      </c>
      <c r="Q71" s="46">
        <f t="shared" si="23"/>
        <v>0.24701868868606586</v>
      </c>
      <c r="R71" s="46">
        <f t="shared" si="23"/>
        <v>0.25934319030263631</v>
      </c>
      <c r="S71" s="46">
        <f t="shared" si="23"/>
        <v>0.27720310342025201</v>
      </c>
      <c r="T71" s="46">
        <f t="shared" si="23"/>
        <v>0.28559373075026034</v>
      </c>
      <c r="U71" s="46">
        <f t="shared" si="23"/>
        <v>0.29465899658140621</v>
      </c>
      <c r="V71" s="46">
        <f t="shared" si="23"/>
        <v>0.30848354199007261</v>
      </c>
      <c r="W71" s="46">
        <f t="shared" si="23"/>
        <v>0.32075675789446995</v>
      </c>
      <c r="X71" s="46">
        <f t="shared" si="23"/>
        <v>0.32927596420992844</v>
      </c>
      <c r="Y71" s="46">
        <f t="shared" si="23"/>
        <v>0.33854289903923274</v>
      </c>
      <c r="Z71" s="46">
        <f t="shared" si="23"/>
        <v>0.34773609178764503</v>
      </c>
      <c r="AA71" s="46">
        <f t="shared" si="23"/>
        <v>0.35660673491774747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0.57647948282874972</v>
      </c>
      <c r="C73" s="45">
        <f>(C97)*C68</f>
        <v>0.39891791942439897</v>
      </c>
      <c r="D73" s="45">
        <f>(D97)*D68</f>
        <v>0.4323080242031726</v>
      </c>
      <c r="E73" s="45">
        <f>(E97)*E68</f>
        <v>0.4745738907813134</v>
      </c>
      <c r="F73" s="45">
        <f>(F97)*F68</f>
        <v>0.52494548206255942</v>
      </c>
      <c r="G73" s="45">
        <f t="shared" ref="G73:BI73" si="25">(G97)*G68</f>
        <v>0.58317659978433245</v>
      </c>
      <c r="H73" s="45">
        <f t="shared" si="25"/>
        <v>0.63960088636025181</v>
      </c>
      <c r="I73" s="45">
        <f t="shared" si="25"/>
        <v>0.69759830979192872</v>
      </c>
      <c r="J73" s="45">
        <f t="shared" si="25"/>
        <v>0.7506897793397207</v>
      </c>
      <c r="K73" s="45">
        <f t="shared" si="25"/>
        <v>0.83193558630956022</v>
      </c>
      <c r="L73" s="45">
        <f t="shared" si="25"/>
        <v>0.94181807929999573</v>
      </c>
      <c r="M73" s="45">
        <f t="shared" si="25"/>
        <v>0.99437678356330506</v>
      </c>
      <c r="N73" s="45">
        <f t="shared" si="25"/>
        <v>1.0839085075494301</v>
      </c>
      <c r="O73" s="45">
        <f t="shared" si="25"/>
        <v>1.1915462128374961</v>
      </c>
      <c r="P73" s="45">
        <f t="shared" si="25"/>
        <v>1.3110153091351548</v>
      </c>
      <c r="Q73" s="45">
        <f t="shared" si="25"/>
        <v>1.4582765581613768</v>
      </c>
      <c r="R73" s="45">
        <f t="shared" si="25"/>
        <v>1.6419479460326529</v>
      </c>
      <c r="S73" s="45">
        <f t="shared" si="25"/>
        <v>1.8730815782683132</v>
      </c>
      <c r="T73" s="45">
        <f t="shared" si="25"/>
        <v>2.051684836734458</v>
      </c>
      <c r="U73" s="45">
        <f t="shared" si="25"/>
        <v>2.2411209195529187</v>
      </c>
      <c r="V73" s="45">
        <f t="shared" si="25"/>
        <v>2.4757206936825447</v>
      </c>
      <c r="W73" s="45">
        <f t="shared" si="25"/>
        <v>2.709207585682861</v>
      </c>
      <c r="X73" s="45">
        <f t="shared" si="25"/>
        <v>2.9179544929708143</v>
      </c>
      <c r="Y73" s="45">
        <f t="shared" si="25"/>
        <v>3.1401184019178081</v>
      </c>
      <c r="Z73" s="45">
        <f t="shared" si="25"/>
        <v>3.368007025705392</v>
      </c>
      <c r="AA73" s="45">
        <f t="shared" si="25"/>
        <v>3.5979238082902252</v>
      </c>
      <c r="AB73" s="45">
        <f t="shared" si="25"/>
        <v>3.8283499814336386</v>
      </c>
      <c r="AC73" s="45">
        <f t="shared" si="25"/>
        <v>4.0895860771811163</v>
      </c>
      <c r="AD73" s="45">
        <f t="shared" si="25"/>
        <v>4.3602848173524809</v>
      </c>
      <c r="AE73" s="45">
        <f t="shared" si="25"/>
        <v>4.610664748279941</v>
      </c>
      <c r="AF73" s="45">
        <f t="shared" si="25"/>
        <v>4.7060366659895285</v>
      </c>
      <c r="AG73" s="45">
        <f t="shared" si="25"/>
        <v>5.100462363240867</v>
      </c>
      <c r="AH73" s="45">
        <f t="shared" si="25"/>
        <v>5.2431330006720849</v>
      </c>
      <c r="AI73" s="45">
        <f t="shared" si="25"/>
        <v>35.104015046948078</v>
      </c>
      <c r="AJ73" s="45">
        <f t="shared" si="25"/>
        <v>56.498252257255793</v>
      </c>
      <c r="AK73" s="45">
        <f t="shared" si="25"/>
        <v>69.161130247235334</v>
      </c>
      <c r="AL73" s="45">
        <f t="shared" si="25"/>
        <v>77.330365301043074</v>
      </c>
      <c r="AM73" s="45">
        <f t="shared" si="25"/>
        <v>83.242131500865057</v>
      </c>
      <c r="AN73" s="45">
        <f t="shared" si="25"/>
        <v>88.001942164313533</v>
      </c>
      <c r="AO73" s="45">
        <f t="shared" si="25"/>
        <v>92.180235513571418</v>
      </c>
      <c r="AP73" s="45">
        <f t="shared" si="25"/>
        <v>96.080552487499617</v>
      </c>
      <c r="AQ73" s="45">
        <f t="shared" si="25"/>
        <v>99.867785307720808</v>
      </c>
      <c r="AR73" s="45">
        <f t="shared" si="25"/>
        <v>103.63308148564843</v>
      </c>
      <c r="AS73" s="45">
        <f t="shared" si="25"/>
        <v>107.42786834579547</v>
      </c>
      <c r="AT73" s="45">
        <f t="shared" si="25"/>
        <v>111.28204571485713</v>
      </c>
      <c r="AU73" s="45">
        <f t="shared" si="25"/>
        <v>115.21381668094995</v>
      </c>
      <c r="AV73" s="45">
        <f t="shared" si="25"/>
        <v>119.23502897161451</v>
      </c>
      <c r="AW73" s="45">
        <f t="shared" si="25"/>
        <v>123.35408525075992</v>
      </c>
      <c r="AX73" s="45">
        <f t="shared" si="25"/>
        <v>127.57753126012638</v>
      </c>
      <c r="AY73" s="45">
        <f t="shared" si="25"/>
        <v>131.91092346740945</v>
      </c>
      <c r="AZ73" s="45">
        <f t="shared" si="25"/>
        <v>136.35930379583596</v>
      </c>
      <c r="BA73" s="45">
        <f t="shared" si="25"/>
        <v>140.92746006038075</v>
      </c>
      <c r="BB73" s="45">
        <f t="shared" si="25"/>
        <v>145.62006956531556</v>
      </c>
      <c r="BC73" s="45">
        <f t="shared" si="25"/>
        <v>150.44177903054185</v>
      </c>
      <c r="BD73" s="45">
        <f t="shared" si="25"/>
        <v>155.39724984198327</v>
      </c>
      <c r="BE73" s="45">
        <f t="shared" si="25"/>
        <v>160.52644500785587</v>
      </c>
      <c r="BF73" s="45">
        <f t="shared" si="25"/>
        <v>165.78828442230659</v>
      </c>
      <c r="BG73" s="45">
        <f t="shared" si="25"/>
        <v>171.18934887507379</v>
      </c>
      <c r="BH73" s="45">
        <f t="shared" si="25"/>
        <v>176.73716578285058</v>
      </c>
      <c r="BI73" s="45">
        <f t="shared" si="25"/>
        <v>182.43885860353512</v>
      </c>
    </row>
    <row r="74" spans="1:237" s="45" customFormat="1" ht="18" customHeight="1" x14ac:dyDescent="0.2">
      <c r="A74" s="43" t="s">
        <v>35</v>
      </c>
      <c r="B74" s="44">
        <f>+B11</f>
        <v>9.2609350350421433</v>
      </c>
      <c r="C74" s="45">
        <f t="shared" ref="C74:BI74" si="26">+B74*(1-$B$8)^10+10*B73</f>
        <v>8.9938832101734327</v>
      </c>
      <c r="D74" s="45">
        <f t="shared" si="26"/>
        <v>7.1251523624088442</v>
      </c>
      <c r="E74" s="45">
        <f t="shared" si="26"/>
        <v>6.8074672532312732</v>
      </c>
      <c r="F74" s="45">
        <f t="shared" si="26"/>
        <v>7.1193559707016476</v>
      </c>
      <c r="G74" s="45">
        <f t="shared" si="26"/>
        <v>7.731820755006467</v>
      </c>
      <c r="H74" s="45">
        <f t="shared" si="26"/>
        <v>8.5276851978317847</v>
      </c>
      <c r="I74" s="45">
        <f t="shared" si="26"/>
        <v>9.3694288360463656</v>
      </c>
      <c r="J74" s="45">
        <f t="shared" si="26"/>
        <v>10.242900929099894</v>
      </c>
      <c r="K74" s="45">
        <f t="shared" si="26"/>
        <v>11.0783765114546</v>
      </c>
      <c r="L74" s="45">
        <f t="shared" si="26"/>
        <v>12.182146903950073</v>
      </c>
      <c r="M74" s="45">
        <f t="shared" si="26"/>
        <v>13.665832772538316</v>
      </c>
      <c r="N74" s="45">
        <f t="shared" si="26"/>
        <v>14.708749089429169</v>
      </c>
      <c r="O74" s="45">
        <f t="shared" si="26"/>
        <v>15.967708763818763</v>
      </c>
      <c r="P74" s="45">
        <f t="shared" si="26"/>
        <v>17.48305791211439</v>
      </c>
      <c r="Q74" s="45">
        <f t="shared" si="26"/>
        <v>19.206118452325562</v>
      </c>
      <c r="R74" s="45">
        <f t="shared" si="26"/>
        <v>21.279525003946475</v>
      </c>
      <c r="S74" s="45">
        <f t="shared" si="26"/>
        <v>23.839191044771535</v>
      </c>
      <c r="T74" s="45">
        <f t="shared" si="26"/>
        <v>27.043027729419961</v>
      </c>
      <c r="U74" s="45">
        <f t="shared" si="26"/>
        <v>29.94616909161978</v>
      </c>
      <c r="V74" s="45">
        <f t="shared" si="26"/>
        <v>32.852792721366015</v>
      </c>
      <c r="W74" s="45">
        <f t="shared" si="26"/>
        <v>36.212267455839992</v>
      </c>
      <c r="X74" s="45">
        <f t="shared" si="26"/>
        <v>39.718512785814902</v>
      </c>
      <c r="Y74" s="45">
        <f t="shared" si="26"/>
        <v>43.028534010957998</v>
      </c>
      <c r="Z74" s="45">
        <f t="shared" si="26"/>
        <v>46.404306137908719</v>
      </c>
      <c r="AA74" s="45">
        <f t="shared" si="26"/>
        <v>49.860251335142792</v>
      </c>
      <c r="AB74" s="45">
        <f t="shared" si="26"/>
        <v>53.364432741433788</v>
      </c>
      <c r="AC74" s="45">
        <f t="shared" si="26"/>
        <v>56.890526979440892</v>
      </c>
      <c r="AD74" s="45">
        <f t="shared" si="26"/>
        <v>60.732360975469589</v>
      </c>
      <c r="AE74" s="45">
        <f t="shared" si="26"/>
        <v>64.778913062041667</v>
      </c>
      <c r="AF74" s="45">
        <f t="shared" si="26"/>
        <v>68.693657840645628</v>
      </c>
      <c r="AG74" s="45">
        <f t="shared" si="26"/>
        <v>71.012364120534755</v>
      </c>
      <c r="AH74" s="45">
        <f t="shared" si="26"/>
        <v>75.76510398176994</v>
      </c>
      <c r="AI74" s="45">
        <f t="shared" si="26"/>
        <v>78.848988277098698</v>
      </c>
      <c r="AJ74" s="45">
        <f t="shared" si="26"/>
        <v>378.53309270540274</v>
      </c>
      <c r="AK74" s="45">
        <f t="shared" si="26"/>
        <v>696.96885086330656</v>
      </c>
      <c r="AL74" s="45">
        <f t="shared" si="26"/>
        <v>934.62931418966082</v>
      </c>
      <c r="AM74" s="45">
        <f t="shared" si="26"/>
        <v>1099.1887443538146</v>
      </c>
      <c r="AN74" s="45">
        <f t="shared" si="26"/>
        <v>1215.6847317654165</v>
      </c>
      <c r="AO74" s="45">
        <f t="shared" si="26"/>
        <v>1303.9024775684877</v>
      </c>
      <c r="AP74" s="45">
        <f t="shared" si="26"/>
        <v>1376.44503705682</v>
      </c>
      <c r="AQ74" s="45">
        <f t="shared" si="26"/>
        <v>1440.7422332793551</v>
      </c>
      <c r="AR74" s="45">
        <f t="shared" si="26"/>
        <v>1501.033607563244</v>
      </c>
      <c r="AS74" s="45">
        <f t="shared" si="26"/>
        <v>1559.7088716793119</v>
      </c>
      <c r="AT74" s="45">
        <f t="shared" si="26"/>
        <v>1618.1155398452283</v>
      </c>
      <c r="AU74" s="45">
        <f t="shared" si="26"/>
        <v>1677.0224594833751</v>
      </c>
      <c r="AV74" s="45">
        <f t="shared" si="26"/>
        <v>1736.8797419948285</v>
      </c>
      <c r="AW74" s="45">
        <f t="shared" si="26"/>
        <v>1797.9628087961928</v>
      </c>
      <c r="AX74" s="45">
        <f t="shared" si="26"/>
        <v>1860.4517200364708</v>
      </c>
      <c r="AY74" s="45">
        <f t="shared" si="26"/>
        <v>1924.4747162249425</v>
      </c>
      <c r="AZ74" s="45">
        <f t="shared" si="26"/>
        <v>1990.1320767392981</v>
      </c>
      <c r="BA74" s="45">
        <f t="shared" si="26"/>
        <v>2057.5091860687917</v>
      </c>
      <c r="BB74" s="45">
        <f t="shared" si="26"/>
        <v>2126.6836940936946</v>
      </c>
      <c r="BC74" s="45">
        <f t="shared" si="26"/>
        <v>2197.7294486958508</v>
      </c>
      <c r="BD74" s="45">
        <f t="shared" si="26"/>
        <v>2270.7186662385211</v>
      </c>
      <c r="BE74" s="45">
        <f t="shared" si="26"/>
        <v>2345.7231408698331</v>
      </c>
      <c r="BF74" s="45">
        <f t="shared" si="26"/>
        <v>2423.1675357435251</v>
      </c>
      <c r="BG74" s="45">
        <f t="shared" si="26"/>
        <v>2502.7891206870795</v>
      </c>
      <c r="BH74" s="45">
        <f t="shared" si="26"/>
        <v>2584.5620952511599</v>
      </c>
      <c r="BI74" s="45">
        <f t="shared" si="26"/>
        <v>2668.552737542268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5.236142256449141E-2</v>
      </c>
      <c r="C77" s="23">
        <f t="shared" si="28"/>
        <v>5.8910309077831263E-2</v>
      </c>
      <c r="D77" s="23">
        <f t="shared" si="28"/>
        <v>8.4938339718402631E-2</v>
      </c>
      <c r="E77" s="23">
        <f t="shared" si="28"/>
        <v>0.1012451067749611</v>
      </c>
      <c r="F77" s="23">
        <f t="shared" si="28"/>
        <v>0.10943059866398515</v>
      </c>
      <c r="G77" s="23">
        <f t="shared" si="28"/>
        <v>0.11179966212297134</v>
      </c>
      <c r="H77" s="23">
        <f t="shared" si="28"/>
        <v>0.11142379083966268</v>
      </c>
      <c r="I77" s="23">
        <f t="shared" si="28"/>
        <v>0.1107808931426769</v>
      </c>
      <c r="J77" s="23">
        <f t="shared" si="28"/>
        <v>0.10928457170980388</v>
      </c>
      <c r="K77" s="23">
        <f t="shared" si="28"/>
        <v>0.10878443068052616</v>
      </c>
      <c r="L77" s="23">
        <f t="shared" si="28"/>
        <v>0.10732703086604688</v>
      </c>
      <c r="M77" s="23">
        <f t="shared" si="28"/>
        <v>0.10364982505245582</v>
      </c>
      <c r="N77" s="23">
        <f t="shared" si="28"/>
        <v>0.10509632741509743</v>
      </c>
      <c r="O77" s="23">
        <f t="shared" si="28"/>
        <v>0.10652792927800302</v>
      </c>
      <c r="P77" s="23">
        <f t="shared" si="28"/>
        <v>0.10713459635504437</v>
      </c>
      <c r="Q77" s="23">
        <f t="shared" si="28"/>
        <v>0.10863546740175162</v>
      </c>
      <c r="R77" s="23">
        <f t="shared" si="28"/>
        <v>0.11052333289990847</v>
      </c>
      <c r="S77" s="23">
        <f t="shared" si="28"/>
        <v>0.11269582789040174</v>
      </c>
      <c r="T77" s="23">
        <f t="shared" si="28"/>
        <v>0.10893197154082269</v>
      </c>
      <c r="U77" s="23">
        <f t="shared" si="28"/>
        <v>0.10761719493709365</v>
      </c>
      <c r="V77" s="23">
        <f t="shared" si="28"/>
        <v>0.10852920115373435</v>
      </c>
      <c r="W77" s="23">
        <f t="shared" si="28"/>
        <v>0.10786458118403887</v>
      </c>
      <c r="X77" s="23">
        <f t="shared" si="28"/>
        <v>0.10607598244103292</v>
      </c>
      <c r="Y77" s="23">
        <f t="shared" si="28"/>
        <v>0.10552026166953475</v>
      </c>
      <c r="Z77" s="23">
        <f t="shared" si="28"/>
        <v>0.10510964655904054</v>
      </c>
      <c r="AA77" s="23">
        <f t="shared" si="28"/>
        <v>0.10471234550715104</v>
      </c>
      <c r="AB77" s="23">
        <f t="shared" si="28"/>
        <v>0.10453697993092929</v>
      </c>
      <c r="AC77" s="23">
        <f t="shared" si="28"/>
        <v>0.10487001056314779</v>
      </c>
      <c r="AD77" s="23">
        <f t="shared" si="28"/>
        <v>0.10486681244952938</v>
      </c>
      <c r="AE77" s="23">
        <f t="shared" si="28"/>
        <v>0.10416638413781835</v>
      </c>
      <c r="AF77" s="23">
        <f t="shared" si="28"/>
        <v>0.10042912061074442</v>
      </c>
      <c r="AG77" s="23">
        <f t="shared" si="28"/>
        <v>0.1053575731050207</v>
      </c>
      <c r="AH77" s="23">
        <f t="shared" si="28"/>
        <v>0.1017001753404614</v>
      </c>
      <c r="AI77" s="23">
        <f t="shared" si="28"/>
        <v>0.65587765455338876</v>
      </c>
      <c r="AJ77" s="23">
        <f t="shared" si="28"/>
        <v>0.22519920508419142</v>
      </c>
      <c r="AK77" s="23">
        <f t="shared" si="28"/>
        <v>0.15114482914715222</v>
      </c>
      <c r="AL77" s="23">
        <f t="shared" si="28"/>
        <v>0.12658051939150128</v>
      </c>
      <c r="AM77" s="23">
        <f t="shared" si="28"/>
        <v>0.11615206593125765</v>
      </c>
      <c r="AN77" s="23">
        <f t="shared" si="28"/>
        <v>0.11121864115114664</v>
      </c>
      <c r="AO77" s="23">
        <f t="shared" si="28"/>
        <v>0.10876406850304859</v>
      </c>
      <c r="AP77" s="23">
        <f t="shared" si="28"/>
        <v>0.10751701478985082</v>
      </c>
      <c r="AQ77" s="23">
        <f t="shared" si="28"/>
        <v>0.10688357913998948</v>
      </c>
      <c r="AR77" s="23">
        <f t="shared" si="28"/>
        <v>0.10657029708064771</v>
      </c>
      <c r="AS77" s="23">
        <f t="shared" si="28"/>
        <v>0.10642762066025217</v>
      </c>
      <c r="AT77" s="23">
        <f t="shared" si="28"/>
        <v>0.10637799782916886</v>
      </c>
      <c r="AU77" s="23">
        <f t="shared" si="28"/>
        <v>0.10638076888743682</v>
      </c>
      <c r="AV77" s="23">
        <f t="shared" si="28"/>
        <v>0.10641443341183714</v>
      </c>
      <c r="AW77" s="23">
        <f t="shared" si="28"/>
        <v>0.10646751941136684</v>
      </c>
      <c r="AX77" s="23">
        <f t="shared" si="28"/>
        <v>0.1065338319887833</v>
      </c>
      <c r="AY77" s="23">
        <f t="shared" si="28"/>
        <v>0.10660996619068025</v>
      </c>
      <c r="AZ77" s="23">
        <f t="shared" si="28"/>
        <v>0.10669400036811294</v>
      </c>
      <c r="BA77" s="23">
        <f t="shared" si="28"/>
        <v>0.10678480792880159</v>
      </c>
      <c r="BB77" s="23">
        <f t="shared" si="28"/>
        <v>0.10688169390228867</v>
      </c>
      <c r="BC77" s="23">
        <f t="shared" si="28"/>
        <v>0.10698420241062684</v>
      </c>
      <c r="BD77" s="23">
        <f t="shared" si="28"/>
        <v>0.10709201418677705</v>
      </c>
      <c r="BE77" s="23">
        <f t="shared" si="28"/>
        <v>0.10720489160620141</v>
      </c>
      <c r="BF77" s="23">
        <f t="shared" si="28"/>
        <v>0.10731171670441382</v>
      </c>
      <c r="BG77" s="23">
        <f t="shared" si="28"/>
        <v>0.10742342645404769</v>
      </c>
      <c r="BH77" s="23">
        <f t="shared" si="28"/>
        <v>0.10754280275181724</v>
      </c>
      <c r="BI77" s="23">
        <f t="shared" si="28"/>
        <v>0.10766972441936307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3.4104123423287593E-2</v>
      </c>
      <c r="C78" s="23">
        <f t="shared" si="29"/>
        <v>3.8369554402764183E-2</v>
      </c>
      <c r="D78" s="23">
        <f t="shared" si="29"/>
        <v>5.5322171920706112E-2</v>
      </c>
      <c r="E78" s="23">
        <f t="shared" si="29"/>
        <v>6.5943120876909705E-2</v>
      </c>
      <c r="F78" s="23">
        <f t="shared" si="29"/>
        <v>7.1274508222617633E-2</v>
      </c>
      <c r="G78" s="23">
        <f t="shared" si="29"/>
        <v>7.2817530330226615E-2</v>
      </c>
      <c r="H78" s="23">
        <f t="shared" si="29"/>
        <v>7.2572717259660413E-2</v>
      </c>
      <c r="I78" s="23">
        <f t="shared" si="29"/>
        <v>7.21539841288035E-2</v>
      </c>
      <c r="J78" s="23">
        <f t="shared" si="29"/>
        <v>7.1179397719032839E-2</v>
      </c>
      <c r="K78" s="23">
        <f t="shared" si="29"/>
        <v>7.08536450836737E-2</v>
      </c>
      <c r="L78" s="23">
        <f t="shared" si="29"/>
        <v>6.9904409163109082E-2</v>
      </c>
      <c r="M78" s="23">
        <f t="shared" si="29"/>
        <v>6.7509365736527605E-2</v>
      </c>
      <c r="N78" s="23">
        <f t="shared" si="29"/>
        <v>6.8451503911762385E-2</v>
      </c>
      <c r="O78" s="23">
        <f t="shared" si="29"/>
        <v>6.9383937070265772E-2</v>
      </c>
      <c r="P78" s="23">
        <f t="shared" si="29"/>
        <v>6.9779072417224336E-2</v>
      </c>
      <c r="Q78" s="23">
        <f t="shared" si="29"/>
        <v>7.0756622088574445E-2</v>
      </c>
      <c r="R78" s="23">
        <f t="shared" si="29"/>
        <v>7.1986229589715359E-2</v>
      </c>
      <c r="S78" s="23">
        <f t="shared" si="29"/>
        <v>7.3401222415798356E-2</v>
      </c>
      <c r="T78" s="23">
        <f t="shared" si="29"/>
        <v>7.0949741626951029E-2</v>
      </c>
      <c r="U78" s="23">
        <f t="shared" si="29"/>
        <v>7.0093399278490204E-2</v>
      </c>
      <c r="V78" s="23">
        <f t="shared" si="29"/>
        <v>7.0687408590151116E-2</v>
      </c>
      <c r="W78" s="23">
        <f t="shared" si="29"/>
        <v>7.0254527274748374E-2</v>
      </c>
      <c r="X78" s="23">
        <f t="shared" si="29"/>
        <v>6.9089574351418548E-2</v>
      </c>
      <c r="Y78" s="23">
        <f t="shared" si="29"/>
        <v>6.8727621431657532E-2</v>
      </c>
      <c r="Z78" s="23">
        <f t="shared" si="29"/>
        <v>6.8460178957371914E-2</v>
      </c>
      <c r="AA78" s="23">
        <f t="shared" si="29"/>
        <v>6.820140821650536E-2</v>
      </c>
      <c r="AB78" s="23">
        <f t="shared" si="29"/>
        <v>6.8087188835847828E-2</v>
      </c>
      <c r="AC78" s="23">
        <f t="shared" si="29"/>
        <v>6.8304098866718871E-2</v>
      </c>
      <c r="AD78" s="23">
        <f t="shared" si="29"/>
        <v>6.8302015866368193E-2</v>
      </c>
      <c r="AE78" s="23">
        <f t="shared" si="29"/>
        <v>6.7845811805786443E-2</v>
      </c>
      <c r="AF78" s="23">
        <f t="shared" si="29"/>
        <v>6.541165149557529E-2</v>
      </c>
      <c r="AG78" s="23">
        <f t="shared" si="29"/>
        <v>6.862165886204033E-2</v>
      </c>
      <c r="AH78" s="23">
        <f t="shared" si="29"/>
        <v>6.6239516844852811E-2</v>
      </c>
      <c r="AI78" s="23">
        <f t="shared" si="29"/>
        <v>0.4271872570672664</v>
      </c>
      <c r="AJ78" s="23">
        <f t="shared" si="29"/>
        <v>0.14667709754367553</v>
      </c>
      <c r="AK78" s="23">
        <f t="shared" si="29"/>
        <v>9.8443885890942134E-2</v>
      </c>
      <c r="AL78" s="23">
        <f t="shared" si="29"/>
        <v>8.2444621343024799E-2</v>
      </c>
      <c r="AM78" s="23">
        <f t="shared" si="29"/>
        <v>7.5652344767954363E-2</v>
      </c>
      <c r="AN78" s="23">
        <f t="shared" si="29"/>
        <v>7.2439098844523153E-2</v>
      </c>
      <c r="AO78" s="23">
        <f t="shared" si="29"/>
        <v>7.0840382758476053E-2</v>
      </c>
      <c r="AP78" s="23">
        <f t="shared" si="29"/>
        <v>7.0028149788716992E-2</v>
      </c>
      <c r="AQ78" s="23">
        <f t="shared" si="29"/>
        <v>6.9615579493153029E-2</v>
      </c>
      <c r="AR78" s="23">
        <f t="shared" si="29"/>
        <v>6.9411532133573844E-2</v>
      </c>
      <c r="AS78" s="23">
        <f t="shared" si="29"/>
        <v>6.9318603904880899E-2</v>
      </c>
      <c r="AT78" s="23">
        <f t="shared" si="29"/>
        <v>6.9286283485133063E-2</v>
      </c>
      <c r="AU78" s="23">
        <f t="shared" si="29"/>
        <v>6.9288088335126702E-2</v>
      </c>
      <c r="AV78" s="23">
        <f t="shared" si="29"/>
        <v>6.9310014765672417E-2</v>
      </c>
      <c r="AW78" s="23">
        <f t="shared" si="29"/>
        <v>6.9344590821694946E-2</v>
      </c>
      <c r="AX78" s="23">
        <f t="shared" si="29"/>
        <v>6.9387781633058837E-2</v>
      </c>
      <c r="AY78" s="23">
        <f t="shared" si="29"/>
        <v>6.9437369480200101E-2</v>
      </c>
      <c r="AZ78" s="23">
        <f t="shared" si="29"/>
        <v>6.9492102751730483E-2</v>
      </c>
      <c r="BA78" s="23">
        <f t="shared" si="29"/>
        <v>6.9551247673808908E-2</v>
      </c>
      <c r="BB78" s="23">
        <f t="shared" si="29"/>
        <v>6.9614351597192953E-2</v>
      </c>
      <c r="BC78" s="23">
        <f t="shared" si="29"/>
        <v>6.9681117598746803E-2</v>
      </c>
      <c r="BD78" s="23">
        <f t="shared" si="29"/>
        <v>6.9751337732964547E-2</v>
      </c>
      <c r="BE78" s="23">
        <f t="shared" si="29"/>
        <v>6.9824857229861495E-2</v>
      </c>
      <c r="BF78" s="23">
        <f t="shared" si="29"/>
        <v>6.9894434719465687E-2</v>
      </c>
      <c r="BG78" s="23">
        <f t="shared" si="29"/>
        <v>6.9967193687853257E-2</v>
      </c>
      <c r="BH78" s="23">
        <f t="shared" si="29"/>
        <v>7.0044946044331605E-2</v>
      </c>
      <c r="BI78" s="23">
        <f t="shared" si="29"/>
        <v>7.0127612862822652E-2</v>
      </c>
    </row>
    <row r="79" spans="1:237" s="37" customFormat="1" ht="18" customHeight="1" x14ac:dyDescent="0.2">
      <c r="A79" s="35" t="s">
        <v>70</v>
      </c>
      <c r="B79" s="29">
        <f>+C134</f>
        <v>4.7259757400742064E-2</v>
      </c>
      <c r="C79" s="23">
        <f t="shared" ref="C79:BI79" si="30">+D134</f>
        <v>3.152177784007737E-2</v>
      </c>
      <c r="D79" s="23">
        <f t="shared" si="30"/>
        <v>3.5399065478488367E-2</v>
      </c>
      <c r="E79" s="23">
        <f t="shared" si="30"/>
        <v>3.6887900119469075E-2</v>
      </c>
      <c r="F79" s="23">
        <f t="shared" si="30"/>
        <v>3.5784407749253289E-2</v>
      </c>
      <c r="G79" s="23">
        <f t="shared" si="30"/>
        <v>3.4624732814574344E-2</v>
      </c>
      <c r="H79" s="23">
        <f t="shared" si="30"/>
        <v>3.3520595491763894E-2</v>
      </c>
      <c r="I79" s="23">
        <f t="shared" si="30"/>
        <v>3.1527303615480617E-2</v>
      </c>
      <c r="J79" s="23">
        <f t="shared" si="30"/>
        <v>3.0189561548864541E-2</v>
      </c>
      <c r="K79" s="23">
        <f t="shared" si="30"/>
        <v>2.7955293442208262E-2</v>
      </c>
      <c r="L79" s="23">
        <f t="shared" si="30"/>
        <v>2.7847912162266786E-2</v>
      </c>
      <c r="M79" s="23">
        <f t="shared" si="30"/>
        <v>2.7962132600773737E-2</v>
      </c>
      <c r="N79" s="23">
        <f t="shared" si="30"/>
        <v>2.9268328065779503E-2</v>
      </c>
      <c r="O79" s="23">
        <f t="shared" si="30"/>
        <v>2.9402930352097068E-2</v>
      </c>
      <c r="P79" s="23">
        <f t="shared" si="30"/>
        <v>3.1087896877806553E-2</v>
      </c>
      <c r="Q79" s="23">
        <f t="shared" si="30"/>
        <v>3.2972578640250161E-2</v>
      </c>
      <c r="R79" s="23">
        <f t="shared" si="30"/>
        <v>3.5000275774374145E-2</v>
      </c>
      <c r="S79" s="23">
        <f t="shared" si="30"/>
        <v>2.8712371444547857E-2</v>
      </c>
      <c r="T79" s="23">
        <f t="shared" si="30"/>
        <v>2.8286337332469325E-2</v>
      </c>
      <c r="U79" s="23">
        <f t="shared" si="30"/>
        <v>2.9620927653493778E-2</v>
      </c>
      <c r="V79" s="23">
        <f t="shared" si="30"/>
        <v>2.7765514783596457E-2</v>
      </c>
      <c r="W79" s="23">
        <f t="shared" si="30"/>
        <v>2.5317525621118886E-2</v>
      </c>
      <c r="X79" s="23">
        <f t="shared" si="30"/>
        <v>2.5186957557790546E-2</v>
      </c>
      <c r="Y79" s="23">
        <f t="shared" si="30"/>
        <v>2.4677006264437251E-2</v>
      </c>
      <c r="Z79" s="23">
        <f t="shared" si="30"/>
        <v>2.4058559786010125E-2</v>
      </c>
      <c r="AA79" s="23">
        <f t="shared" si="30"/>
        <v>2.3450627733315743E-2</v>
      </c>
      <c r="AB79" s="23">
        <f t="shared" si="30"/>
        <v>2.4054579546052723E-2</v>
      </c>
      <c r="AC79" s="23">
        <f t="shared" si="30"/>
        <v>2.3760270742171574E-2</v>
      </c>
      <c r="AD79" s="23">
        <f t="shared" si="30"/>
        <v>2.2492777413310128E-2</v>
      </c>
      <c r="AE79" s="23">
        <f t="shared" si="30"/>
        <v>1.7602718233099779E-2</v>
      </c>
      <c r="AF79" s="23">
        <f t="shared" si="30"/>
        <v>2.7328126087175164E-2</v>
      </c>
      <c r="AG79" s="23">
        <f t="shared" si="30"/>
        <v>1.9208979679706362E-2</v>
      </c>
      <c r="AH79" s="23">
        <f t="shared" si="30"/>
        <v>0.34999117625365295</v>
      </c>
      <c r="AI79" s="23">
        <f t="shared" si="30"/>
        <v>9.0103603939677201E-2</v>
      </c>
      <c r="AJ79" s="23">
        <f t="shared" si="30"/>
        <v>4.6261157816881893E-2</v>
      </c>
      <c r="AK79" s="23">
        <f t="shared" si="30"/>
        <v>3.2141497247589079E-2</v>
      </c>
      <c r="AL79" s="23">
        <f t="shared" si="30"/>
        <v>2.6277982639741237E-2</v>
      </c>
      <c r="AM79" s="23">
        <f t="shared" si="30"/>
        <v>2.3501307863910803E-2</v>
      </c>
      <c r="AN79" s="23">
        <f t="shared" si="30"/>
        <v>2.208702639468263E-2</v>
      </c>
      <c r="AO79" s="23">
        <f t="shared" si="30"/>
        <v>2.1329071478227934E-2</v>
      </c>
      <c r="AP79" s="23">
        <f t="shared" si="30"/>
        <v>2.0903120623886995E-2</v>
      </c>
      <c r="AQ79" s="23">
        <f t="shared" si="30"/>
        <v>2.0650355543094578E-2</v>
      </c>
      <c r="AR79" s="23">
        <f t="shared" si="30"/>
        <v>2.0490166536857535E-2</v>
      </c>
      <c r="AS79" s="23">
        <f t="shared" si="30"/>
        <v>2.0380765963564418E-2</v>
      </c>
      <c r="AT79" s="23">
        <f t="shared" si="30"/>
        <v>2.030017629210179E-2</v>
      </c>
      <c r="AU79" s="23">
        <f t="shared" si="30"/>
        <v>2.0236688232468047E-2</v>
      </c>
      <c r="AV79" s="23">
        <f t="shared" si="30"/>
        <v>2.018396607837647E-2</v>
      </c>
      <c r="AW79" s="23">
        <f t="shared" si="30"/>
        <v>2.0138506198499995E-2</v>
      </c>
      <c r="AX79" s="23">
        <f t="shared" si="30"/>
        <v>2.0098308122982855E-2</v>
      </c>
      <c r="AY79" s="23">
        <f t="shared" si="30"/>
        <v>2.0062176560932787E-2</v>
      </c>
      <c r="AZ79" s="23">
        <f t="shared" si="30"/>
        <v>2.0029353477135414E-2</v>
      </c>
      <c r="BA79" s="23">
        <f t="shared" si="30"/>
        <v>1.9999323382866585E-2</v>
      </c>
      <c r="BB79" s="23">
        <f t="shared" si="30"/>
        <v>1.9971709725400633E-2</v>
      </c>
      <c r="BC79" s="23">
        <f t="shared" si="30"/>
        <v>1.9946219280447375E-2</v>
      </c>
      <c r="BD79" s="23">
        <f t="shared" si="30"/>
        <v>1.9956220942177083E-2</v>
      </c>
      <c r="BE79" s="23">
        <f t="shared" si="30"/>
        <v>1.9922399090295917E-2</v>
      </c>
      <c r="BF79" s="23">
        <f t="shared" si="30"/>
        <v>1.9892686744310994E-2</v>
      </c>
      <c r="BG79" s="23">
        <f t="shared" si="30"/>
        <v>1.9867410241058092E-2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1.0379406892788343</v>
      </c>
      <c r="C84" s="381">
        <f t="shared" ref="C84:BH84" si="31">C68-C73</f>
        <v>1.3602818821374789</v>
      </c>
      <c r="D84" s="381">
        <f>D68-D73</f>
        <v>1.5768872294190168</v>
      </c>
      <c r="E84" s="381">
        <f>E68-E73</f>
        <v>1.8119921600684368</v>
      </c>
      <c r="F84" s="381">
        <f t="shared" si="31"/>
        <v>2.0574348583496782</v>
      </c>
      <c r="G84" s="381">
        <f t="shared" si="31"/>
        <v>2.2789199622807472</v>
      </c>
      <c r="H84" s="381">
        <f t="shared" si="31"/>
        <v>2.504579196513995</v>
      </c>
      <c r="I84" s="381">
        <f t="shared" si="31"/>
        <v>2.7330589210179865</v>
      </c>
      <c r="J84" s="381">
        <f>J68-J73</f>
        <v>2.9442442543932978</v>
      </c>
      <c r="K84" s="381">
        <f t="shared" si="31"/>
        <v>3.1444265832985963</v>
      </c>
      <c r="L84" s="381">
        <f>L68-L73</f>
        <v>3.3681653561769584</v>
      </c>
      <c r="M84" s="381">
        <f t="shared" si="31"/>
        <v>3.6687095422779317</v>
      </c>
      <c r="N84" s="381">
        <f t="shared" si="31"/>
        <v>3.9990329122056245</v>
      </c>
      <c r="O84" s="381">
        <f t="shared" si="31"/>
        <v>4.3961575062494953</v>
      </c>
      <c r="P84" s="381">
        <f t="shared" si="31"/>
        <v>4.8369334986494001</v>
      </c>
      <c r="Q84" s="381">
        <f t="shared" si="31"/>
        <v>5.3802474199321093</v>
      </c>
      <c r="R84" s="381">
        <f t="shared" si="31"/>
        <v>6.057894951999498</v>
      </c>
      <c r="S84" s="381">
        <f t="shared" si="31"/>
        <v>6.9106523535607964</v>
      </c>
      <c r="T84" s="381">
        <f t="shared" si="31"/>
        <v>7.569601244411448</v>
      </c>
      <c r="U84" s="381">
        <f t="shared" si="31"/>
        <v>8.268517365720502</v>
      </c>
      <c r="V84" s="381">
        <f t="shared" si="31"/>
        <v>9.1340629458188243</v>
      </c>
      <c r="W84" s="381">
        <f t="shared" si="31"/>
        <v>9.9955025960978716</v>
      </c>
      <c r="X84" s="381">
        <f t="shared" si="31"/>
        <v>10.76566515756074</v>
      </c>
      <c r="Y84" s="381">
        <f t="shared" si="31"/>
        <v>11.585329158346124</v>
      </c>
      <c r="Z84" s="381">
        <f t="shared" si="31"/>
        <v>12.426114243522912</v>
      </c>
      <c r="AA84" s="381">
        <f t="shared" si="31"/>
        <v>13.274382131652985</v>
      </c>
      <c r="AB84" s="381">
        <f t="shared" si="31"/>
        <v>14.124529393913566</v>
      </c>
      <c r="AC84" s="381">
        <f t="shared" si="31"/>
        <v>15.088348514691731</v>
      </c>
      <c r="AD84" s="381">
        <f t="shared" si="31"/>
        <v>16.087079647160969</v>
      </c>
      <c r="AE84" s="381">
        <f t="shared" si="31"/>
        <v>17.010845423848558</v>
      </c>
      <c r="AF84" s="381">
        <f t="shared" si="31"/>
        <v>17.36271593244258</v>
      </c>
      <c r="AG84" s="381">
        <f t="shared" si="31"/>
        <v>18.817932247972628</v>
      </c>
      <c r="AH84" s="381">
        <f t="shared" si="31"/>
        <v>19.344309309061224</v>
      </c>
      <c r="AI84" s="381">
        <f t="shared" si="31"/>
        <v>129.51472430149266</v>
      </c>
      <c r="AJ84" s="381">
        <f t="shared" si="31"/>
        <v>208.44782441063921</v>
      </c>
      <c r="AK84" s="381">
        <f t="shared" si="31"/>
        <v>255.16695752240054</v>
      </c>
      <c r="AL84" s="381">
        <f t="shared" si="31"/>
        <v>285.30699205500264</v>
      </c>
      <c r="AM84" s="381">
        <f t="shared" si="31"/>
        <v>307.11819423460611</v>
      </c>
      <c r="AN84" s="381">
        <f t="shared" si="31"/>
        <v>324.67930697283202</v>
      </c>
      <c r="AO84" s="381">
        <f t="shared" si="31"/>
        <v>340.09493707828187</v>
      </c>
      <c r="AP84" s="381">
        <f t="shared" si="31"/>
        <v>354.48498553544994</v>
      </c>
      <c r="AQ84" s="381">
        <f t="shared" si="31"/>
        <v>368.45781496594435</v>
      </c>
      <c r="AR84" s="381">
        <f t="shared" si="31"/>
        <v>382.34971011655773</v>
      </c>
      <c r="AS84" s="381">
        <f t="shared" si="31"/>
        <v>396.35040984613477</v>
      </c>
      <c r="AT84" s="381">
        <f t="shared" si="31"/>
        <v>410.57022825424218</v>
      </c>
      <c r="AU84" s="381">
        <f t="shared" si="31"/>
        <v>425.07632483633091</v>
      </c>
      <c r="AV84" s="381">
        <f t="shared" si="31"/>
        <v>439.91241126367174</v>
      </c>
      <c r="AW84" s="381">
        <f t="shared" si="31"/>
        <v>455.10948879632372</v>
      </c>
      <c r="AX84" s="381">
        <f t="shared" si="31"/>
        <v>470.69170766142446</v>
      </c>
      <c r="AY84" s="381">
        <f t="shared" si="31"/>
        <v>486.67956820290101</v>
      </c>
      <c r="AZ84" s="381">
        <f t="shared" si="31"/>
        <v>503.09167237542448</v>
      </c>
      <c r="BA84" s="381">
        <f t="shared" si="31"/>
        <v>519.94568461241204</v>
      </c>
      <c r="BB84" s="381">
        <f t="shared" si="31"/>
        <v>537.25886162288714</v>
      </c>
      <c r="BC84" s="381">
        <f t="shared" si="31"/>
        <v>555.04834727618061</v>
      </c>
      <c r="BD84" s="381">
        <f t="shared" si="31"/>
        <v>573.3313395512688</v>
      </c>
      <c r="BE84" s="381">
        <f t="shared" si="31"/>
        <v>592.25528021469711</v>
      </c>
      <c r="BF84" s="381">
        <f t="shared" si="31"/>
        <v>611.66860601716996</v>
      </c>
      <c r="BG84" s="381">
        <f t="shared" si="31"/>
        <v>631.59559649387757</v>
      </c>
      <c r="BH84" s="381">
        <f t="shared" si="31"/>
        <v>652.06402371865283</v>
      </c>
      <c r="BI84" s="381">
        <f>+BH84</f>
        <v>652.06402371865283</v>
      </c>
    </row>
    <row r="85" spans="1:103" s="381" customFormat="1" ht="18" customHeight="1" x14ac:dyDescent="0.2">
      <c r="A85" s="411" t="s">
        <v>970</v>
      </c>
      <c r="B85" s="383">
        <f>+C85/C84*B84</f>
        <v>-2.037694972029231E-2</v>
      </c>
      <c r="C85" s="383">
        <f>+(C74-B74)/10</f>
        <v>-2.6705182486871058E-2</v>
      </c>
      <c r="D85" s="383">
        <f t="shared" ref="D85:BI85" si="32">+(D74-C74)/10</f>
        <v>-0.18687308477645886</v>
      </c>
      <c r="E85" s="383">
        <f t="shared" si="32"/>
        <v>-3.1768510917757099E-2</v>
      </c>
      <c r="F85" s="383">
        <f t="shared" si="32"/>
        <v>3.1188871747037439E-2</v>
      </c>
      <c r="G85" s="383">
        <f t="shared" si="32"/>
        <v>6.1246478430481942E-2</v>
      </c>
      <c r="H85" s="383">
        <f t="shared" si="32"/>
        <v>7.9586444282531768E-2</v>
      </c>
      <c r="I85" s="383">
        <f t="shared" si="32"/>
        <v>8.4174363821458084E-2</v>
      </c>
      <c r="J85" s="383">
        <f t="shared" si="32"/>
        <v>8.7347209305352891E-2</v>
      </c>
      <c r="K85" s="383">
        <f t="shared" si="32"/>
        <v>8.3547558235470554E-2</v>
      </c>
      <c r="L85" s="383">
        <f t="shared" si="32"/>
        <v>0.11037703924954734</v>
      </c>
      <c r="M85" s="383">
        <f t="shared" si="32"/>
        <v>0.14836858685882426</v>
      </c>
      <c r="N85" s="383">
        <f t="shared" si="32"/>
        <v>0.10429163168908531</v>
      </c>
      <c r="O85" s="383">
        <f t="shared" si="32"/>
        <v>0.12589596743895939</v>
      </c>
      <c r="P85" s="383">
        <f t="shared" si="32"/>
        <v>0.15153491482956269</v>
      </c>
      <c r="Q85" s="383">
        <f t="shared" si="32"/>
        <v>0.17230605402111721</v>
      </c>
      <c r="R85" s="383">
        <f t="shared" si="32"/>
        <v>0.20734065516209127</v>
      </c>
      <c r="S85" s="383">
        <f t="shared" si="32"/>
        <v>0.25596660408250604</v>
      </c>
      <c r="T85" s="383">
        <f t="shared" si="32"/>
        <v>0.32038366846484256</v>
      </c>
      <c r="U85" s="383">
        <f t="shared" si="32"/>
        <v>0.29031413621998181</v>
      </c>
      <c r="V85" s="383">
        <f t="shared" si="32"/>
        <v>0.29066236297462356</v>
      </c>
      <c r="W85" s="383">
        <f t="shared" si="32"/>
        <v>0.33594747344739773</v>
      </c>
      <c r="X85" s="383">
        <f t="shared" si="32"/>
        <v>0.35062453299749097</v>
      </c>
      <c r="Y85" s="383">
        <f t="shared" si="32"/>
        <v>0.3310021225143096</v>
      </c>
      <c r="Z85" s="383">
        <f t="shared" si="32"/>
        <v>0.33757721269507213</v>
      </c>
      <c r="AA85" s="383">
        <f t="shared" si="32"/>
        <v>0.34559451972340727</v>
      </c>
      <c r="AB85" s="383">
        <f t="shared" si="32"/>
        <v>0.35041814062909965</v>
      </c>
      <c r="AC85" s="383">
        <f t="shared" si="32"/>
        <v>0.35260942380071042</v>
      </c>
      <c r="AD85" s="383">
        <f t="shared" si="32"/>
        <v>0.38418339960286974</v>
      </c>
      <c r="AE85" s="383">
        <f t="shared" si="32"/>
        <v>0.40465520865720778</v>
      </c>
      <c r="AF85" s="383">
        <f t="shared" si="32"/>
        <v>0.39147447786039608</v>
      </c>
      <c r="AG85" s="383">
        <f t="shared" si="32"/>
        <v>0.23187062798891275</v>
      </c>
      <c r="AH85" s="383">
        <f t="shared" si="32"/>
        <v>0.47527398612351845</v>
      </c>
      <c r="AI85" s="383">
        <f t="shared" si="32"/>
        <v>0.30838842953287582</v>
      </c>
      <c r="AJ85" s="383">
        <f t="shared" si="32"/>
        <v>29.968410442830407</v>
      </c>
      <c r="AK85" s="383">
        <f t="shared" si="32"/>
        <v>31.843575815790381</v>
      </c>
      <c r="AL85" s="383">
        <f t="shared" si="32"/>
        <v>23.766046332635426</v>
      </c>
      <c r="AM85" s="383">
        <f t="shared" si="32"/>
        <v>16.455943016415382</v>
      </c>
      <c r="AN85" s="383">
        <f t="shared" si="32"/>
        <v>11.649598741160185</v>
      </c>
      <c r="AO85" s="383">
        <f t="shared" si="32"/>
        <v>8.8217745803071246</v>
      </c>
      <c r="AP85" s="383">
        <f t="shared" si="32"/>
        <v>7.2542559488332241</v>
      </c>
      <c r="AQ85" s="383">
        <f t="shared" si="32"/>
        <v>6.4297196222535149</v>
      </c>
      <c r="AR85" s="383">
        <f t="shared" si="32"/>
        <v>6.0291374283888901</v>
      </c>
      <c r="AS85" s="383">
        <f t="shared" si="32"/>
        <v>5.8675264116067867</v>
      </c>
      <c r="AT85" s="383">
        <f t="shared" si="32"/>
        <v>5.8406668165916473</v>
      </c>
      <c r="AU85" s="383">
        <f t="shared" si="32"/>
        <v>5.8906919638146746</v>
      </c>
      <c r="AV85" s="383">
        <f t="shared" si="32"/>
        <v>5.9857282511453374</v>
      </c>
      <c r="AW85" s="383">
        <f t="shared" si="32"/>
        <v>6.1083066801364341</v>
      </c>
      <c r="AX85" s="383">
        <f t="shared" si="32"/>
        <v>6.2488911240277956</v>
      </c>
      <c r="AY85" s="383">
        <f t="shared" si="32"/>
        <v>6.4022996188471781</v>
      </c>
      <c r="AZ85" s="383">
        <f t="shared" si="32"/>
        <v>6.5657360514355556</v>
      </c>
      <c r="BA85" s="383">
        <f t="shared" si="32"/>
        <v>6.7377109329493576</v>
      </c>
      <c r="BB85" s="383">
        <f t="shared" si="32"/>
        <v>6.9174508024902934</v>
      </c>
      <c r="BC85" s="383">
        <f t="shared" si="32"/>
        <v>7.104575460215619</v>
      </c>
      <c r="BD85" s="383">
        <f t="shared" si="32"/>
        <v>7.2989217542670302</v>
      </c>
      <c r="BE85" s="383">
        <f t="shared" si="32"/>
        <v>7.500447463131195</v>
      </c>
      <c r="BF85" s="383">
        <f t="shared" si="32"/>
        <v>7.7444394873692088</v>
      </c>
      <c r="BG85" s="383">
        <f t="shared" si="32"/>
        <v>7.9621584943554353</v>
      </c>
      <c r="BH85" s="383">
        <f t="shared" si="32"/>
        <v>8.1772974564080414</v>
      </c>
      <c r="BI85" s="383">
        <f t="shared" si="32"/>
        <v>8.3990642291108095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1.017563739558542</v>
      </c>
      <c r="C87" s="383">
        <f>+SUM(C84:C86)</f>
        <v>1.3335766996506078</v>
      </c>
      <c r="D87" s="383">
        <f t="shared" ref="D87:BI87" si="35">+SUM(D84:D86)</f>
        <v>1.390014144642558</v>
      </c>
      <c r="E87" s="383">
        <f t="shared" si="35"/>
        <v>1.7802236491506798</v>
      </c>
      <c r="F87" s="383">
        <f t="shared" si="35"/>
        <v>2.0886237300967156</v>
      </c>
      <c r="G87" s="383">
        <f t="shared" si="35"/>
        <v>2.3401664407112293</v>
      </c>
      <c r="H87" s="383">
        <f t="shared" si="35"/>
        <v>2.5841656407965266</v>
      </c>
      <c r="I87" s="383">
        <f t="shared" si="35"/>
        <v>2.8172332848394448</v>
      </c>
      <c r="J87" s="383">
        <f t="shared" si="35"/>
        <v>3.0315914636986507</v>
      </c>
      <c r="K87" s="383">
        <f t="shared" si="35"/>
        <v>3.2279741415340668</v>
      </c>
      <c r="L87" s="383">
        <f t="shared" si="35"/>
        <v>3.4785423954265058</v>
      </c>
      <c r="M87" s="383">
        <f t="shared" si="35"/>
        <v>3.8170781291367559</v>
      </c>
      <c r="N87" s="383">
        <f t="shared" si="35"/>
        <v>4.1033245438947095</v>
      </c>
      <c r="O87" s="383">
        <f t="shared" si="35"/>
        <v>4.5220534736884543</v>
      </c>
      <c r="P87" s="383">
        <f t="shared" si="35"/>
        <v>4.9884684134789632</v>
      </c>
      <c r="Q87" s="383">
        <f t="shared" si="35"/>
        <v>5.5525534739532265</v>
      </c>
      <c r="R87" s="383">
        <f t="shared" si="35"/>
        <v>6.2652356071615891</v>
      </c>
      <c r="S87" s="383">
        <f t="shared" si="35"/>
        <v>7.1666189576433021</v>
      </c>
      <c r="T87" s="383">
        <f t="shared" si="35"/>
        <v>7.8899849128762902</v>
      </c>
      <c r="U87" s="383">
        <f t="shared" si="35"/>
        <v>8.5588315019404835</v>
      </c>
      <c r="V87" s="383">
        <f t="shared" si="35"/>
        <v>9.4247253087934482</v>
      </c>
      <c r="W87" s="383">
        <f t="shared" si="35"/>
        <v>10.331450069545269</v>
      </c>
      <c r="X87" s="383">
        <f t="shared" si="35"/>
        <v>11.116289690558231</v>
      </c>
      <c r="Y87" s="383">
        <f t="shared" si="35"/>
        <v>11.916331280860433</v>
      </c>
      <c r="Z87" s="383">
        <f t="shared" si="35"/>
        <v>12.763691456217984</v>
      </c>
      <c r="AA87" s="383">
        <f t="shared" si="35"/>
        <v>13.619976651376392</v>
      </c>
      <c r="AB87" s="383">
        <f t="shared" si="35"/>
        <v>14.474947534542665</v>
      </c>
      <c r="AC87" s="383">
        <f t="shared" si="35"/>
        <v>15.440957938492442</v>
      </c>
      <c r="AD87" s="383">
        <f t="shared" si="35"/>
        <v>16.471263046763838</v>
      </c>
      <c r="AE87" s="383">
        <f t="shared" si="35"/>
        <v>17.415500632505765</v>
      </c>
      <c r="AF87" s="383">
        <f t="shared" si="35"/>
        <v>17.754190410302975</v>
      </c>
      <c r="AG87" s="383">
        <f t="shared" si="35"/>
        <v>19.049802875961539</v>
      </c>
      <c r="AH87" s="383">
        <f t="shared" si="35"/>
        <v>19.819583295184742</v>
      </c>
      <c r="AI87" s="383">
        <f t="shared" si="35"/>
        <v>129.82311273102553</v>
      </c>
      <c r="AJ87" s="383">
        <f t="shared" si="35"/>
        <v>238.41623485346963</v>
      </c>
      <c r="AK87" s="383">
        <f t="shared" si="35"/>
        <v>287.0105333381909</v>
      </c>
      <c r="AL87" s="383">
        <f t="shared" si="35"/>
        <v>309.07303838763806</v>
      </c>
      <c r="AM87" s="383">
        <f t="shared" si="35"/>
        <v>323.57413725102151</v>
      </c>
      <c r="AN87" s="383">
        <f t="shared" si="35"/>
        <v>336.32890571399219</v>
      </c>
      <c r="AO87" s="383">
        <f t="shared" si="35"/>
        <v>348.91671165858901</v>
      </c>
      <c r="AP87" s="383">
        <f t="shared" si="35"/>
        <v>361.73924148428318</v>
      </c>
      <c r="AQ87" s="383">
        <f t="shared" si="35"/>
        <v>374.88753458819787</v>
      </c>
      <c r="AR87" s="383">
        <f t="shared" si="35"/>
        <v>388.37884754494661</v>
      </c>
      <c r="AS87" s="383">
        <f t="shared" si="35"/>
        <v>402.21793625774154</v>
      </c>
      <c r="AT87" s="383">
        <f t="shared" si="35"/>
        <v>416.41089507083382</v>
      </c>
      <c r="AU87" s="383">
        <f t="shared" si="35"/>
        <v>430.96701680014559</v>
      </c>
      <c r="AV87" s="383">
        <f t="shared" si="35"/>
        <v>445.8981395148171</v>
      </c>
      <c r="AW87" s="383">
        <f t="shared" si="35"/>
        <v>461.21779547646014</v>
      </c>
      <c r="AX87" s="383">
        <f t="shared" si="35"/>
        <v>476.94059878545227</v>
      </c>
      <c r="AY87" s="383">
        <f t="shared" si="35"/>
        <v>493.08186782174818</v>
      </c>
      <c r="AZ87" s="383">
        <f t="shared" si="35"/>
        <v>509.65740842686006</v>
      </c>
      <c r="BA87" s="383">
        <f t="shared" si="35"/>
        <v>526.68339554536135</v>
      </c>
      <c r="BB87" s="383">
        <f t="shared" si="35"/>
        <v>544.17631242537743</v>
      </c>
      <c r="BC87" s="383">
        <f t="shared" si="35"/>
        <v>562.15292273639625</v>
      </c>
      <c r="BD87" s="383">
        <f t="shared" si="35"/>
        <v>580.63026130553578</v>
      </c>
      <c r="BE87" s="383">
        <f t="shared" si="35"/>
        <v>599.7557276778283</v>
      </c>
      <c r="BF87" s="383">
        <f t="shared" si="35"/>
        <v>619.41304550453913</v>
      </c>
      <c r="BG87" s="383">
        <f t="shared" si="35"/>
        <v>639.557754988233</v>
      </c>
      <c r="BH87" s="383">
        <f t="shared" si="35"/>
        <v>660.24132117506088</v>
      </c>
      <c r="BI87" s="383">
        <f t="shared" si="35"/>
        <v>660.4630879477636</v>
      </c>
    </row>
    <row r="88" spans="1:103" ht="18" customHeight="1" x14ac:dyDescent="0.2">
      <c r="A88" s="21" t="s">
        <v>153</v>
      </c>
      <c r="B88" s="29">
        <f t="shared" ref="B88:AG88" si="36">(B84/B56)*1000</f>
        <v>0.79566170124862734</v>
      </c>
      <c r="C88" s="23">
        <f t="shared" si="36"/>
        <v>0.98020656842442555</v>
      </c>
      <c r="D88" s="23">
        <f t="shared" si="36"/>
        <v>1.0916078981810002</v>
      </c>
      <c r="E88" s="23">
        <f t="shared" si="36"/>
        <v>1.2464595194078631</v>
      </c>
      <c r="F88" s="23">
        <f t="shared" si="36"/>
        <v>1.4369774093799852</v>
      </c>
      <c r="G88" s="23">
        <f t="shared" si="36"/>
        <v>1.6448972934702786</v>
      </c>
      <c r="H88" s="23">
        <f t="shared" si="36"/>
        <v>1.8688920274758853</v>
      </c>
      <c r="I88" s="23">
        <f t="shared" si="36"/>
        <v>2.1083279493808535</v>
      </c>
      <c r="J88" s="23">
        <f t="shared" si="36"/>
        <v>2.3480251088607651</v>
      </c>
      <c r="K88" s="23">
        <f t="shared" si="36"/>
        <v>2.5924482080642322</v>
      </c>
      <c r="L88" s="23">
        <f t="shared" si="36"/>
        <v>2.8211834164553538</v>
      </c>
      <c r="M88" s="23">
        <f t="shared" si="36"/>
        <v>3.067962834943283</v>
      </c>
      <c r="N88" s="23">
        <f t="shared" si="36"/>
        <v>3.3388014283137593</v>
      </c>
      <c r="O88" s="23">
        <f t="shared" si="36"/>
        <v>3.6644407450519227</v>
      </c>
      <c r="P88" s="23">
        <f t="shared" si="36"/>
        <v>4.0253479174422981</v>
      </c>
      <c r="Q88" s="23">
        <f t="shared" si="36"/>
        <v>4.470276658490441</v>
      </c>
      <c r="R88" s="23">
        <f t="shared" si="36"/>
        <v>5.025192919662846</v>
      </c>
      <c r="S88" s="23">
        <f t="shared" si="36"/>
        <v>5.723331406980221</v>
      </c>
      <c r="T88" s="23">
        <f t="shared" si="36"/>
        <v>6.2589531051093861</v>
      </c>
      <c r="U88" s="23">
        <f t="shared" si="36"/>
        <v>6.8258255647672055</v>
      </c>
      <c r="V88" s="23">
        <f t="shared" si="36"/>
        <v>7.5086866199030187</v>
      </c>
      <c r="W88" s="23">
        <f t="shared" si="36"/>
        <v>8.161136476750217</v>
      </c>
      <c r="X88" s="23">
        <f t="shared" si="36"/>
        <v>8.7303749760380516</v>
      </c>
      <c r="Y88" s="23">
        <f t="shared" si="36"/>
        <v>9.3313919581551446</v>
      </c>
      <c r="Z88" s="23">
        <f t="shared" si="36"/>
        <v>9.9407561848072916</v>
      </c>
      <c r="AA88" s="23">
        <f t="shared" si="36"/>
        <v>10.547375816771959</v>
      </c>
      <c r="AB88" s="23">
        <f t="shared" si="36"/>
        <v>11.146797644983467</v>
      </c>
      <c r="AC88" s="23">
        <f t="shared" si="36"/>
        <v>11.826707682727148</v>
      </c>
      <c r="AD88" s="23">
        <f t="shared" si="36"/>
        <v>12.524067306034537</v>
      </c>
      <c r="AE88" s="23">
        <f t="shared" si="36"/>
        <v>13.153462904372951</v>
      </c>
      <c r="AF88" s="23">
        <f t="shared" si="36"/>
        <v>13.379961958465742</v>
      </c>
      <c r="AG88" s="23">
        <f t="shared" si="36"/>
        <v>14.501372860935744</v>
      </c>
      <c r="AH88" s="23">
        <f t="shared" ref="AH88:BI88" si="37">(AH84/AH56)*1000</f>
        <v>14.907006696136294</v>
      </c>
      <c r="AI88" s="23">
        <f t="shared" si="37"/>
        <v>99.805934218919532</v>
      </c>
      <c r="AJ88" s="23">
        <f t="shared" si="37"/>
        <v>160.63293160996503</v>
      </c>
      <c r="AK88" s="23">
        <f t="shared" si="37"/>
        <v>196.63537651547958</v>
      </c>
      <c r="AL88" s="23">
        <f t="shared" si="37"/>
        <v>219.86172641616173</v>
      </c>
      <c r="AM88" s="23">
        <f t="shared" si="37"/>
        <v>236.66975671320782</v>
      </c>
      <c r="AN88" s="23">
        <f t="shared" si="37"/>
        <v>250.2026061418361</v>
      </c>
      <c r="AO88" s="23">
        <f t="shared" si="37"/>
        <v>262.08211538331921</v>
      </c>
      <c r="AP88" s="23">
        <f t="shared" si="37"/>
        <v>273.17129645882289</v>
      </c>
      <c r="AQ88" s="23">
        <f t="shared" si="37"/>
        <v>283.93896247142027</v>
      </c>
      <c r="AR88" s="23">
        <f t="shared" si="37"/>
        <v>294.64425934832735</v>
      </c>
      <c r="AS88" s="23">
        <f t="shared" si="37"/>
        <v>305.4334026196064</v>
      </c>
      <c r="AT88" s="23">
        <f t="shared" si="37"/>
        <v>316.39140193820737</v>
      </c>
      <c r="AU88" s="23">
        <f t="shared" si="37"/>
        <v>327.57001139017183</v>
      </c>
      <c r="AV88" s="23">
        <f t="shared" si="37"/>
        <v>339.00291582647708</v>
      </c>
      <c r="AW88" s="23">
        <f t="shared" si="37"/>
        <v>350.71400526996672</v>
      </c>
      <c r="AX88" s="23">
        <f t="shared" si="37"/>
        <v>362.72189023766168</v>
      </c>
      <c r="AY88" s="23">
        <f t="shared" si="37"/>
        <v>375.04236859338386</v>
      </c>
      <c r="AZ88" s="23">
        <f t="shared" si="37"/>
        <v>387.68977527452563</v>
      </c>
      <c r="BA88" s="23">
        <f t="shared" si="37"/>
        <v>400.67772275093671</v>
      </c>
      <c r="BB88" s="23">
        <f t="shared" si="37"/>
        <v>414.0195092941064</v>
      </c>
      <c r="BC88" s="23">
        <f t="shared" si="37"/>
        <v>427.72834621961232</v>
      </c>
      <c r="BD88" s="23">
        <f t="shared" si="37"/>
        <v>441.8174865407135</v>
      </c>
      <c r="BE88" s="23">
        <f t="shared" si="37"/>
        <v>456.40055103166804</v>
      </c>
      <c r="BF88" s="23">
        <f t="shared" si="37"/>
        <v>471.36074284354015</v>
      </c>
      <c r="BG88" s="23">
        <f t="shared" si="37"/>
        <v>486.71677214002057</v>
      </c>
      <c r="BH88" s="23">
        <f t="shared" si="37"/>
        <v>502.49004048598209</v>
      </c>
      <c r="BI88" s="23">
        <f t="shared" si="37"/>
        <v>502.49004048598209</v>
      </c>
    </row>
    <row r="89" spans="1:103" ht="18" customHeight="1" x14ac:dyDescent="0.2">
      <c r="A89" s="21" t="s">
        <v>166</v>
      </c>
      <c r="C89" s="23">
        <f>+LN(C88/B88)/10</f>
        <v>2.0858923648374512E-2</v>
      </c>
      <c r="D89" s="23">
        <f>+LN(D88/C88)/10</f>
        <v>1.076436906655018E-2</v>
      </c>
      <c r="E89" s="23">
        <f>+LN(E88/D88)/10</f>
        <v>1.326554028066047E-2</v>
      </c>
      <c r="F89" s="23">
        <f>+LN(F88/E88)/10</f>
        <v>1.4223473824203487E-2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-1.2421557052739773</v>
      </c>
      <c r="C90" s="33">
        <f t="shared" si="38"/>
        <v>-1.0200921986576827</v>
      </c>
      <c r="D90" s="33">
        <f t="shared" si="38"/>
        <v>-0.91424120773116702</v>
      </c>
      <c r="E90" s="33">
        <f t="shared" si="38"/>
        <v>-0.79139313801305766</v>
      </c>
      <c r="F90" s="33">
        <f t="shared" si="38"/>
        <v>-0.66841860956022581</v>
      </c>
      <c r="G90" s="33">
        <f t="shared" si="38"/>
        <v>-0.55941103329724262</v>
      </c>
      <c r="H90" s="33">
        <f t="shared" si="38"/>
        <v>-0.46297831882992013</v>
      </c>
      <c r="I90" s="33">
        <f t="shared" si="38"/>
        <v>-0.37740264500592602</v>
      </c>
      <c r="J90" s="33">
        <f t="shared" si="38"/>
        <v>-0.30520469482231838</v>
      </c>
      <c r="K90" s="33">
        <f t="shared" si="38"/>
        <v>-0.24215259576675252</v>
      </c>
      <c r="L90" s="33">
        <f t="shared" si="38"/>
        <v>-0.19073284830799975</v>
      </c>
      <c r="M90" s="33">
        <f t="shared" si="38"/>
        <v>-0.14183920001740025</v>
      </c>
      <c r="N90" s="33">
        <f t="shared" si="38"/>
        <v>-9.4547719254493012E-2</v>
      </c>
      <c r="O90" s="33">
        <f t="shared" si="38"/>
        <v>-4.4783111875502657E-2</v>
      </c>
      <c r="P90" s="33">
        <f t="shared" si="38"/>
        <v>3.1535097753174757E-3</v>
      </c>
      <c r="Q90" s="33">
        <f t="shared" si="38"/>
        <v>5.4061733004183599E-2</v>
      </c>
      <c r="R90" s="33">
        <f t="shared" si="38"/>
        <v>0.10781765266484755</v>
      </c>
      <c r="S90" s="33">
        <f t="shared" si="38"/>
        <v>0.16400140311931022</v>
      </c>
      <c r="T90" s="33">
        <f t="shared" si="38"/>
        <v>0.20057238384682896</v>
      </c>
      <c r="U90" s="33">
        <f t="shared" si="38"/>
        <v>0.23448729517342304</v>
      </c>
      <c r="V90" s="33">
        <f t="shared" si="38"/>
        <v>0.27012581032060212</v>
      </c>
      <c r="W90" s="33">
        <f t="shared" si="38"/>
        <v>0.29990870858493657</v>
      </c>
      <c r="X90" s="33">
        <f t="shared" si="38"/>
        <v>0.32311709335565808</v>
      </c>
      <c r="Y90" s="33">
        <f t="shared" si="38"/>
        <v>0.34527823321933904</v>
      </c>
      <c r="Z90" s="33">
        <f t="shared" si="38"/>
        <v>0.36566264843047835</v>
      </c>
      <c r="AA90" s="33">
        <f t="shared" si="38"/>
        <v>0.38417433388536559</v>
      </c>
      <c r="AB90" s="33">
        <f t="shared" si="38"/>
        <v>0.40096122160323999</v>
      </c>
      <c r="AC90" s="33">
        <f t="shared" si="38"/>
        <v>0.41843526431128097</v>
      </c>
      <c r="AD90" s="33">
        <f t="shared" si="38"/>
        <v>0.43485837088425161</v>
      </c>
      <c r="AE90" s="33">
        <f t="shared" si="38"/>
        <v>0.44854517178925524</v>
      </c>
      <c r="AF90" s="33">
        <f t="shared" si="38"/>
        <v>0.45323267091104746</v>
      </c>
      <c r="AG90" s="33">
        <f t="shared" si="38"/>
        <v>0.47479913099871462</v>
      </c>
      <c r="AH90" s="33">
        <f t="shared" si="38"/>
        <v>0.48199402118802082</v>
      </c>
      <c r="AI90" s="33">
        <f t="shared" si="38"/>
        <v>0.79980565129988623</v>
      </c>
      <c r="AJ90" s="33">
        <f t="shared" si="38"/>
        <v>0.84219792742877564</v>
      </c>
      <c r="AK90" s="33">
        <f t="shared" si="38"/>
        <v>0.85737384690003748</v>
      </c>
      <c r="AL90" s="33">
        <f t="shared" si="38"/>
        <v>0.86511763296241884</v>
      </c>
      <c r="AM90" s="33">
        <f t="shared" si="38"/>
        <v>0.86999543169657523</v>
      </c>
      <c r="AN90" s="33">
        <f t="shared" si="38"/>
        <v>0.87356011821019197</v>
      </c>
      <c r="AO90" s="33">
        <f t="shared" si="38"/>
        <v>0.87645894580403727</v>
      </c>
      <c r="AP90" s="33">
        <f t="shared" si="38"/>
        <v>0.87899245118437397</v>
      </c>
      <c r="AQ90" s="33">
        <f t="shared" si="38"/>
        <v>0.88130907891691124</v>
      </c>
      <c r="AR90" s="33">
        <f t="shared" si="38"/>
        <v>0.88348522424589437</v>
      </c>
      <c r="AS90" s="33">
        <f t="shared" si="38"/>
        <v>0.8855616123011012</v>
      </c>
      <c r="AT90" s="33">
        <f t="shared" si="38"/>
        <v>0.88756082271252934</v>
      </c>
      <c r="AU90" s="33">
        <f t="shared" si="38"/>
        <v>0.8894960180771796</v>
      </c>
      <c r="AV90" s="33">
        <f t="shared" si="38"/>
        <v>0.89137537783448439</v>
      </c>
      <c r="AW90" s="33">
        <f t="shared" si="38"/>
        <v>0.89320438007206382</v>
      </c>
      <c r="AX90" s="33">
        <f t="shared" si="38"/>
        <v>0.89498698860517623</v>
      </c>
      <c r="AY90" s="33">
        <f t="shared" si="38"/>
        <v>0.89672627801946869</v>
      </c>
      <c r="AZ90" s="33">
        <f t="shared" si="38"/>
        <v>0.89842476821655393</v>
      </c>
      <c r="BA90" s="33">
        <f t="shared" si="38"/>
        <v>0.90008460784529376</v>
      </c>
      <c r="BB90" s="33">
        <f t="shared" si="38"/>
        <v>0.90170767849482436</v>
      </c>
      <c r="BC90" s="33">
        <f t="shared" si="38"/>
        <v>0.90329565685459212</v>
      </c>
      <c r="BD90" s="33">
        <f t="shared" si="38"/>
        <v>0.90485005417943176</v>
      </c>
      <c r="BE90" s="33">
        <f t="shared" si="38"/>
        <v>0.9063825266756429</v>
      </c>
      <c r="BF90" s="33">
        <f t="shared" si="38"/>
        <v>0.9078801354186854</v>
      </c>
      <c r="BG90" s="33">
        <f t="shared" si="38"/>
        <v>0.90934498385697649</v>
      </c>
      <c r="BH90" s="33">
        <f t="shared" si="38"/>
        <v>0.91077916847127871</v>
      </c>
      <c r="BI90" s="33">
        <f t="shared" si="38"/>
        <v>0.91077916847127871</v>
      </c>
    </row>
    <row r="91" spans="1:103" ht="18" customHeight="1" x14ac:dyDescent="0.2">
      <c r="A91" s="28" t="s">
        <v>115</v>
      </c>
      <c r="B91" s="29">
        <f t="shared" ref="B91:BH91" si="39">B$17*B$56*B90</f>
        <v>-1620.3921175299035</v>
      </c>
      <c r="C91" s="29">
        <f t="shared" si="39"/>
        <v>-1219.8047184467532</v>
      </c>
      <c r="D91" s="29">
        <f t="shared" si="39"/>
        <v>-980.55941536463808</v>
      </c>
      <c r="E91" s="29">
        <f t="shared" si="39"/>
        <v>-736.01920806053488</v>
      </c>
      <c r="F91" s="29">
        <f t="shared" si="39"/>
        <v>-527.57352774581943</v>
      </c>
      <c r="G91" s="29">
        <f t="shared" si="39"/>
        <v>-368.14525045854879</v>
      </c>
      <c r="H91" s="29">
        <f t="shared" si="39"/>
        <v>-253.95026841124468</v>
      </c>
      <c r="I91" s="29">
        <f t="shared" si="39"/>
        <v>-172.54119859080359</v>
      </c>
      <c r="J91" s="29">
        <f t="shared" si="39"/>
        <v>-116.29978969253104</v>
      </c>
      <c r="K91" s="29">
        <f t="shared" si="39"/>
        <v>-76.908917169008362</v>
      </c>
      <c r="L91" s="29">
        <f t="shared" si="39"/>
        <v>-51.378728423338849</v>
      </c>
      <c r="M91" s="36">
        <f t="shared" si="39"/>
        <v>-32.975763578454426</v>
      </c>
      <c r="N91" s="29">
        <f t="shared" si="39"/>
        <v>-18.971006587412084</v>
      </c>
      <c r="O91" s="29">
        <f t="shared" si="39"/>
        <v>-7.7552234678814642</v>
      </c>
      <c r="P91" s="29">
        <f t="shared" si="39"/>
        <v>0.47131901352116728</v>
      </c>
      <c r="Q91" s="29">
        <f t="shared" si="39"/>
        <v>6.9735107075918732</v>
      </c>
      <c r="R91" s="29">
        <f t="shared" si="39"/>
        <v>12.003063715346853</v>
      </c>
      <c r="S91" s="29">
        <f t="shared" si="39"/>
        <v>15.757616730163294</v>
      </c>
      <c r="T91" s="29">
        <f t="shared" si="39"/>
        <v>16.632396738256169</v>
      </c>
      <c r="U91" s="29">
        <f t="shared" si="39"/>
        <v>16.782001166331792</v>
      </c>
      <c r="V91" s="29">
        <f t="shared" si="39"/>
        <v>16.728525159448942</v>
      </c>
      <c r="W91" s="29">
        <f t="shared" si="39"/>
        <v>16.112918120398085</v>
      </c>
      <c r="X91" s="29">
        <f t="shared" si="39"/>
        <v>15.060472905920298</v>
      </c>
      <c r="Y91" s="29">
        <f t="shared" si="39"/>
        <v>13.961800520020807</v>
      </c>
      <c r="Z91" s="29">
        <f t="shared" si="39"/>
        <v>12.827628701788015</v>
      </c>
      <c r="AA91" s="29">
        <f t="shared" si="39"/>
        <v>11.69196965257407</v>
      </c>
      <c r="AB91" s="29">
        <f t="shared" si="39"/>
        <v>10.58656960451926</v>
      </c>
      <c r="AC91" s="29">
        <f t="shared" si="39"/>
        <v>9.5846159431917819</v>
      </c>
      <c r="AD91" s="29">
        <f t="shared" si="39"/>
        <v>8.6414739251784685</v>
      </c>
      <c r="AE91" s="29">
        <f t="shared" si="39"/>
        <v>7.7328525265289931</v>
      </c>
      <c r="AF91" s="29">
        <f t="shared" si="39"/>
        <v>6.7557149167226278</v>
      </c>
      <c r="AG91" s="29">
        <f t="shared" si="39"/>
        <v>6.0981710149717498</v>
      </c>
      <c r="AH91" s="29">
        <f t="shared" si="39"/>
        <v>5.3342198678736965</v>
      </c>
      <c r="AI91" s="29">
        <f t="shared" si="39"/>
        <v>7.6269922917317174</v>
      </c>
      <c r="AJ91" s="29">
        <f t="shared" si="39"/>
        <v>6.9202627608721015</v>
      </c>
      <c r="AK91" s="29">
        <f t="shared" si="39"/>
        <v>6.0704128116724654</v>
      </c>
      <c r="AL91" s="29">
        <f t="shared" si="39"/>
        <v>5.2779191780950105</v>
      </c>
      <c r="AM91" s="29">
        <f t="shared" si="39"/>
        <v>4.5734519560658029</v>
      </c>
      <c r="AN91" s="29">
        <f t="shared" si="39"/>
        <v>3.9569405460190117</v>
      </c>
      <c r="AO91" s="29">
        <f t="shared" si="39"/>
        <v>3.4208803324510728</v>
      </c>
      <c r="AP91" s="29">
        <f t="shared" si="39"/>
        <v>2.9561810377479021</v>
      </c>
      <c r="AQ91" s="29">
        <f t="shared" si="39"/>
        <v>2.5539577186805058</v>
      </c>
      <c r="AR91" s="29">
        <f t="shared" si="39"/>
        <v>2.2060955935328344</v>
      </c>
      <c r="AS91" s="29">
        <f t="shared" si="39"/>
        <v>1.9053878712016366</v>
      </c>
      <c r="AT91" s="29">
        <f t="shared" si="39"/>
        <v>1.6455167811718403</v>
      </c>
      <c r="AU91" s="29">
        <f t="shared" si="39"/>
        <v>1.4209793848392644</v>
      </c>
      <c r="AV91" s="29">
        <f t="shared" si="39"/>
        <v>1.2269983540511087</v>
      </c>
      <c r="AW91" s="29">
        <f t="shared" si="39"/>
        <v>1.0594336627001228</v>
      </c>
      <c r="AX91" s="29">
        <f t="shared" si="39"/>
        <v>0.91470114593895691</v>
      </c>
      <c r="AY91" s="29">
        <f t="shared" si="39"/>
        <v>0.78969970505207621</v>
      </c>
      <c r="AZ91" s="29">
        <f t="shared" si="39"/>
        <v>0.68174721564517993</v>
      </c>
      <c r="BA91" s="29">
        <f t="shared" si="39"/>
        <v>0.58852452994251758</v>
      </c>
      <c r="BB91" s="29">
        <f t="shared" si="39"/>
        <v>0.50802674887716204</v>
      </c>
      <c r="BC91" s="29">
        <f t="shared" si="39"/>
        <v>0.43852091463511178</v>
      </c>
      <c r="BD91" s="29">
        <f t="shared" si="39"/>
        <v>0.37850932508579516</v>
      </c>
      <c r="BE91" s="29">
        <f t="shared" si="39"/>
        <v>0.32670145506175885</v>
      </c>
      <c r="BF91" s="29">
        <f t="shared" si="39"/>
        <v>0.28197307174232217</v>
      </c>
      <c r="BG91" s="29">
        <f t="shared" si="39"/>
        <v>0.24335897900735726</v>
      </c>
      <c r="BH91" s="29">
        <f t="shared" si="39"/>
        <v>0.21002517994654721</v>
      </c>
      <c r="BI91" s="29">
        <f>BI$17*BI$56*BI90/(1-(BJ17/BI17))</f>
        <v>1.3082353346175144</v>
      </c>
    </row>
    <row r="92" spans="1:103" ht="18" customHeight="1" x14ac:dyDescent="0.2">
      <c r="A92" s="57" t="s">
        <v>62</v>
      </c>
      <c r="B92" s="194">
        <f>SUM(B91:AO91)*10*B52+B53</f>
        <v>-301.75778508203462</v>
      </c>
      <c r="C92" s="174">
        <v>92.230505587145672</v>
      </c>
      <c r="D92" s="195">
        <f>+B92-C92</f>
        <v>-393.98829066918029</v>
      </c>
      <c r="I92" s="33"/>
    </row>
    <row r="93" spans="1:103" s="33" customFormat="1" ht="18" customHeight="1" x14ac:dyDescent="0.2">
      <c r="A93" s="32" t="s">
        <v>270</v>
      </c>
      <c r="B93" s="33">
        <f>+B90*Data!B364</f>
        <v>-1.2421557052739773</v>
      </c>
      <c r="C93" s="33">
        <f>+C90*Data!C364</f>
        <v>-2.4544396921876341</v>
      </c>
      <c r="D93" s="33">
        <f>+D90*Data!D364</f>
        <v>-2.318243865057533</v>
      </c>
      <c r="E93" s="33">
        <f>+E90*Data!E364</f>
        <v>-2.0707367740315106</v>
      </c>
      <c r="F93" s="33">
        <f>+F90*Data!F364</f>
        <v>-1.7733115588654635</v>
      </c>
      <c r="G93" s="33">
        <f>+G90*Data!G364</f>
        <v>-1.4871744190136764</v>
      </c>
      <c r="H93" s="33">
        <f>+H90*Data!H364</f>
        <v>-1.2321363983812188</v>
      </c>
      <c r="I93" s="33">
        <f>+I90*Data!I364</f>
        <v>-0.99998360351422233</v>
      </c>
      <c r="J93" s="33">
        <f>+J90*Data!J364</f>
        <v>-0.80243308588660789</v>
      </c>
      <c r="K93" s="33">
        <f>+K90*Data!K364</f>
        <v>-0.6218588604131674</v>
      </c>
      <c r="L93" s="33">
        <f>+L90*Data!L364</f>
        <v>-0.47552495071783552</v>
      </c>
      <c r="M93" s="33">
        <f>+M90*Data!M364</f>
        <v>-0.3557062810619161</v>
      </c>
      <c r="N93" s="33">
        <f>+N90*Data!N364</f>
        <v>-0.23387716059408736</v>
      </c>
      <c r="O93" s="33">
        <f>+O90*Data!O364</f>
        <v>-0.10907213110818262</v>
      </c>
      <c r="P93" s="33">
        <f>+P90*Data!P364</f>
        <v>7.5535737009927127E-3</v>
      </c>
      <c r="Q93" s="33">
        <f>+Q90*Data!Q364</f>
        <v>0.12725627574119372</v>
      </c>
      <c r="R93" s="33">
        <f>+R90*Data!R364</f>
        <v>0.24927688776605753</v>
      </c>
      <c r="S93" s="33">
        <f>+S90*Data!S364</f>
        <v>0.37227783636518014</v>
      </c>
      <c r="T93" s="33">
        <f>+T90*Data!T364</f>
        <v>0.44685365051084963</v>
      </c>
      <c r="U93" s="33">
        <f>+U90*Data!U364</f>
        <v>0.5125522804472965</v>
      </c>
      <c r="V93" s="33">
        <f>+V90*Data!V364</f>
        <v>0.57947635506432382</v>
      </c>
      <c r="W93" s="33">
        <f>+W90*Data!W364</f>
        <v>0.63051039241657225</v>
      </c>
      <c r="X93" s="33">
        <f>+X90*Data!X364</f>
        <v>0.66403788651771012</v>
      </c>
      <c r="Y93" s="33">
        <f>+Y90*Data!Y364</f>
        <v>0.69181673460390125</v>
      </c>
      <c r="Z93" s="33">
        <f>+Z90*Data!Z364</f>
        <v>0.71306352513420534</v>
      </c>
      <c r="AA93" s="33">
        <f>+AA90*Data!AA364</f>
        <v>0.72813446939775917</v>
      </c>
      <c r="AB93" s="33">
        <f>+AB90*Data!AB364</f>
        <v>0.73769575625579931</v>
      </c>
      <c r="AC93" s="33">
        <f>+AC90*Data!AC364</f>
        <v>0.74631828886650486</v>
      </c>
      <c r="AD93" s="33">
        <f>+AD90*Data!AD364</f>
        <v>0.75119687760284537</v>
      </c>
      <c r="AE93" s="33">
        <f>+AE90*Data!AE364</f>
        <v>0.74997473909162993</v>
      </c>
      <c r="AF93" s="33">
        <f>+AF90*Data!AF364</f>
        <v>0.73344682197141586</v>
      </c>
      <c r="AG93" s="33">
        <f>+AG90*Data!AG364</f>
        <v>0.74380467731095634</v>
      </c>
      <c r="AH93" s="33">
        <f>+AH90*Data!AH364</f>
        <v>0.73099219549150951</v>
      </c>
      <c r="AI93" s="33">
        <f>+AI90*Data!AI364</f>
        <v>1.1742820076780147</v>
      </c>
      <c r="AJ93" s="33">
        <f>+AJ90*Data!AJ364</f>
        <v>1.1970287221331963</v>
      </c>
      <c r="AK93" s="33">
        <f>+AK90*Data!AK364</f>
        <v>1.1795684172859358</v>
      </c>
      <c r="AL93" s="33">
        <f>+AL90*Data!AL364</f>
        <v>1.1518994430994043</v>
      </c>
      <c r="AM93" s="33">
        <f>+AM90*Data!AM364</f>
        <v>1.1207923918670502</v>
      </c>
      <c r="AN93" s="33">
        <f>+AN90*Data!AN364</f>
        <v>1.0884481659737426</v>
      </c>
      <c r="AO93" s="33">
        <f>+AO90*Data!AO364</f>
        <v>1.0557137353165416</v>
      </c>
      <c r="AP93" s="33">
        <f>+AP90*Data!AP364</f>
        <v>1.0229343145529139</v>
      </c>
      <c r="AQ93" s="33">
        <f>+AQ90*Data!AQ364</f>
        <v>0.99024835905504183</v>
      </c>
      <c r="AR93" s="33">
        <f>+AR90*Data!AR364</f>
        <v>0.95770722963275046</v>
      </c>
      <c r="AS93" s="33">
        <f>+AS90*Data!AS364</f>
        <v>0.92532840730599608</v>
      </c>
      <c r="AT93" s="33">
        <f>+AT90*Data!AT364</f>
        <v>0.89312038283770456</v>
      </c>
      <c r="AU93" s="33">
        <f>+AU90*Data!AU364</f>
        <v>0.86109458470708233</v>
      </c>
      <c r="AV93" s="33">
        <f>+AV90*Data!AV364</f>
        <v>0.82927112058646291</v>
      </c>
      <c r="AW93" s="33">
        <f>+AW90*Data!AW364</f>
        <v>0.79768147990800797</v>
      </c>
      <c r="AX93" s="33">
        <f>+AX90*Data!AX364</f>
        <v>0.76636969525565168</v>
      </c>
      <c r="AY93" s="33">
        <f>+AY90*Data!AY364</f>
        <v>0.73539267416642551</v>
      </c>
      <c r="AZ93" s="33">
        <f>+AZ90*Data!AZ364</f>
        <v>0.7048200269709628</v>
      </c>
      <c r="BA93" s="33">
        <f>+BA90*Data!BA364</f>
        <v>0.67473352354156491</v>
      </c>
      <c r="BB93" s="33">
        <f>+BB90*Data!BB364</f>
        <v>0.64522621751583731</v>
      </c>
      <c r="BC93" s="33">
        <f>+BC90*Data!BC364</f>
        <v>0.61640124027262977</v>
      </c>
      <c r="BD93" s="33">
        <f>+BD90*Data!BD364</f>
        <v>0.58837027776757023</v>
      </c>
      <c r="BE93" s="33">
        <f>+BE90*Data!BE364</f>
        <v>0.561258176071735</v>
      </c>
      <c r="BF93" s="33">
        <f>+BF90*Data!BF364</f>
        <v>0.53517913268314832</v>
      </c>
      <c r="BG93" s="33">
        <f>+BG90*Data!BG364</f>
        <v>0.51026115297042307</v>
      </c>
      <c r="BH93" s="33">
        <f>+BH90*Data!BH364</f>
        <v>0.4866354679455378</v>
      </c>
      <c r="BI93" s="33">
        <f>+BI90*Data!BI364</f>
        <v>0.48639873949894563</v>
      </c>
    </row>
    <row r="94" spans="1:103" ht="18" customHeight="1" x14ac:dyDescent="0.2">
      <c r="A94" s="21" t="s">
        <v>271</v>
      </c>
      <c r="B94" s="29">
        <f>B$17*B$56*B93</f>
        <v>-1620.3921175299035</v>
      </c>
      <c r="C94" s="29">
        <f t="shared" ref="C94:BH94" si="40">C$17*C$56*C93</f>
        <v>-2934.9671741565417</v>
      </c>
      <c r="D94" s="29">
        <f t="shared" si="40"/>
        <v>-2486.4071207583347</v>
      </c>
      <c r="E94" s="29">
        <f t="shared" si="40"/>
        <v>-1925.8469240092807</v>
      </c>
      <c r="F94" s="29">
        <f t="shared" si="40"/>
        <v>-1399.6501915448177</v>
      </c>
      <c r="G94" s="29">
        <f t="shared" si="40"/>
        <v>-978.701109515702</v>
      </c>
      <c r="H94" s="29">
        <f t="shared" si="40"/>
        <v>-675.84454036415116</v>
      </c>
      <c r="I94" s="29">
        <f t="shared" si="40"/>
        <v>-457.17318573319915</v>
      </c>
      <c r="J94" s="29">
        <f t="shared" si="40"/>
        <v>-305.7711782096639</v>
      </c>
      <c r="K94" s="29">
        <f t="shared" si="40"/>
        <v>-197.50559119505746</v>
      </c>
      <c r="L94" s="29">
        <f t="shared" si="40"/>
        <v>-128.0947016635547</v>
      </c>
      <c r="M94" s="29">
        <f t="shared" si="40"/>
        <v>-82.697069824350791</v>
      </c>
      <c r="N94" s="29">
        <f t="shared" si="40"/>
        <v>-46.927468893595965</v>
      </c>
      <c r="O94" s="29">
        <f t="shared" si="40"/>
        <v>-18.888342400447073</v>
      </c>
      <c r="P94" s="29">
        <f t="shared" si="40"/>
        <v>1.1289462088167794</v>
      </c>
      <c r="Q94" s="29">
        <f t="shared" si="40"/>
        <v>16.414993604085993</v>
      </c>
      <c r="R94" s="29">
        <f t="shared" si="40"/>
        <v>27.751358823589776</v>
      </c>
      <c r="S94" s="29">
        <f t="shared" si="40"/>
        <v>35.769276061067089</v>
      </c>
      <c r="T94" s="29">
        <f t="shared" si="40"/>
        <v>37.055187043647535</v>
      </c>
      <c r="U94" s="29">
        <f t="shared" si="40"/>
        <v>36.682810307103871</v>
      </c>
      <c r="V94" s="29">
        <f t="shared" si="40"/>
        <v>35.886184935434798</v>
      </c>
      <c r="W94" s="29">
        <f t="shared" si="40"/>
        <v>33.874849366673466</v>
      </c>
      <c r="X94" s="29">
        <f t="shared" si="40"/>
        <v>30.950775443491185</v>
      </c>
      <c r="Y94" s="29">
        <f t="shared" si="40"/>
        <v>27.974561717639268</v>
      </c>
      <c r="Z94" s="29">
        <f t="shared" si="40"/>
        <v>25.014625312349153</v>
      </c>
      <c r="AA94" s="29">
        <f t="shared" si="40"/>
        <v>22.160059557055231</v>
      </c>
      <c r="AB94" s="29">
        <f t="shared" si="40"/>
        <v>19.477363519927451</v>
      </c>
      <c r="AC94" s="29">
        <f t="shared" si="40"/>
        <v>17.095055747605791</v>
      </c>
      <c r="AD94" s="29">
        <f t="shared" si="40"/>
        <v>14.927729727912563</v>
      </c>
      <c r="AE94" s="29">
        <f t="shared" si="40"/>
        <v>12.929453755757843</v>
      </c>
      <c r="AF94" s="29">
        <f t="shared" si="40"/>
        <v>10.932481159963801</v>
      </c>
      <c r="AG94" s="29">
        <f t="shared" si="40"/>
        <v>9.5531938199574515</v>
      </c>
      <c r="AH94" s="29">
        <f t="shared" si="40"/>
        <v>8.0898785483697058</v>
      </c>
      <c r="AI94" s="29">
        <f t="shared" si="40"/>
        <v>11.198020176930873</v>
      </c>
      <c r="AJ94" s="29">
        <f t="shared" si="40"/>
        <v>9.8358747031863611</v>
      </c>
      <c r="AK94" s="29">
        <f t="shared" si="40"/>
        <v>8.3516277740760234</v>
      </c>
      <c r="AL94" s="29">
        <f t="shared" si="40"/>
        <v>7.027520802174438</v>
      </c>
      <c r="AM94" s="29">
        <f t="shared" si="40"/>
        <v>5.891858704283135</v>
      </c>
      <c r="AN94" s="29">
        <f t="shared" si="40"/>
        <v>4.930312854718971</v>
      </c>
      <c r="AO94" s="29">
        <f t="shared" si="40"/>
        <v>4.120524265434657</v>
      </c>
      <c r="AP94" s="29">
        <f t="shared" si="40"/>
        <v>3.4402787185127646</v>
      </c>
      <c r="AQ94" s="29">
        <f t="shared" si="40"/>
        <v>2.8696543590897976</v>
      </c>
      <c r="AR94" s="29">
        <f t="shared" si="40"/>
        <v>2.3914307123707026</v>
      </c>
      <c r="AS94" s="29">
        <f t="shared" si="40"/>
        <v>1.990950713838864</v>
      </c>
      <c r="AT94" s="29">
        <f t="shared" si="40"/>
        <v>1.6558240742021375</v>
      </c>
      <c r="AU94" s="29">
        <f t="shared" si="40"/>
        <v>1.3756077918263632</v>
      </c>
      <c r="AV94" s="29">
        <f t="shared" si="40"/>
        <v>1.1415104402969569</v>
      </c>
      <c r="AW94" s="29">
        <f t="shared" si="40"/>
        <v>0.94613352865422962</v>
      </c>
      <c r="AX94" s="29">
        <f t="shared" si="40"/>
        <v>0.7832507593833633</v>
      </c>
      <c r="AY94" s="29">
        <f t="shared" si="40"/>
        <v>0.64762167912522739</v>
      </c>
      <c r="AZ94" s="29">
        <f t="shared" si="40"/>
        <v>0.53483508905510702</v>
      </c>
      <c r="BA94" s="29">
        <f t="shared" si="40"/>
        <v>0.44117766965193012</v>
      </c>
      <c r="BB94" s="29">
        <f t="shared" si="40"/>
        <v>0.3635237731612162</v>
      </c>
      <c r="BC94" s="29">
        <f t="shared" si="40"/>
        <v>0.2992429262948213</v>
      </c>
      <c r="BD94" s="29">
        <f t="shared" si="40"/>
        <v>0.24612214555295006</v>
      </c>
      <c r="BE94" s="29">
        <f t="shared" si="40"/>
        <v>0.20230295420684236</v>
      </c>
      <c r="BF94" s="29">
        <f t="shared" si="40"/>
        <v>0.16621809211131827</v>
      </c>
      <c r="BG94" s="29">
        <f t="shared" si="40"/>
        <v>0.13655613152151047</v>
      </c>
      <c r="BH94" s="29">
        <f t="shared" si="40"/>
        <v>0.11221787373022994</v>
      </c>
      <c r="BI94" s="29">
        <f>BI$17*BI$56*BI93/(1-(BJ17/BI17))</f>
        <v>0.69865895021950852</v>
      </c>
    </row>
    <row r="95" spans="1:103" ht="39" customHeight="1" x14ac:dyDescent="0.2">
      <c r="A95" s="57" t="s">
        <v>62</v>
      </c>
      <c r="B95" s="191">
        <f>SUM(B94:BI94)*10*B52+B53-C53</f>
        <v>-864.47669644267535</v>
      </c>
      <c r="C95" s="84">
        <v>119.77210729036307</v>
      </c>
      <c r="D95" s="183">
        <f>+B95-C95</f>
        <v>-984.24880373303836</v>
      </c>
      <c r="I95" s="33"/>
    </row>
    <row r="96" spans="1:103" ht="21.75" customHeight="1" x14ac:dyDescent="0.2">
      <c r="A96" s="58" t="s">
        <v>61</v>
      </c>
      <c r="B96" s="29">
        <f>+B153</f>
        <v>55.170611554997151</v>
      </c>
    </row>
    <row r="97" spans="1:61" s="386" customFormat="1" ht="18" customHeight="1" x14ac:dyDescent="0.2">
      <c r="A97" s="169" t="s">
        <v>191</v>
      </c>
      <c r="B97" s="385">
        <f>+Controls!B33</f>
        <v>0.35708144186291391</v>
      </c>
      <c r="C97" s="385">
        <f>+Controls!C33</f>
        <v>0.2267610075161593</v>
      </c>
      <c r="D97" s="385">
        <f>+Controls!D33</f>
        <v>0.21516476481009253</v>
      </c>
      <c r="E97" s="385">
        <f>+Controls!E33</f>
        <v>0.20754873475224947</v>
      </c>
      <c r="F97" s="385">
        <f>+Controls!F33</f>
        <v>0.2032796927112448</v>
      </c>
      <c r="G97" s="385">
        <f>+Controls!G33</f>
        <v>0.20375853404594946</v>
      </c>
      <c r="H97" s="385">
        <f>+Controls!H33</f>
        <v>0.2034237446652743</v>
      </c>
      <c r="I97" s="385">
        <f>+Controls!I33</f>
        <v>0.20334246847133677</v>
      </c>
      <c r="J97" s="385">
        <f>+Controls!J33</f>
        <v>0.20316730217272469</v>
      </c>
      <c r="K97" s="385">
        <f>+Controls!K33</f>
        <v>0.20922027492066747</v>
      </c>
      <c r="L97" s="385">
        <f>+Controls!L33</f>
        <v>0.2185201157729674</v>
      </c>
      <c r="M97" s="385">
        <f>+Controls!M33</f>
        <v>0.21324434378424598</v>
      </c>
      <c r="N97" s="385">
        <f>+Controls!N33</f>
        <v>0.21324434378424598</v>
      </c>
      <c r="O97" s="385">
        <f>+Controls!O33</f>
        <v>0.21324434378424598</v>
      </c>
      <c r="P97" s="385">
        <f>+Controls!P33</f>
        <v>0.21324434378424598</v>
      </c>
      <c r="Q97" s="385">
        <f>+Controls!Q33</f>
        <v>0.21324434378424598</v>
      </c>
      <c r="R97" s="385">
        <f>+Controls!R33</f>
        <v>0.21324434378424598</v>
      </c>
      <c r="S97" s="385">
        <f>+Controls!S33</f>
        <v>0.21324434378424598</v>
      </c>
      <c r="T97" s="385">
        <f>+Controls!T33</f>
        <v>0.21324434378424598</v>
      </c>
      <c r="U97" s="385">
        <f>+Controls!U33</f>
        <v>0.21324434378424598</v>
      </c>
      <c r="V97" s="385">
        <f>+Controls!V33</f>
        <v>0.21324434378424598</v>
      </c>
      <c r="W97" s="385">
        <f>+Controls!W33</f>
        <v>0.21324434378424598</v>
      </c>
      <c r="X97" s="385">
        <f>+Controls!X33</f>
        <v>0.21324434378424598</v>
      </c>
      <c r="Y97" s="385">
        <f>+Controls!Y33</f>
        <v>0.21324434378424598</v>
      </c>
      <c r="Z97" s="385">
        <f>+Controls!Z33</f>
        <v>0.21324434378424598</v>
      </c>
      <c r="AA97" s="385">
        <f>+Controls!AA33</f>
        <v>0.21324434378424598</v>
      </c>
      <c r="AB97" s="385">
        <f>+Controls!AB33</f>
        <v>0.21324434378424598</v>
      </c>
      <c r="AC97" s="385">
        <f>+Controls!AC33</f>
        <v>0.21324434378424598</v>
      </c>
      <c r="AD97" s="385">
        <f>+Controls!AD33</f>
        <v>0.21324434378424598</v>
      </c>
      <c r="AE97" s="385">
        <f>+Controls!AE33</f>
        <v>0.21324434378424598</v>
      </c>
      <c r="AF97" s="385">
        <f>+Controls!AF33</f>
        <v>0.21324434378424598</v>
      </c>
      <c r="AG97" s="385">
        <f>+Controls!AG33</f>
        <v>0.21324434378424598</v>
      </c>
      <c r="AH97" s="385">
        <f>+Controls!AH33</f>
        <v>0.21324434378424598</v>
      </c>
      <c r="AI97" s="385">
        <f>+Controls!AI33</f>
        <v>0.21324434378424598</v>
      </c>
      <c r="AJ97" s="385">
        <f>+Controls!AJ33</f>
        <v>0.21324434378424598</v>
      </c>
      <c r="AK97" s="385">
        <f>+Controls!AK33</f>
        <v>0.21324434378424598</v>
      </c>
      <c r="AL97" s="385">
        <f>+Controls!AL33</f>
        <v>0.21324434378424598</v>
      </c>
      <c r="AM97" s="385">
        <f>+Controls!AM33</f>
        <v>0.21324434378424598</v>
      </c>
      <c r="AN97" s="385">
        <f>+Controls!AN33</f>
        <v>0.21324434378424598</v>
      </c>
      <c r="AO97" s="385">
        <f>+Controls!AO33</f>
        <v>0.21324434378424598</v>
      </c>
      <c r="AP97" s="385">
        <f>+Controls!AP33</f>
        <v>0.21324434378424598</v>
      </c>
      <c r="AQ97" s="385">
        <f>+Controls!AQ33</f>
        <v>0.21324434378424598</v>
      </c>
      <c r="AR97" s="385">
        <f>+Controls!AR33</f>
        <v>0.21324434378424598</v>
      </c>
      <c r="AS97" s="385">
        <f>+Controls!AS33</f>
        <v>0.21324434378424598</v>
      </c>
      <c r="AT97" s="385">
        <f>+Controls!AT33</f>
        <v>0.21324434378424598</v>
      </c>
      <c r="AU97" s="385">
        <f>+Controls!AU33</f>
        <v>0.21324434378424598</v>
      </c>
      <c r="AV97" s="385">
        <f>+Controls!AV33</f>
        <v>0.21324434378424598</v>
      </c>
      <c r="AW97" s="385">
        <f>+Controls!AW33</f>
        <v>0.21324434378424598</v>
      </c>
      <c r="AX97" s="385">
        <f>+Controls!AX33</f>
        <v>0.21324434378424598</v>
      </c>
      <c r="AY97" s="385">
        <f>+Controls!AY33</f>
        <v>0.21324434378424598</v>
      </c>
      <c r="AZ97" s="385">
        <f>+Controls!AZ33</f>
        <v>0.21324434378424598</v>
      </c>
      <c r="BA97" s="385">
        <f>+Controls!BA33</f>
        <v>0.21324434378424598</v>
      </c>
      <c r="BB97" s="385">
        <f>+Controls!BB33</f>
        <v>0.21324434378424598</v>
      </c>
      <c r="BC97" s="385">
        <f>+Controls!BC33</f>
        <v>0.21324434378424598</v>
      </c>
      <c r="BD97" s="385">
        <f>+Controls!BD33</f>
        <v>0.21324434378424598</v>
      </c>
      <c r="BE97" s="385">
        <f>+Controls!BE33</f>
        <v>0.21324434378424598</v>
      </c>
      <c r="BF97" s="385">
        <f>+Controls!BF33</f>
        <v>0.21324434378424598</v>
      </c>
      <c r="BG97" s="385">
        <f>+Controls!BG33</f>
        <v>0.21324434378424598</v>
      </c>
      <c r="BH97" s="385">
        <f>+Controls!BH33</f>
        <v>0.21324434378424598</v>
      </c>
      <c r="BI97" s="385">
        <f>+Controls!BI33</f>
        <v>0.21324434378424598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71">
        <f t="shared" ref="B101:AG101" si="41">+B$36*1000*B103^($B$38-1)</f>
        <v>1.0000000000000026E-3</v>
      </c>
      <c r="C101" s="463">
        <f t="shared" si="41"/>
        <v>9.9999999999999959E-4</v>
      </c>
      <c r="D101" s="463">
        <f t="shared" si="41"/>
        <v>1.0000000000000015E-3</v>
      </c>
      <c r="E101" s="463">
        <f t="shared" si="41"/>
        <v>1.0000000000000237E-3</v>
      </c>
      <c r="F101" s="463">
        <f t="shared" si="41"/>
        <v>1.0000000000003008E-3</v>
      </c>
      <c r="G101" s="463">
        <f t="shared" si="41"/>
        <v>1.0000000000020114E-3</v>
      </c>
      <c r="H101" s="463">
        <f t="shared" si="41"/>
        <v>1.0000000000091724E-3</v>
      </c>
      <c r="I101" s="463">
        <f t="shared" si="41"/>
        <v>1.0000000000319866E-3</v>
      </c>
      <c r="J101" s="463">
        <f t="shared" si="41"/>
        <v>1.0000000000922246E-3</v>
      </c>
      <c r="K101" s="463">
        <f t="shared" si="41"/>
        <v>1.0000000002275567E-3</v>
      </c>
      <c r="L101" s="463">
        <f t="shared" si="41"/>
        <v>1.0000000005053178E-3</v>
      </c>
      <c r="M101" s="463">
        <f t="shared" si="41"/>
        <v>1.0000000010417338E-3</v>
      </c>
      <c r="N101" s="463">
        <f t="shared" si="41"/>
        <v>1.0000000019921517E-3</v>
      </c>
      <c r="O101" s="463">
        <f t="shared" si="41"/>
        <v>1.0000000035927919E-3</v>
      </c>
      <c r="P101" s="463">
        <f t="shared" si="41"/>
        <v>1.000000006209689E-3</v>
      </c>
      <c r="Q101" s="463">
        <f t="shared" si="41"/>
        <v>1.0000000104204638E-3</v>
      </c>
      <c r="R101" s="463">
        <f t="shared" si="41"/>
        <v>1.0000000170144597E-3</v>
      </c>
      <c r="S101" s="463">
        <f t="shared" si="41"/>
        <v>1.0000000272142172E-3</v>
      </c>
      <c r="T101" s="463">
        <f t="shared" si="41"/>
        <v>1.0000000427819874E-3</v>
      </c>
      <c r="U101" s="463">
        <f t="shared" si="41"/>
        <v>1.0000000656043356E-3</v>
      </c>
      <c r="V101" s="463">
        <f t="shared" si="41"/>
        <v>1.0000000970886362E-3</v>
      </c>
      <c r="W101" s="463">
        <f t="shared" si="41"/>
        <v>1.0000001421883785E-3</v>
      </c>
      <c r="X101" s="463">
        <f t="shared" si="41"/>
        <v>1.0000002055977533E-3</v>
      </c>
      <c r="Y101" s="463">
        <f t="shared" si="41"/>
        <v>1.000000293249745E-3</v>
      </c>
      <c r="Z101" s="463">
        <f t="shared" si="41"/>
        <v>1.0000004131003599E-3</v>
      </c>
      <c r="AA101" s="463">
        <f t="shared" si="41"/>
        <v>1.000000575595561E-3</v>
      </c>
      <c r="AB101" s="463">
        <f t="shared" si="41"/>
        <v>297.38225098690572</v>
      </c>
      <c r="AC101" s="463">
        <f t="shared" si="41"/>
        <v>286.92313843756045</v>
      </c>
      <c r="AD101" s="463">
        <f t="shared" si="41"/>
        <v>276.98698151568249</v>
      </c>
      <c r="AE101" s="463">
        <f t="shared" si="41"/>
        <v>267.54763243989834</v>
      </c>
      <c r="AF101" s="463">
        <f t="shared" si="41"/>
        <v>258.58025081790339</v>
      </c>
      <c r="AG101" s="463">
        <f t="shared" si="41"/>
        <v>250.06123827700821</v>
      </c>
      <c r="AH101" s="463">
        <f t="shared" ref="AH101:BI101" si="42">+AH$36*1000*AH103^($B$38-1)</f>
        <v>241.9681763631578</v>
      </c>
      <c r="AI101" s="463">
        <f t="shared" si="42"/>
        <v>234.27976754499991</v>
      </c>
      <c r="AJ101" s="463">
        <f t="shared" si="42"/>
        <v>226.97577916774992</v>
      </c>
      <c r="AK101" s="463">
        <f t="shared" si="42"/>
        <v>220.03699020936241</v>
      </c>
      <c r="AL101" s="463">
        <f t="shared" si="42"/>
        <v>213.44514069889428</v>
      </c>
      <c r="AM101" s="463">
        <f t="shared" si="42"/>
        <v>207.18288366394955</v>
      </c>
      <c r="AN101" s="463">
        <f t="shared" si="42"/>
        <v>201.23373948075206</v>
      </c>
      <c r="AO101" s="463">
        <f t="shared" si="42"/>
        <v>195.58205250671446</v>
      </c>
      <c r="AP101" s="463">
        <f t="shared" si="42"/>
        <v>190.21294988137871</v>
      </c>
      <c r="AQ101" s="463">
        <f t="shared" si="42"/>
        <v>185.11230238730977</v>
      </c>
      <c r="AR101" s="463">
        <f t="shared" si="42"/>
        <v>180.26668726794429</v>
      </c>
      <c r="AS101" s="463">
        <f t="shared" si="42"/>
        <v>175.66335290454708</v>
      </c>
      <c r="AT101" s="463">
        <f t="shared" si="42"/>
        <v>171.29018525931971</v>
      </c>
      <c r="AU101" s="463">
        <f t="shared" si="42"/>
        <v>167.13567599635374</v>
      </c>
      <c r="AV101" s="463">
        <f t="shared" si="42"/>
        <v>163.18889219653605</v>
      </c>
      <c r="AW101" s="463">
        <f t="shared" si="42"/>
        <v>159.43944758670924</v>
      </c>
      <c r="AX101" s="463">
        <f t="shared" si="42"/>
        <v>155.87747520737378</v>
      </c>
      <c r="AY101" s="463">
        <f t="shared" si="42"/>
        <v>152.49360144700509</v>
      </c>
      <c r="AZ101" s="463">
        <f t="shared" si="42"/>
        <v>149.27892137465483</v>
      </c>
      <c r="BA101" s="463">
        <f t="shared" si="42"/>
        <v>146.22497530592207</v>
      </c>
      <c r="BB101" s="463">
        <f t="shared" si="42"/>
        <v>143.32372654062598</v>
      </c>
      <c r="BC101" s="463">
        <f t="shared" si="42"/>
        <v>140.5675402135947</v>
      </c>
      <c r="BD101" s="463">
        <f t="shared" si="42"/>
        <v>137.94916320291495</v>
      </c>
      <c r="BE101" s="463">
        <f t="shared" si="42"/>
        <v>68.974581601457473</v>
      </c>
      <c r="BF101" s="463">
        <f t="shared" si="42"/>
        <v>34.487290800728736</v>
      </c>
      <c r="BG101" s="463">
        <f t="shared" si="42"/>
        <v>17.243645400364368</v>
      </c>
      <c r="BH101" s="463">
        <f t="shared" si="42"/>
        <v>8.6218227001821841</v>
      </c>
      <c r="BI101" s="463">
        <f t="shared" si="42"/>
        <v>4.3109113500910921</v>
      </c>
    </row>
    <row r="102" spans="1:61" s="467" customFormat="1" ht="18" customHeight="1" x14ac:dyDescent="0.2">
      <c r="A102" s="612" t="s">
        <v>955</v>
      </c>
      <c r="B102" s="465">
        <f>+B119*(1-MIN(B103,1))</f>
        <v>0.48490804268827326</v>
      </c>
      <c r="C102" s="465">
        <f>+C119*(1-MIN(C103,1))</f>
        <v>0.42036998311694618</v>
      </c>
      <c r="D102" s="465">
        <f t="shared" ref="D102:BI102" si="43">+D119*(1-MIN(D103,1))</f>
        <v>0.38293478291362321</v>
      </c>
      <c r="E102" s="465">
        <f t="shared" si="43"/>
        <v>0.35486277236465741</v>
      </c>
      <c r="F102" s="465">
        <f t="shared" si="43"/>
        <v>0.33236894449457705</v>
      </c>
      <c r="G102" s="465">
        <f t="shared" si="43"/>
        <v>0.31058672089805961</v>
      </c>
      <c r="H102" s="465">
        <f t="shared" si="43"/>
        <v>0.29178364449996097</v>
      </c>
      <c r="I102" s="465">
        <f t="shared" si="43"/>
        <v>0.27602949053667636</v>
      </c>
      <c r="J102" s="465">
        <f t="shared" si="43"/>
        <v>0.26088309641801505</v>
      </c>
      <c r="K102" s="465">
        <f t="shared" si="43"/>
        <v>0.24879316229458809</v>
      </c>
      <c r="L102" s="465">
        <f t="shared" si="43"/>
        <v>0.24140171106479738</v>
      </c>
      <c r="M102" s="465">
        <f t="shared" si="43"/>
        <v>0.23593165071699002</v>
      </c>
      <c r="N102" s="465">
        <f t="shared" si="43"/>
        <v>0.23410194289183833</v>
      </c>
      <c r="O102" s="465">
        <f t="shared" si="43"/>
        <v>0.23586065067811124</v>
      </c>
      <c r="P102" s="465">
        <f t="shared" si="43"/>
        <v>0.2393023195903034</v>
      </c>
      <c r="Q102" s="465">
        <f t="shared" si="43"/>
        <v>0.24701868868606586</v>
      </c>
      <c r="R102" s="465">
        <f t="shared" si="43"/>
        <v>0.25934319030263631</v>
      </c>
      <c r="S102" s="465">
        <f t="shared" si="43"/>
        <v>0.27720310342025201</v>
      </c>
      <c r="T102" s="465">
        <f t="shared" si="43"/>
        <v>0.28559373075026034</v>
      </c>
      <c r="U102" s="465">
        <f t="shared" si="43"/>
        <v>0.29465899658140621</v>
      </c>
      <c r="V102" s="465">
        <f t="shared" si="43"/>
        <v>0.30848354199007261</v>
      </c>
      <c r="W102" s="465">
        <f t="shared" si="43"/>
        <v>0.32075675789446995</v>
      </c>
      <c r="X102" s="465">
        <f t="shared" si="43"/>
        <v>0.32927596420992844</v>
      </c>
      <c r="Y102" s="465">
        <f t="shared" si="43"/>
        <v>0.33854289903923274</v>
      </c>
      <c r="Z102" s="465">
        <f t="shared" si="43"/>
        <v>0.34773609178764503</v>
      </c>
      <c r="AA102" s="465">
        <f t="shared" si="43"/>
        <v>0.35660673491774747</v>
      </c>
      <c r="AB102" s="465">
        <f t="shared" si="43"/>
        <v>0</v>
      </c>
      <c r="AC102" s="465">
        <f t="shared" si="43"/>
        <v>0</v>
      </c>
      <c r="AD102" s="465">
        <f t="shared" si="43"/>
        <v>0</v>
      </c>
      <c r="AE102" s="465">
        <f t="shared" si="43"/>
        <v>0</v>
      </c>
      <c r="AF102" s="465">
        <f t="shared" si="43"/>
        <v>0</v>
      </c>
      <c r="AG102" s="465">
        <f t="shared" si="43"/>
        <v>0</v>
      </c>
      <c r="AH102" s="465">
        <f t="shared" si="43"/>
        <v>0</v>
      </c>
      <c r="AI102" s="465">
        <f t="shared" si="43"/>
        <v>0</v>
      </c>
      <c r="AJ102" s="465">
        <f t="shared" si="43"/>
        <v>0</v>
      </c>
      <c r="AK102" s="465">
        <f t="shared" si="43"/>
        <v>0</v>
      </c>
      <c r="AL102" s="465">
        <f t="shared" si="43"/>
        <v>0</v>
      </c>
      <c r="AM102" s="465">
        <f t="shared" si="43"/>
        <v>0</v>
      </c>
      <c r="AN102" s="465">
        <f t="shared" si="43"/>
        <v>0</v>
      </c>
      <c r="AO102" s="465">
        <f t="shared" si="43"/>
        <v>0</v>
      </c>
      <c r="AP102" s="465">
        <f t="shared" si="43"/>
        <v>0</v>
      </c>
      <c r="AQ102" s="465">
        <f t="shared" si="43"/>
        <v>0</v>
      </c>
      <c r="AR102" s="465">
        <f t="shared" si="43"/>
        <v>0</v>
      </c>
      <c r="AS102" s="465">
        <f t="shared" si="43"/>
        <v>0</v>
      </c>
      <c r="AT102" s="465">
        <f t="shared" si="43"/>
        <v>0</v>
      </c>
      <c r="AU102" s="465">
        <f t="shared" si="43"/>
        <v>0</v>
      </c>
      <c r="AV102" s="465">
        <f t="shared" si="43"/>
        <v>0</v>
      </c>
      <c r="AW102" s="465">
        <f t="shared" si="43"/>
        <v>0</v>
      </c>
      <c r="AX102" s="465">
        <f t="shared" si="43"/>
        <v>0</v>
      </c>
      <c r="AY102" s="465">
        <f t="shared" si="43"/>
        <v>0</v>
      </c>
      <c r="AZ102" s="465">
        <f t="shared" si="43"/>
        <v>0</v>
      </c>
      <c r="BA102" s="465">
        <f t="shared" si="43"/>
        <v>0</v>
      </c>
      <c r="BB102" s="465">
        <f t="shared" si="43"/>
        <v>0</v>
      </c>
      <c r="BC102" s="465">
        <f t="shared" si="43"/>
        <v>0</v>
      </c>
      <c r="BD102" s="465">
        <f t="shared" si="43"/>
        <v>0</v>
      </c>
      <c r="BE102" s="465">
        <f t="shared" si="43"/>
        <v>0</v>
      </c>
      <c r="BF102" s="465">
        <f t="shared" si="43"/>
        <v>0</v>
      </c>
      <c r="BG102" s="465">
        <f t="shared" si="43"/>
        <v>0</v>
      </c>
      <c r="BH102" s="465">
        <f t="shared" si="43"/>
        <v>0</v>
      </c>
      <c r="BI102" s="465">
        <f t="shared" si="43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4.9769341790313962E-4</v>
      </c>
      <c r="C103" s="468">
        <f>+IF($B$98&gt;0,C109,IF($B$99&gt;0,C114,C122))</f>
        <v>5.1058862486499045E-4</v>
      </c>
      <c r="D103" s="468">
        <f t="shared" ref="D103:BI103" si="44">+IF($B$98&gt;0,D109,IF($B$99&gt;0,D114,D122))</f>
        <v>5.2374616639300198E-4</v>
      </c>
      <c r="E103" s="468">
        <f t="shared" si="44"/>
        <v>5.3716612329409211E-4</v>
      </c>
      <c r="F103" s="468">
        <f t="shared" si="44"/>
        <v>5.5084815161558494E-4</v>
      </c>
      <c r="G103" s="468">
        <f t="shared" si="44"/>
        <v>5.6479145598017032E-4</v>
      </c>
      <c r="H103" s="468">
        <f t="shared" si="44"/>
        <v>5.7899476289534845E-4</v>
      </c>
      <c r="I103" s="468">
        <f t="shared" si="44"/>
        <v>5.9345629422292501E-4</v>
      </c>
      <c r="J103" s="468">
        <f t="shared" si="44"/>
        <v>6.0817374101400454E-4</v>
      </c>
      <c r="K103" s="468">
        <f t="shared" si="44"/>
        <v>6.2314423793338497E-4</v>
      </c>
      <c r="L103" s="468">
        <f t="shared" si="44"/>
        <v>6.3836433852115196E-4</v>
      </c>
      <c r="M103" s="468">
        <f t="shared" si="44"/>
        <v>6.538299915531835E-4</v>
      </c>
      <c r="N103" s="468">
        <f t="shared" si="44"/>
        <v>6.6953651876794557E-4</v>
      </c>
      <c r="O103" s="468">
        <f t="shared" si="44"/>
        <v>6.8547859428383286E-4</v>
      </c>
      <c r="P103" s="468">
        <f t="shared" si="44"/>
        <v>7.0165022600162546E-4</v>
      </c>
      <c r="Q103" s="468">
        <f t="shared" si="44"/>
        <v>7.1804473932204189E-4</v>
      </c>
      <c r="R103" s="468">
        <f t="shared" si="44"/>
        <v>7.3465476346030621E-4</v>
      </c>
      <c r="S103" s="468">
        <f t="shared" si="44"/>
        <v>7.5147222080880331E-4</v>
      </c>
      <c r="T103" s="468">
        <f t="shared" si="44"/>
        <v>7.6848831954746705E-4</v>
      </c>
      <c r="U103" s="468">
        <f t="shared" si="44"/>
        <v>7.8569354963956451E-4</v>
      </c>
      <c r="V103" s="468">
        <f t="shared" si="44"/>
        <v>8.03077682637596E-4</v>
      </c>
      <c r="W103" s="468">
        <f t="shared" si="44"/>
        <v>8.2062977777505282E-4</v>
      </c>
      <c r="X103" s="468">
        <f t="shared" si="44"/>
        <v>8.3833818912844077E-4</v>
      </c>
      <c r="Y103" s="468">
        <f t="shared" si="44"/>
        <v>8.561905797997173E-4</v>
      </c>
      <c r="Z103" s="468">
        <f t="shared" si="44"/>
        <v>8.7417394076363172E-4</v>
      </c>
      <c r="AA103" s="468">
        <f t="shared" si="44"/>
        <v>8.9227461468765785E-4</v>
      </c>
      <c r="AB103" s="468">
        <f t="shared" si="44"/>
        <v>1</v>
      </c>
      <c r="AC103" s="468">
        <f t="shared" si="44"/>
        <v>1</v>
      </c>
      <c r="AD103" s="468">
        <f t="shared" si="44"/>
        <v>1</v>
      </c>
      <c r="AE103" s="468">
        <f t="shared" si="44"/>
        <v>1</v>
      </c>
      <c r="AF103" s="468">
        <f t="shared" si="44"/>
        <v>1</v>
      </c>
      <c r="AG103" s="468">
        <f t="shared" si="44"/>
        <v>1</v>
      </c>
      <c r="AH103" s="468">
        <f t="shared" si="44"/>
        <v>1</v>
      </c>
      <c r="AI103" s="468">
        <f t="shared" si="44"/>
        <v>1</v>
      </c>
      <c r="AJ103" s="468">
        <f t="shared" si="44"/>
        <v>1</v>
      </c>
      <c r="AK103" s="468">
        <f t="shared" si="44"/>
        <v>1</v>
      </c>
      <c r="AL103" s="468">
        <f t="shared" si="44"/>
        <v>1</v>
      </c>
      <c r="AM103" s="468">
        <f t="shared" si="44"/>
        <v>1</v>
      </c>
      <c r="AN103" s="468">
        <f t="shared" si="44"/>
        <v>1</v>
      </c>
      <c r="AO103" s="468">
        <f t="shared" si="44"/>
        <v>1</v>
      </c>
      <c r="AP103" s="468">
        <f t="shared" si="44"/>
        <v>1</v>
      </c>
      <c r="AQ103" s="468">
        <f t="shared" si="44"/>
        <v>1</v>
      </c>
      <c r="AR103" s="468">
        <f t="shared" si="44"/>
        <v>1</v>
      </c>
      <c r="AS103" s="468">
        <f t="shared" si="44"/>
        <v>1</v>
      </c>
      <c r="AT103" s="468">
        <f t="shared" si="44"/>
        <v>1</v>
      </c>
      <c r="AU103" s="468">
        <f t="shared" si="44"/>
        <v>1</v>
      </c>
      <c r="AV103" s="468">
        <f t="shared" si="44"/>
        <v>1</v>
      </c>
      <c r="AW103" s="468">
        <f t="shared" si="44"/>
        <v>1</v>
      </c>
      <c r="AX103" s="468">
        <f t="shared" si="44"/>
        <v>1</v>
      </c>
      <c r="AY103" s="468">
        <f t="shared" si="44"/>
        <v>1</v>
      </c>
      <c r="AZ103" s="468">
        <f t="shared" si="44"/>
        <v>1</v>
      </c>
      <c r="BA103" s="468">
        <f t="shared" si="44"/>
        <v>1</v>
      </c>
      <c r="BB103" s="468">
        <f t="shared" si="44"/>
        <v>1</v>
      </c>
      <c r="BC103" s="468">
        <f t="shared" si="44"/>
        <v>1</v>
      </c>
      <c r="BD103" s="468">
        <f t="shared" si="44"/>
        <v>1</v>
      </c>
      <c r="BE103" s="468">
        <f t="shared" si="44"/>
        <v>1</v>
      </c>
      <c r="BF103" s="468">
        <f t="shared" si="44"/>
        <v>1</v>
      </c>
      <c r="BG103" s="468">
        <f t="shared" si="44"/>
        <v>1</v>
      </c>
      <c r="BH103" s="468">
        <f t="shared" si="44"/>
        <v>1</v>
      </c>
      <c r="BI103" s="468">
        <f t="shared" si="44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5">+MIN(B107+B108,B36*1000)</f>
        <v>1E-3</v>
      </c>
      <c r="C106" s="373">
        <f t="shared" si="45"/>
        <v>1E-3</v>
      </c>
      <c r="D106" s="373">
        <f t="shared" si="45"/>
        <v>1.0000000000000005E-3</v>
      </c>
      <c r="E106" s="373">
        <f t="shared" si="45"/>
        <v>1.000000000000023E-3</v>
      </c>
      <c r="F106" s="373">
        <f t="shared" si="45"/>
        <v>1.0000000000003001E-3</v>
      </c>
      <c r="G106" s="373">
        <f t="shared" si="45"/>
        <v>1.0000000000020112E-3</v>
      </c>
      <c r="H106" s="373">
        <f t="shared" si="45"/>
        <v>1.0000000000091702E-3</v>
      </c>
      <c r="I106" s="373">
        <f t="shared" si="45"/>
        <v>1.0000000000319844E-3</v>
      </c>
      <c r="J106" s="373">
        <f t="shared" si="45"/>
        <v>1.0000000000922251E-3</v>
      </c>
      <c r="K106" s="373">
        <f t="shared" si="45"/>
        <v>1.0000000002275561E-3</v>
      </c>
      <c r="L106" s="373">
        <f t="shared" si="45"/>
        <v>1.0000000005053185E-3</v>
      </c>
      <c r="M106" s="450">
        <f t="shared" si="45"/>
        <v>1.0000000010417327E-3</v>
      </c>
      <c r="N106" s="373">
        <f t="shared" si="45"/>
        <v>1.0000000019921491E-3</v>
      </c>
      <c r="O106" s="373">
        <f t="shared" si="45"/>
        <v>1.0000000035927906E-3</v>
      </c>
      <c r="P106" s="373">
        <f t="shared" si="45"/>
        <v>1.0000000062096877E-3</v>
      </c>
      <c r="Q106" s="373">
        <f t="shared" si="45"/>
        <v>1.0000000104204644E-3</v>
      </c>
      <c r="R106" s="373">
        <f t="shared" si="45"/>
        <v>1.0000000170144582E-3</v>
      </c>
      <c r="S106" s="373">
        <f t="shared" si="45"/>
        <v>1.0000000272142174E-3</v>
      </c>
      <c r="T106" s="373">
        <f t="shared" si="45"/>
        <v>1.0000000427819878E-3</v>
      </c>
      <c r="U106" s="373">
        <f t="shared" si="45"/>
        <v>1.0000000656043364E-3</v>
      </c>
      <c r="V106" s="373">
        <f t="shared" si="45"/>
        <v>1.0000000970886349E-3</v>
      </c>
      <c r="W106" s="373">
        <f t="shared" si="45"/>
        <v>1.0000001421883765E-3</v>
      </c>
      <c r="X106" s="373">
        <f t="shared" si="45"/>
        <v>1.0000002055977509E-3</v>
      </c>
      <c r="Y106" s="373">
        <f t="shared" si="45"/>
        <v>1.0000002932497453E-3</v>
      </c>
      <c r="Z106" s="373">
        <f t="shared" si="45"/>
        <v>1.0000004131003601E-3</v>
      </c>
      <c r="AA106" s="373">
        <f t="shared" si="45"/>
        <v>1.0000005755955613E-3</v>
      </c>
      <c r="AB106" s="373">
        <f t="shared" si="45"/>
        <v>297.38225098690572</v>
      </c>
      <c r="AC106" s="373">
        <f t="shared" si="45"/>
        <v>286.92313843756045</v>
      </c>
      <c r="AD106" s="373">
        <f t="shared" si="45"/>
        <v>276.98698151568249</v>
      </c>
      <c r="AE106" s="373">
        <f t="shared" si="45"/>
        <v>267.54763243989834</v>
      </c>
      <c r="AF106" s="373">
        <f t="shared" si="45"/>
        <v>258.58025081790339</v>
      </c>
      <c r="AG106" s="373">
        <f t="shared" si="45"/>
        <v>250.06123827700821</v>
      </c>
      <c r="AH106" s="373">
        <f t="shared" si="45"/>
        <v>241.9681763631578</v>
      </c>
      <c r="AI106" s="373">
        <f t="shared" si="45"/>
        <v>234.27976754499991</v>
      </c>
      <c r="AJ106" s="373">
        <f t="shared" si="45"/>
        <v>226.97577916774992</v>
      </c>
      <c r="AK106" s="373">
        <f t="shared" si="45"/>
        <v>220.03699020936241</v>
      </c>
      <c r="AL106" s="373">
        <f t="shared" si="45"/>
        <v>213.44514069889428</v>
      </c>
      <c r="AM106" s="373">
        <f t="shared" si="45"/>
        <v>207.18288366394955</v>
      </c>
      <c r="AN106" s="373">
        <f t="shared" si="45"/>
        <v>201.23373948075206</v>
      </c>
      <c r="AO106" s="373">
        <f t="shared" si="45"/>
        <v>195.58205250671446</v>
      </c>
      <c r="AP106" s="373">
        <f t="shared" si="45"/>
        <v>190.21294988137871</v>
      </c>
      <c r="AQ106" s="373">
        <f t="shared" si="45"/>
        <v>185.11230238730977</v>
      </c>
      <c r="AR106" s="373">
        <f t="shared" si="45"/>
        <v>180.26668726794429</v>
      </c>
      <c r="AS106" s="373">
        <f t="shared" si="45"/>
        <v>175.66335290454708</v>
      </c>
      <c r="AT106" s="373">
        <f t="shared" si="45"/>
        <v>171.29018525931971</v>
      </c>
      <c r="AU106" s="373">
        <f t="shared" si="45"/>
        <v>167.13567599635374</v>
      </c>
      <c r="AV106" s="373">
        <f t="shared" si="45"/>
        <v>163.18889219653605</v>
      </c>
      <c r="AW106" s="373">
        <f t="shared" si="45"/>
        <v>159.43944758670924</v>
      </c>
      <c r="AX106" s="373">
        <f t="shared" si="45"/>
        <v>155.87747520737378</v>
      </c>
      <c r="AY106" s="373">
        <f t="shared" si="45"/>
        <v>152.49360144700509</v>
      </c>
      <c r="AZ106" s="373">
        <f t="shared" si="45"/>
        <v>149.27892137465483</v>
      </c>
      <c r="BA106" s="373">
        <f t="shared" si="45"/>
        <v>146.22497530592207</v>
      </c>
      <c r="BB106" s="373">
        <f t="shared" si="45"/>
        <v>143.32372654062598</v>
      </c>
      <c r="BC106" s="373">
        <f t="shared" si="45"/>
        <v>140.5675402135947</v>
      </c>
      <c r="BD106" s="373">
        <f t="shared" si="45"/>
        <v>137.94916320291495</v>
      </c>
      <c r="BE106" s="373">
        <f t="shared" si="45"/>
        <v>68.974581601457473</v>
      </c>
      <c r="BF106" s="373">
        <f t="shared" si="45"/>
        <v>34.487290800728736</v>
      </c>
      <c r="BG106" s="373">
        <f t="shared" si="45"/>
        <v>17.243645400364368</v>
      </c>
      <c r="BH106" s="373">
        <f t="shared" si="45"/>
        <v>8.6218227001821841</v>
      </c>
      <c r="BI106" s="373">
        <f t="shared" si="45"/>
        <v>4.3109113500910921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+Controls!B16</f>
        <v>1E-3</v>
      </c>
      <c r="C108" s="373">
        <f>+Controls!C16</f>
        <v>1E-3</v>
      </c>
      <c r="D108" s="373">
        <f>+Controls!D16</f>
        <v>1E-3</v>
      </c>
      <c r="E108" s="373">
        <f>+Controls!E16</f>
        <v>1E-3</v>
      </c>
      <c r="F108" s="373">
        <f>+Controls!F16</f>
        <v>1E-3</v>
      </c>
      <c r="G108" s="373">
        <f>+Controls!G16</f>
        <v>1E-3</v>
      </c>
      <c r="H108" s="373">
        <f>+Controls!H16</f>
        <v>1E-3</v>
      </c>
      <c r="I108" s="373">
        <f>+Controls!I16</f>
        <v>1E-3</v>
      </c>
      <c r="J108" s="373">
        <f>+Controls!J16</f>
        <v>1E-3</v>
      </c>
      <c r="K108" s="373">
        <f>+Controls!K16</f>
        <v>1E-3</v>
      </c>
      <c r="L108" s="373">
        <f>+Controls!L16</f>
        <v>1E-3</v>
      </c>
      <c r="M108" s="373">
        <f>+Controls!M16</f>
        <v>1E-3</v>
      </c>
      <c r="N108" s="373">
        <f>+Controls!N16</f>
        <v>1E-3</v>
      </c>
      <c r="O108" s="373">
        <f>+Controls!O16</f>
        <v>1E-3</v>
      </c>
      <c r="P108" s="373">
        <f>+Controls!P16</f>
        <v>1E-3</v>
      </c>
      <c r="Q108" s="373">
        <f>+Controls!Q16</f>
        <v>1E-3</v>
      </c>
      <c r="R108" s="373">
        <f>+Controls!R16</f>
        <v>1E-3</v>
      </c>
      <c r="S108" s="373">
        <f>+Controls!S16</f>
        <v>1E-3</v>
      </c>
      <c r="T108" s="373">
        <f>+Controls!T16</f>
        <v>1E-3</v>
      </c>
      <c r="U108" s="373">
        <f>+Controls!U16</f>
        <v>1E-3</v>
      </c>
      <c r="V108" s="373">
        <f>+Controls!V16</f>
        <v>1E-3</v>
      </c>
      <c r="W108" s="373">
        <f>+Controls!W16</f>
        <v>1E-3</v>
      </c>
      <c r="X108" s="373">
        <f>+Controls!X16</f>
        <v>1E-3</v>
      </c>
      <c r="Y108" s="373">
        <f>+Controls!Y16</f>
        <v>1E-3</v>
      </c>
      <c r="Z108" s="373">
        <f>+Controls!Z16</f>
        <v>1E-3</v>
      </c>
      <c r="AA108" s="373">
        <f>+Controls!AA16</f>
        <v>1E-3</v>
      </c>
      <c r="AB108" s="373">
        <f>+Controls!AB16</f>
        <v>1200</v>
      </c>
      <c r="AC108" s="373">
        <f>+Controls!AC16</f>
        <v>1200</v>
      </c>
      <c r="AD108" s="373">
        <f>+Controls!AD16</f>
        <v>1200</v>
      </c>
      <c r="AE108" s="373">
        <f>+Controls!AE16</f>
        <v>1200</v>
      </c>
      <c r="AF108" s="373">
        <f>+Controls!AF16</f>
        <v>1200</v>
      </c>
      <c r="AG108" s="373">
        <f>+Controls!AG16</f>
        <v>1200</v>
      </c>
      <c r="AH108" s="373">
        <f>+Controls!AH16</f>
        <v>1200</v>
      </c>
      <c r="AI108" s="373">
        <f>+Controls!AI16</f>
        <v>1200</v>
      </c>
      <c r="AJ108" s="373">
        <f>+Controls!AJ16</f>
        <v>1200</v>
      </c>
      <c r="AK108" s="373">
        <f>+Controls!AK16</f>
        <v>1200</v>
      </c>
      <c r="AL108" s="373">
        <f>+Controls!AL16</f>
        <v>1200</v>
      </c>
      <c r="AM108" s="373">
        <f>+Controls!AM16</f>
        <v>1200</v>
      </c>
      <c r="AN108" s="373">
        <f>+Controls!AN16</f>
        <v>1200</v>
      </c>
      <c r="AO108" s="373">
        <f>+Controls!AO16</f>
        <v>1200</v>
      </c>
      <c r="AP108" s="373">
        <f>+Controls!AP16</f>
        <v>1200</v>
      </c>
      <c r="AQ108" s="373">
        <f>+Controls!AQ16</f>
        <v>1200</v>
      </c>
      <c r="AR108" s="373">
        <f>+Controls!AR16</f>
        <v>1200</v>
      </c>
      <c r="AS108" s="373">
        <f>+Controls!AS16</f>
        <v>1200</v>
      </c>
      <c r="AT108" s="373">
        <f>+Controls!AT16</f>
        <v>1200</v>
      </c>
      <c r="AU108" s="373">
        <f>+Controls!AU16</f>
        <v>1200</v>
      </c>
      <c r="AV108" s="373">
        <f>+Controls!AV16</f>
        <v>1200</v>
      </c>
      <c r="AW108" s="373">
        <f>+Controls!AW16</f>
        <v>1200</v>
      </c>
      <c r="AX108" s="373">
        <f>+Controls!AX16</f>
        <v>1200</v>
      </c>
      <c r="AY108" s="373">
        <f>+Controls!AY16</f>
        <v>1200</v>
      </c>
      <c r="AZ108" s="373">
        <f>+Controls!AZ16</f>
        <v>1200</v>
      </c>
      <c r="BA108" s="373">
        <f>+Controls!BA16</f>
        <v>1200</v>
      </c>
      <c r="BB108" s="373">
        <f>+Controls!BB16</f>
        <v>1200</v>
      </c>
      <c r="BC108" s="373">
        <f>+Controls!BC16</f>
        <v>1200</v>
      </c>
      <c r="BD108" s="373">
        <f>+Controls!BD16</f>
        <v>1200</v>
      </c>
      <c r="BE108" s="373">
        <f>+Controls!BE16</f>
        <v>1200</v>
      </c>
      <c r="BF108" s="373">
        <f>+Controls!BF16</f>
        <v>1200</v>
      </c>
      <c r="BG108" s="373">
        <f>+Controls!BG16</f>
        <v>1200</v>
      </c>
      <c r="BH108" s="373">
        <f>+Controls!BH16</f>
        <v>1200</v>
      </c>
      <c r="BI108" s="373">
        <f>+Controls!BI16</f>
        <v>1200</v>
      </c>
    </row>
    <row r="109" spans="1:61" ht="18" customHeight="1" x14ac:dyDescent="0.2">
      <c r="A109" s="372" t="s">
        <v>193</v>
      </c>
      <c r="B109" s="375">
        <f>+(B106/(1000*B$36))^(1/($B$38-1))</f>
        <v>4.9769341790313962E-4</v>
      </c>
      <c r="C109" s="375">
        <f t="shared" ref="C109:BI109" si="46">+(C106/(1000*C$36))^(1/($B$38-1))</f>
        <v>5.1058862486499045E-4</v>
      </c>
      <c r="D109" s="375">
        <f t="shared" si="46"/>
        <v>5.2374616639300198E-4</v>
      </c>
      <c r="E109" s="375">
        <f t="shared" si="46"/>
        <v>5.3716612329409211E-4</v>
      </c>
      <c r="F109" s="375">
        <f t="shared" si="46"/>
        <v>5.5084815161558494E-4</v>
      </c>
      <c r="G109" s="375">
        <f t="shared" si="46"/>
        <v>5.6479145598017032E-4</v>
      </c>
      <c r="H109" s="375">
        <f t="shared" si="46"/>
        <v>5.7899476289534845E-4</v>
      </c>
      <c r="I109" s="375">
        <f t="shared" si="46"/>
        <v>5.9345629422292501E-4</v>
      </c>
      <c r="J109" s="375">
        <f t="shared" si="46"/>
        <v>6.0817374101400454E-4</v>
      </c>
      <c r="K109" s="375">
        <f t="shared" si="46"/>
        <v>6.2314423793338497E-4</v>
      </c>
      <c r="L109" s="375">
        <f t="shared" si="46"/>
        <v>6.3836433852115196E-4</v>
      </c>
      <c r="M109" s="375">
        <f t="shared" si="46"/>
        <v>6.538299915531835E-4</v>
      </c>
      <c r="N109" s="375">
        <f t="shared" si="46"/>
        <v>6.6953651876794557E-4</v>
      </c>
      <c r="O109" s="375">
        <f t="shared" si="46"/>
        <v>6.8547859428383286E-4</v>
      </c>
      <c r="P109" s="375">
        <f t="shared" si="46"/>
        <v>7.0165022600162546E-4</v>
      </c>
      <c r="Q109" s="375">
        <f t="shared" si="46"/>
        <v>7.1804473932204189E-4</v>
      </c>
      <c r="R109" s="375">
        <f t="shared" si="46"/>
        <v>7.3465476346030621E-4</v>
      </c>
      <c r="S109" s="375">
        <f t="shared" si="46"/>
        <v>7.5147222080880331E-4</v>
      </c>
      <c r="T109" s="375">
        <f t="shared" si="46"/>
        <v>7.6848831954746705E-4</v>
      </c>
      <c r="U109" s="375">
        <f t="shared" si="46"/>
        <v>7.8569354963956451E-4</v>
      </c>
      <c r="V109" s="375">
        <f t="shared" si="46"/>
        <v>8.03077682637596E-4</v>
      </c>
      <c r="W109" s="375">
        <f t="shared" si="46"/>
        <v>8.2062977777505282E-4</v>
      </c>
      <c r="X109" s="375">
        <f t="shared" si="46"/>
        <v>8.3833818912844077E-4</v>
      </c>
      <c r="Y109" s="375">
        <f t="shared" si="46"/>
        <v>8.561905797997173E-4</v>
      </c>
      <c r="Z109" s="375">
        <f t="shared" si="46"/>
        <v>8.7417394076363172E-4</v>
      </c>
      <c r="AA109" s="375">
        <f t="shared" si="46"/>
        <v>8.9227461468765785E-4</v>
      </c>
      <c r="AB109" s="375">
        <f t="shared" si="46"/>
        <v>1</v>
      </c>
      <c r="AC109" s="375">
        <f t="shared" si="46"/>
        <v>1</v>
      </c>
      <c r="AD109" s="375">
        <f t="shared" si="46"/>
        <v>1</v>
      </c>
      <c r="AE109" s="375">
        <f t="shared" si="46"/>
        <v>1</v>
      </c>
      <c r="AF109" s="375">
        <f t="shared" si="46"/>
        <v>1</v>
      </c>
      <c r="AG109" s="375">
        <f t="shared" si="46"/>
        <v>1</v>
      </c>
      <c r="AH109" s="375">
        <f t="shared" si="46"/>
        <v>1</v>
      </c>
      <c r="AI109" s="375">
        <f t="shared" si="46"/>
        <v>1</v>
      </c>
      <c r="AJ109" s="375">
        <f t="shared" si="46"/>
        <v>1</v>
      </c>
      <c r="AK109" s="375">
        <f t="shared" si="46"/>
        <v>1</v>
      </c>
      <c r="AL109" s="375">
        <f t="shared" si="46"/>
        <v>1</v>
      </c>
      <c r="AM109" s="375">
        <f t="shared" si="46"/>
        <v>1</v>
      </c>
      <c r="AN109" s="375">
        <f t="shared" si="46"/>
        <v>1</v>
      </c>
      <c r="AO109" s="375">
        <f t="shared" si="46"/>
        <v>1</v>
      </c>
      <c r="AP109" s="375">
        <f t="shared" si="46"/>
        <v>1</v>
      </c>
      <c r="AQ109" s="375">
        <f t="shared" si="46"/>
        <v>1</v>
      </c>
      <c r="AR109" s="375">
        <f t="shared" si="46"/>
        <v>1</v>
      </c>
      <c r="AS109" s="375">
        <f t="shared" si="46"/>
        <v>1</v>
      </c>
      <c r="AT109" s="375">
        <f t="shared" si="46"/>
        <v>1</v>
      </c>
      <c r="AU109" s="375">
        <f t="shared" si="46"/>
        <v>1</v>
      </c>
      <c r="AV109" s="375">
        <f t="shared" si="46"/>
        <v>1</v>
      </c>
      <c r="AW109" s="375">
        <f t="shared" si="46"/>
        <v>1</v>
      </c>
      <c r="AX109" s="375">
        <f t="shared" si="46"/>
        <v>1</v>
      </c>
      <c r="AY109" s="375">
        <f t="shared" si="46"/>
        <v>1</v>
      </c>
      <c r="AZ109" s="375">
        <f t="shared" si="46"/>
        <v>1</v>
      </c>
      <c r="BA109" s="375">
        <f t="shared" si="46"/>
        <v>1</v>
      </c>
      <c r="BB109" s="375">
        <f t="shared" si="46"/>
        <v>1</v>
      </c>
      <c r="BC109" s="375">
        <f t="shared" si="46"/>
        <v>1</v>
      </c>
      <c r="BD109" s="375">
        <f t="shared" si="46"/>
        <v>1</v>
      </c>
      <c r="BE109" s="375">
        <f t="shared" si="46"/>
        <v>1</v>
      </c>
      <c r="BF109" s="375">
        <f t="shared" si="46"/>
        <v>1</v>
      </c>
      <c r="BG109" s="375">
        <f t="shared" si="46"/>
        <v>1</v>
      </c>
      <c r="BH109" s="375">
        <f t="shared" si="46"/>
        <v>1</v>
      </c>
      <c r="BI109" s="375">
        <f t="shared" si="46"/>
        <v>1</v>
      </c>
    </row>
    <row r="110" spans="1:61" s="40" customFormat="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0.48514949840032612</v>
      </c>
      <c r="C112" s="455">
        <f>+C40*C61</f>
        <v>0.42058472889531207</v>
      </c>
      <c r="D112" s="455">
        <f t="shared" ref="D112:BI112" si="47">+D40*D61</f>
        <v>0.38313544863605559</v>
      </c>
      <c r="E112" s="455">
        <f t="shared" si="47"/>
        <v>0.35505349507416845</v>
      </c>
      <c r="F112" s="455">
        <f t="shared" si="47"/>
        <v>0.33255213022082503</v>
      </c>
      <c r="G112" s="455">
        <f t="shared" si="47"/>
        <v>0.31076223675421971</v>
      </c>
      <c r="H112" s="455">
        <f t="shared" si="47"/>
        <v>0.291952683574764</v>
      </c>
      <c r="I112" s="455">
        <f t="shared" si="47"/>
        <v>0.27619339924788283</v>
      </c>
      <c r="J112" s="455">
        <f t="shared" si="47"/>
        <v>0.26104185521966522</v>
      </c>
      <c r="K112" s="455">
        <f t="shared" si="47"/>
        <v>0.2489482929889075</v>
      </c>
      <c r="L112" s="455">
        <f t="shared" si="47"/>
        <v>0.2415559117446141</v>
      </c>
      <c r="M112" s="455">
        <f t="shared" si="47"/>
        <v>0.23608601083145778</v>
      </c>
      <c r="N112" s="455">
        <f t="shared" si="47"/>
        <v>0.23425878770504918</v>
      </c>
      <c r="O112" s="455">
        <f t="shared" si="47"/>
        <v>0.23602243900782174</v>
      </c>
      <c r="P112" s="455">
        <f t="shared" si="47"/>
        <v>0.23947034401129963</v>
      </c>
      <c r="Q112" s="455">
        <f t="shared" si="47"/>
        <v>0.24719618660743981</v>
      </c>
      <c r="R112" s="455">
        <f t="shared" si="47"/>
        <v>0.25953385808775969</v>
      </c>
      <c r="S112" s="455">
        <f t="shared" si="47"/>
        <v>0.27741157050922066</v>
      </c>
      <c r="T112" s="455">
        <f t="shared" si="47"/>
        <v>0.28581337499051102</v>
      </c>
      <c r="U112" s="455">
        <f t="shared" si="47"/>
        <v>0.29489069029461945</v>
      </c>
      <c r="V112" s="455">
        <f t="shared" si="47"/>
        <v>0.30873147734945966</v>
      </c>
      <c r="W112" s="455">
        <f t="shared" si="47"/>
        <v>0.32102019662708936</v>
      </c>
      <c r="X112" s="455">
        <f t="shared" si="47"/>
        <v>0.32955224043840081</v>
      </c>
      <c r="Y112" s="455">
        <f t="shared" si="47"/>
        <v>0.33883300466595295</v>
      </c>
      <c r="Z112" s="455">
        <f t="shared" si="47"/>
        <v>0.34804033958284286</v>
      </c>
      <c r="AA112" s="455">
        <f t="shared" si="47"/>
        <v>0.35692521022217077</v>
      </c>
      <c r="AB112" s="455">
        <f t="shared" si="47"/>
        <v>0.36603070351906097</v>
      </c>
      <c r="AC112" s="455">
        <f t="shared" si="47"/>
        <v>0.37631793745846559</v>
      </c>
      <c r="AD112" s="455">
        <f t="shared" si="47"/>
        <v>0.38673843036843675</v>
      </c>
      <c r="AE112" s="455">
        <f t="shared" si="47"/>
        <v>0.39498491524785928</v>
      </c>
      <c r="AF112" s="455">
        <f t="shared" si="47"/>
        <v>0.38973012783068955</v>
      </c>
      <c r="AG112" s="455">
        <f t="shared" si="47"/>
        <v>0.40833183710236226</v>
      </c>
      <c r="AH112" s="455">
        <f t="shared" si="47"/>
        <v>0.40666983018316671</v>
      </c>
      <c r="AI112" s="455">
        <f t="shared" si="47"/>
        <v>2.6416666738602577</v>
      </c>
      <c r="AJ112" s="455">
        <f t="shared" si="47"/>
        <v>4.2176569477591936</v>
      </c>
      <c r="AK112" s="455">
        <f t="shared" si="47"/>
        <v>5.0518309958231908</v>
      </c>
      <c r="AL112" s="455">
        <f t="shared" si="47"/>
        <v>5.5025009900933401</v>
      </c>
      <c r="AM112" s="455">
        <f t="shared" si="47"/>
        <v>5.7624592793695779</v>
      </c>
      <c r="AN112" s="455">
        <f t="shared" si="47"/>
        <v>5.9248967866085431</v>
      </c>
      <c r="AO112" s="455">
        <f t="shared" si="47"/>
        <v>6.0364733431764517</v>
      </c>
      <c r="AP112" s="455">
        <f t="shared" si="47"/>
        <v>6.1211991347885446</v>
      </c>
      <c r="AQ112" s="455">
        <f t="shared" si="47"/>
        <v>6.1916287679281297</v>
      </c>
      <c r="AR112" s="455">
        <f t="shared" si="47"/>
        <v>6.2543901380981559</v>
      </c>
      <c r="AS112" s="455">
        <f t="shared" si="47"/>
        <v>6.3130060081382773</v>
      </c>
      <c r="AT112" s="455">
        <f t="shared" si="47"/>
        <v>6.3693607906613527</v>
      </c>
      <c r="AU112" s="455">
        <f t="shared" si="47"/>
        <v>6.4244707887352517</v>
      </c>
      <c r="AV112" s="455">
        <f t="shared" si="47"/>
        <v>6.4788908978131712</v>
      </c>
      <c r="AW112" s="455">
        <f t="shared" si="47"/>
        <v>6.5329300115261919</v>
      </c>
      <c r="AX112" s="455">
        <f t="shared" si="47"/>
        <v>6.5867653215560331</v>
      </c>
      <c r="AY112" s="455">
        <f t="shared" si="47"/>
        <v>6.6405030523657889</v>
      </c>
      <c r="AZ112" s="455">
        <f t="shared" si="47"/>
        <v>6.6942107799898682</v>
      </c>
      <c r="BA112" s="455">
        <f t="shared" si="47"/>
        <v>6.7479346643072535</v>
      </c>
      <c r="BB112" s="455">
        <f t="shared" si="47"/>
        <v>6.8017086667903843</v>
      </c>
      <c r="BC112" s="455">
        <f t="shared" si="47"/>
        <v>6.855559507882278</v>
      </c>
      <c r="BD112" s="455">
        <f t="shared" si="47"/>
        <v>6.9095093575196556</v>
      </c>
      <c r="BE112" s="455">
        <f t="shared" si="47"/>
        <v>6.9635773176330975</v>
      </c>
      <c r="BF112" s="455">
        <f t="shared" si="47"/>
        <v>7.0180866445639252</v>
      </c>
      <c r="BG112" s="455">
        <f t="shared" si="47"/>
        <v>7.0727457848136348</v>
      </c>
      <c r="BH112" s="455">
        <f t="shared" si="47"/>
        <v>7.1274857504184501</v>
      </c>
      <c r="BI112" s="455">
        <f t="shared" si="47"/>
        <v>7.1823177356088612</v>
      </c>
    </row>
    <row r="113" spans="1:61" s="40" customFormat="1" ht="18" customHeight="1" x14ac:dyDescent="0.2">
      <c r="A113" s="382" t="s">
        <v>949</v>
      </c>
      <c r="B113" s="383">
        <f>+Controls!B75</f>
        <v>1.6007411280266048</v>
      </c>
      <c r="C113" s="383">
        <f>+Controls!C75</f>
        <v>2.843737175726925</v>
      </c>
      <c r="D113" s="383">
        <f>+Controls!D75</f>
        <v>3.2081467193314417</v>
      </c>
      <c r="E113" s="383">
        <f>+Controls!E75</f>
        <v>2.5254518937569852</v>
      </c>
      <c r="F113" s="383">
        <f>+Controls!F75</f>
        <v>1.8156304305258246</v>
      </c>
      <c r="G113" s="383">
        <f>+Controls!G75</f>
        <v>1.2784303712752059</v>
      </c>
      <c r="H113" s="383">
        <f>+Controls!H75</f>
        <v>1.0385622074075833</v>
      </c>
      <c r="I113" s="383">
        <f>+Controls!I75</f>
        <v>0.86091847165936064</v>
      </c>
      <c r="J113" s="383">
        <f>+Controls!J75</f>
        <v>0.72953507645910443</v>
      </c>
      <c r="K113" s="383">
        <f>+Controls!K75</f>
        <v>0.63226994777271706</v>
      </c>
      <c r="L113" s="383">
        <f>+Controls!L75</f>
        <v>0.56313371493904552</v>
      </c>
      <c r="M113" s="383">
        <f>+Controls!M75</f>
        <v>0.50822817773248852</v>
      </c>
      <c r="N113" s="383">
        <f>+Controls!N75</f>
        <v>0.45867593040357085</v>
      </c>
      <c r="O113" s="383">
        <f>+Controls!O75</f>
        <v>0.41395502718922267</v>
      </c>
      <c r="P113" s="383">
        <f>+Controls!P75</f>
        <v>0.37359441203827343</v>
      </c>
      <c r="Q113" s="383">
        <f>+Controls!Q75</f>
        <v>0.33716895686454174</v>
      </c>
      <c r="R113" s="383">
        <f>+Controls!R75</f>
        <v>0.30429498357024887</v>
      </c>
      <c r="S113" s="383">
        <f>+Controls!S75</f>
        <v>0.27462622267214959</v>
      </c>
      <c r="T113" s="383">
        <f>+Controls!T75</f>
        <v>0.24785016596161499</v>
      </c>
      <c r="U113" s="383">
        <f>+Controls!U75</f>
        <v>0.22368477478035753</v>
      </c>
      <c r="V113" s="383">
        <f>+Controls!V75</f>
        <v>0.20187550923927267</v>
      </c>
      <c r="W113" s="383">
        <f>+Controls!W75</f>
        <v>0.19178173377730903</v>
      </c>
      <c r="X113" s="383">
        <f>+Controls!X75</f>
        <v>0.18219264708844357</v>
      </c>
      <c r="Y113" s="383">
        <f>+Controls!Y75</f>
        <v>0.17308301473402138</v>
      </c>
      <c r="Z113" s="383">
        <f>+Controls!Z75</f>
        <v>0.16442886399732029</v>
      </c>
      <c r="AA113" s="383">
        <f>+Controls!AA75</f>
        <v>0.15620742079745426</v>
      </c>
      <c r="AB113" s="383">
        <f>+Controls!AB75</f>
        <v>0.14839704975758153</v>
      </c>
      <c r="AC113" s="383">
        <f>+Controls!AC75</f>
        <v>0.14097719726970245</v>
      </c>
      <c r="AD113" s="383">
        <f>+Controls!AD75</f>
        <v>0.13392833740621732</v>
      </c>
      <c r="AE113" s="383">
        <f>+Controls!AE75</f>
        <v>0.12723192053590646</v>
      </c>
      <c r="AF113" s="383">
        <f>+Controls!AF75</f>
        <v>0.12087032450911113</v>
      </c>
      <c r="AG113" s="383">
        <f>+Controls!AG75</f>
        <v>0.11482680828365557</v>
      </c>
      <c r="AH113" s="383">
        <f>+Controls!AH75</f>
        <v>0.10908546786947279</v>
      </c>
      <c r="AI113" s="383">
        <f>+Controls!AI75</f>
        <v>0.10363119447599915</v>
      </c>
      <c r="AJ113" s="383">
        <f>+Controls!AJ75</f>
        <v>9.8449634752199186E-2</v>
      </c>
      <c r="AK113" s="383">
        <f>+Controls!AK75</f>
        <v>9.352715301458922E-2</v>
      </c>
      <c r="AL113" s="383">
        <f>+Controls!AL75</f>
        <v>8.8850795363859758E-2</v>
      </c>
      <c r="AM113" s="383">
        <f>+Controls!AM75</f>
        <v>8.4408255595666767E-2</v>
      </c>
      <c r="AN113" s="383">
        <f>+Controls!AN75</f>
        <v>8.0187842815883426E-2</v>
      </c>
      <c r="AO113" s="383">
        <f>+Controls!AO75</f>
        <v>7.6178450675089257E-2</v>
      </c>
      <c r="AP113" s="383">
        <f>+Controls!AP75</f>
        <v>7.2369528141334794E-2</v>
      </c>
      <c r="AQ113" s="383">
        <f>+Controls!AQ75</f>
        <v>6.8751051734268057E-2</v>
      </c>
      <c r="AR113" s="383">
        <f>+Controls!AR75</f>
        <v>6.5313499147554646E-2</v>
      </c>
      <c r="AS113" s="383">
        <f>+Controls!AS75</f>
        <v>6.204782419017691E-2</v>
      </c>
      <c r="AT113" s="383">
        <f>+Controls!AT75</f>
        <v>5.894543298066806E-2</v>
      </c>
      <c r="AU113" s="383">
        <f>+Controls!AU75</f>
        <v>5.5998161331634655E-2</v>
      </c>
      <c r="AV113" s="383">
        <f>+Controls!AV75</f>
        <v>5.3198253265052918E-2</v>
      </c>
      <c r="AW113" s="383">
        <f>+Controls!AW75</f>
        <v>5.053834060180027E-2</v>
      </c>
      <c r="AX113" s="383">
        <f>+Controls!AX75</f>
        <v>4.8011423571710253E-2</v>
      </c>
      <c r="AY113" s="383">
        <f>+Controls!AY75</f>
        <v>4.5610852393124741E-2</v>
      </c>
      <c r="AZ113" s="383">
        <f>+Controls!AZ75</f>
        <v>4.3330309773468502E-2</v>
      </c>
      <c r="BA113" s="383">
        <f>+Controls!BA75</f>
        <v>4.1163794284795073E-2</v>
      </c>
      <c r="BB113" s="383">
        <f>+Controls!BB75</f>
        <v>3.910560457055532E-2</v>
      </c>
      <c r="BC113" s="383">
        <f>+Controls!BC75</f>
        <v>3.7150324342027551E-2</v>
      </c>
      <c r="BD113" s="383">
        <f>+Controls!BD75</f>
        <v>3.5292808124926169E-2</v>
      </c>
      <c r="BE113" s="383">
        <f>+Controls!BE75</f>
        <v>3.3528167718679856E-2</v>
      </c>
      <c r="BF113" s="383">
        <f>+Controls!BF75</f>
        <v>3.1851759332745859E-2</v>
      </c>
      <c r="BG113" s="383">
        <f>+Controls!BG75</f>
        <v>3.0259171366108565E-2</v>
      </c>
      <c r="BH113" s="383">
        <f>+Controls!BH75</f>
        <v>2.8746212797803136E-2</v>
      </c>
      <c r="BI113" s="383">
        <f>+Controls!BI75</f>
        <v>2.7308902157912977E-2</v>
      </c>
    </row>
    <row r="114" spans="1:61" ht="18" customHeight="1" x14ac:dyDescent="0.2">
      <c r="A114" s="382" t="s">
        <v>951</v>
      </c>
      <c r="B114" s="383">
        <f>IF(1-(B113/B112)&lt;0,0,1-(B113/B112))</f>
        <v>0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8">IF(1-(F113/F112)&lt;0,0,1-(F113/F112))</f>
        <v>0</v>
      </c>
      <c r="G114" s="383">
        <f t="shared" si="48"/>
        <v>0</v>
      </c>
      <c r="H114" s="383">
        <f t="shared" si="48"/>
        <v>0</v>
      </c>
      <c r="I114" s="383">
        <f t="shared" si="48"/>
        <v>0</v>
      </c>
      <c r="J114" s="383">
        <f t="shared" si="48"/>
        <v>0</v>
      </c>
      <c r="K114" s="383">
        <f t="shared" si="48"/>
        <v>0</v>
      </c>
      <c r="L114" s="383">
        <f t="shared" si="48"/>
        <v>0</v>
      </c>
      <c r="M114" s="383">
        <f t="shared" si="48"/>
        <v>0</v>
      </c>
      <c r="N114" s="383">
        <f t="shared" si="48"/>
        <v>0</v>
      </c>
      <c r="O114" s="383">
        <f t="shared" si="48"/>
        <v>0</v>
      </c>
      <c r="P114" s="383">
        <f t="shared" si="48"/>
        <v>0</v>
      </c>
      <c r="Q114" s="383">
        <f t="shared" si="48"/>
        <v>0</v>
      </c>
      <c r="R114" s="383">
        <f t="shared" si="48"/>
        <v>0</v>
      </c>
      <c r="S114" s="383">
        <f t="shared" si="48"/>
        <v>1.0040489053712687E-2</v>
      </c>
      <c r="T114" s="383">
        <f t="shared" si="48"/>
        <v>0.13282516617760243</v>
      </c>
      <c r="U114" s="383">
        <f t="shared" si="48"/>
        <v>0.24146545773663286</v>
      </c>
      <c r="V114" s="383">
        <f t="shared" si="48"/>
        <v>0.34611296854980056</v>
      </c>
      <c r="W114" s="383">
        <f t="shared" si="48"/>
        <v>0.40258670391355222</v>
      </c>
      <c r="X114" s="383">
        <f t="shared" si="48"/>
        <v>0.44715093775094927</v>
      </c>
      <c r="Y114" s="383">
        <f t="shared" si="48"/>
        <v>0.48917899864961611</v>
      </c>
      <c r="Z114" s="383">
        <f t="shared" si="48"/>
        <v>0.52755802906524329</v>
      </c>
      <c r="AA114" s="383">
        <f t="shared" si="48"/>
        <v>0.56235251440989065</v>
      </c>
      <c r="AB114" s="383">
        <f t="shared" si="48"/>
        <v>0.59457759053851122</v>
      </c>
      <c r="AC114" s="383">
        <f t="shared" si="48"/>
        <v>0.62537741830267612</v>
      </c>
      <c r="AD114" s="383">
        <f t="shared" si="48"/>
        <v>0.65369788236812432</v>
      </c>
      <c r="AE114" s="383">
        <f t="shared" si="48"/>
        <v>0.67788157060107879</v>
      </c>
      <c r="AF114" s="383">
        <f t="shared" si="48"/>
        <v>0.68986148137456582</v>
      </c>
      <c r="AG114" s="383">
        <f t="shared" si="48"/>
        <v>0.718790459498581</v>
      </c>
      <c r="AH114" s="383">
        <f t="shared" si="48"/>
        <v>0.73175913290558092</v>
      </c>
      <c r="AI114" s="383">
        <f t="shared" si="48"/>
        <v>0.96077052585723721</v>
      </c>
      <c r="AJ114" s="383">
        <f t="shared" si="48"/>
        <v>0.9766577424452445</v>
      </c>
      <c r="AK114" s="383">
        <f t="shared" si="48"/>
        <v>0.98148648418921447</v>
      </c>
      <c r="AL114" s="383">
        <f t="shared" si="48"/>
        <v>0.98385265254402932</v>
      </c>
      <c r="AM114" s="383">
        <f t="shared" si="48"/>
        <v>0.9853520430247793</v>
      </c>
      <c r="AN114" s="383">
        <f t="shared" si="48"/>
        <v>0.98646595110363378</v>
      </c>
      <c r="AO114" s="383">
        <f t="shared" si="48"/>
        <v>0.98738030529676735</v>
      </c>
      <c r="AP114" s="383">
        <f t="shared" si="48"/>
        <v>0.98817723022111181</v>
      </c>
      <c r="AQ114" s="383">
        <f t="shared" si="48"/>
        <v>0.9888961282545895</v>
      </c>
      <c r="AR114" s="383">
        <f t="shared" si="48"/>
        <v>0.98955717540712684</v>
      </c>
      <c r="AS114" s="383">
        <f t="shared" si="48"/>
        <v>0.99017142956775439</v>
      </c>
      <c r="AT114" s="383">
        <f t="shared" si="48"/>
        <v>0.99074547118337319</v>
      </c>
      <c r="AU114" s="383">
        <f t="shared" si="48"/>
        <v>0.99128361491971873</v>
      </c>
      <c r="AV114" s="383">
        <f t="shared" si="48"/>
        <v>0.99178898763629297</v>
      </c>
      <c r="AW114" s="383">
        <f t="shared" si="48"/>
        <v>0.99226406214169838</v>
      </c>
      <c r="AX114" s="383">
        <f t="shared" si="48"/>
        <v>0.99271092543488881</v>
      </c>
      <c r="AY114" s="383">
        <f t="shared" si="48"/>
        <v>0.9931314160940149</v>
      </c>
      <c r="AZ114" s="383">
        <f t="shared" si="48"/>
        <v>0.99352719667821188</v>
      </c>
      <c r="BA114" s="383">
        <f t="shared" si="48"/>
        <v>0.99389979359128533</v>
      </c>
      <c r="BB114" s="383">
        <f t="shared" si="48"/>
        <v>0.99425062047107515</v>
      </c>
      <c r="BC114" s="383">
        <f t="shared" si="48"/>
        <v>0.99458099309045256</v>
      </c>
      <c r="BD114" s="383">
        <f t="shared" si="48"/>
        <v>0.9948921397600371</v>
      </c>
      <c r="BE114" s="383">
        <f t="shared" si="48"/>
        <v>0.99518520924097731</v>
      </c>
      <c r="BF114" s="383">
        <f t="shared" si="48"/>
        <v>0.99546147533567175</v>
      </c>
      <c r="BG114" s="383">
        <f t="shared" si="48"/>
        <v>0.99572172218728972</v>
      </c>
      <c r="BH114" s="383">
        <f t="shared" si="48"/>
        <v>0.99596685089182879</v>
      </c>
      <c r="BI114" s="383">
        <f t="shared" si="48"/>
        <v>0.99619775911297836</v>
      </c>
    </row>
    <row r="115" spans="1:61" s="40" customFormat="1" ht="18" customHeight="1" x14ac:dyDescent="0.2">
      <c r="A115" s="382" t="s">
        <v>952</v>
      </c>
      <c r="B115" s="384">
        <f t="shared" ref="B115:BI115" si="49">+B$36*1000*B114^($B$38-1)</f>
        <v>0</v>
      </c>
      <c r="C115" s="384">
        <f t="shared" si="49"/>
        <v>0</v>
      </c>
      <c r="D115" s="384">
        <f t="shared" si="49"/>
        <v>0</v>
      </c>
      <c r="E115" s="384">
        <f t="shared" si="49"/>
        <v>0</v>
      </c>
      <c r="F115" s="384">
        <f t="shared" si="49"/>
        <v>0</v>
      </c>
      <c r="G115" s="384">
        <f t="shared" si="49"/>
        <v>0</v>
      </c>
      <c r="H115" s="384">
        <f t="shared" si="49"/>
        <v>0</v>
      </c>
      <c r="I115" s="384">
        <f t="shared" si="49"/>
        <v>0</v>
      </c>
      <c r="J115" s="384">
        <f t="shared" si="49"/>
        <v>0</v>
      </c>
      <c r="K115" s="384">
        <f t="shared" si="49"/>
        <v>0</v>
      </c>
      <c r="L115" s="384">
        <f t="shared" si="49"/>
        <v>0</v>
      </c>
      <c r="M115" s="384">
        <f t="shared" si="49"/>
        <v>0</v>
      </c>
      <c r="N115" s="384">
        <f t="shared" si="49"/>
        <v>0</v>
      </c>
      <c r="O115" s="384">
        <f t="shared" si="49"/>
        <v>0</v>
      </c>
      <c r="P115" s="384">
        <f t="shared" si="49"/>
        <v>0</v>
      </c>
      <c r="Q115" s="384">
        <f t="shared" si="49"/>
        <v>0</v>
      </c>
      <c r="R115" s="384">
        <f t="shared" si="49"/>
        <v>0</v>
      </c>
      <c r="S115" s="384">
        <f t="shared" si="49"/>
        <v>0.10629565116387141</v>
      </c>
      <c r="T115" s="384">
        <f t="shared" si="49"/>
        <v>10.660009535524834</v>
      </c>
      <c r="U115" s="384">
        <f t="shared" si="49"/>
        <v>30.038850762916834</v>
      </c>
      <c r="V115" s="384">
        <f t="shared" si="49"/>
        <v>55.211380885725085</v>
      </c>
      <c r="W115" s="384">
        <f t="shared" si="49"/>
        <v>69.707890732152109</v>
      </c>
      <c r="X115" s="384">
        <f t="shared" si="49"/>
        <v>81.033183581703639</v>
      </c>
      <c r="Y115" s="384">
        <f t="shared" si="49"/>
        <v>91.709721085053928</v>
      </c>
      <c r="Z115" s="384">
        <f t="shared" si="49"/>
        <v>101.20697991369939</v>
      </c>
      <c r="AA115" s="384">
        <f t="shared" si="49"/>
        <v>109.42547410841499</v>
      </c>
      <c r="AB115" s="384">
        <f t="shared" si="49"/>
        <v>116.65152226942944</v>
      </c>
      <c r="AC115" s="384">
        <f t="shared" si="49"/>
        <v>123.25981856695932</v>
      </c>
      <c r="AD115" s="384">
        <f t="shared" si="49"/>
        <v>128.86592578280747</v>
      </c>
      <c r="AE115" s="384">
        <f t="shared" si="49"/>
        <v>132.88562422559852</v>
      </c>
      <c r="AF115" s="384">
        <f t="shared" si="49"/>
        <v>132.54604282619044</v>
      </c>
      <c r="AG115" s="384">
        <f t="shared" si="49"/>
        <v>138.01634586125036</v>
      </c>
      <c r="AH115" s="384">
        <f t="shared" si="49"/>
        <v>137.91799152997513</v>
      </c>
      <c r="AI115" s="384">
        <f t="shared" si="49"/>
        <v>217.99683740597413</v>
      </c>
      <c r="AJ115" s="384">
        <f t="shared" si="49"/>
        <v>217.52833251697371</v>
      </c>
      <c r="AK115" s="384">
        <f t="shared" si="49"/>
        <v>212.75877344042885</v>
      </c>
      <c r="AL115" s="384">
        <f t="shared" si="49"/>
        <v>207.28142308181933</v>
      </c>
      <c r="AM115" s="384">
        <f t="shared" si="49"/>
        <v>201.75227098823311</v>
      </c>
      <c r="AN115" s="384">
        <f t="shared" si="49"/>
        <v>196.35798969661963</v>
      </c>
      <c r="AO115" s="384">
        <f t="shared" si="49"/>
        <v>191.16176340127072</v>
      </c>
      <c r="AP115" s="384">
        <f t="shared" si="49"/>
        <v>186.18418902168406</v>
      </c>
      <c r="AQ115" s="384">
        <f t="shared" si="49"/>
        <v>181.42891370944938</v>
      </c>
      <c r="AR115" s="384">
        <f t="shared" si="49"/>
        <v>176.89236319656735</v>
      </c>
      <c r="AS115" s="384">
        <f t="shared" si="49"/>
        <v>172.56784342664207</v>
      </c>
      <c r="AT115" s="384">
        <f t="shared" si="49"/>
        <v>168.44737654171652</v>
      </c>
      <c r="AU115" s="384">
        <f t="shared" si="49"/>
        <v>164.52254998044251</v>
      </c>
      <c r="AV115" s="384">
        <f t="shared" si="49"/>
        <v>160.78491538853302</v>
      </c>
      <c r="AW115" s="384">
        <f t="shared" si="49"/>
        <v>157.22617651257249</v>
      </c>
      <c r="AX115" s="384">
        <f t="shared" si="49"/>
        <v>153.83827648252301</v>
      </c>
      <c r="AY115" s="384">
        <f t="shared" si="49"/>
        <v>150.61343651590335</v>
      </c>
      <c r="AZ115" s="384">
        <f t="shared" si="49"/>
        <v>147.54417088868192</v>
      </c>
      <c r="BA115" s="384">
        <f t="shared" si="49"/>
        <v>144.62329015316843</v>
      </c>
      <c r="BB115" s="384">
        <f t="shared" si="49"/>
        <v>141.84389843646517</v>
      </c>
      <c r="BC115" s="384">
        <f t="shared" si="49"/>
        <v>139.19938769578079</v>
      </c>
      <c r="BD115" s="384">
        <f t="shared" si="49"/>
        <v>136.68343037504982</v>
      </c>
      <c r="BE115" s="384">
        <f t="shared" si="49"/>
        <v>68.377956518881547</v>
      </c>
      <c r="BF115" s="384">
        <f t="shared" si="49"/>
        <v>34.206063870819634</v>
      </c>
      <c r="BG115" s="384">
        <f t="shared" si="49"/>
        <v>17.11108112304025</v>
      </c>
      <c r="BH115" s="384">
        <f t="shared" si="49"/>
        <v>8.559332130063968</v>
      </c>
      <c r="BI115" s="384">
        <f t="shared" si="49"/>
        <v>4.2814522119260339</v>
      </c>
    </row>
    <row r="116" spans="1:61" s="379" customFormat="1" ht="18" customHeight="1" x14ac:dyDescent="0.2">
      <c r="A116" s="382" t="s">
        <v>969</v>
      </c>
      <c r="B116" s="383">
        <f t="shared" ref="B116:AG116" si="50">+B112*(1-B103)</f>
        <v>0.48490804268827326</v>
      </c>
      <c r="C116" s="383">
        <f t="shared" si="50"/>
        <v>0.42036998311694618</v>
      </c>
      <c r="D116" s="383">
        <f t="shared" si="50"/>
        <v>0.38293478291362321</v>
      </c>
      <c r="E116" s="383">
        <f t="shared" si="50"/>
        <v>0.35486277236465741</v>
      </c>
      <c r="F116" s="383">
        <f t="shared" si="50"/>
        <v>0.33236894449457705</v>
      </c>
      <c r="G116" s="383">
        <f t="shared" si="50"/>
        <v>0.31058672089805961</v>
      </c>
      <c r="H116" s="383">
        <f t="shared" si="50"/>
        <v>0.29178364449996097</v>
      </c>
      <c r="I116" s="383">
        <f t="shared" si="50"/>
        <v>0.27602949053667636</v>
      </c>
      <c r="J116" s="383">
        <f t="shared" si="50"/>
        <v>0.26088309641801505</v>
      </c>
      <c r="K116" s="383">
        <f t="shared" si="50"/>
        <v>0.24879316229458809</v>
      </c>
      <c r="L116" s="383">
        <f t="shared" si="50"/>
        <v>0.24140171106479738</v>
      </c>
      <c r="M116" s="383">
        <f t="shared" si="50"/>
        <v>0.23593165071699002</v>
      </c>
      <c r="N116" s="383">
        <f t="shared" si="50"/>
        <v>0.23410194289183833</v>
      </c>
      <c r="O116" s="383">
        <f t="shared" si="50"/>
        <v>0.23586065067811124</v>
      </c>
      <c r="P116" s="383">
        <f t="shared" si="50"/>
        <v>0.2393023195903034</v>
      </c>
      <c r="Q116" s="383">
        <f t="shared" si="50"/>
        <v>0.24701868868606586</v>
      </c>
      <c r="R116" s="383">
        <f t="shared" si="50"/>
        <v>0.25934319030263631</v>
      </c>
      <c r="S116" s="383">
        <f t="shared" si="50"/>
        <v>0.27720310342025201</v>
      </c>
      <c r="T116" s="383">
        <f t="shared" si="50"/>
        <v>0.28559373075026034</v>
      </c>
      <c r="U116" s="383">
        <f t="shared" si="50"/>
        <v>0.29465899658140621</v>
      </c>
      <c r="V116" s="383">
        <f t="shared" si="50"/>
        <v>0.30848354199007261</v>
      </c>
      <c r="W116" s="383">
        <f t="shared" si="50"/>
        <v>0.32075675789446995</v>
      </c>
      <c r="X116" s="383">
        <f t="shared" si="50"/>
        <v>0.32927596420992844</v>
      </c>
      <c r="Y116" s="383">
        <f t="shared" si="50"/>
        <v>0.33854289903923274</v>
      </c>
      <c r="Z116" s="383">
        <f t="shared" si="50"/>
        <v>0.34773609178764503</v>
      </c>
      <c r="AA116" s="383">
        <f t="shared" si="50"/>
        <v>0.35660673491774747</v>
      </c>
      <c r="AB116" s="383">
        <f t="shared" si="50"/>
        <v>0</v>
      </c>
      <c r="AC116" s="383">
        <f t="shared" si="50"/>
        <v>0</v>
      </c>
      <c r="AD116" s="383">
        <f t="shared" si="50"/>
        <v>0</v>
      </c>
      <c r="AE116" s="383">
        <f t="shared" si="50"/>
        <v>0</v>
      </c>
      <c r="AF116" s="383">
        <f t="shared" si="50"/>
        <v>0</v>
      </c>
      <c r="AG116" s="383">
        <f t="shared" si="50"/>
        <v>0</v>
      </c>
      <c r="AH116" s="383">
        <f t="shared" ref="AH116:BI116" si="51">+AH112*(1-AH103)</f>
        <v>0</v>
      </c>
      <c r="AI116" s="383">
        <f t="shared" si="51"/>
        <v>0</v>
      </c>
      <c r="AJ116" s="383">
        <f t="shared" si="51"/>
        <v>0</v>
      </c>
      <c r="AK116" s="383">
        <f t="shared" si="51"/>
        <v>0</v>
      </c>
      <c r="AL116" s="383">
        <f t="shared" si="51"/>
        <v>0</v>
      </c>
      <c r="AM116" s="383">
        <f t="shared" si="51"/>
        <v>0</v>
      </c>
      <c r="AN116" s="383">
        <f t="shared" si="51"/>
        <v>0</v>
      </c>
      <c r="AO116" s="383">
        <f t="shared" si="51"/>
        <v>0</v>
      </c>
      <c r="AP116" s="383">
        <f t="shared" si="51"/>
        <v>0</v>
      </c>
      <c r="AQ116" s="383">
        <f t="shared" si="51"/>
        <v>0</v>
      </c>
      <c r="AR116" s="383">
        <f t="shared" si="51"/>
        <v>0</v>
      </c>
      <c r="AS116" s="383">
        <f t="shared" si="51"/>
        <v>0</v>
      </c>
      <c r="AT116" s="383">
        <f t="shared" si="51"/>
        <v>0</v>
      </c>
      <c r="AU116" s="383">
        <f t="shared" si="51"/>
        <v>0</v>
      </c>
      <c r="AV116" s="383">
        <f t="shared" si="51"/>
        <v>0</v>
      </c>
      <c r="AW116" s="383">
        <f t="shared" si="51"/>
        <v>0</v>
      </c>
      <c r="AX116" s="383">
        <f t="shared" si="51"/>
        <v>0</v>
      </c>
      <c r="AY116" s="383">
        <f t="shared" si="51"/>
        <v>0</v>
      </c>
      <c r="AZ116" s="383">
        <f t="shared" si="51"/>
        <v>0</v>
      </c>
      <c r="BA116" s="383">
        <f t="shared" si="51"/>
        <v>0</v>
      </c>
      <c r="BB116" s="383">
        <f t="shared" si="51"/>
        <v>0</v>
      </c>
      <c r="BC116" s="383">
        <f t="shared" si="51"/>
        <v>0</v>
      </c>
      <c r="BD116" s="383">
        <f t="shared" si="51"/>
        <v>0</v>
      </c>
      <c r="BE116" s="383">
        <f t="shared" si="51"/>
        <v>0</v>
      </c>
      <c r="BF116" s="383">
        <f t="shared" si="51"/>
        <v>0</v>
      </c>
      <c r="BG116" s="383">
        <f t="shared" si="51"/>
        <v>0</v>
      </c>
      <c r="BH116" s="383">
        <f t="shared" si="51"/>
        <v>0</v>
      </c>
      <c r="BI116" s="383">
        <f t="shared" si="51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0.48514949840032612</v>
      </c>
      <c r="C119" s="405">
        <f t="shared" ref="C119:BI120" si="52">+C112</f>
        <v>0.42058472889531207</v>
      </c>
      <c r="D119" s="405">
        <f t="shared" si="52"/>
        <v>0.38313544863605559</v>
      </c>
      <c r="E119" s="405">
        <f t="shared" si="52"/>
        <v>0.35505349507416845</v>
      </c>
      <c r="F119" s="405">
        <f t="shared" si="52"/>
        <v>0.33255213022082503</v>
      </c>
      <c r="G119" s="405">
        <f t="shared" si="52"/>
        <v>0.31076223675421971</v>
      </c>
      <c r="H119" s="405">
        <f t="shared" si="52"/>
        <v>0.291952683574764</v>
      </c>
      <c r="I119" s="405">
        <f t="shared" si="52"/>
        <v>0.27619339924788283</v>
      </c>
      <c r="J119" s="405">
        <f t="shared" si="52"/>
        <v>0.26104185521966522</v>
      </c>
      <c r="K119" s="405">
        <f t="shared" si="52"/>
        <v>0.2489482929889075</v>
      </c>
      <c r="L119" s="405">
        <f t="shared" si="52"/>
        <v>0.2415559117446141</v>
      </c>
      <c r="M119" s="405">
        <f t="shared" si="52"/>
        <v>0.23608601083145778</v>
      </c>
      <c r="N119" s="405">
        <f t="shared" si="52"/>
        <v>0.23425878770504918</v>
      </c>
      <c r="O119" s="405">
        <f t="shared" si="52"/>
        <v>0.23602243900782174</v>
      </c>
      <c r="P119" s="405">
        <f t="shared" si="52"/>
        <v>0.23947034401129963</v>
      </c>
      <c r="Q119" s="405">
        <f t="shared" si="52"/>
        <v>0.24719618660743981</v>
      </c>
      <c r="R119" s="405">
        <f t="shared" si="52"/>
        <v>0.25953385808775969</v>
      </c>
      <c r="S119" s="405">
        <f t="shared" si="52"/>
        <v>0.27741157050922066</v>
      </c>
      <c r="T119" s="405">
        <f t="shared" si="52"/>
        <v>0.28581337499051102</v>
      </c>
      <c r="U119" s="405">
        <f t="shared" si="52"/>
        <v>0.29489069029461945</v>
      </c>
      <c r="V119" s="405">
        <f t="shared" si="52"/>
        <v>0.30873147734945966</v>
      </c>
      <c r="W119" s="405">
        <f t="shared" si="52"/>
        <v>0.32102019662708936</v>
      </c>
      <c r="X119" s="405">
        <f t="shared" si="52"/>
        <v>0.32955224043840081</v>
      </c>
      <c r="Y119" s="405">
        <f t="shared" si="52"/>
        <v>0.33883300466595295</v>
      </c>
      <c r="Z119" s="405">
        <f t="shared" si="52"/>
        <v>0.34804033958284286</v>
      </c>
      <c r="AA119" s="405">
        <f t="shared" si="52"/>
        <v>0.35692521022217077</v>
      </c>
      <c r="AB119" s="405">
        <f t="shared" si="52"/>
        <v>0.36603070351906097</v>
      </c>
      <c r="AC119" s="405">
        <f t="shared" si="52"/>
        <v>0.37631793745846559</v>
      </c>
      <c r="AD119" s="405">
        <f t="shared" si="52"/>
        <v>0.38673843036843675</v>
      </c>
      <c r="AE119" s="405">
        <f t="shared" si="52"/>
        <v>0.39498491524785928</v>
      </c>
      <c r="AF119" s="405">
        <f t="shared" si="52"/>
        <v>0.38973012783068955</v>
      </c>
      <c r="AG119" s="405">
        <f t="shared" si="52"/>
        <v>0.40833183710236226</v>
      </c>
      <c r="AH119" s="405">
        <f t="shared" si="52"/>
        <v>0.40666983018316671</v>
      </c>
      <c r="AI119" s="405">
        <f t="shared" si="52"/>
        <v>2.6416666738602577</v>
      </c>
      <c r="AJ119" s="405">
        <f t="shared" si="52"/>
        <v>4.2176569477591936</v>
      </c>
      <c r="AK119" s="405">
        <f t="shared" si="52"/>
        <v>5.0518309958231908</v>
      </c>
      <c r="AL119" s="405">
        <f t="shared" si="52"/>
        <v>5.5025009900933401</v>
      </c>
      <c r="AM119" s="405">
        <f t="shared" si="52"/>
        <v>5.7624592793695779</v>
      </c>
      <c r="AN119" s="405">
        <f t="shared" si="52"/>
        <v>5.9248967866085431</v>
      </c>
      <c r="AO119" s="405">
        <f t="shared" si="52"/>
        <v>6.0364733431764517</v>
      </c>
      <c r="AP119" s="405">
        <f t="shared" si="52"/>
        <v>6.1211991347885446</v>
      </c>
      <c r="AQ119" s="405">
        <f t="shared" si="52"/>
        <v>6.1916287679281297</v>
      </c>
      <c r="AR119" s="405">
        <f t="shared" si="52"/>
        <v>6.2543901380981559</v>
      </c>
      <c r="AS119" s="405">
        <f t="shared" si="52"/>
        <v>6.3130060081382773</v>
      </c>
      <c r="AT119" s="405">
        <f t="shared" si="52"/>
        <v>6.3693607906613527</v>
      </c>
      <c r="AU119" s="405">
        <f t="shared" si="52"/>
        <v>6.4244707887352517</v>
      </c>
      <c r="AV119" s="405">
        <f t="shared" si="52"/>
        <v>6.4788908978131712</v>
      </c>
      <c r="AW119" s="405">
        <f t="shared" si="52"/>
        <v>6.5329300115261919</v>
      </c>
      <c r="AX119" s="405">
        <f t="shared" si="52"/>
        <v>6.5867653215560331</v>
      </c>
      <c r="AY119" s="405">
        <f t="shared" si="52"/>
        <v>6.6405030523657889</v>
      </c>
      <c r="AZ119" s="405">
        <f t="shared" si="52"/>
        <v>6.6942107799898682</v>
      </c>
      <c r="BA119" s="405">
        <f t="shared" si="52"/>
        <v>6.7479346643072535</v>
      </c>
      <c r="BB119" s="405">
        <f t="shared" si="52"/>
        <v>6.8017086667903843</v>
      </c>
      <c r="BC119" s="405">
        <f t="shared" si="52"/>
        <v>6.855559507882278</v>
      </c>
      <c r="BD119" s="405">
        <f t="shared" si="52"/>
        <v>6.9095093575196556</v>
      </c>
      <c r="BE119" s="405">
        <f t="shared" si="52"/>
        <v>6.9635773176330975</v>
      </c>
      <c r="BF119" s="405">
        <f t="shared" si="52"/>
        <v>7.0180866445639252</v>
      </c>
      <c r="BG119" s="405">
        <f t="shared" si="52"/>
        <v>7.0727457848136348</v>
      </c>
      <c r="BH119" s="405">
        <f t="shared" si="52"/>
        <v>7.1274857504184501</v>
      </c>
      <c r="BI119" s="405">
        <f t="shared" si="52"/>
        <v>7.1823177356088612</v>
      </c>
    </row>
    <row r="120" spans="1:61" s="401" customFormat="1" ht="18" customHeight="1" x14ac:dyDescent="0.2">
      <c r="A120" s="403" t="s">
        <v>949</v>
      </c>
      <c r="B120" s="405">
        <f>+B113</f>
        <v>1.6007411280266048</v>
      </c>
      <c r="C120" s="405">
        <f t="shared" si="52"/>
        <v>2.843737175726925</v>
      </c>
      <c r="D120" s="405">
        <f t="shared" si="52"/>
        <v>3.2081467193314417</v>
      </c>
      <c r="E120" s="405">
        <f t="shared" si="52"/>
        <v>2.5254518937569852</v>
      </c>
      <c r="F120" s="405">
        <f t="shared" si="52"/>
        <v>1.8156304305258246</v>
      </c>
      <c r="G120" s="405">
        <f t="shared" si="52"/>
        <v>1.2784303712752059</v>
      </c>
      <c r="H120" s="405">
        <f t="shared" si="52"/>
        <v>1.0385622074075833</v>
      </c>
      <c r="I120" s="405">
        <f t="shared" si="52"/>
        <v>0.86091847165936064</v>
      </c>
      <c r="J120" s="405">
        <f t="shared" si="52"/>
        <v>0.72953507645910443</v>
      </c>
      <c r="K120" s="405">
        <f t="shared" si="52"/>
        <v>0.63226994777271706</v>
      </c>
      <c r="L120" s="405">
        <f t="shared" si="52"/>
        <v>0.56313371493904552</v>
      </c>
      <c r="M120" s="405">
        <f t="shared" si="52"/>
        <v>0.50822817773248852</v>
      </c>
      <c r="N120" s="405">
        <f t="shared" si="52"/>
        <v>0.45867593040357085</v>
      </c>
      <c r="O120" s="405">
        <f t="shared" si="52"/>
        <v>0.41395502718922267</v>
      </c>
      <c r="P120" s="405">
        <f t="shared" si="52"/>
        <v>0.37359441203827343</v>
      </c>
      <c r="Q120" s="405">
        <f t="shared" si="52"/>
        <v>0.33716895686454174</v>
      </c>
      <c r="R120" s="405">
        <f t="shared" si="52"/>
        <v>0.30429498357024887</v>
      </c>
      <c r="S120" s="405">
        <f t="shared" si="52"/>
        <v>0.27462622267214959</v>
      </c>
      <c r="T120" s="405">
        <f t="shared" si="52"/>
        <v>0.24785016596161499</v>
      </c>
      <c r="U120" s="405">
        <f t="shared" si="52"/>
        <v>0.22368477478035753</v>
      </c>
      <c r="V120" s="405">
        <f t="shared" si="52"/>
        <v>0.20187550923927267</v>
      </c>
      <c r="W120" s="405">
        <f t="shared" si="52"/>
        <v>0.19178173377730903</v>
      </c>
      <c r="X120" s="405">
        <f t="shared" si="52"/>
        <v>0.18219264708844357</v>
      </c>
      <c r="Y120" s="405">
        <f t="shared" si="52"/>
        <v>0.17308301473402138</v>
      </c>
      <c r="Z120" s="405">
        <f t="shared" si="52"/>
        <v>0.16442886399732029</v>
      </c>
      <c r="AA120" s="405">
        <f t="shared" si="52"/>
        <v>0.15620742079745426</v>
      </c>
      <c r="AB120" s="405">
        <f t="shared" si="52"/>
        <v>0.14839704975758153</v>
      </c>
      <c r="AC120" s="405">
        <f t="shared" si="52"/>
        <v>0.14097719726970245</v>
      </c>
      <c r="AD120" s="405">
        <f t="shared" si="52"/>
        <v>0.13392833740621732</v>
      </c>
      <c r="AE120" s="405">
        <f t="shared" si="52"/>
        <v>0.12723192053590646</v>
      </c>
      <c r="AF120" s="405">
        <f t="shared" si="52"/>
        <v>0.12087032450911113</v>
      </c>
      <c r="AG120" s="405">
        <f t="shared" si="52"/>
        <v>0.11482680828365557</v>
      </c>
      <c r="AH120" s="405">
        <f t="shared" si="52"/>
        <v>0.10908546786947279</v>
      </c>
      <c r="AI120" s="405">
        <f t="shared" si="52"/>
        <v>0.10363119447599915</v>
      </c>
      <c r="AJ120" s="405">
        <f t="shared" si="52"/>
        <v>9.8449634752199186E-2</v>
      </c>
      <c r="AK120" s="405">
        <f t="shared" si="52"/>
        <v>9.352715301458922E-2</v>
      </c>
      <c r="AL120" s="405">
        <f t="shared" si="52"/>
        <v>8.8850795363859758E-2</v>
      </c>
      <c r="AM120" s="405">
        <f t="shared" si="52"/>
        <v>8.4408255595666767E-2</v>
      </c>
      <c r="AN120" s="405">
        <f t="shared" si="52"/>
        <v>8.0187842815883426E-2</v>
      </c>
      <c r="AO120" s="405">
        <f t="shared" si="52"/>
        <v>7.6178450675089257E-2</v>
      </c>
      <c r="AP120" s="405">
        <f t="shared" si="52"/>
        <v>7.2369528141334794E-2</v>
      </c>
      <c r="AQ120" s="405">
        <f t="shared" si="52"/>
        <v>6.8751051734268057E-2</v>
      </c>
      <c r="AR120" s="405">
        <f t="shared" si="52"/>
        <v>6.5313499147554646E-2</v>
      </c>
      <c r="AS120" s="405">
        <f t="shared" si="52"/>
        <v>6.204782419017691E-2</v>
      </c>
      <c r="AT120" s="405">
        <f t="shared" si="52"/>
        <v>5.894543298066806E-2</v>
      </c>
      <c r="AU120" s="405">
        <f t="shared" si="52"/>
        <v>5.5998161331634655E-2</v>
      </c>
      <c r="AV120" s="405">
        <f t="shared" si="52"/>
        <v>5.3198253265052918E-2</v>
      </c>
      <c r="AW120" s="405">
        <f t="shared" si="52"/>
        <v>5.053834060180027E-2</v>
      </c>
      <c r="AX120" s="405">
        <f t="shared" si="52"/>
        <v>4.8011423571710253E-2</v>
      </c>
      <c r="AY120" s="405">
        <f t="shared" si="52"/>
        <v>4.5610852393124741E-2</v>
      </c>
      <c r="AZ120" s="405">
        <f t="shared" si="52"/>
        <v>4.3330309773468502E-2</v>
      </c>
      <c r="BA120" s="405">
        <f t="shared" si="52"/>
        <v>4.1163794284795073E-2</v>
      </c>
      <c r="BB120" s="405">
        <f t="shared" si="52"/>
        <v>3.910560457055532E-2</v>
      </c>
      <c r="BC120" s="405">
        <f t="shared" si="52"/>
        <v>3.7150324342027551E-2</v>
      </c>
      <c r="BD120" s="405">
        <f t="shared" si="52"/>
        <v>3.5292808124926169E-2</v>
      </c>
      <c r="BE120" s="405">
        <f t="shared" si="52"/>
        <v>3.3528167718679856E-2</v>
      </c>
      <c r="BF120" s="405">
        <f t="shared" si="52"/>
        <v>3.1851759332745859E-2</v>
      </c>
      <c r="BG120" s="405">
        <f t="shared" si="52"/>
        <v>3.0259171366108565E-2</v>
      </c>
      <c r="BH120" s="405">
        <f t="shared" si="52"/>
        <v>2.8746212797803136E-2</v>
      </c>
      <c r="BI120" s="405">
        <f t="shared" si="52"/>
        <v>2.7308902157912977E-2</v>
      </c>
    </row>
    <row r="121" spans="1:61" s="402" customFormat="1" ht="18" customHeight="1" x14ac:dyDescent="0.2">
      <c r="A121" s="404" t="s">
        <v>965</v>
      </c>
      <c r="B121" s="405">
        <f>+B119*(1-B122)</f>
        <v>0.48514949840032612</v>
      </c>
      <c r="C121" s="405">
        <f t="shared" ref="C121:BI121" si="53">+C119*(1-C122)</f>
        <v>0.42058472889531207</v>
      </c>
      <c r="D121" s="405">
        <f t="shared" si="53"/>
        <v>0.38313544863605559</v>
      </c>
      <c r="E121" s="405">
        <f t="shared" si="53"/>
        <v>0.23413980581993837</v>
      </c>
      <c r="F121" s="405">
        <f t="shared" si="53"/>
        <v>0.15646115240149497</v>
      </c>
      <c r="G121" s="405">
        <f t="shared" si="53"/>
        <v>0.10317743830256426</v>
      </c>
      <c r="H121" s="405">
        <f t="shared" si="53"/>
        <v>7.433667407621046E-2</v>
      </c>
      <c r="I121" s="405">
        <f t="shared" si="53"/>
        <v>7.1501551734375043E-2</v>
      </c>
      <c r="J121" s="405">
        <f t="shared" si="53"/>
        <v>5.4440731876457621E-2</v>
      </c>
      <c r="K121" s="405">
        <f t="shared" si="53"/>
        <v>4.2580525729376019E-2</v>
      </c>
      <c r="L121" s="405">
        <f t="shared" si="53"/>
        <v>3.4815538803712423E-2</v>
      </c>
      <c r="M121" s="405">
        <f t="shared" si="53"/>
        <v>2.9131128720020525E-2</v>
      </c>
      <c r="N121" s="405">
        <f t="shared" si="53"/>
        <v>2.4749598510853243E-2</v>
      </c>
      <c r="O121" s="405">
        <f t="shared" si="53"/>
        <v>2.1203595324354205E-2</v>
      </c>
      <c r="P121" s="405">
        <f t="shared" si="53"/>
        <v>1.8322131678206319E-2</v>
      </c>
      <c r="Q121" s="405">
        <f t="shared" si="53"/>
        <v>1.606977163255785E-2</v>
      </c>
      <c r="R121" s="405">
        <f t="shared" si="53"/>
        <v>1.4346583488151045E-2</v>
      </c>
      <c r="S121" s="405">
        <f t="shared" si="53"/>
        <v>1.3127349808148864E-2</v>
      </c>
      <c r="T121" s="405">
        <f t="shared" si="53"/>
        <v>1.1400902724524637E-2</v>
      </c>
      <c r="U121" s="405">
        <f t="shared" si="53"/>
        <v>9.7383525167694541E-3</v>
      </c>
      <c r="V121" s="405">
        <f t="shared" si="53"/>
        <v>8.2631904042684383E-3</v>
      </c>
      <c r="W121" s="405">
        <f t="shared" si="53"/>
        <v>1.9914506876128397E-2</v>
      </c>
      <c r="X121" s="405">
        <f t="shared" si="53"/>
        <v>3.1726651640957892E-2</v>
      </c>
      <c r="Y121" s="405">
        <f t="shared" si="53"/>
        <v>4.387934212118208E-2</v>
      </c>
      <c r="Z121" s="405">
        <f t="shared" si="53"/>
        <v>5.6294800770920035E-2</v>
      </c>
      <c r="AA121" s="405">
        <f t="shared" si="53"/>
        <v>6.889922010026045E-2</v>
      </c>
      <c r="AB121" s="405">
        <f t="shared" si="53"/>
        <v>8.1766506478360673E-2</v>
      </c>
      <c r="AC121" s="405">
        <f t="shared" si="53"/>
        <v>9.514252913505751E-2</v>
      </c>
      <c r="AD121" s="405">
        <f t="shared" si="53"/>
        <v>0.10881678662630692</v>
      </c>
      <c r="AE121" s="405">
        <f t="shared" si="53"/>
        <v>0.1220680255725433</v>
      </c>
      <c r="AF121" s="405">
        <f t="shared" si="53"/>
        <v>0.1308978244441836</v>
      </c>
      <c r="AG121" s="405">
        <f t="shared" si="53"/>
        <v>0.14775867955562186</v>
      </c>
      <c r="AH121" s="405">
        <f t="shared" si="53"/>
        <v>0.15739673450961753</v>
      </c>
      <c r="AI121" s="405">
        <f t="shared" si="53"/>
        <v>1.0868418816915053</v>
      </c>
      <c r="AJ121" s="405">
        <f t="shared" si="53"/>
        <v>1.8348125680202683</v>
      </c>
      <c r="AK121" s="405">
        <f t="shared" si="53"/>
        <v>2.3131375421938953</v>
      </c>
      <c r="AL121" s="405">
        <f t="shared" si="53"/>
        <v>2.6411411298874179</v>
      </c>
      <c r="AM121" s="405">
        <f t="shared" si="53"/>
        <v>2.8891388655275723</v>
      </c>
      <c r="AN121" s="405">
        <f t="shared" si="53"/>
        <v>3.0930768392672947</v>
      </c>
      <c r="AO121" s="405">
        <f t="shared" si="53"/>
        <v>3.2719483050381104</v>
      </c>
      <c r="AP121" s="405">
        <f t="shared" si="53"/>
        <v>3.4360464456952502</v>
      </c>
      <c r="AQ121" s="405">
        <f t="shared" si="53"/>
        <v>3.5910214459795364</v>
      </c>
      <c r="AR121" s="405">
        <f t="shared" si="53"/>
        <v>3.7399928290242079</v>
      </c>
      <c r="AS121" s="405">
        <f t="shared" si="53"/>
        <v>3.8846878197629739</v>
      </c>
      <c r="AT121" s="405">
        <f t="shared" si="53"/>
        <v>4.0260655145333883</v>
      </c>
      <c r="AU121" s="405">
        <f t="shared" si="53"/>
        <v>4.1646616399269956</v>
      </c>
      <c r="AV121" s="405">
        <f t="shared" si="53"/>
        <v>4.3007793705810968</v>
      </c>
      <c r="AW121" s="405">
        <f t="shared" si="53"/>
        <v>4.4345948706480955</v>
      </c>
      <c r="AX121" s="405">
        <f t="shared" si="53"/>
        <v>4.5662155442482923</v>
      </c>
      <c r="AY121" s="405">
        <f t="shared" si="53"/>
        <v>4.6957120876144494</v>
      </c>
      <c r="AZ121" s="405">
        <f t="shared" si="53"/>
        <v>4.823136057612941</v>
      </c>
      <c r="BA121" s="405">
        <f t="shared" si="53"/>
        <v>4.9485294528769508</v>
      </c>
      <c r="BB121" s="405">
        <f t="shared" si="53"/>
        <v>5.0719299016396864</v>
      </c>
      <c r="BC121" s="405">
        <f t="shared" si="53"/>
        <v>5.1933734395073774</v>
      </c>
      <c r="BD121" s="405">
        <f t="shared" si="53"/>
        <v>5.3128959685527235</v>
      </c>
      <c r="BE121" s="405">
        <f t="shared" si="53"/>
        <v>4.7330732584238708</v>
      </c>
      <c r="BF121" s="405">
        <f t="shared" si="53"/>
        <v>3.9020152467739435</v>
      </c>
      <c r="BG121" s="405">
        <f t="shared" si="53"/>
        <v>2.7196845016872926</v>
      </c>
      <c r="BH121" s="405">
        <f t="shared" si="53"/>
        <v>1.0466797393910097</v>
      </c>
      <c r="BI121" s="405">
        <f t="shared" si="53"/>
        <v>0</v>
      </c>
    </row>
    <row r="122" spans="1:61" s="401" customFormat="1" ht="18" customHeight="1" x14ac:dyDescent="0.2">
      <c r="A122" s="403" t="s">
        <v>951</v>
      </c>
      <c r="B122" s="406">
        <f t="shared" ref="B122:L122" si="54">+(B123/(1000*B$36))^(1/($B$38-1))</f>
        <v>0</v>
      </c>
      <c r="C122" s="406">
        <f t="shared" si="54"/>
        <v>0</v>
      </c>
      <c r="D122" s="406">
        <f t="shared" si="54"/>
        <v>0</v>
      </c>
      <c r="E122" s="406">
        <f t="shared" si="54"/>
        <v>0.3405506238685862</v>
      </c>
      <c r="F122" s="406">
        <f t="shared" si="54"/>
        <v>0.52951390719524227</v>
      </c>
      <c r="G122" s="406">
        <f t="shared" si="54"/>
        <v>0.66798591945981267</v>
      </c>
      <c r="H122" s="406">
        <f t="shared" si="54"/>
        <v>0.74538108995605745</v>
      </c>
      <c r="I122" s="406">
        <f t="shared" si="54"/>
        <v>0.74111781118200226</v>
      </c>
      <c r="J122" s="406">
        <f t="shared" si="54"/>
        <v>0.79144826475951124</v>
      </c>
      <c r="K122" s="406">
        <f t="shared" si="54"/>
        <v>0.8289583542905703</v>
      </c>
      <c r="L122" s="406">
        <f t="shared" si="54"/>
        <v>0.85586964710463687</v>
      </c>
      <c r="M122" s="406">
        <f t="shared" ref="M122:BI122" si="55">+(M123/(1000*M$36))^(1/($B$38-1))</f>
        <v>0.87660798444844201</v>
      </c>
      <c r="N122" s="406">
        <f t="shared" si="55"/>
        <v>0.89434932728323091</v>
      </c>
      <c r="O122" s="406">
        <f t="shared" si="55"/>
        <v>0.9101627988699349</v>
      </c>
      <c r="P122" s="406">
        <f t="shared" si="55"/>
        <v>0.92348893240266205</v>
      </c>
      <c r="Q122" s="406">
        <f t="shared" si="55"/>
        <v>0.93499183036315414</v>
      </c>
      <c r="R122" s="406">
        <f t="shared" si="55"/>
        <v>0.94472172689198863</v>
      </c>
      <c r="S122" s="406">
        <f t="shared" si="55"/>
        <v>0.95267915543662396</v>
      </c>
      <c r="T122" s="406">
        <f t="shared" si="55"/>
        <v>0.96011067457951138</v>
      </c>
      <c r="U122" s="406">
        <f t="shared" si="55"/>
        <v>0.96697639892585263</v>
      </c>
      <c r="V122" s="406">
        <f t="shared" si="55"/>
        <v>0.97323502457472078</v>
      </c>
      <c r="W122" s="406">
        <f t="shared" si="55"/>
        <v>0.93796494088108129</v>
      </c>
      <c r="X122" s="406">
        <f t="shared" si="55"/>
        <v>0.90372800500839512</v>
      </c>
      <c r="Y122" s="406">
        <f t="shared" si="55"/>
        <v>0.87049861873862722</v>
      </c>
      <c r="Z122" s="406">
        <f t="shared" si="55"/>
        <v>0.83825208066859624</v>
      </c>
      <c r="AA122" s="406">
        <f t="shared" si="55"/>
        <v>0.80696454571708842</v>
      </c>
      <c r="AB122" s="406">
        <f t="shared" si="55"/>
        <v>0.77661298439653248</v>
      </c>
      <c r="AC122" s="406">
        <f t="shared" si="55"/>
        <v>0.74717514190893852</v>
      </c>
      <c r="AD122" s="406">
        <f t="shared" si="55"/>
        <v>0.71862949714451785</v>
      </c>
      <c r="AE122" s="406">
        <f t="shared" si="55"/>
        <v>0.69095522167993761</v>
      </c>
      <c r="AF122" s="406">
        <f t="shared" si="55"/>
        <v>0.66413213889112122</v>
      </c>
      <c r="AG122" s="406">
        <f t="shared" si="55"/>
        <v>0.63814068331247675</v>
      </c>
      <c r="AH122" s="406">
        <f t="shared" si="55"/>
        <v>0.61296186038997524</v>
      </c>
      <c r="AI122" s="406">
        <f t="shared" si="55"/>
        <v>0.5885772067891869</v>
      </c>
      <c r="AJ122" s="406">
        <f t="shared" si="55"/>
        <v>0.56496875143079406</v>
      </c>
      <c r="AK122" s="406">
        <f t="shared" si="55"/>
        <v>0.54211897743483961</v>
      </c>
      <c r="AL122" s="406">
        <f t="shared" si="55"/>
        <v>0.52001078516069188</v>
      </c>
      <c r="AM122" s="406">
        <f t="shared" si="55"/>
        <v>0.49862745653212692</v>
      </c>
      <c r="AN122" s="406">
        <f t="shared" si="55"/>
        <v>0.47795262083581452</v>
      </c>
      <c r="AO122" s="406">
        <f t="shared" si="55"/>
        <v>0.45797022217671568</v>
      </c>
      <c r="AP122" s="406">
        <f t="shared" si="55"/>
        <v>0.4386644887654112</v>
      </c>
      <c r="AQ122" s="406">
        <f t="shared" si="55"/>
        <v>0.42001990420023516</v>
      </c>
      <c r="AR122" s="406">
        <f t="shared" si="55"/>
        <v>0.40202118089143213</v>
      </c>
      <c r="AS122" s="406">
        <f t="shared" si="55"/>
        <v>0.3846532357556588</v>
      </c>
      <c r="AT122" s="406">
        <f t="shared" si="55"/>
        <v>0.36790116828735214</v>
      </c>
      <c r="AU122" s="406">
        <f t="shared" si="55"/>
        <v>0.35175024108921676</v>
      </c>
      <c r="AV122" s="406">
        <f t="shared" si="55"/>
        <v>0.33618586291787317</v>
      </c>
      <c r="AW122" s="406">
        <f t="shared" si="55"/>
        <v>0.32119357427309914</v>
      </c>
      <c r="AX122" s="406">
        <f t="shared" si="55"/>
        <v>0.30675903553072292</v>
      </c>
      <c r="AY122" s="406">
        <f t="shared" si="55"/>
        <v>0.29286801759069686</v>
      </c>
      <c r="AZ122" s="406">
        <f t="shared" si="55"/>
        <v>0.27950639498383989</v>
      </c>
      <c r="BA122" s="406">
        <f t="shared" si="55"/>
        <v>0.26666014135378868</v>
      </c>
      <c r="BB122" s="406">
        <f t="shared" si="55"/>
        <v>0.25431532720541422</v>
      </c>
      <c r="BC122" s="406">
        <f t="shared" si="55"/>
        <v>0.24245811978785661</v>
      </c>
      <c r="BD122" s="406">
        <f t="shared" si="55"/>
        <v>0.23107478495985087</v>
      </c>
      <c r="BE122" s="406">
        <f t="shared" si="55"/>
        <v>0.32031008739734507</v>
      </c>
      <c r="BF122" s="406">
        <f t="shared" si="55"/>
        <v>0.44400583173244662</v>
      </c>
      <c r="BG122" s="406">
        <f t="shared" si="55"/>
        <v>0.61546977872060538</v>
      </c>
      <c r="BH122" s="406">
        <f t="shared" si="55"/>
        <v>0.85314881347471516</v>
      </c>
      <c r="BI122" s="406">
        <f t="shared" si="55"/>
        <v>1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0</v>
      </c>
      <c r="D123" s="400">
        <f>+Global!D118*D46</f>
        <v>0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4.3109113500910921</v>
      </c>
    </row>
    <row r="124" spans="1:61" s="401" customFormat="1" ht="18" customHeight="1" x14ac:dyDescent="0.2">
      <c r="A124" s="403" t="s">
        <v>969</v>
      </c>
      <c r="B124" s="405">
        <f>+B119*(1-B122)</f>
        <v>0.48514949840032612</v>
      </c>
      <c r="C124" s="405">
        <f t="shared" ref="C124:BI124" si="56">+C119*(1-C122)</f>
        <v>0.42058472889531207</v>
      </c>
      <c r="D124" s="405">
        <f t="shared" si="56"/>
        <v>0.38313544863605559</v>
      </c>
      <c r="E124" s="405">
        <f t="shared" si="56"/>
        <v>0.23413980581993837</v>
      </c>
      <c r="F124" s="405">
        <f t="shared" si="56"/>
        <v>0.15646115240149497</v>
      </c>
      <c r="G124" s="405">
        <f t="shared" si="56"/>
        <v>0.10317743830256426</v>
      </c>
      <c r="H124" s="405">
        <f t="shared" si="56"/>
        <v>7.433667407621046E-2</v>
      </c>
      <c r="I124" s="405">
        <f t="shared" si="56"/>
        <v>7.1501551734375043E-2</v>
      </c>
      <c r="J124" s="405">
        <f t="shared" si="56"/>
        <v>5.4440731876457621E-2</v>
      </c>
      <c r="K124" s="405">
        <f t="shared" si="56"/>
        <v>4.2580525729376019E-2</v>
      </c>
      <c r="L124" s="405">
        <f t="shared" si="56"/>
        <v>3.4815538803712423E-2</v>
      </c>
      <c r="M124" s="405">
        <f t="shared" si="56"/>
        <v>2.9131128720020525E-2</v>
      </c>
      <c r="N124" s="405">
        <f t="shared" si="56"/>
        <v>2.4749598510853243E-2</v>
      </c>
      <c r="O124" s="405">
        <f t="shared" si="56"/>
        <v>2.1203595324354205E-2</v>
      </c>
      <c r="P124" s="405">
        <f t="shared" si="56"/>
        <v>1.8322131678206319E-2</v>
      </c>
      <c r="Q124" s="405">
        <f t="shared" si="56"/>
        <v>1.606977163255785E-2</v>
      </c>
      <c r="R124" s="405">
        <f t="shared" si="56"/>
        <v>1.4346583488151045E-2</v>
      </c>
      <c r="S124" s="405">
        <f t="shared" si="56"/>
        <v>1.3127349808148864E-2</v>
      </c>
      <c r="T124" s="405">
        <f t="shared" si="56"/>
        <v>1.1400902724524637E-2</v>
      </c>
      <c r="U124" s="405">
        <f t="shared" si="56"/>
        <v>9.7383525167694541E-3</v>
      </c>
      <c r="V124" s="405">
        <f t="shared" si="56"/>
        <v>8.2631904042684383E-3</v>
      </c>
      <c r="W124" s="405">
        <f t="shared" si="56"/>
        <v>1.9914506876128397E-2</v>
      </c>
      <c r="X124" s="405">
        <f t="shared" si="56"/>
        <v>3.1726651640957892E-2</v>
      </c>
      <c r="Y124" s="405">
        <f t="shared" si="56"/>
        <v>4.387934212118208E-2</v>
      </c>
      <c r="Z124" s="405">
        <f t="shared" si="56"/>
        <v>5.6294800770920035E-2</v>
      </c>
      <c r="AA124" s="405">
        <f t="shared" si="56"/>
        <v>6.889922010026045E-2</v>
      </c>
      <c r="AB124" s="405">
        <f t="shared" si="56"/>
        <v>8.1766506478360673E-2</v>
      </c>
      <c r="AC124" s="405">
        <f t="shared" si="56"/>
        <v>9.514252913505751E-2</v>
      </c>
      <c r="AD124" s="405">
        <f t="shared" si="56"/>
        <v>0.10881678662630692</v>
      </c>
      <c r="AE124" s="405">
        <f t="shared" si="56"/>
        <v>0.1220680255725433</v>
      </c>
      <c r="AF124" s="405">
        <f t="shared" si="56"/>
        <v>0.1308978244441836</v>
      </c>
      <c r="AG124" s="405">
        <f t="shared" si="56"/>
        <v>0.14775867955562186</v>
      </c>
      <c r="AH124" s="405">
        <f t="shared" si="56"/>
        <v>0.15739673450961753</v>
      </c>
      <c r="AI124" s="405">
        <f t="shared" si="56"/>
        <v>1.0868418816915053</v>
      </c>
      <c r="AJ124" s="405">
        <f t="shared" si="56"/>
        <v>1.8348125680202683</v>
      </c>
      <c r="AK124" s="405">
        <f t="shared" si="56"/>
        <v>2.3131375421938953</v>
      </c>
      <c r="AL124" s="405">
        <f t="shared" si="56"/>
        <v>2.6411411298874179</v>
      </c>
      <c r="AM124" s="405">
        <f t="shared" si="56"/>
        <v>2.8891388655275723</v>
      </c>
      <c r="AN124" s="405">
        <f t="shared" si="56"/>
        <v>3.0930768392672947</v>
      </c>
      <c r="AO124" s="405">
        <f t="shared" si="56"/>
        <v>3.2719483050381104</v>
      </c>
      <c r="AP124" s="405">
        <f t="shared" si="56"/>
        <v>3.4360464456952502</v>
      </c>
      <c r="AQ124" s="405">
        <f t="shared" si="56"/>
        <v>3.5910214459795364</v>
      </c>
      <c r="AR124" s="405">
        <f t="shared" si="56"/>
        <v>3.7399928290242079</v>
      </c>
      <c r="AS124" s="405">
        <f t="shared" si="56"/>
        <v>3.8846878197629739</v>
      </c>
      <c r="AT124" s="405">
        <f t="shared" si="56"/>
        <v>4.0260655145333883</v>
      </c>
      <c r="AU124" s="405">
        <f t="shared" si="56"/>
        <v>4.1646616399269956</v>
      </c>
      <c r="AV124" s="405">
        <f t="shared" si="56"/>
        <v>4.3007793705810968</v>
      </c>
      <c r="AW124" s="405">
        <f t="shared" si="56"/>
        <v>4.4345948706480955</v>
      </c>
      <c r="AX124" s="405">
        <f t="shared" si="56"/>
        <v>4.5662155442482923</v>
      </c>
      <c r="AY124" s="405">
        <f t="shared" si="56"/>
        <v>4.6957120876144494</v>
      </c>
      <c r="AZ124" s="405">
        <f t="shared" si="56"/>
        <v>4.823136057612941</v>
      </c>
      <c r="BA124" s="405">
        <f t="shared" si="56"/>
        <v>4.9485294528769508</v>
      </c>
      <c r="BB124" s="405">
        <f t="shared" si="56"/>
        <v>5.0719299016396864</v>
      </c>
      <c r="BC124" s="405">
        <f t="shared" si="56"/>
        <v>5.1933734395073774</v>
      </c>
      <c r="BD124" s="405">
        <f t="shared" si="56"/>
        <v>5.3128959685527235</v>
      </c>
      <c r="BE124" s="405">
        <f t="shared" si="56"/>
        <v>4.7330732584238708</v>
      </c>
      <c r="BF124" s="405">
        <f t="shared" si="56"/>
        <v>3.9020152467739435</v>
      </c>
      <c r="BG124" s="405">
        <f t="shared" si="56"/>
        <v>2.7196845016872926</v>
      </c>
      <c r="BH124" s="405">
        <f t="shared" si="56"/>
        <v>1.0466797393910097</v>
      </c>
      <c r="BI124" s="405">
        <f t="shared" si="56"/>
        <v>0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7">+$B$7*C61/C74</f>
        <v>5.8910309077831263E-2</v>
      </c>
      <c r="D128" s="23">
        <f t="shared" si="57"/>
        <v>8.4938339718402631E-2</v>
      </c>
      <c r="E128" s="23">
        <f t="shared" si="57"/>
        <v>0.1012451067749611</v>
      </c>
      <c r="F128" s="23">
        <f t="shared" si="57"/>
        <v>0.10943059866398515</v>
      </c>
      <c r="G128" s="23">
        <f t="shared" si="57"/>
        <v>0.11179966212297134</v>
      </c>
      <c r="H128" s="23">
        <f t="shared" si="57"/>
        <v>0.11142379083966268</v>
      </c>
      <c r="I128" s="23">
        <f t="shared" si="57"/>
        <v>0.1107808931426769</v>
      </c>
      <c r="J128" s="23">
        <f t="shared" si="57"/>
        <v>0.10928457170980388</v>
      </c>
      <c r="K128" s="23">
        <f t="shared" si="57"/>
        <v>0.10878443068052616</v>
      </c>
      <c r="L128" s="23">
        <f t="shared" si="57"/>
        <v>0.10732703086604688</v>
      </c>
      <c r="M128" s="23">
        <f t="shared" si="57"/>
        <v>0.10364982505245582</v>
      </c>
      <c r="N128" s="23">
        <f t="shared" si="57"/>
        <v>0.10509632741509743</v>
      </c>
      <c r="O128" s="23">
        <f t="shared" si="57"/>
        <v>0.10652792927800302</v>
      </c>
      <c r="P128" s="23">
        <f t="shared" si="57"/>
        <v>0.10713459635504437</v>
      </c>
      <c r="Q128" s="23">
        <f t="shared" si="57"/>
        <v>0.10863546740175162</v>
      </c>
      <c r="R128" s="23">
        <f t="shared" si="57"/>
        <v>0.11052333289990847</v>
      </c>
      <c r="S128" s="23">
        <f t="shared" si="57"/>
        <v>0.11269582789040174</v>
      </c>
      <c r="T128" s="23">
        <f t="shared" si="57"/>
        <v>0.10893197154082269</v>
      </c>
      <c r="U128" s="23">
        <f t="shared" si="57"/>
        <v>0.10761719493709365</v>
      </c>
      <c r="V128" s="23">
        <f t="shared" si="57"/>
        <v>0.10852920115373435</v>
      </c>
      <c r="W128" s="23">
        <f t="shared" si="57"/>
        <v>0.10786458118403887</v>
      </c>
      <c r="X128" s="23">
        <f t="shared" si="57"/>
        <v>0.10607598244103292</v>
      </c>
      <c r="Y128" s="23">
        <f t="shared" si="57"/>
        <v>0.10552026166953475</v>
      </c>
      <c r="Z128" s="23">
        <f t="shared" si="57"/>
        <v>0.10510964655904054</v>
      </c>
      <c r="AA128" s="23">
        <f t="shared" si="57"/>
        <v>0.10471234550715104</v>
      </c>
      <c r="AB128" s="23">
        <f t="shared" si="57"/>
        <v>0.10453697993092929</v>
      </c>
      <c r="AC128" s="23">
        <f t="shared" si="57"/>
        <v>0.10487001056314779</v>
      </c>
      <c r="AD128" s="23">
        <f t="shared" si="57"/>
        <v>0.10486681244952938</v>
      </c>
      <c r="AE128" s="23">
        <f t="shared" si="57"/>
        <v>0.10416638413781835</v>
      </c>
      <c r="AF128" s="23">
        <f t="shared" si="57"/>
        <v>0.10042912061074442</v>
      </c>
      <c r="AG128" s="23">
        <f t="shared" si="57"/>
        <v>0.1053575731050207</v>
      </c>
      <c r="AH128" s="23">
        <f t="shared" si="57"/>
        <v>0.1017001753404614</v>
      </c>
      <c r="AI128" s="23">
        <f t="shared" si="57"/>
        <v>0.65587765455338876</v>
      </c>
      <c r="AJ128" s="23">
        <f t="shared" si="57"/>
        <v>0.22519920508419142</v>
      </c>
      <c r="AK128" s="23">
        <f t="shared" si="57"/>
        <v>0.15114482914715222</v>
      </c>
      <c r="AL128" s="23">
        <f t="shared" si="57"/>
        <v>0.12658051939150128</v>
      </c>
      <c r="AM128" s="23">
        <f t="shared" si="57"/>
        <v>0.11615206593125765</v>
      </c>
      <c r="AN128" s="23">
        <f t="shared" si="57"/>
        <v>0.11121864115114664</v>
      </c>
      <c r="AO128" s="23">
        <f t="shared" si="57"/>
        <v>0.10876406850304859</v>
      </c>
      <c r="AP128" s="23">
        <f t="shared" si="57"/>
        <v>0.10751701478985082</v>
      </c>
      <c r="AQ128" s="23">
        <f t="shared" si="57"/>
        <v>0.10688357913998948</v>
      </c>
      <c r="AR128" s="23">
        <f t="shared" si="57"/>
        <v>0.10657029708064771</v>
      </c>
      <c r="AS128" s="23">
        <f t="shared" si="57"/>
        <v>0.10642762066025217</v>
      </c>
      <c r="AT128" s="23">
        <f t="shared" si="57"/>
        <v>0.10637799782916886</v>
      </c>
      <c r="AU128" s="23">
        <f t="shared" si="57"/>
        <v>0.10638076888743682</v>
      </c>
      <c r="AV128" s="23">
        <f t="shared" si="57"/>
        <v>0.10641443341183714</v>
      </c>
      <c r="AW128" s="23">
        <f t="shared" si="57"/>
        <v>0.10646751941136684</v>
      </c>
      <c r="AX128" s="23">
        <f t="shared" si="57"/>
        <v>0.1065338319887833</v>
      </c>
      <c r="AY128" s="23">
        <f t="shared" si="57"/>
        <v>0.10660996619068025</v>
      </c>
      <c r="AZ128" s="23">
        <f t="shared" si="57"/>
        <v>0.10669400036811294</v>
      </c>
      <c r="BA128" s="23">
        <f t="shared" si="57"/>
        <v>0.10678480792880159</v>
      </c>
      <c r="BB128" s="23">
        <f t="shared" si="57"/>
        <v>0.10688169390228867</v>
      </c>
      <c r="BC128" s="23">
        <f t="shared" si="57"/>
        <v>0.10698420241062684</v>
      </c>
      <c r="BD128" s="23">
        <f t="shared" si="57"/>
        <v>0.10709201418677705</v>
      </c>
      <c r="BE128" s="23">
        <f t="shared" si="57"/>
        <v>0.10720489160620141</v>
      </c>
      <c r="BF128" s="23">
        <f t="shared" si="57"/>
        <v>0.10731171670441382</v>
      </c>
      <c r="BG128" s="23">
        <f t="shared" si="57"/>
        <v>0.10742342645404769</v>
      </c>
      <c r="BH128" s="23">
        <f t="shared" si="57"/>
        <v>0.10754280275181724</v>
      </c>
      <c r="BI128" s="23">
        <f t="shared" si="57"/>
        <v>0.10766972441936307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3.5158269664480657E-2</v>
      </c>
      <c r="D129" s="23">
        <f t="shared" ref="D129:BH129" si="58">+$B$14+LN(E56/D56)/10+$B$18*LN(E88/D88)/10</f>
        <v>3.5530178648079488E-2</v>
      </c>
      <c r="E129" s="23">
        <f t="shared" si="58"/>
        <v>3.4815048066713039E-2</v>
      </c>
      <c r="F129" s="23">
        <f t="shared" si="58"/>
        <v>3.1980966769437506E-2</v>
      </c>
      <c r="G129" s="23">
        <f t="shared" si="58"/>
        <v>3.0825300997450594E-2</v>
      </c>
      <c r="H129" s="23">
        <f t="shared" si="58"/>
        <v>2.975754486580838E-2</v>
      </c>
      <c r="I129" s="23">
        <f t="shared" si="58"/>
        <v>2.7827040012915638E-2</v>
      </c>
      <c r="J129" s="23">
        <f t="shared" si="58"/>
        <v>2.6529342664699716E-2</v>
      </c>
      <c r="K129" s="23">
        <f t="shared" si="58"/>
        <v>2.6101352676687742E-2</v>
      </c>
      <c r="L129" s="23">
        <f t="shared" si="58"/>
        <v>2.7740044620395699E-2</v>
      </c>
      <c r="M129" s="23">
        <f t="shared" si="58"/>
        <v>2.7851164262908828E-2</v>
      </c>
      <c r="N129" s="23">
        <f t="shared" si="58"/>
        <v>2.912102261422525E-2</v>
      </c>
      <c r="O129" s="23">
        <f t="shared" si="58"/>
        <v>2.9251788792612483E-2</v>
      </c>
      <c r="P129" s="23">
        <f t="shared" si="58"/>
        <v>3.0887289304461336E-2</v>
      </c>
      <c r="Q129" s="23">
        <f t="shared" si="58"/>
        <v>3.2713478322251223E-2</v>
      </c>
      <c r="R129" s="23">
        <f t="shared" si="58"/>
        <v>3.4674527065830046E-2</v>
      </c>
      <c r="S129" s="23">
        <f t="shared" si="58"/>
        <v>2.8580729272418649E-2</v>
      </c>
      <c r="T129" s="23">
        <f t="shared" si="58"/>
        <v>2.8166500409413063E-2</v>
      </c>
      <c r="U129" s="23">
        <f t="shared" si="58"/>
        <v>2.9722902712602181E-2</v>
      </c>
      <c r="V129" s="23">
        <f t="shared" si="58"/>
        <v>2.8178607886386219E-2</v>
      </c>
      <c r="W129" s="23">
        <f t="shared" si="58"/>
        <v>2.5793911043249768E-2</v>
      </c>
      <c r="X129" s="23">
        <f t="shared" si="58"/>
        <v>2.5666558906664819E-2</v>
      </c>
      <c r="Y129" s="23">
        <f t="shared" si="58"/>
        <v>2.5169012422729065E-2</v>
      </c>
      <c r="Z129" s="23">
        <f t="shared" si="58"/>
        <v>2.4565277604570425E-2</v>
      </c>
      <c r="AA129" s="23">
        <f t="shared" si="58"/>
        <v>2.397145162882906E-2</v>
      </c>
      <c r="AB129" s="23">
        <f t="shared" si="58"/>
        <v>2.4561390866205308E-2</v>
      </c>
      <c r="AC129" s="23">
        <f t="shared" si="58"/>
        <v>2.4273953937162536E-2</v>
      </c>
      <c r="AD129" s="23">
        <f t="shared" si="58"/>
        <v>2.303511058676742E-2</v>
      </c>
      <c r="AE129" s="23">
        <f t="shared" si="58"/>
        <v>1.7901061238591826E-2</v>
      </c>
      <c r="AF129" s="23">
        <f t="shared" si="58"/>
        <v>2.7072767021571461E-2</v>
      </c>
      <c r="AG129" s="23">
        <f t="shared" si="58"/>
        <v>1.9138203820964032E-2</v>
      </c>
      <c r="AH129" s="23">
        <f t="shared" si="58"/>
        <v>0.30020944382682191</v>
      </c>
      <c r="AI129" s="23">
        <f t="shared" si="58"/>
        <v>8.6384128716328154E-2</v>
      </c>
      <c r="AJ129" s="23">
        <f t="shared" si="58"/>
        <v>4.533439485098556E-2</v>
      </c>
      <c r="AK129" s="23">
        <f t="shared" si="58"/>
        <v>3.1747154902975638E-2</v>
      </c>
      <c r="AL129" s="23">
        <f t="shared" si="58"/>
        <v>2.6050035803050941E-2</v>
      </c>
      <c r="AM129" s="23">
        <f t="shared" si="58"/>
        <v>2.3340791459433387E-2</v>
      </c>
      <c r="AN129" s="23">
        <f t="shared" si="58"/>
        <v>2.1958028690513973E-2</v>
      </c>
      <c r="AO129" s="23">
        <f t="shared" si="58"/>
        <v>2.1216177873145087E-2</v>
      </c>
      <c r="AP129" s="23">
        <f t="shared" si="58"/>
        <v>2.0799035432471705E-2</v>
      </c>
      <c r="AQ129" s="23">
        <f t="shared" si="58"/>
        <v>2.0551415093318731E-2</v>
      </c>
      <c r="AR129" s="23">
        <f t="shared" si="58"/>
        <v>2.0394454800939502E-2</v>
      </c>
      <c r="AS129" s="23">
        <f t="shared" si="58"/>
        <v>2.0287245107611609E-2</v>
      </c>
      <c r="AT129" s="23">
        <f t="shared" si="58"/>
        <v>2.0208261989931874E-2</v>
      </c>
      <c r="AU129" s="23">
        <f t="shared" si="58"/>
        <v>2.0146035170355261E-2</v>
      </c>
      <c r="AV129" s="23">
        <f t="shared" si="58"/>
        <v>2.0094357440087168E-2</v>
      </c>
      <c r="AW129" s="23">
        <f t="shared" si="58"/>
        <v>2.0049795974434806E-2</v>
      </c>
      <c r="AX129" s="23">
        <f t="shared" si="58"/>
        <v>2.0010390670854257E-2</v>
      </c>
      <c r="AY129" s="23">
        <f t="shared" si="58"/>
        <v>1.9974970357280727E-2</v>
      </c>
      <c r="AZ129" s="23">
        <f t="shared" si="58"/>
        <v>1.99427923071131E-2</v>
      </c>
      <c r="BA129" s="23">
        <f t="shared" si="58"/>
        <v>1.9913351452078273E-2</v>
      </c>
      <c r="BB129" s="23">
        <f t="shared" si="58"/>
        <v>1.9886278854458629E-2</v>
      </c>
      <c r="BC129" s="23">
        <f t="shared" si="58"/>
        <v>1.9861287216714714E-2</v>
      </c>
      <c r="BD129" s="23">
        <f t="shared" si="58"/>
        <v>1.9871093236387579E-2</v>
      </c>
      <c r="BE129" s="23">
        <f t="shared" si="58"/>
        <v>1.9837932585011438E-2</v>
      </c>
      <c r="BF129" s="23">
        <f t="shared" si="58"/>
        <v>1.9808800193361335E-2</v>
      </c>
      <c r="BG129" s="23">
        <f t="shared" si="58"/>
        <v>1.9784016393255277E-2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5.2474791910261401E-2</v>
      </c>
      <c r="D130" s="23">
        <f t="shared" ref="D130:BH130" si="59">+$B$14+LN(D56/C56)/10+$B$18*LN(D88/C88)/10</f>
        <v>3.5158269664480657E-2</v>
      </c>
      <c r="E130" s="23">
        <f t="shared" si="59"/>
        <v>3.5530178648079488E-2</v>
      </c>
      <c r="F130" s="23">
        <f t="shared" si="59"/>
        <v>3.4815048066713039E-2</v>
      </c>
      <c r="G130" s="23">
        <f t="shared" si="59"/>
        <v>3.1980966769437506E-2</v>
      </c>
      <c r="H130" s="23">
        <f t="shared" si="59"/>
        <v>3.0825300997450594E-2</v>
      </c>
      <c r="I130" s="23">
        <f t="shared" si="59"/>
        <v>2.975754486580838E-2</v>
      </c>
      <c r="J130" s="23">
        <f t="shared" si="59"/>
        <v>2.7827040012915638E-2</v>
      </c>
      <c r="K130" s="23">
        <f t="shared" si="59"/>
        <v>2.6529342664699716E-2</v>
      </c>
      <c r="L130" s="23">
        <f t="shared" si="59"/>
        <v>2.6101352676687742E-2</v>
      </c>
      <c r="M130" s="23">
        <f t="shared" si="59"/>
        <v>2.7740044620395699E-2</v>
      </c>
      <c r="N130" s="23">
        <f t="shared" si="59"/>
        <v>2.7851164262908828E-2</v>
      </c>
      <c r="O130" s="23">
        <f t="shared" si="59"/>
        <v>2.912102261422525E-2</v>
      </c>
      <c r="P130" s="23">
        <f t="shared" si="59"/>
        <v>2.9251788792612483E-2</v>
      </c>
      <c r="Q130" s="23">
        <f t="shared" si="59"/>
        <v>3.0887289304461336E-2</v>
      </c>
      <c r="R130" s="23">
        <f t="shared" si="59"/>
        <v>3.2713478322251223E-2</v>
      </c>
      <c r="S130" s="23">
        <f t="shared" si="59"/>
        <v>3.4674527065830046E-2</v>
      </c>
      <c r="T130" s="23">
        <f t="shared" si="59"/>
        <v>2.8580729272418649E-2</v>
      </c>
      <c r="U130" s="23">
        <f t="shared" si="59"/>
        <v>2.8166500409413063E-2</v>
      </c>
      <c r="V130" s="23">
        <f t="shared" si="59"/>
        <v>2.9722902712602181E-2</v>
      </c>
      <c r="W130" s="23">
        <f t="shared" si="59"/>
        <v>2.8178607886386219E-2</v>
      </c>
      <c r="X130" s="23">
        <f t="shared" si="59"/>
        <v>2.5793911043249768E-2</v>
      </c>
      <c r="Y130" s="23">
        <f t="shared" si="59"/>
        <v>2.5666558906664819E-2</v>
      </c>
      <c r="Z130" s="23">
        <f t="shared" si="59"/>
        <v>2.5169012422729065E-2</v>
      </c>
      <c r="AA130" s="23">
        <f t="shared" si="59"/>
        <v>2.4565277604570425E-2</v>
      </c>
      <c r="AB130" s="23">
        <f t="shared" si="59"/>
        <v>2.397145162882906E-2</v>
      </c>
      <c r="AC130" s="23">
        <f t="shared" si="59"/>
        <v>2.4561390866205308E-2</v>
      </c>
      <c r="AD130" s="23">
        <f t="shared" si="59"/>
        <v>2.4273953937162536E-2</v>
      </c>
      <c r="AE130" s="23">
        <f t="shared" si="59"/>
        <v>2.303511058676742E-2</v>
      </c>
      <c r="AF130" s="23">
        <f t="shared" si="59"/>
        <v>1.7901061238591826E-2</v>
      </c>
      <c r="AG130" s="23">
        <f t="shared" si="59"/>
        <v>2.7072767021571461E-2</v>
      </c>
      <c r="AH130" s="23">
        <f t="shared" si="59"/>
        <v>1.9138203820964032E-2</v>
      </c>
      <c r="AI130" s="23">
        <f t="shared" si="59"/>
        <v>0.30020944382682191</v>
      </c>
      <c r="AJ130" s="23">
        <f t="shared" si="59"/>
        <v>8.6384128716328154E-2</v>
      </c>
      <c r="AK130" s="23">
        <f t="shared" si="59"/>
        <v>4.533439485098556E-2</v>
      </c>
      <c r="AL130" s="23">
        <f t="shared" si="59"/>
        <v>3.1747154902975638E-2</v>
      </c>
      <c r="AM130" s="23">
        <f t="shared" si="59"/>
        <v>2.6050035803050941E-2</v>
      </c>
      <c r="AN130" s="23">
        <f t="shared" si="59"/>
        <v>2.3340791459433387E-2</v>
      </c>
      <c r="AO130" s="23">
        <f t="shared" si="59"/>
        <v>2.1958028690513973E-2</v>
      </c>
      <c r="AP130" s="23">
        <f t="shared" si="59"/>
        <v>2.1216177873145087E-2</v>
      </c>
      <c r="AQ130" s="23">
        <f t="shared" si="59"/>
        <v>2.0799035432471705E-2</v>
      </c>
      <c r="AR130" s="23">
        <f t="shared" si="59"/>
        <v>2.0551415093318731E-2</v>
      </c>
      <c r="AS130" s="23">
        <f t="shared" si="59"/>
        <v>2.0394454800939502E-2</v>
      </c>
      <c r="AT130" s="23">
        <f t="shared" si="59"/>
        <v>2.0287245107611609E-2</v>
      </c>
      <c r="AU130" s="23">
        <f t="shared" si="59"/>
        <v>2.0208261989931874E-2</v>
      </c>
      <c r="AV130" s="23">
        <f t="shared" si="59"/>
        <v>2.0146035170355261E-2</v>
      </c>
      <c r="AW130" s="23">
        <f t="shared" si="59"/>
        <v>2.0094357440087168E-2</v>
      </c>
      <c r="AX130" s="23">
        <f t="shared" si="59"/>
        <v>2.0049795974434806E-2</v>
      </c>
      <c r="AY130" s="23">
        <f t="shared" si="59"/>
        <v>2.0010390670854257E-2</v>
      </c>
      <c r="AZ130" s="23">
        <f t="shared" si="59"/>
        <v>1.9974970357280727E-2</v>
      </c>
      <c r="BA130" s="23">
        <f t="shared" si="59"/>
        <v>1.99427923071131E-2</v>
      </c>
      <c r="BB130" s="23">
        <f t="shared" si="59"/>
        <v>1.9913351452078273E-2</v>
      </c>
      <c r="BC130" s="23">
        <f t="shared" si="59"/>
        <v>1.9886278854458629E-2</v>
      </c>
      <c r="BD130" s="23">
        <f t="shared" si="59"/>
        <v>1.9861287216714714E-2</v>
      </c>
      <c r="BE130" s="23">
        <f t="shared" si="59"/>
        <v>1.9871093236387579E-2</v>
      </c>
      <c r="BF130" s="23">
        <f t="shared" si="59"/>
        <v>1.9837932585011438E-2</v>
      </c>
      <c r="BG130" s="23">
        <f t="shared" si="59"/>
        <v>1.9808800193361335E-2</v>
      </c>
      <c r="BH130" s="23">
        <f t="shared" si="59"/>
        <v>1.9784016393255277E-2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1119</v>
      </c>
      <c r="B131" s="23"/>
      <c r="C131" s="23">
        <f t="shared" ref="C131:BB131" si="60">+AVERAGE(C129:C130)</f>
        <v>4.3816530787371029E-2</v>
      </c>
      <c r="D131" s="23">
        <f t="shared" si="60"/>
        <v>3.5344224156280073E-2</v>
      </c>
      <c r="E131" s="23">
        <f t="shared" si="60"/>
        <v>3.5172613357396264E-2</v>
      </c>
      <c r="F131" s="23">
        <f t="shared" si="60"/>
        <v>3.3398007418075276E-2</v>
      </c>
      <c r="G131" s="23">
        <f t="shared" si="60"/>
        <v>3.1403133883444054E-2</v>
      </c>
      <c r="H131" s="23">
        <f t="shared" si="60"/>
        <v>3.0291422931629487E-2</v>
      </c>
      <c r="I131" s="23">
        <f t="shared" si="60"/>
        <v>2.8792292439362009E-2</v>
      </c>
      <c r="J131" s="23">
        <f t="shared" si="60"/>
        <v>2.7178191338807677E-2</v>
      </c>
      <c r="K131" s="23">
        <f t="shared" si="60"/>
        <v>2.6315347670693729E-2</v>
      </c>
      <c r="L131" s="23">
        <f t="shared" si="60"/>
        <v>2.692069864854172E-2</v>
      </c>
      <c r="M131" s="23">
        <f t="shared" si="60"/>
        <v>2.7795604441652265E-2</v>
      </c>
      <c r="N131" s="23">
        <f t="shared" si="60"/>
        <v>2.8486093438567041E-2</v>
      </c>
      <c r="O131" s="23">
        <f t="shared" si="60"/>
        <v>2.9186405703418867E-2</v>
      </c>
      <c r="P131" s="23">
        <f t="shared" si="60"/>
        <v>3.006953904853691E-2</v>
      </c>
      <c r="Q131" s="23">
        <f t="shared" si="60"/>
        <v>3.180038381335628E-2</v>
      </c>
      <c r="R131" s="23">
        <f t="shared" si="60"/>
        <v>3.3694002694040631E-2</v>
      </c>
      <c r="S131" s="23">
        <f t="shared" si="60"/>
        <v>3.1627628169124344E-2</v>
      </c>
      <c r="T131" s="23">
        <f t="shared" si="60"/>
        <v>2.8373614840915856E-2</v>
      </c>
      <c r="U131" s="23">
        <f t="shared" si="60"/>
        <v>2.8944701561007622E-2</v>
      </c>
      <c r="V131" s="23">
        <f t="shared" si="60"/>
        <v>2.8950755299494202E-2</v>
      </c>
      <c r="W131" s="23">
        <f t="shared" si="60"/>
        <v>2.6986259464817995E-2</v>
      </c>
      <c r="X131" s="23">
        <f t="shared" si="60"/>
        <v>2.5730234974957293E-2</v>
      </c>
      <c r="Y131" s="23">
        <f t="shared" si="60"/>
        <v>2.5417785664696942E-2</v>
      </c>
      <c r="Z131" s="23">
        <f t="shared" si="60"/>
        <v>2.4867145013649745E-2</v>
      </c>
      <c r="AA131" s="23">
        <f t="shared" si="60"/>
        <v>2.426836461669974E-2</v>
      </c>
      <c r="AB131" s="23">
        <f t="shared" si="60"/>
        <v>2.4266421247517184E-2</v>
      </c>
      <c r="AC131" s="23">
        <f t="shared" si="60"/>
        <v>2.4417672401683924E-2</v>
      </c>
      <c r="AD131" s="23">
        <f t="shared" si="60"/>
        <v>2.3654532261964976E-2</v>
      </c>
      <c r="AE131" s="23">
        <f t="shared" si="60"/>
        <v>2.0468085912679623E-2</v>
      </c>
      <c r="AF131" s="23">
        <f t="shared" si="60"/>
        <v>2.2486914130081644E-2</v>
      </c>
      <c r="AG131" s="23">
        <f t="shared" si="60"/>
        <v>2.3105485421267745E-2</v>
      </c>
      <c r="AH131" s="23">
        <f t="shared" si="60"/>
        <v>0.15967382382389297</v>
      </c>
      <c r="AI131" s="23">
        <f t="shared" si="60"/>
        <v>0.19329678627157504</v>
      </c>
      <c r="AJ131" s="23">
        <f t="shared" si="60"/>
        <v>6.5859261783656864E-2</v>
      </c>
      <c r="AK131" s="23">
        <f t="shared" si="60"/>
        <v>3.8540774876980599E-2</v>
      </c>
      <c r="AL131" s="23">
        <f t="shared" si="60"/>
        <v>2.8898595353013291E-2</v>
      </c>
      <c r="AM131" s="23">
        <f t="shared" si="60"/>
        <v>2.4695413631242162E-2</v>
      </c>
      <c r="AN131" s="23">
        <f t="shared" si="60"/>
        <v>2.2649410074973682E-2</v>
      </c>
      <c r="AO131" s="23">
        <f t="shared" si="60"/>
        <v>2.1587103281829528E-2</v>
      </c>
      <c r="AP131" s="23">
        <f t="shared" si="60"/>
        <v>2.1007606652808396E-2</v>
      </c>
      <c r="AQ131" s="23">
        <f t="shared" si="60"/>
        <v>2.0675225262895218E-2</v>
      </c>
      <c r="AR131" s="23">
        <f t="shared" si="60"/>
        <v>2.0472934947129116E-2</v>
      </c>
      <c r="AS131" s="23">
        <f t="shared" si="60"/>
        <v>2.0340849954275556E-2</v>
      </c>
      <c r="AT131" s="23">
        <f t="shared" si="60"/>
        <v>2.0247753548771744E-2</v>
      </c>
      <c r="AU131" s="23">
        <f t="shared" si="60"/>
        <v>2.0177148580143568E-2</v>
      </c>
      <c r="AV131" s="23">
        <f t="shared" si="60"/>
        <v>2.0120196305221216E-2</v>
      </c>
      <c r="AW131" s="23">
        <f t="shared" si="60"/>
        <v>2.0072076707260987E-2</v>
      </c>
      <c r="AX131" s="23">
        <f t="shared" si="60"/>
        <v>2.0030093322644531E-2</v>
      </c>
      <c r="AY131" s="23">
        <f t="shared" si="60"/>
        <v>1.9992680514067492E-2</v>
      </c>
      <c r="AZ131" s="23">
        <f t="shared" si="60"/>
        <v>1.9958881332196914E-2</v>
      </c>
      <c r="BA131" s="23">
        <f t="shared" si="60"/>
        <v>1.9928071879595687E-2</v>
      </c>
      <c r="BB131" s="23">
        <f t="shared" si="60"/>
        <v>1.9899815153268451E-2</v>
      </c>
      <c r="BC131" s="23">
        <f>+AVERAGE(BC129:BC130)</f>
        <v>1.9873783035586672E-2</v>
      </c>
      <c r="BD131" s="23">
        <f>+AVERAGE(BD129:BD130)</f>
        <v>1.9866190226551145E-2</v>
      </c>
      <c r="BE131" s="23">
        <f>+AVERAGE(BE129:BE130)</f>
        <v>1.9854512910699507E-2</v>
      </c>
      <c r="BF131" s="23">
        <f>+AVERAGE(BF129:BF130)</f>
        <v>1.9823366389186386E-2</v>
      </c>
      <c r="BG131" s="23">
        <f>+AVERAGE(BG129:BG130)</f>
        <v>1.9796408293308306E-2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1">+B88^-$B$18</f>
        <v>1.4089880798305205</v>
      </c>
      <c r="C132" s="23">
        <f t="shared" si="61"/>
        <v>1.0304420842153503</v>
      </c>
      <c r="D132" s="23">
        <f t="shared" si="61"/>
        <v>0.87679889955036094</v>
      </c>
      <c r="E132" s="23">
        <f t="shared" si="61"/>
        <v>0.71859258568784812</v>
      </c>
      <c r="F132" s="23">
        <f t="shared" si="61"/>
        <v>0.58053056320492213</v>
      </c>
      <c r="G132" s="23">
        <f t="shared" si="61"/>
        <v>0.47401471188736549</v>
      </c>
      <c r="H132" s="23">
        <f t="shared" si="61"/>
        <v>0.39140257899377151</v>
      </c>
      <c r="I132" s="23">
        <f t="shared" si="61"/>
        <v>0.32665758792658983</v>
      </c>
      <c r="J132" s="23">
        <f t="shared" si="61"/>
        <v>0.27793669878078703</v>
      </c>
      <c r="K132" s="23">
        <f t="shared" si="61"/>
        <v>0.23957134262178018</v>
      </c>
      <c r="L132" s="23">
        <f t="shared" si="61"/>
        <v>0.2110342846485472</v>
      </c>
      <c r="M132" s="23">
        <f t="shared" si="61"/>
        <v>0.18609078099189383</v>
      </c>
      <c r="N132" s="23">
        <f t="shared" si="61"/>
        <v>0.1639132698896813</v>
      </c>
      <c r="O132" s="23">
        <f t="shared" si="61"/>
        <v>0.14255696633739662</v>
      </c>
      <c r="P132" s="23">
        <f t="shared" si="61"/>
        <v>0.12382115914816104</v>
      </c>
      <c r="Q132" s="23">
        <f t="shared" si="61"/>
        <v>0.10580310115697052</v>
      </c>
      <c r="R132" s="23">
        <f t="shared" si="61"/>
        <v>8.8770954826845883E-2</v>
      </c>
      <c r="S132" s="23">
        <f t="shared" si="61"/>
        <v>7.3034264262689649E-2</v>
      </c>
      <c r="T132" s="23">
        <f t="shared" si="61"/>
        <v>6.3862726140300738E-2</v>
      </c>
      <c r="U132" s="23">
        <f t="shared" si="61"/>
        <v>5.6074733932399062E-2</v>
      </c>
      <c r="V132" s="23">
        <f t="shared" si="61"/>
        <v>4.8601987712787578E-2</v>
      </c>
      <c r="W132" s="23">
        <f t="shared" si="61"/>
        <v>4.2891776985320144E-2</v>
      </c>
      <c r="X132" s="23">
        <f t="shared" si="61"/>
        <v>3.8765969875415356E-2</v>
      </c>
      <c r="Y132" s="23">
        <f t="shared" si="61"/>
        <v>3.5081677509456045E-2</v>
      </c>
      <c r="Z132" s="23">
        <f t="shared" si="61"/>
        <v>3.1905890244999437E-2</v>
      </c>
      <c r="AA132" s="23">
        <f t="shared" si="61"/>
        <v>2.9193312005407843E-2</v>
      </c>
      <c r="AB132" s="23">
        <f t="shared" si="61"/>
        <v>2.6870442860616257E-2</v>
      </c>
      <c r="AC132" s="23">
        <f t="shared" si="61"/>
        <v>2.4586924412535009E-2</v>
      </c>
      <c r="AD132" s="23">
        <f t="shared" si="61"/>
        <v>2.2562224208242766E-2</v>
      </c>
      <c r="AE132" s="23">
        <f t="shared" si="61"/>
        <v>2.0962343993360492E-2</v>
      </c>
      <c r="AF132" s="23">
        <f t="shared" si="61"/>
        <v>2.0432320016537973E-2</v>
      </c>
      <c r="AG132" s="23">
        <f t="shared" si="61"/>
        <v>1.8108660264025356E-2</v>
      </c>
      <c r="AH132" s="23">
        <f t="shared" si="61"/>
        <v>1.7374580603973278E-2</v>
      </c>
      <c r="AI132" s="23">
        <f t="shared" si="61"/>
        <v>1.0029180642756026E-3</v>
      </c>
      <c r="AJ132" s="23">
        <f t="shared" si="61"/>
        <v>4.9118842254085781E-4</v>
      </c>
      <c r="AK132" s="23">
        <f t="shared" si="61"/>
        <v>3.6266656495743678E-4</v>
      </c>
      <c r="AL132" s="23">
        <f t="shared" si="61"/>
        <v>3.0674362754313855E-4</v>
      </c>
      <c r="AM132" s="23">
        <f t="shared" si="61"/>
        <v>2.7465395264034945E-4</v>
      </c>
      <c r="AN132" s="23">
        <f t="shared" si="61"/>
        <v>2.5267498956052281E-4</v>
      </c>
      <c r="AO132" s="23">
        <f t="shared" si="61"/>
        <v>2.35691500763554E-4</v>
      </c>
      <c r="AP132" s="23">
        <f t="shared" si="61"/>
        <v>2.2148657341432371E-4</v>
      </c>
      <c r="AQ132" s="23">
        <f t="shared" si="61"/>
        <v>2.0900780937212066E-4</v>
      </c>
      <c r="AR132" s="23">
        <f t="shared" si="61"/>
        <v>1.9772110274913327E-4</v>
      </c>
      <c r="AS132" s="23">
        <f t="shared" si="61"/>
        <v>1.8733770883832065E-4</v>
      </c>
      <c r="AT132" s="23">
        <f t="shared" si="61"/>
        <v>1.7769000136961765E-4</v>
      </c>
      <c r="AU132" s="23">
        <f t="shared" si="61"/>
        <v>1.686723113844478E-4</v>
      </c>
      <c r="AV132" s="23">
        <f t="shared" si="61"/>
        <v>1.6021192900464096E-4</v>
      </c>
      <c r="AW132" s="23">
        <f t="shared" si="61"/>
        <v>1.5225456971090854E-4</v>
      </c>
      <c r="AX132" s="23">
        <f t="shared" si="61"/>
        <v>1.447569256517954E-4</v>
      </c>
      <c r="AY132" s="23">
        <f t="shared" si="61"/>
        <v>1.3768274017661632E-4</v>
      </c>
      <c r="AZ132" s="23">
        <f t="shared" si="61"/>
        <v>1.3100065859554836E-4</v>
      </c>
      <c r="BA132" s="23">
        <f t="shared" si="61"/>
        <v>1.246829889477212E-4</v>
      </c>
      <c r="BB132" s="23">
        <f t="shared" si="61"/>
        <v>1.1870493937925984E-4</v>
      </c>
      <c r="BC132" s="23">
        <f t="shared" si="61"/>
        <v>1.1304411316213781E-4</v>
      </c>
      <c r="BD132" s="23">
        <f t="shared" si="61"/>
        <v>1.0768014929146562E-4</v>
      </c>
      <c r="BE132" s="23">
        <f t="shared" si="61"/>
        <v>1.025606488782058E-4</v>
      </c>
      <c r="BF132" s="23">
        <f t="shared" si="61"/>
        <v>9.771694607572797E-5</v>
      </c>
      <c r="BG132" s="23">
        <f t="shared" si="61"/>
        <v>9.312912697093528E-5</v>
      </c>
      <c r="BH132" s="23">
        <f t="shared" si="61"/>
        <v>8.8778706382351005E-5</v>
      </c>
      <c r="BI132" s="23">
        <f t="shared" si="61"/>
        <v>8.8778706382351005E-5</v>
      </c>
    </row>
    <row r="133" spans="1:61" ht="18" customHeight="1" x14ac:dyDescent="0.2">
      <c r="A133" s="23" t="s">
        <v>14</v>
      </c>
      <c r="B133" s="23">
        <f t="shared" ref="B133:AG133" si="62">+B17*B132/$B132</f>
        <v>1</v>
      </c>
      <c r="C133" s="23">
        <f t="shared" si="62"/>
        <v>0.63016727456110166</v>
      </c>
      <c r="D133" s="23">
        <f t="shared" si="62"/>
        <v>0.46203176234507626</v>
      </c>
      <c r="E133" s="23">
        <f t="shared" si="62"/>
        <v>0.32628277365394343</v>
      </c>
      <c r="F133" s="23">
        <f t="shared" si="62"/>
        <v>0.2271308258806965</v>
      </c>
      <c r="G133" s="23">
        <f t="shared" si="62"/>
        <v>0.15980206591909013</v>
      </c>
      <c r="H133" s="23">
        <f t="shared" si="62"/>
        <v>0.11369826277392694</v>
      </c>
      <c r="I133" s="23">
        <f t="shared" si="62"/>
        <v>8.1764064936073882E-2</v>
      </c>
      <c r="J133" s="23">
        <f t="shared" si="62"/>
        <v>5.9945307999140614E-2</v>
      </c>
      <c r="K133" s="23">
        <f t="shared" si="62"/>
        <v>4.452293086137659E-2</v>
      </c>
      <c r="L133" s="23">
        <f t="shared" si="62"/>
        <v>3.3794145739954623E-2</v>
      </c>
      <c r="M133" s="23">
        <f t="shared" si="62"/>
        <v>2.567750912230659E-2</v>
      </c>
      <c r="N133" s="23">
        <f t="shared" si="62"/>
        <v>1.9488648613613432E-2</v>
      </c>
      <c r="O133" s="23">
        <f t="shared" si="62"/>
        <v>1.4604800653458922E-2</v>
      </c>
      <c r="P133" s="23">
        <f t="shared" si="62"/>
        <v>1.0930540342631089E-2</v>
      </c>
      <c r="Q133" s="23">
        <f t="shared" si="62"/>
        <v>8.0479402053316492E-3</v>
      </c>
      <c r="R133" s="23">
        <f t="shared" si="62"/>
        <v>5.818309405265551E-3</v>
      </c>
      <c r="S133" s="23">
        <f t="shared" si="62"/>
        <v>4.1246980111610595E-3</v>
      </c>
      <c r="T133" s="23">
        <f t="shared" si="62"/>
        <v>3.1077961885813271E-3</v>
      </c>
      <c r="U133" s="23">
        <f t="shared" si="62"/>
        <v>2.3513207436803058E-3</v>
      </c>
      <c r="V133" s="23">
        <f t="shared" si="62"/>
        <v>1.7560556005591223E-3</v>
      </c>
      <c r="W133" s="23">
        <f t="shared" si="62"/>
        <v>1.3353584161690444E-3</v>
      </c>
      <c r="X133" s="23">
        <f t="shared" si="62"/>
        <v>1.0399537855877313E-3</v>
      </c>
      <c r="Y133" s="23">
        <f t="shared" si="62"/>
        <v>8.1092990371302873E-4</v>
      </c>
      <c r="Z133" s="23">
        <f t="shared" si="62"/>
        <v>6.3549685867847971E-4</v>
      </c>
      <c r="AA133" s="23">
        <f t="shared" si="62"/>
        <v>5.0103202681209399E-4</v>
      </c>
      <c r="AB133" s="23">
        <f t="shared" si="62"/>
        <v>3.9737132136115236E-4</v>
      </c>
      <c r="AC133" s="23">
        <f t="shared" si="62"/>
        <v>3.1330366830487863E-4</v>
      </c>
      <c r="AD133" s="23">
        <f t="shared" si="62"/>
        <v>2.477323725266441E-4</v>
      </c>
      <c r="AE133" s="23">
        <f t="shared" si="62"/>
        <v>1.9832628290729603E-4</v>
      </c>
      <c r="AF133" s="23">
        <f t="shared" si="62"/>
        <v>1.6657034616483416E-4</v>
      </c>
      <c r="AG133" s="23">
        <f t="shared" si="62"/>
        <v>1.2720550452381452E-4</v>
      </c>
      <c r="AH133" s="23">
        <f t="shared" ref="AH133:BI133" si="63">+AH17*AH132/$B132</f>
        <v>1.0516554854772936E-4</v>
      </c>
      <c r="AI133" s="23">
        <f t="shared" si="63"/>
        <v>5.2307527562811566E-6</v>
      </c>
      <c r="AJ133" s="23">
        <f t="shared" si="63"/>
        <v>2.2074274463590641E-6</v>
      </c>
      <c r="AK133" s="23">
        <f t="shared" si="63"/>
        <v>1.4043825115578464E-6</v>
      </c>
      <c r="AL133" s="23">
        <f t="shared" si="63"/>
        <v>1.0235121925578324E-6</v>
      </c>
      <c r="AM133" s="23">
        <f t="shared" si="63"/>
        <v>7.8966502351668078E-7</v>
      </c>
      <c r="AN133" s="23">
        <f t="shared" si="63"/>
        <v>6.2597772984637366E-7</v>
      </c>
      <c r="AO133" s="23">
        <f t="shared" si="63"/>
        <v>5.0312989800937531E-7</v>
      </c>
      <c r="AP133" s="23">
        <f t="shared" si="63"/>
        <v>4.0740202716131981E-7</v>
      </c>
      <c r="AQ133" s="23">
        <f t="shared" si="63"/>
        <v>3.3126676931564334E-7</v>
      </c>
      <c r="AR133" s="23">
        <f t="shared" si="63"/>
        <v>2.7002747808289641E-7</v>
      </c>
      <c r="AS133" s="23">
        <f t="shared" si="63"/>
        <v>2.2045488076117505E-7</v>
      </c>
      <c r="AT133" s="23">
        <f t="shared" si="63"/>
        <v>1.8017605848194844E-7</v>
      </c>
      <c r="AU133" s="23">
        <f t="shared" si="63"/>
        <v>1.4737284419107138E-7</v>
      </c>
      <c r="AV133" s="23">
        <f t="shared" si="63"/>
        <v>1.2061688153520377E-7</v>
      </c>
      <c r="AW133" s="23">
        <f t="shared" si="63"/>
        <v>9.8769569344050822E-8</v>
      </c>
      <c r="AX133" s="23">
        <f t="shared" si="63"/>
        <v>8.0915505645079089E-8</v>
      </c>
      <c r="AY133" s="23">
        <f t="shared" si="63"/>
        <v>6.6314955068053953E-8</v>
      </c>
      <c r="AZ133" s="23">
        <f t="shared" si="63"/>
        <v>5.4368210099722838E-8</v>
      </c>
      <c r="BA133" s="23">
        <f t="shared" si="63"/>
        <v>4.4588035552098884E-8</v>
      </c>
      <c r="BB133" s="23">
        <f t="shared" si="63"/>
        <v>3.657796179917048E-8</v>
      </c>
      <c r="BC133" s="23">
        <f t="shared" si="63"/>
        <v>3.0014992563174371E-8</v>
      </c>
      <c r="BD133" s="23">
        <f t="shared" si="63"/>
        <v>2.4635734523993551E-8</v>
      </c>
      <c r="BE133" s="23">
        <f t="shared" si="63"/>
        <v>2.021855919304391E-8</v>
      </c>
      <c r="BF133" s="23">
        <f t="shared" si="63"/>
        <v>1.6598884656534858E-8</v>
      </c>
      <c r="BG133" s="23">
        <f t="shared" si="63"/>
        <v>1.3631201280648705E-8</v>
      </c>
      <c r="BH133" s="23">
        <f t="shared" si="63"/>
        <v>1.119687910351507E-8</v>
      </c>
      <c r="BI133" s="23">
        <f t="shared" si="63"/>
        <v>9.6479838210538058E-9</v>
      </c>
    </row>
    <row r="134" spans="1:61" ht="18" customHeight="1" x14ac:dyDescent="0.2">
      <c r="A134" s="23" t="s">
        <v>1118</v>
      </c>
      <c r="B134" s="23"/>
      <c r="C134" s="23">
        <f>+(C133/B133)^-0.1-1</f>
        <v>4.7259757400742064E-2</v>
      </c>
      <c r="D134" s="23">
        <f t="shared" ref="D134:BI134" si="64">+(D133/C133)^-0.1-1</f>
        <v>3.152177784007737E-2</v>
      </c>
      <c r="E134" s="23">
        <f t="shared" si="64"/>
        <v>3.5399065478488367E-2</v>
      </c>
      <c r="F134" s="23">
        <f t="shared" si="64"/>
        <v>3.6887900119469075E-2</v>
      </c>
      <c r="G134" s="23">
        <f t="shared" si="64"/>
        <v>3.5784407749253289E-2</v>
      </c>
      <c r="H134" s="23">
        <f t="shared" si="64"/>
        <v>3.4624732814574344E-2</v>
      </c>
      <c r="I134" s="23">
        <f t="shared" si="64"/>
        <v>3.3520595491763894E-2</v>
      </c>
      <c r="J134" s="23">
        <f t="shared" si="64"/>
        <v>3.1527303615480617E-2</v>
      </c>
      <c r="K134" s="23">
        <f t="shared" si="64"/>
        <v>3.0189561548864541E-2</v>
      </c>
      <c r="L134" s="23">
        <f t="shared" si="64"/>
        <v>2.7955293442208262E-2</v>
      </c>
      <c r="M134" s="23">
        <f t="shared" si="64"/>
        <v>2.7847912162266786E-2</v>
      </c>
      <c r="N134" s="23">
        <f t="shared" si="64"/>
        <v>2.7962132600773737E-2</v>
      </c>
      <c r="O134" s="23">
        <f t="shared" si="64"/>
        <v>2.9268328065779503E-2</v>
      </c>
      <c r="P134" s="23">
        <f t="shared" si="64"/>
        <v>2.9402930352097068E-2</v>
      </c>
      <c r="Q134" s="23">
        <f t="shared" si="64"/>
        <v>3.1087896877806553E-2</v>
      </c>
      <c r="R134" s="23">
        <f t="shared" si="64"/>
        <v>3.2972578640250161E-2</v>
      </c>
      <c r="S134" s="23">
        <f t="shared" si="64"/>
        <v>3.5000275774374145E-2</v>
      </c>
      <c r="T134" s="23">
        <f t="shared" si="64"/>
        <v>2.8712371444547857E-2</v>
      </c>
      <c r="U134" s="23">
        <f t="shared" si="64"/>
        <v>2.8286337332469325E-2</v>
      </c>
      <c r="V134" s="23">
        <f t="shared" si="64"/>
        <v>2.9620927653493778E-2</v>
      </c>
      <c r="W134" s="23">
        <f t="shared" si="64"/>
        <v>2.7765514783596457E-2</v>
      </c>
      <c r="X134" s="23">
        <f t="shared" si="64"/>
        <v>2.5317525621118886E-2</v>
      </c>
      <c r="Y134" s="23">
        <f t="shared" si="64"/>
        <v>2.5186957557790546E-2</v>
      </c>
      <c r="Z134" s="23">
        <f t="shared" si="64"/>
        <v>2.4677006264437251E-2</v>
      </c>
      <c r="AA134" s="23">
        <f t="shared" si="64"/>
        <v>2.4058559786010125E-2</v>
      </c>
      <c r="AB134" s="23">
        <f t="shared" si="64"/>
        <v>2.3450627733315743E-2</v>
      </c>
      <c r="AC134" s="23">
        <f t="shared" si="64"/>
        <v>2.4054579546052723E-2</v>
      </c>
      <c r="AD134" s="23">
        <f t="shared" si="64"/>
        <v>2.3760270742171574E-2</v>
      </c>
      <c r="AE134" s="23">
        <f t="shared" si="64"/>
        <v>2.2492777413310128E-2</v>
      </c>
      <c r="AF134" s="23">
        <f t="shared" si="64"/>
        <v>1.7602718233099779E-2</v>
      </c>
      <c r="AG134" s="23">
        <f t="shared" si="64"/>
        <v>2.7328126087175164E-2</v>
      </c>
      <c r="AH134" s="23">
        <f t="shared" si="64"/>
        <v>1.9208979679706362E-2</v>
      </c>
      <c r="AI134" s="23">
        <f t="shared" si="64"/>
        <v>0.34999117625365295</v>
      </c>
      <c r="AJ134" s="23">
        <f t="shared" si="64"/>
        <v>9.0103603939677201E-2</v>
      </c>
      <c r="AK134" s="23">
        <f t="shared" si="64"/>
        <v>4.6261157816881893E-2</v>
      </c>
      <c r="AL134" s="23">
        <f t="shared" si="64"/>
        <v>3.2141497247589079E-2</v>
      </c>
      <c r="AM134" s="23">
        <f t="shared" si="64"/>
        <v>2.6277982639741237E-2</v>
      </c>
      <c r="AN134" s="23">
        <f t="shared" si="64"/>
        <v>2.3501307863910803E-2</v>
      </c>
      <c r="AO134" s="23">
        <f t="shared" si="64"/>
        <v>2.208702639468263E-2</v>
      </c>
      <c r="AP134" s="23">
        <f t="shared" si="64"/>
        <v>2.1329071478227934E-2</v>
      </c>
      <c r="AQ134" s="23">
        <f t="shared" si="64"/>
        <v>2.0903120623886995E-2</v>
      </c>
      <c r="AR134" s="23">
        <f t="shared" si="64"/>
        <v>2.0650355543094578E-2</v>
      </c>
      <c r="AS134" s="23">
        <f t="shared" si="64"/>
        <v>2.0490166536857535E-2</v>
      </c>
      <c r="AT134" s="23">
        <f t="shared" si="64"/>
        <v>2.0380765963564418E-2</v>
      </c>
      <c r="AU134" s="23">
        <f t="shared" si="64"/>
        <v>2.030017629210179E-2</v>
      </c>
      <c r="AV134" s="23">
        <f t="shared" si="64"/>
        <v>2.0236688232468047E-2</v>
      </c>
      <c r="AW134" s="23">
        <f t="shared" si="64"/>
        <v>2.018396607837647E-2</v>
      </c>
      <c r="AX134" s="23">
        <f t="shared" si="64"/>
        <v>2.0138506198499995E-2</v>
      </c>
      <c r="AY134" s="23">
        <f t="shared" si="64"/>
        <v>2.0098308122982855E-2</v>
      </c>
      <c r="AZ134" s="23">
        <f t="shared" si="64"/>
        <v>2.0062176560932787E-2</v>
      </c>
      <c r="BA134" s="23">
        <f t="shared" si="64"/>
        <v>2.0029353477135414E-2</v>
      </c>
      <c r="BB134" s="23">
        <f t="shared" si="64"/>
        <v>1.9999323382866585E-2</v>
      </c>
      <c r="BC134" s="23">
        <f t="shared" si="64"/>
        <v>1.9971709725400633E-2</v>
      </c>
      <c r="BD134" s="23">
        <f t="shared" si="64"/>
        <v>1.9946219280447375E-2</v>
      </c>
      <c r="BE134" s="23">
        <f t="shared" si="64"/>
        <v>1.9956220942177083E-2</v>
      </c>
      <c r="BF134" s="23">
        <f t="shared" si="64"/>
        <v>1.9922399090295917E-2</v>
      </c>
      <c r="BG134" s="23">
        <f t="shared" si="64"/>
        <v>1.9892686744310994E-2</v>
      </c>
      <c r="BH134" s="23">
        <f t="shared" si="64"/>
        <v>1.9867410241058092E-2</v>
      </c>
      <c r="BI134" s="23">
        <f t="shared" si="64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 x14ac:dyDescent="0.2">
      <c r="A136" s="23" t="s">
        <v>207</v>
      </c>
      <c r="B136" s="23"/>
      <c r="C136" s="23">
        <f>+C134+C135</f>
        <v>5.3446163838441703E-2</v>
      </c>
      <c r="D136" s="23">
        <f t="shared" ref="D136:K136" si="66">+D134+D135</f>
        <v>3.5533493904732753E-2</v>
      </c>
      <c r="E136" s="23">
        <f t="shared" si="66"/>
        <v>3.6030933705577146E-2</v>
      </c>
      <c r="F136" s="23">
        <f t="shared" si="66"/>
        <v>3.5367737449876882E-2</v>
      </c>
      <c r="G136" s="23">
        <f t="shared" si="66"/>
        <v>3.2494965459223979E-2</v>
      </c>
      <c r="H136" s="23">
        <f t="shared" si="66"/>
        <v>3.1299862326122231E-2</v>
      </c>
      <c r="I136" s="23">
        <f t="shared" si="66"/>
        <v>3.0195725003311778E-2</v>
      </c>
      <c r="J136" s="23">
        <f t="shared" si="66"/>
        <v>2.8202433127028501E-2</v>
      </c>
      <c r="K136" s="23">
        <f t="shared" si="66"/>
        <v>2.6864691060412439E-2</v>
      </c>
    </row>
    <row r="137" spans="1:61" ht="18" customHeight="1" x14ac:dyDescent="0.2">
      <c r="A137" s="23" t="s">
        <v>208</v>
      </c>
      <c r="B137" s="23"/>
      <c r="C137" s="23">
        <f>+C136-C129</f>
        <v>1.8287894173961046E-2</v>
      </c>
      <c r="D137" s="23">
        <f t="shared" ref="D137:K137" si="67">+D136-D129</f>
        <v>3.3152566532648753E-6</v>
      </c>
      <c r="E137" s="23">
        <f t="shared" si="67"/>
        <v>1.2158856388641073E-3</v>
      </c>
      <c r="F137" s="23">
        <f t="shared" si="67"/>
        <v>3.3867706804393757E-3</v>
      </c>
      <c r="G137" s="23">
        <f t="shared" si="67"/>
        <v>1.6696644617733847E-3</v>
      </c>
      <c r="H137" s="23">
        <f t="shared" si="67"/>
        <v>1.5423174603138509E-3</v>
      </c>
      <c r="I137" s="23">
        <f t="shared" si="67"/>
        <v>2.3686849903961395E-3</v>
      </c>
      <c r="J137" s="23">
        <f t="shared" si="67"/>
        <v>1.673090462328785E-3</v>
      </c>
      <c r="K137" s="23">
        <f t="shared" si="67"/>
        <v>7.6333838372469667E-4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68">+$B$7*B68/B74-(1-(1-0.1)^10)/10</f>
        <v>-1.283440745816708E-2</v>
      </c>
      <c r="C139" s="23">
        <f t="shared" si="68"/>
        <v>-6.4522812200466031E-3</v>
      </c>
      <c r="D139" s="23">
        <f t="shared" si="68"/>
        <v>1.9463729884204473E-2</v>
      </c>
      <c r="E139" s="23">
        <f t="shared" si="68"/>
        <v>3.5635102923998976E-2</v>
      </c>
      <c r="F139" s="23">
        <f t="shared" si="68"/>
        <v>4.368584739567978E-2</v>
      </c>
      <c r="G139" s="23">
        <f t="shared" si="68"/>
        <v>4.5919172775420389E-2</v>
      </c>
      <c r="H139" s="23">
        <f t="shared" si="68"/>
        <v>4.5478637323770804E-2</v>
      </c>
      <c r="I139" s="23">
        <f t="shared" si="68"/>
        <v>4.4714152387242204E-2</v>
      </c>
      <c r="J139" s="23">
        <f t="shared" si="68"/>
        <v>4.3087206648833476E-2</v>
      </c>
      <c r="K139" s="23">
        <f t="shared" si="68"/>
        <v>4.254685723445821E-2</v>
      </c>
      <c r="L139" s="23">
        <f t="shared" si="68"/>
        <v>4.100636301142753E-2</v>
      </c>
      <c r="M139" s="23">
        <f t="shared" si="68"/>
        <v>3.7234521623934549E-2</v>
      </c>
      <c r="N139" s="23">
        <f t="shared" si="68"/>
        <v>3.8539639392138489E-2</v>
      </c>
      <c r="O139" s="23">
        <f t="shared" si="68"/>
        <v>3.9849162276804281E-2</v>
      </c>
      <c r="P139" s="23">
        <f t="shared" si="68"/>
        <v>4.0363384412995099E-2</v>
      </c>
      <c r="Q139" s="23">
        <f t="shared" si="68"/>
        <v>4.16857415732442E-2</v>
      </c>
      <c r="R139" s="23">
        <f t="shared" si="68"/>
        <v>4.3420683839894905E-2</v>
      </c>
      <c r="S139" s="23">
        <f t="shared" si="68"/>
        <v>4.5405159416374657E-2</v>
      </c>
      <c r="T139" s="23">
        <f t="shared" si="68"/>
        <v>4.1600930749532819E-2</v>
      </c>
      <c r="U139" s="23">
        <f t="shared" si="68"/>
        <v>4.0153146979331741E-2</v>
      </c>
      <c r="V139" s="23">
        <f t="shared" si="68"/>
        <v>4.0884252459357284E-2</v>
      </c>
      <c r="W139" s="23">
        <f t="shared" si="68"/>
        <v>4.0119829657740746E-2</v>
      </c>
      <c r="X139" s="23">
        <f t="shared" si="68"/>
        <v>3.8222315444931487E-2</v>
      </c>
      <c r="Y139" s="23">
        <f t="shared" si="68"/>
        <v>3.7535396359195769E-2</v>
      </c>
      <c r="Z139" s="23">
        <f t="shared" si="68"/>
        <v>3.6975531315720109E-2</v>
      </c>
      <c r="AA139" s="23">
        <f t="shared" si="68"/>
        <v>3.6385418559716567E-2</v>
      </c>
      <c r="AB139" s="23">
        <f t="shared" si="68"/>
        <v>3.5793939087225696E-2</v>
      </c>
      <c r="AC139" s="23">
        <f t="shared" si="68"/>
        <v>3.5998571444481542E-2</v>
      </c>
      <c r="AD139" s="23">
        <f t="shared" si="68"/>
        <v>3.5871810278192737E-2</v>
      </c>
      <c r="AE139" s="23">
        <f t="shared" si="68"/>
        <v>3.5000012720922707E-2</v>
      </c>
      <c r="AF139" s="23">
        <f t="shared" si="68"/>
        <v>3.1246840086872896E-2</v>
      </c>
      <c r="AG139" s="23">
        <f t="shared" si="68"/>
        <v>3.5913886797485417E-2</v>
      </c>
      <c r="AH139" s="23">
        <f t="shared" si="68"/>
        <v>3.2224440982331889E-2</v>
      </c>
      <c r="AI139" s="23">
        <f t="shared" si="68"/>
        <v>0.56119955585107661</v>
      </c>
      <c r="AJ139" s="23">
        <f t="shared" si="68"/>
        <v>0.14484637569475184</v>
      </c>
      <c r="AK139" s="23">
        <f t="shared" si="68"/>
        <v>7.4470103437191362E-2</v>
      </c>
      <c r="AL139" s="23">
        <f t="shared" si="68"/>
        <v>5.1268223877324742E-2</v>
      </c>
      <c r="AM139" s="23">
        <f t="shared" si="68"/>
        <v>4.1408325180489314E-2</v>
      </c>
      <c r="AN139" s="23">
        <f t="shared" si="68"/>
        <v>3.6707055695545374E-2</v>
      </c>
      <c r="AO139" s="23">
        <f t="shared" si="68"/>
        <v>3.4325091778550545E-2</v>
      </c>
      <c r="AP139" s="23">
        <f t="shared" si="68"/>
        <v>3.3069848280298422E-2</v>
      </c>
      <c r="AQ139" s="23">
        <f t="shared" si="68"/>
        <v>3.2385412966318319E-2</v>
      </c>
      <c r="AR139" s="23">
        <f t="shared" si="68"/>
        <v>3.1997473050980024E-2</v>
      </c>
      <c r="AS139" s="23">
        <f t="shared" si="68"/>
        <v>3.176636539550462E-2</v>
      </c>
      <c r="AT139" s="23">
        <f t="shared" si="68"/>
        <v>3.1619700311747309E-2</v>
      </c>
      <c r="AU139" s="23">
        <f t="shared" si="68"/>
        <v>3.1519526602919443E-2</v>
      </c>
      <c r="AV139" s="23">
        <f t="shared" si="68"/>
        <v>3.1445763606165883E-2</v>
      </c>
      <c r="AW139" s="23">
        <f t="shared" si="68"/>
        <v>3.1387678216312845E-2</v>
      </c>
      <c r="AX139" s="23">
        <f t="shared" si="68"/>
        <v>3.1339453428032571E-2</v>
      </c>
      <c r="AY139" s="23">
        <f t="shared" si="68"/>
        <v>3.1297870310954518E-2</v>
      </c>
      <c r="AZ139" s="23">
        <f t="shared" si="68"/>
        <v>3.1261091017850753E-2</v>
      </c>
      <c r="BA139" s="23">
        <f t="shared" si="68"/>
        <v>3.1228018119671797E-2</v>
      </c>
      <c r="BB139" s="23">
        <f t="shared" si="68"/>
        <v>3.1197956440643021E-2</v>
      </c>
      <c r="BC139" s="23">
        <f t="shared" si="68"/>
        <v>3.1170433947815004E-2</v>
      </c>
      <c r="BD139" s="23">
        <f t="shared" si="68"/>
        <v>3.1145106388839966E-2</v>
      </c>
      <c r="BE139" s="23">
        <f t="shared" si="68"/>
        <v>3.1142853465302864E-2</v>
      </c>
      <c r="BF139" s="23">
        <f t="shared" si="68"/>
        <v>3.1120811950277591E-2</v>
      </c>
      <c r="BG139" s="23">
        <f t="shared" si="68"/>
        <v>3.1094682148312652E-2</v>
      </c>
      <c r="BH139" s="23">
        <f t="shared" si="68"/>
        <v>3.1069965563705185E-2</v>
      </c>
      <c r="BI139" s="23">
        <f t="shared" si="68"/>
        <v>3.1047958715383558E-2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69">+B140/(1+C131)^10</f>
        <v>0.65126583447812447</v>
      </c>
      <c r="D140" s="23">
        <f t="shared" si="69"/>
        <v>0.46016188673455499</v>
      </c>
      <c r="E140" s="23">
        <f t="shared" si="69"/>
        <v>0.32567386458390096</v>
      </c>
      <c r="F140" s="23">
        <f t="shared" si="69"/>
        <v>0.23448048817469175</v>
      </c>
      <c r="G140" s="23">
        <f t="shared" si="69"/>
        <v>0.1721163957282065</v>
      </c>
      <c r="H140" s="23">
        <f t="shared" si="69"/>
        <v>0.12770896909112078</v>
      </c>
      <c r="I140" s="23">
        <f t="shared" si="69"/>
        <v>9.6148913262477598E-2</v>
      </c>
      <c r="J140" s="23">
        <f t="shared" si="69"/>
        <v>7.3533710247659839E-2</v>
      </c>
      <c r="K140" s="23">
        <f t="shared" si="69"/>
        <v>5.6712428521024857E-2</v>
      </c>
      <c r="L140" s="23">
        <f t="shared" si="69"/>
        <v>4.3481965678240968E-2</v>
      </c>
      <c r="M140" s="23">
        <f t="shared" si="69"/>
        <v>3.3055338492811753E-2</v>
      </c>
      <c r="N140" s="23">
        <f t="shared" si="69"/>
        <v>2.4960735067806768E-2</v>
      </c>
      <c r="O140" s="23">
        <f t="shared" si="69"/>
        <v>1.87204791355653E-2</v>
      </c>
      <c r="P140" s="23">
        <f t="shared" si="69"/>
        <v>1.3920393588617519E-2</v>
      </c>
      <c r="Q140" s="23">
        <f t="shared" si="69"/>
        <v>1.0178755065208836E-2</v>
      </c>
      <c r="R140" s="23">
        <f t="shared" si="69"/>
        <v>7.3075988384402272E-3</v>
      </c>
      <c r="S140" s="23">
        <f t="shared" si="69"/>
        <v>5.3523567516708297E-3</v>
      </c>
      <c r="T140" s="23">
        <f t="shared" si="69"/>
        <v>4.0460924271983924E-3</v>
      </c>
      <c r="U140" s="23">
        <f t="shared" si="69"/>
        <v>3.0416934866621384E-3</v>
      </c>
      <c r="V140" s="23">
        <f t="shared" si="69"/>
        <v>2.2864912555924828E-3</v>
      </c>
      <c r="W140" s="23">
        <f t="shared" si="69"/>
        <v>1.751956080720696E-3</v>
      </c>
      <c r="X140" s="23">
        <f t="shared" si="69"/>
        <v>1.3589129668891942E-3</v>
      </c>
      <c r="Y140" s="23">
        <f t="shared" si="69"/>
        <v>1.0572633643180734E-3</v>
      </c>
      <c r="Z140" s="23">
        <f t="shared" si="69"/>
        <v>8.2700374317749143E-4</v>
      </c>
      <c r="AA140" s="23">
        <f t="shared" si="69"/>
        <v>6.5068363099996256E-4</v>
      </c>
      <c r="AB140" s="23">
        <f t="shared" si="69"/>
        <v>5.1196530160067615E-4</v>
      </c>
      <c r="AC140" s="23">
        <f t="shared" si="69"/>
        <v>4.0222578526112596E-4</v>
      </c>
      <c r="AD140" s="23">
        <f t="shared" si="69"/>
        <v>3.1837266439628591E-4</v>
      </c>
      <c r="AE140" s="23">
        <f t="shared" si="69"/>
        <v>2.5998093447393653E-4</v>
      </c>
      <c r="AF140" s="23">
        <f t="shared" si="69"/>
        <v>2.0814400877532541E-4</v>
      </c>
      <c r="AG140" s="23">
        <f t="shared" si="69"/>
        <v>1.6563792566478042E-4</v>
      </c>
      <c r="AH140" s="23">
        <f t="shared" si="69"/>
        <v>3.7653143492315056E-5</v>
      </c>
      <c r="AI140" s="23">
        <f t="shared" ref="AI140:BG140" si="70">+AH140/(1+AI131)^10</f>
        <v>6.4315630177836329E-6</v>
      </c>
      <c r="AJ140" s="23">
        <f t="shared" si="70"/>
        <v>3.398739632068754E-6</v>
      </c>
      <c r="AK140" s="23">
        <f t="shared" si="70"/>
        <v>2.3285328668987949E-6</v>
      </c>
      <c r="AL140" s="23">
        <f t="shared" si="70"/>
        <v>1.7512841981587242E-6</v>
      </c>
      <c r="AM140" s="23">
        <f t="shared" si="70"/>
        <v>1.3721724809230839E-6</v>
      </c>
      <c r="AN140" s="23">
        <f t="shared" si="70"/>
        <v>1.0968342001476368E-6</v>
      </c>
      <c r="AO140" s="23">
        <f t="shared" si="70"/>
        <v>8.8590462079739469E-7</v>
      </c>
      <c r="AP140" s="23">
        <f t="shared" si="70"/>
        <v>7.1961000087566321E-7</v>
      </c>
      <c r="AQ140" s="23">
        <f t="shared" si="70"/>
        <v>5.8643712669341718E-7</v>
      </c>
      <c r="AR140" s="23">
        <f t="shared" si="70"/>
        <v>4.7885778137763814E-7</v>
      </c>
      <c r="AS140" s="23">
        <f t="shared" si="70"/>
        <v>3.9151986896195075E-7</v>
      </c>
      <c r="AT140" s="23">
        <f t="shared" si="70"/>
        <v>3.2040356140386159E-7</v>
      </c>
      <c r="AU140" s="23">
        <f t="shared" si="70"/>
        <v>2.6238646066816556E-7</v>
      </c>
      <c r="AV140" s="23">
        <f t="shared" si="70"/>
        <v>2.1499480369810994E-7</v>
      </c>
      <c r="AW140" s="23">
        <f t="shared" si="70"/>
        <v>1.762460405734081E-7</v>
      </c>
      <c r="AX140" s="23">
        <f t="shared" si="70"/>
        <v>1.4454048992911343E-7</v>
      </c>
      <c r="AY140" s="23">
        <f t="shared" si="70"/>
        <v>1.185820543103024E-7</v>
      </c>
      <c r="AZ140" s="23">
        <f t="shared" si="70"/>
        <v>9.7317810697174327E-8</v>
      </c>
      <c r="BA140" s="23">
        <f t="shared" si="70"/>
        <v>7.9890819899588512E-8</v>
      </c>
      <c r="BB140" s="23">
        <f t="shared" si="70"/>
        <v>6.5602705072091739E-8</v>
      </c>
      <c r="BC140" s="23">
        <f t="shared" si="70"/>
        <v>5.3883707299858594E-8</v>
      </c>
      <c r="BD140" s="23">
        <f t="shared" si="70"/>
        <v>4.4261438242130465E-8</v>
      </c>
      <c r="BE140" s="23">
        <f t="shared" si="70"/>
        <v>3.6361626523626945E-8</v>
      </c>
      <c r="BF140" s="23">
        <f t="shared" si="70"/>
        <v>2.9880903016502756E-8</v>
      </c>
      <c r="BG140" s="23">
        <f t="shared" si="70"/>
        <v>2.4561729118125085E-8</v>
      </c>
      <c r="BH140" s="23">
        <f>+BG140</f>
        <v>2.4561729118125085E-8</v>
      </c>
      <c r="BI140" s="23">
        <f>+BH140</f>
        <v>2.4561729118125085E-8</v>
      </c>
    </row>
    <row r="141" spans="1:61" ht="18" customHeight="1" x14ac:dyDescent="0.2">
      <c r="A141" s="23" t="s">
        <v>208</v>
      </c>
      <c r="B141" s="23">
        <f t="shared" ref="B141:K141" si="71">+B139-C131</f>
        <v>-5.6650938245538109E-2</v>
      </c>
      <c r="C141" s="23">
        <f t="shared" si="71"/>
        <v>-4.1796505376326676E-2</v>
      </c>
      <c r="D141" s="23">
        <f t="shared" si="71"/>
        <v>-1.5708883473191791E-2</v>
      </c>
      <c r="E141" s="23">
        <f t="shared" si="71"/>
        <v>2.2370955059237002E-3</v>
      </c>
      <c r="F141" s="23">
        <f t="shared" si="71"/>
        <v>1.2282713512235727E-2</v>
      </c>
      <c r="G141" s="23">
        <f t="shared" si="71"/>
        <v>1.5627749843790902E-2</v>
      </c>
      <c r="H141" s="23">
        <f t="shared" si="71"/>
        <v>1.6686344884408795E-2</v>
      </c>
      <c r="I141" s="23">
        <f t="shared" si="71"/>
        <v>1.7535961048434526E-2</v>
      </c>
      <c r="J141" s="23">
        <f t="shared" si="71"/>
        <v>1.6771858978139747E-2</v>
      </c>
      <c r="K141" s="23">
        <f t="shared" si="71"/>
        <v>1.562615858591649E-2</v>
      </c>
    </row>
    <row r="142" spans="1:61" ht="18" customHeight="1" x14ac:dyDescent="0.2">
      <c r="A142" s="23" t="s">
        <v>13</v>
      </c>
      <c r="B142" s="23"/>
      <c r="C142" s="23">
        <f>+EXP(C128-0.1)</f>
        <v>0.9597430458485483</v>
      </c>
      <c r="D142" s="23">
        <f>+EXP(D128-0.1)</f>
        <v>0.98505119919611639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58.006953059243131</v>
      </c>
    </row>
    <row r="145" spans="1:74" ht="18" customHeight="1" x14ac:dyDescent="0.2">
      <c r="A145" s="23" t="s">
        <v>150</v>
      </c>
      <c r="B145" s="23">
        <f>+SUMPRODUCT(B140:AE140*B84:AE84)*10</f>
        <v>59.077285284306271</v>
      </c>
    </row>
    <row r="146" spans="1:74" ht="18" customHeight="1" x14ac:dyDescent="0.2">
      <c r="A146" s="23" t="s">
        <v>151</v>
      </c>
      <c r="B146" s="23">
        <f>+SUMPRODUCT(B140:BI140*B84:BI84)*10</f>
        <v>59.205233441346302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2">+B148/(1+B79)^10</f>
        <v>0.630167274561102</v>
      </c>
      <c r="D148" s="23">
        <f t="shared" si="72"/>
        <v>0.4620317623450762</v>
      </c>
      <c r="E148" s="23">
        <f t="shared" si="72"/>
        <v>0.32628277365394348</v>
      </c>
      <c r="F148" s="23">
        <f t="shared" si="72"/>
        <v>0.22713082588069664</v>
      </c>
      <c r="G148" s="23">
        <f t="shared" si="72"/>
        <v>0.15980206591909046</v>
      </c>
      <c r="H148" s="23">
        <f t="shared" si="72"/>
        <v>0.11369826277392725</v>
      </c>
      <c r="I148" s="23">
        <f t="shared" si="72"/>
        <v>8.1764064936074021E-2</v>
      </c>
      <c r="J148" s="23">
        <f t="shared" si="72"/>
        <v>5.9945307999140773E-2</v>
      </c>
      <c r="K148" s="23">
        <f t="shared" si="72"/>
        <v>4.4522930861376757E-2</v>
      </c>
      <c r="L148" s="23">
        <f t="shared" si="72"/>
        <v>3.3794145739954727E-2</v>
      </c>
      <c r="M148" s="23">
        <f t="shared" si="72"/>
        <v>2.5677509122306708E-2</v>
      </c>
      <c r="N148" s="23">
        <f t="shared" si="72"/>
        <v>1.9488648613613539E-2</v>
      </c>
      <c r="O148" s="23">
        <f t="shared" si="72"/>
        <v>1.4604800653458989E-2</v>
      </c>
      <c r="P148" s="23">
        <f t="shared" si="72"/>
        <v>1.0930540342631141E-2</v>
      </c>
      <c r="Q148" s="23">
        <f t="shared" si="72"/>
        <v>8.0479402053316908E-3</v>
      </c>
      <c r="R148" s="23">
        <f t="shared" si="72"/>
        <v>5.8183094052655761E-3</v>
      </c>
      <c r="S148" s="23">
        <f t="shared" si="72"/>
        <v>4.124698011161082E-3</v>
      </c>
      <c r="T148" s="23">
        <f t="shared" si="72"/>
        <v>3.1077961885813445E-3</v>
      </c>
      <c r="U148" s="23">
        <f t="shared" si="72"/>
        <v>2.3513207436803188E-3</v>
      </c>
      <c r="V148" s="23">
        <f t="shared" si="72"/>
        <v>1.7560556005591303E-3</v>
      </c>
      <c r="W148" s="23">
        <f t="shared" si="72"/>
        <v>1.3353584161690485E-3</v>
      </c>
      <c r="X148" s="23">
        <f t="shared" si="72"/>
        <v>1.0399537855877341E-3</v>
      </c>
      <c r="Y148" s="23">
        <f t="shared" si="72"/>
        <v>8.10929903713031E-4</v>
      </c>
      <c r="Z148" s="23">
        <f t="shared" si="72"/>
        <v>6.3549685867848133E-4</v>
      </c>
      <c r="AA148" s="23">
        <f t="shared" si="72"/>
        <v>5.0103202681209475E-4</v>
      </c>
      <c r="AB148" s="23">
        <f t="shared" si="72"/>
        <v>3.9737132136115214E-4</v>
      </c>
      <c r="AC148" s="23">
        <f t="shared" si="72"/>
        <v>3.1330366830487852E-4</v>
      </c>
      <c r="AD148" s="23">
        <f t="shared" si="72"/>
        <v>2.4773237252664388E-4</v>
      </c>
      <c r="AE148" s="23">
        <f t="shared" si="72"/>
        <v>1.9832628290729609E-4</v>
      </c>
      <c r="AF148" s="23">
        <f t="shared" si="72"/>
        <v>1.6657034616483443E-4</v>
      </c>
      <c r="AG148" s="23">
        <f t="shared" si="72"/>
        <v>1.2720550452381484E-4</v>
      </c>
      <c r="AH148" s="23">
        <f t="shared" si="72"/>
        <v>1.0516554854772948E-4</v>
      </c>
      <c r="AI148" s="23">
        <f t="shared" ref="AI148:BI148" si="73">+AH148/(1+AH79)^10</f>
        <v>5.2307527562811591E-6</v>
      </c>
      <c r="AJ148" s="23">
        <f t="shared" si="73"/>
        <v>2.2074274463590679E-6</v>
      </c>
      <c r="AK148" s="23">
        <f t="shared" si="73"/>
        <v>1.4043825115578489E-6</v>
      </c>
      <c r="AL148" s="23">
        <f t="shared" si="73"/>
        <v>1.0235121925578347E-6</v>
      </c>
      <c r="AM148" s="23">
        <f t="shared" si="73"/>
        <v>7.8966502351668089E-7</v>
      </c>
      <c r="AN148" s="23">
        <f t="shared" si="73"/>
        <v>6.2597772984637334E-7</v>
      </c>
      <c r="AO148" s="23">
        <f t="shared" si="73"/>
        <v>5.0312989800937446E-7</v>
      </c>
      <c r="AP148" s="23">
        <f t="shared" si="73"/>
        <v>4.0740202716131902E-7</v>
      </c>
      <c r="AQ148" s="23">
        <f t="shared" si="73"/>
        <v>3.3126676931564292E-7</v>
      </c>
      <c r="AR148" s="23">
        <f t="shared" si="73"/>
        <v>2.7002747808289546E-7</v>
      </c>
      <c r="AS148" s="23">
        <f t="shared" si="73"/>
        <v>2.2045488076117402E-7</v>
      </c>
      <c r="AT148" s="23">
        <f t="shared" si="73"/>
        <v>1.8017605848194754E-7</v>
      </c>
      <c r="AU148" s="23">
        <f t="shared" si="73"/>
        <v>1.4737284419107064E-7</v>
      </c>
      <c r="AV148" s="23">
        <f t="shared" si="73"/>
        <v>1.2061688153520327E-7</v>
      </c>
      <c r="AW148" s="23">
        <f t="shared" si="73"/>
        <v>9.8769569344050438E-8</v>
      </c>
      <c r="AX148" s="23">
        <f t="shared" si="73"/>
        <v>8.0915505645078719E-8</v>
      </c>
      <c r="AY148" s="23">
        <f t="shared" si="73"/>
        <v>6.6314955068053649E-8</v>
      </c>
      <c r="AZ148" s="23">
        <f t="shared" si="73"/>
        <v>5.4368210099722567E-8</v>
      </c>
      <c r="BA148" s="23">
        <f t="shared" si="73"/>
        <v>4.4588035552098659E-8</v>
      </c>
      <c r="BB148" s="23">
        <f t="shared" si="73"/>
        <v>3.6577961799170261E-8</v>
      </c>
      <c r="BC148" s="23">
        <f t="shared" si="73"/>
        <v>3.0014992563174219E-8</v>
      </c>
      <c r="BD148" s="23">
        <f t="shared" si="73"/>
        <v>2.4635734523993419E-8</v>
      </c>
      <c r="BE148" s="23">
        <f t="shared" si="73"/>
        <v>2.021855919304383E-8</v>
      </c>
      <c r="BF148" s="23">
        <f t="shared" si="73"/>
        <v>1.6598884656534792E-8</v>
      </c>
      <c r="BG148" s="23">
        <f t="shared" si="73"/>
        <v>1.3631201280648652E-8</v>
      </c>
      <c r="BH148" s="23">
        <f t="shared" si="73"/>
        <v>1.1196879103515028E-8</v>
      </c>
      <c r="BI148" s="23">
        <f t="shared" si="73"/>
        <v>9.6479838210537711E-9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54.242039790417344</v>
      </c>
    </row>
    <row r="152" spans="1:74" ht="18" customHeight="1" x14ac:dyDescent="0.2">
      <c r="A152" s="23" t="s">
        <v>150</v>
      </c>
      <c r="B152" s="23">
        <f>+SUMPRODUCT(B148:AE148*B84:AE84)*10</f>
        <v>55.064287171916313</v>
      </c>
    </row>
    <row r="153" spans="1:74" ht="18" customHeight="1" x14ac:dyDescent="0.2">
      <c r="A153" s="23" t="s">
        <v>151</v>
      </c>
      <c r="B153" s="23">
        <f>+SUMPRODUCT(B148:BI148*B84:BI84)*10</f>
        <v>55.170611554997151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1.9679966927760822E-3</v>
      </c>
      <c r="C155" s="29">
        <f t="shared" ref="C155:BI155" si="74">+C63*C61</f>
        <v>6.9083307655410115E-3</v>
      </c>
      <c r="D155" s="29">
        <f t="shared" si="74"/>
        <v>8.1334526516822249E-3</v>
      </c>
      <c r="E155" s="29">
        <f t="shared" si="74"/>
        <v>1.0843112150305806E-2</v>
      </c>
      <c r="F155" s="29">
        <f t="shared" si="74"/>
        <v>1.453761277533339E-2</v>
      </c>
      <c r="G155" s="29">
        <f t="shared" si="74"/>
        <v>1.9286597889236728E-2</v>
      </c>
      <c r="H155" s="29">
        <f t="shared" si="74"/>
        <v>2.3109956497702741E-2</v>
      </c>
      <c r="I155" s="29">
        <f t="shared" si="74"/>
        <v>2.9188418111439313E-2</v>
      </c>
      <c r="J155" s="29">
        <f t="shared" si="74"/>
        <v>3.6369436552396064E-2</v>
      </c>
      <c r="K155" s="29">
        <f t="shared" si="74"/>
        <v>4.0820769213447364E-2</v>
      </c>
      <c r="L155" s="29">
        <f t="shared" si="74"/>
        <v>4.8262087051197396E-2</v>
      </c>
      <c r="M155" s="29">
        <f t="shared" si="74"/>
        <v>5.8450927669347542E-2</v>
      </c>
      <c r="N155" s="29">
        <f t="shared" si="74"/>
        <v>6.984361408614316E-2</v>
      </c>
      <c r="O155" s="29">
        <f t="shared" si="74"/>
        <v>8.2319447268007842E-2</v>
      </c>
      <c r="P155" s="29">
        <f t="shared" si="74"/>
        <v>9.5519033709569379E-2</v>
      </c>
      <c r="Q155" s="29">
        <f t="shared" si="74"/>
        <v>0.1163615386491007</v>
      </c>
      <c r="R155" s="29">
        <f t="shared" si="74"/>
        <v>0.139770521776761</v>
      </c>
      <c r="S155" s="29">
        <f t="shared" si="74"/>
        <v>0.17152397152303414</v>
      </c>
      <c r="T155" s="29">
        <f t="shared" si="74"/>
        <v>0.1982150087718321</v>
      </c>
      <c r="U155" s="29">
        <f t="shared" si="74"/>
        <v>0.23277077048388084</v>
      </c>
      <c r="V155" s="29">
        <f t="shared" si="74"/>
        <v>0.27517419280698968</v>
      </c>
      <c r="W155" s="29">
        <f t="shared" si="74"/>
        <v>0.31536002762045423</v>
      </c>
      <c r="X155" s="29">
        <f t="shared" si="74"/>
        <v>0.36031456554325225</v>
      </c>
      <c r="Y155" s="29">
        <f t="shared" si="74"/>
        <v>0.40915966660833991</v>
      </c>
      <c r="Z155" s="29">
        <f t="shared" si="74"/>
        <v>0.46434612057337243</v>
      </c>
      <c r="AA155" s="29">
        <f t="shared" si="74"/>
        <v>0.53097360953925565</v>
      </c>
      <c r="AB155" s="29">
        <f t="shared" si="74"/>
        <v>0.60343403689551833</v>
      </c>
      <c r="AC155" s="29">
        <f t="shared" si="74"/>
        <v>0.67053703393174113</v>
      </c>
      <c r="AD155" s="29">
        <f t="shared" si="74"/>
        <v>0.74374154661698533</v>
      </c>
      <c r="AE155" s="29">
        <f t="shared" si="74"/>
        <v>0.83336508271139531</v>
      </c>
      <c r="AF155" s="29">
        <f t="shared" si="74"/>
        <v>0.8914012842562582</v>
      </c>
      <c r="AG155" s="29">
        <f t="shared" si="74"/>
        <v>0.98410607246119364</v>
      </c>
      <c r="AH155" s="29">
        <f t="shared" si="74"/>
        <v>1.0618289519555415</v>
      </c>
      <c r="AI155" s="29">
        <f t="shared" si="74"/>
        <v>7.5445271634287296</v>
      </c>
      <c r="AJ155" s="29">
        <f t="shared" si="74"/>
        <v>18.863200259867622</v>
      </c>
      <c r="AK155" s="29">
        <f t="shared" si="74"/>
        <v>26.419042195672358</v>
      </c>
      <c r="AL155" s="29">
        <f t="shared" si="74"/>
        <v>31.296064847611905</v>
      </c>
      <c r="AM155" s="29">
        <f t="shared" si="74"/>
        <v>34.790099187703156</v>
      </c>
      <c r="AN155" s="29">
        <f t="shared" si="74"/>
        <v>37.582279765234823</v>
      </c>
      <c r="AO155" s="29">
        <f t="shared" si="74"/>
        <v>40.028969959432047</v>
      </c>
      <c r="AP155" s="29">
        <f t="shared" si="74"/>
        <v>42.322834043871808</v>
      </c>
      <c r="AQ155" s="29">
        <f t="shared" si="74"/>
        <v>44.570683339185123</v>
      </c>
      <c r="AR155" s="29">
        <f t="shared" si="74"/>
        <v>46.833203046240804</v>
      </c>
      <c r="AS155" s="29">
        <f t="shared" si="74"/>
        <v>49.146010427137298</v>
      </c>
      <c r="AT155" s="29">
        <f t="shared" si="74"/>
        <v>51.531051248202459</v>
      </c>
      <c r="AU155" s="29">
        <f t="shared" si="74"/>
        <v>54.002835660134501</v>
      </c>
      <c r="AV155" s="29">
        <f t="shared" si="74"/>
        <v>56.571870848522259</v>
      </c>
      <c r="AW155" s="29">
        <f t="shared" si="74"/>
        <v>59.246557698999986</v>
      </c>
      <c r="AX155" s="29">
        <f t="shared" si="74"/>
        <v>62.034242271361926</v>
      </c>
      <c r="AY155" s="29">
        <f t="shared" si="74"/>
        <v>64.941801358091695</v>
      </c>
      <c r="AZ155" s="29">
        <f t="shared" si="74"/>
        <v>67.975971106608341</v>
      </c>
      <c r="BA155" s="29">
        <f t="shared" si="74"/>
        <v>71.143534041085218</v>
      </c>
      <c r="BB155" s="29">
        <f t="shared" si="74"/>
        <v>74.451428179497512</v>
      </c>
      <c r="BC155" s="29">
        <f t="shared" si="74"/>
        <v>77.906813428662502</v>
      </c>
      <c r="BD155" s="29">
        <f t="shared" si="74"/>
        <v>81.517114690352201</v>
      </c>
      <c r="BE155" s="29">
        <f t="shared" si="74"/>
        <v>85.290052412262611</v>
      </c>
      <c r="BF155" s="29">
        <f t="shared" si="74"/>
        <v>89.237562317728305</v>
      </c>
      <c r="BG155" s="29">
        <f t="shared" si="74"/>
        <v>93.365440984440468</v>
      </c>
      <c r="BH155" s="29">
        <f t="shared" si="74"/>
        <v>97.680368766072036</v>
      </c>
      <c r="BI155" s="29">
        <f t="shared" si="74"/>
        <v>102.1910402278514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CE59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11.6640625" defaultRowHeight="18" customHeight="1" x14ac:dyDescent="0.2"/>
  <cols>
    <col min="1" max="1" width="68.5" style="21" customWidth="1"/>
    <col min="2" max="2" width="11.6640625" style="29" customWidth="1"/>
    <col min="3" max="3" width="12.6640625" style="23" bestFit="1" customWidth="1"/>
    <col min="4" max="4" width="12.1640625" style="23" bestFit="1" customWidth="1"/>
    <col min="5" max="10" width="11.83203125" style="23" bestFit="1" customWidth="1"/>
    <col min="11" max="16384" width="11.6640625" style="23"/>
  </cols>
  <sheetData>
    <row r="1" spans="1:61" ht="18" customHeight="1" x14ac:dyDescent="0.2">
      <c r="A1" s="21" t="s">
        <v>55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+Parameters!L35</f>
        <v>0.3</v>
      </c>
    </row>
    <row r="8" spans="1:61" ht="18" customHeight="1" x14ac:dyDescent="0.2">
      <c r="A8" s="21" t="s">
        <v>108</v>
      </c>
      <c r="B8" s="31">
        <f>+Parameters!L36</f>
        <v>0.1</v>
      </c>
    </row>
    <row r="9" spans="1:61" ht="18" customHeight="1" x14ac:dyDescent="0.2">
      <c r="A9" s="23" t="s">
        <v>49</v>
      </c>
      <c r="B9" s="29">
        <f>Parameters!L37</f>
        <v>2.4408315128007598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 x14ac:dyDescent="0.2">
      <c r="A11" s="23" t="s">
        <v>38</v>
      </c>
      <c r="B11" s="29">
        <f>+Parameters!L39</f>
        <v>4.1191882823091737</v>
      </c>
    </row>
    <row r="12" spans="1:61" ht="18" customHeight="1" x14ac:dyDescent="0.2">
      <c r="A12" s="23" t="s">
        <v>162</v>
      </c>
      <c r="B12" s="29">
        <f>+Parameters!L40</f>
        <v>1.4983739690273445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+Parameters!L43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+Parameters!L45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 x14ac:dyDescent="0.2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 x14ac:dyDescent="0.2">
      <c r="A21" s="21" t="s">
        <v>190</v>
      </c>
      <c r="B21" s="29">
        <f>+Parameters!L40</f>
        <v>1.4983739690273445</v>
      </c>
    </row>
    <row r="22" spans="1:103" ht="18" customHeight="1" x14ac:dyDescent="0.2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+Parameters!L51</f>
        <v>0.43852128250463729</v>
      </c>
    </row>
    <row r="25" spans="1:103" ht="18" customHeight="1" x14ac:dyDescent="0.2">
      <c r="A25" s="21" t="s">
        <v>182</v>
      </c>
      <c r="B25" s="29">
        <f>+Parameters!L52</f>
        <v>0.16887308347047958</v>
      </c>
    </row>
    <row r="26" spans="1:103" ht="18" customHeight="1" x14ac:dyDescent="0.2">
      <c r="A26" s="21" t="s">
        <v>47</v>
      </c>
      <c r="B26" s="29">
        <f>+Parameters!L53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+Parameters!L54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+Parameters!L55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2.9494533614483898E-3</v>
      </c>
      <c r="AB31" s="23">
        <f t="shared" si="7"/>
        <v>2.7352184107011569E-3</v>
      </c>
      <c r="AC31" s="23">
        <f t="shared" si="7"/>
        <v>2.5415068660880808E-3</v>
      </c>
      <c r="AD31" s="23">
        <f t="shared" si="7"/>
        <v>2.3658282284787762E-3</v>
      </c>
      <c r="AE31" s="23">
        <f t="shared" si="7"/>
        <v>2.2060611739754378E-3</v>
      </c>
      <c r="AF31" s="23">
        <f t="shared" si="7"/>
        <v>2.0603897642068668E-3</v>
      </c>
      <c r="AG31" s="23">
        <f t="shared" si="7"/>
        <v>1.9272520024489724E-3</v>
      </c>
      <c r="AH31" s="23">
        <f t="shared" si="7"/>
        <v>1.805298122416662E-3</v>
      </c>
      <c r="AI31" s="23">
        <f t="shared" si="7"/>
        <v>1.69335659381109E-3</v>
      </c>
      <c r="AJ31" s="23">
        <f t="shared" si="7"/>
        <v>1.5904062797638771E-3</v>
      </c>
      <c r="AK31" s="23">
        <f t="shared" si="7"/>
        <v>1.495553524244408E-3</v>
      </c>
      <c r="AL31" s="23">
        <f t="shared" si="7"/>
        <v>1.4080132098734936E-3</v>
      </c>
      <c r="AM31" s="23">
        <f t="shared" si="7"/>
        <v>1.3270930285616833E-3</v>
      </c>
      <c r="AN31" s="23">
        <f t="shared" si="7"/>
        <v>1.2521803637775331E-3</v>
      </c>
      <c r="AO31" s="23">
        <f t="shared" si="7"/>
        <v>1.1827313050172207E-3</v>
      </c>
      <c r="AP31" s="23">
        <f t="shared" si="7"/>
        <v>1.1182614103636892E-3</v>
      </c>
      <c r="AQ31" s="23">
        <f t="shared" si="7"/>
        <v>1.0583379080177037E-3</v>
      </c>
      <c r="AR31" s="23">
        <f t="shared" si="7"/>
        <v>1.0025730869761263E-3</v>
      </c>
      <c r="AS31" s="23">
        <f t="shared" si="7"/>
        <v>9.5061867413037346E-4</v>
      </c>
      <c r="AT31" s="23">
        <f t="shared" si="7"/>
        <v>9.0216103263532832E-4</v>
      </c>
      <c r="AU31" s="23">
        <f t="shared" si="7"/>
        <v>8.5691704650777724E-4</v>
      </c>
      <c r="AV31" s="23">
        <f t="shared" si="7"/>
        <v>8.1463058063590676E-4</v>
      </c>
      <c r="AW31" s="23">
        <f t="shared" si="7"/>
        <v>7.7506942494376407E-4</v>
      </c>
      <c r="AX31" s="23">
        <f t="shared" si="7"/>
        <v>7.3802264731173792E-4</v>
      </c>
      <c r="AY31" s="23">
        <f t="shared" si="7"/>
        <v>7.0329829275327235E-4</v>
      </c>
      <c r="AZ31" s="23">
        <f t="shared" si="7"/>
        <v>6.7072137687640703E-4</v>
      </c>
      <c r="BA31" s="23">
        <f t="shared" si="7"/>
        <v>6.4013213027993134E-4</v>
      </c>
      <c r="BB31" s="23">
        <f t="shared" si="7"/>
        <v>6.1138445761538685E-4</v>
      </c>
      <c r="BC31" s="23">
        <f t="shared" si="7"/>
        <v>5.8434458088029015E-4</v>
      </c>
      <c r="BD31" s="23">
        <f t="shared" si="7"/>
        <v>5.5888984132838697E-4</v>
      </c>
      <c r="BE31" s="23">
        <f t="shared" si="7"/>
        <v>2.7236502405469091E-4</v>
      </c>
      <c r="BF31" s="23">
        <f t="shared" si="7"/>
        <v>1.3274103806450987E-4</v>
      </c>
      <c r="BG31" s="23">
        <f t="shared" si="7"/>
        <v>6.4697121654514988E-5</v>
      </c>
      <c r="BH31" s="23">
        <f t="shared" si="7"/>
        <v>3.1534648804943141E-5</v>
      </c>
      <c r="BI31" s="23">
        <f t="shared" si="7"/>
        <v>1.537134953226428E-5</v>
      </c>
    </row>
    <row r="32" spans="1:103" s="33" customFormat="1" ht="18" customHeight="1" x14ac:dyDescent="0.2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0.48461575351217545</v>
      </c>
      <c r="AB36" s="23">
        <f>+IF(AB4&gt;$B$37,AA36*Parameters!$B$105,$B$33*$B$32+(AA36-$B$33*$B$32)*(1-$B$34))</f>
        <v>0.46731496583656662</v>
      </c>
      <c r="AC36" s="23">
        <f>+IF(AC4&gt;$B$37,AB36*Parameters!$B$105,$B$33*$B$32+(AB36-$B$33*$B$32)*(1-$B$34))</f>
        <v>0.45087921754473825</v>
      </c>
      <c r="AD36" s="23">
        <f>+IF(AD4&gt;$B$37,AC36*Parameters!$B$105,$B$33*$B$32+(AC36-$B$33*$B$32)*(1-$B$34))</f>
        <v>0.43526525666750127</v>
      </c>
      <c r="AE36" s="23">
        <f>+IF(AE4&gt;$B$37,AD36*Parameters!$B$105,$B$33*$B$32+(AD36-$B$33*$B$32)*(1-$B$34))</f>
        <v>0.42043199383412622</v>
      </c>
      <c r="AF36" s="23">
        <f>+IF(AF4&gt;$B$37,AE36*Parameters!$B$105,$B$33*$B$32+(AE36-$B$33*$B$32)*(1-$B$34))</f>
        <v>0.40634039414241985</v>
      </c>
      <c r="AG36" s="23">
        <f>+IF(AG4&gt;$B$37,AF36*Parameters!$B$105,$B$33*$B$32+(AF36-$B$33*$B$32)*(1-$B$34))</f>
        <v>0.39295337443529876</v>
      </c>
      <c r="AH36" s="23">
        <f>+IF(AH4&gt;$B$37,AG36*Parameters!$B$105,$B$33*$B$32+(AG36-$B$33*$B$32)*(1-$B$34))</f>
        <v>0.38023570571353382</v>
      </c>
      <c r="AI36" s="23">
        <f>+IF(AI4&gt;$B$37,AH36*Parameters!$B$105,$B$33*$B$32+(AH36-$B$33*$B$32)*(1-$B$34))</f>
        <v>0.36815392042785711</v>
      </c>
      <c r="AJ36" s="23">
        <f>+IF(AJ4&gt;$B$37,AI36*Parameters!$B$105,$B$33*$B$32+(AI36-$B$33*$B$32)*(1-$B$34))</f>
        <v>0.35667622440646424</v>
      </c>
      <c r="AK36" s="23">
        <f>+IF(AK4&gt;$B$37,AJ36*Parameters!$B$105,$B$33*$B$32+(AJ36-$B$33*$B$32)*(1-$B$34))</f>
        <v>0.34577241318614105</v>
      </c>
      <c r="AL36" s="23">
        <f>+IF(AL4&gt;$B$37,AK36*Parameters!$B$105,$B$33*$B$32+(AK36-$B$33*$B$32)*(1-$B$34))</f>
        <v>0.33541379252683401</v>
      </c>
      <c r="AM36" s="23">
        <f>+IF(AM4&gt;$B$37,AL36*Parameters!$B$105,$B$33*$B$32+(AL36-$B$33*$B$32)*(1-$B$34))</f>
        <v>0.32557310290049229</v>
      </c>
      <c r="AN36" s="23">
        <f>+IF(AN4&gt;$B$37,AM36*Parameters!$B$105,$B$33*$B$32+(AM36-$B$33*$B$32)*(1-$B$34))</f>
        <v>0.31622444775546765</v>
      </c>
      <c r="AO36" s="23">
        <f>+IF(AO4&gt;$B$37,AN36*Parameters!$B$105,$B$33*$B$32+(AN36-$B$33*$B$32)*(1-$B$34))</f>
        <v>0.30734322536769426</v>
      </c>
      <c r="AP36" s="23">
        <f>+IF(AP4&gt;$B$37,AO36*Parameters!$B$105,$B$33*$B$32+(AO36-$B$33*$B$32)*(1-$B$34))</f>
        <v>0.29890606409930953</v>
      </c>
      <c r="AQ36" s="23">
        <f>+IF(AQ4&gt;$B$37,AP36*Parameters!$B$105,$B$33*$B$32+(AP36-$B$33*$B$32)*(1-$B$34))</f>
        <v>0.29089076089434407</v>
      </c>
      <c r="AR36" s="23">
        <f>+IF(AR4&gt;$B$37,AQ36*Parameters!$B$105,$B$33*$B$32+(AQ36-$B$33*$B$32)*(1-$B$34))</f>
        <v>0.28327622284962684</v>
      </c>
      <c r="AS36" s="23">
        <f>+IF(AS4&gt;$B$37,AR36*Parameters!$B$105,$B$33*$B$32+(AR36-$B$33*$B$32)*(1-$B$34))</f>
        <v>0.2760424117071455</v>
      </c>
      <c r="AT36" s="23">
        <f>+IF(AT4&gt;$B$37,AS36*Parameters!$B$105,$B$33*$B$32+(AS36-$B$33*$B$32)*(1-$B$34))</f>
        <v>0.26917029112178825</v>
      </c>
      <c r="AU36" s="23">
        <f>+IF(AU4&gt;$B$37,AT36*Parameters!$B$105,$B$33*$B$32+(AT36-$B$33*$B$32)*(1-$B$34))</f>
        <v>0.26264177656569881</v>
      </c>
      <c r="AV36" s="23">
        <f>+IF(AV4&gt;$B$37,AU36*Parameters!$B$105,$B$33*$B$32+(AU36-$B$33*$B$32)*(1-$B$34))</f>
        <v>0.25643968773741388</v>
      </c>
      <c r="AW36" s="23">
        <f>+IF(AW4&gt;$B$37,AV36*Parameters!$B$105,$B$33*$B$32+(AV36-$B$33*$B$32)*(1-$B$34))</f>
        <v>0.25054770335054322</v>
      </c>
      <c r="AX36" s="23">
        <f>+IF(AX4&gt;$B$37,AW36*Parameters!$B$105,$B$33*$B$32+(AW36-$B$33*$B$32)*(1-$B$34))</f>
        <v>0.24495031818301605</v>
      </c>
      <c r="AY36" s="23">
        <f>+IF(AY4&gt;$B$37,AX36*Parameters!$B$105,$B$33*$B$32+(AX36-$B$33*$B$32)*(1-$B$34))</f>
        <v>0.23963280227386524</v>
      </c>
      <c r="AZ36" s="23">
        <f>+IF(AZ4&gt;$B$37,AY36*Parameters!$B$105,$B$33*$B$32+(AY36-$B$33*$B$32)*(1-$B$34))</f>
        <v>0.234581162160172</v>
      </c>
      <c r="BA36" s="23">
        <f>+IF(BA4&gt;$B$37,AZ36*Parameters!$B$105,$B$33*$B$32+(AZ36-$B$33*$B$32)*(1-$B$34))</f>
        <v>0.2297821040521634</v>
      </c>
      <c r="BB36" s="23">
        <f>+IF(BB4&gt;$B$37,BA36*Parameters!$B$105,$B$33*$B$32+(BA36-$B$33*$B$32)*(1-$B$34))</f>
        <v>0.22522299884955521</v>
      </c>
      <c r="BC36" s="23">
        <f>+IF(BC4&gt;$B$37,BB36*Parameters!$B$105,$B$33*$B$32+(BB36-$B$33*$B$32)*(1-$B$34))</f>
        <v>0.22089184890707744</v>
      </c>
      <c r="BD36" s="23">
        <f>+IF(BD4&gt;$B$37,BC36*Parameters!$B$105,$B$33*$B$32+(BC36-$B$33*$B$32)*(1-$B$34))</f>
        <v>0.21677725646172358</v>
      </c>
      <c r="BE36" s="23">
        <f>+IF(BE4&gt;$B$37,BD36*Parameters!$B$105,$B$33*$B$32+(BD36-$B$33*$B$32)*(1-$B$34))</f>
        <v>0.10838862823086179</v>
      </c>
      <c r="BF36" s="23">
        <f>+IF(BF4&gt;$B$37,BE36*Parameters!$B$105,$B$33*$B$32+(BE36-$B$33*$B$32)*(1-$B$34))</f>
        <v>5.4194314115430894E-2</v>
      </c>
      <c r="BG36" s="23">
        <f>+IF(BG4&gt;$B$37,BF36*Parameters!$B$105,$B$33*$B$32+(BF36-$B$33*$B$32)*(1-$B$34))</f>
        <v>2.7097157057715447E-2</v>
      </c>
      <c r="BH36" s="23">
        <f>+IF(BH4&gt;$B$37,BG36*Parameters!$B$105,$B$33*$B$32+(BG36-$B$33*$B$32)*(1-$B$34))</f>
        <v>1.3548578528857724E-2</v>
      </c>
      <c r="BI36" s="23">
        <f>+IF(BI4&gt;$B$37,BH36*Parameters!$B$105,$B$33*$B$32+(BH36-$B$33*$B$32)*(1-$B$34))</f>
        <v>6.7742892644288618E-3</v>
      </c>
    </row>
    <row r="37" spans="1:61 16384:16384" s="33" customFormat="1" ht="18" customHeight="1" x14ac:dyDescent="0.2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 x14ac:dyDescent="0.2">
      <c r="A41" s="21" t="s">
        <v>92</v>
      </c>
      <c r="B41" s="29">
        <f>+Parameters!L69</f>
        <v>0.16598916703912928</v>
      </c>
    </row>
    <row r="42" spans="1:61 16384:16384" s="45" customFormat="1" ht="18" customHeight="1" x14ac:dyDescent="0.2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 x14ac:dyDescent="0.2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 x14ac:dyDescent="0.2">
      <c r="A44" s="21" t="s">
        <v>23</v>
      </c>
      <c r="B44" s="29">
        <f>+Parameters!L70</f>
        <v>0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+Parameters!D137</f>
        <v>0</v>
      </c>
      <c r="C48" s="219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7.3832210922107286E-4</v>
      </c>
      <c r="D50" s="44">
        <f>100*$B$49*(Global!C135*$B$48+Global!C135^2*$C$48)*(C61/$B61)^(1/$C$49)</f>
        <v>9.9590012335544985E-4</v>
      </c>
      <c r="E50" s="44">
        <f>100*$B$49*(Global!D135*$B$48+Global!D135^2*$C$48)*(D61/$B61)^(1/$C$49)</f>
        <v>1.3589027640875289E-3</v>
      </c>
      <c r="F50" s="44">
        <f>100*$B$49*(Global!E135*$B$48+Global!E135^2*$C$48)*(E61/$B61)^(1/$C$49)</f>
        <v>1.7820093441908728E-3</v>
      </c>
      <c r="G50" s="44">
        <f>100*$B$49*(Global!F135*$B$48+Global!F135^2*$C$48)*(F61/$B61)^(1/$C$49)</f>
        <v>2.3148822929430005E-3</v>
      </c>
      <c r="H50" s="44">
        <f>100*$B$49*(Global!G135*$B$48+Global!G135^2*$C$48)*(G61/$B61)^(1/$C$49)</f>
        <v>3.0025109948342383E-3</v>
      </c>
      <c r="I50" s="44">
        <f>100*$B$49*(Global!H135*$B$48+Global!H135^2*$C$48)*(H61/$B61)^(1/$C$49)</f>
        <v>3.7154362362023206E-3</v>
      </c>
      <c r="J50" s="44">
        <f>100*$B$49*(Global!I135*$B$48+Global!I135^2*$C$48)*(I61/$B61)^(1/$C$49)</f>
        <v>4.5663303939717835E-3</v>
      </c>
      <c r="K50" s="44">
        <f>100*$B$49*(Global!J135*$B$48+Global!J135^2*$C$48)*(J61/$B61)^(1/$C$49)</f>
        <v>5.6418220065928915E-3</v>
      </c>
      <c r="L50" s="44">
        <f>100*$B$49*(Global!K135*$B$48+Global!K135^2*$C$48)*(K61/$B61)^(1/$C$49)</f>
        <v>6.6878491409635499E-3</v>
      </c>
      <c r="M50" s="44">
        <f>100*$B$49*(Global!L135*$B$48+Global!L135^2*$C$48)*(L61/$B61)^(1/$C$49)</f>
        <v>7.7546146495115868E-3</v>
      </c>
      <c r="N50" s="44">
        <f>100*$B$49*(Global!M135*$B$48+Global!M135^2*$C$48)*(M61/$B61)^(1/$C$49)</f>
        <v>8.8029781435514289E-3</v>
      </c>
      <c r="O50" s="44">
        <f>100*$B$49*(Global!N135*$B$48+Global!N135^2*$C$48)*(N61/$B61)^(1/$C$49)</f>
        <v>9.9954347235521324E-3</v>
      </c>
      <c r="P50" s="44">
        <f>100*$B$49*(Global!O135*$B$48+Global!O135^2*$C$48)*(O61/$B61)^(1/$C$49)</f>
        <v>1.1354131557988523E-2</v>
      </c>
      <c r="Q50" s="44">
        <f>100*$B$49*(Global!P135*$B$48+Global!P135^2*$C$48)*(P61/$B61)^(1/$C$49)</f>
        <v>1.2702665469469522E-2</v>
      </c>
      <c r="R50" s="44">
        <f>100*$B$49*(Global!Q135*$B$48+Global!Q135^2*$C$48)*(Q61/$B61)^(1/$C$49)</f>
        <v>1.4309679950960382E-2</v>
      </c>
      <c r="S50" s="44">
        <f>100*$B$49*(Global!R135*$B$48+Global!R135^2*$C$48)*(R61/$B61)^(1/$C$49)</f>
        <v>1.5985769821579149E-2</v>
      </c>
      <c r="T50" s="44">
        <f>100*$B$49*(Global!S135*$B$48+Global!S135^2*$C$48)*(S61/$B61)^(1/$C$49)</f>
        <v>1.7775630058446911E-2</v>
      </c>
      <c r="U50" s="44">
        <f>100*$B$49*(Global!T135*$B$48+Global!T135^2*$C$48)*(T61/$B61)^(1/$C$49)</f>
        <v>1.9283355355364643E-2</v>
      </c>
      <c r="V50" s="44">
        <f>100*$B$49*(Global!U135*$B$48+Global!U135^2*$C$48)*(U61/$B61)^(1/$C$49)</f>
        <v>2.1248543244181541E-2</v>
      </c>
      <c r="W50" s="44">
        <f>100*$B$49*(Global!V135*$B$48+Global!V135^2*$C$48)*(V61/$B61)^(1/$C$49)</f>
        <v>2.3465752779126822E-2</v>
      </c>
      <c r="X50" s="44">
        <f>100*$B$49*(Global!W135*$B$48+Global!W135^2*$C$48)*(W61/$B61)^(1/$C$49)</f>
        <v>2.5428598326174841E-2</v>
      </c>
      <c r="Y50" s="44">
        <f>100*$B$49*(Global!X135*$B$48+Global!X135^2*$C$48)*(X61/$B61)^(1/$C$49)</f>
        <v>2.7553307684563967E-2</v>
      </c>
      <c r="Z50" s="44">
        <f>100*$B$49*(Global!Y135*$B$48+Global!Y135^2*$C$48)*(Y61/$B61)^(1/$C$49)</f>
        <v>2.9882811619711631E-2</v>
      </c>
      <c r="AA50" s="44">
        <f>100*$B$49*(Global!Z135*$B$48+Global!Z135^2*$C$48)*(Z61/$B61)^(1/$C$49)</f>
        <v>3.2501679874367806E-2</v>
      </c>
      <c r="AB50" s="44">
        <f>100*$B$49*(Global!AA135*$B$48+Global!AA135^2*$C$48)*(AA61/$B61)^(1/$C$49)</f>
        <v>3.5602145647359675E-2</v>
      </c>
      <c r="AC50" s="44">
        <f>100*$B$49*(Global!AB135*$B$48+Global!AB135^2*$C$48)*(AB61/$B61)^(1/$C$49)</f>
        <v>3.9104250828873831E-2</v>
      </c>
      <c r="AD50" s="44">
        <f>100*$B$49*(Global!AC135*$B$48+Global!AC135^2*$C$48)*(AC61/$B61)^(1/$C$49)</f>
        <v>4.2443934127794181E-2</v>
      </c>
      <c r="AE50" s="44">
        <f>100*$B$49*(Global!AD135*$B$48+Global!AD135^2*$C$48)*(AD61/$B61)^(1/$C$49)</f>
        <v>4.5731374001547608E-2</v>
      </c>
      <c r="AF50" s="44">
        <f>100*$B$49*(Global!AE135*$B$48+Global!AE135^2*$C$48)*(AE61/$B61)^(1/$C$49)</f>
        <v>4.9141565968787451E-2</v>
      </c>
      <c r="AG50" s="44">
        <f>100*$B$49*(Global!AF135*$B$48+Global!AF135^2*$C$48)*(AF61/$B61)^(1/$C$49)</f>
        <v>5.144454377069578E-2</v>
      </c>
      <c r="AH50" s="44">
        <f>100*$B$49*(Global!AG135*$B$48+Global!AG135^2*$C$48)*(AG61/$B61)^(1/$C$49)</f>
        <v>5.5325477210290422E-2</v>
      </c>
      <c r="AI50" s="44">
        <f>100*$B$49*(Global!AH135*$B$48+Global!AH135^2*$C$48)*(AH61/$B61)^(1/$C$49)</f>
        <v>5.9228680089211672E-2</v>
      </c>
      <c r="AJ50" s="44">
        <f>100*$B$49*(Global!AI135*$B$48+Global!AI135^2*$C$48)*(AI61/$B61)^(1/$C$49)</f>
        <v>0.11758223837804245</v>
      </c>
      <c r="AK50" s="44">
        <f>100*$B$49*(Global!AJ135*$B$48+Global!AJ135^2*$C$48)*(AJ61/$B61)^(1/$C$49)</f>
        <v>0.13924551596512283</v>
      </c>
      <c r="AL50" s="44">
        <f>100*$B$49*(Global!AK135*$B$48+Global!AK135^2*$C$48)*(AK61/$B61)^(1/$C$49)</f>
        <v>0.14921982063012773</v>
      </c>
      <c r="AM50" s="44">
        <f>100*$B$49*(Global!AL135*$B$48+Global!AL135^2*$C$48)*(AL61/$B61)^(1/$C$49)</f>
        <v>0.15483364139003417</v>
      </c>
      <c r="AN50" s="44">
        <f>100*$B$49*(Global!AM135*$B$48+Global!AM135^2*$C$48)*(AM61/$B61)^(1/$C$49)</f>
        <v>0.1586147371418466</v>
      </c>
      <c r="AO50" s="44">
        <f>100*$B$49*(Global!AN135*$B$48+Global!AN135^2*$C$48)*(AN61/$B61)^(1/$C$49)</f>
        <v>0.16154919652457875</v>
      </c>
      <c r="AP50" s="44">
        <f>100*$B$49*(Global!AO135*$B$48+Global!AO135^2*$C$48)*(AO61/$B61)^(1/$C$49)</f>
        <v>0.16408236268905182</v>
      </c>
      <c r="AQ50" s="44">
        <f>100*$B$49*(Global!AP135*$B$48+Global!AP135^2*$C$48)*(AP61/$B61)^(1/$C$49)</f>
        <v>0.1664334497199442</v>
      </c>
      <c r="AR50" s="44">
        <f>100*$B$49*(Global!AQ135*$B$48+Global!AQ135^2*$C$48)*(AQ61/$B61)^(1/$C$49)</f>
        <v>0.16871588468297663</v>
      </c>
      <c r="AS50" s="44">
        <f>100*$B$49*(Global!AR135*$B$48+Global!AR135^2*$C$48)*(AR61/$B61)^(1/$C$49)</f>
        <v>0.17099027337794737</v>
      </c>
      <c r="AT50" s="44">
        <f>100*$B$49*(Global!AS135*$B$48+Global!AS135^2*$C$48)*(AS61/$B61)^(1/$C$49)</f>
        <v>0.17328985149680121</v>
      </c>
      <c r="AU50" s="44">
        <f>100*$B$49*(Global!AT135*$B$48+Global!AT135^2*$C$48)*(AT61/$B61)^(1/$C$49)</f>
        <v>0.17563336548597408</v>
      </c>
      <c r="AV50" s="44">
        <f>100*$B$49*(Global!AU135*$B$48+Global!AU135^2*$C$48)*(AU61/$B61)^(1/$C$49)</f>
        <v>0.17803178865180405</v>
      </c>
      <c r="AW50" s="44">
        <f>100*$B$49*(Global!AV135*$B$48+Global!AV135^2*$C$48)*(AV61/$B61)^(1/$C$49)</f>
        <v>0.18049188340084479</v>
      </c>
      <c r="AX50" s="44">
        <f>100*$B$49*(Global!AW135*$B$48+Global!AW135^2*$C$48)*(AW61/$B61)^(1/$C$49)</f>
        <v>0.18301811018347725</v>
      </c>
      <c r="AY50" s="44">
        <f>100*$B$49*(Global!AX135*$B$48+Global!AX135^2*$C$48)*(AX61/$B61)^(1/$C$49)</f>
        <v>0.18561365761576068</v>
      </c>
      <c r="AZ50" s="44">
        <f>100*$B$49*(Global!AY135*$B$48+Global!AY135^2*$C$48)*(AY61/$B61)^(1/$C$49)</f>
        <v>0.18828100165142364</v>
      </c>
      <c r="BA50" s="44">
        <f>100*$B$49*(Global!AZ135*$B$48+Global!AZ135^2*$C$48)*(AZ61/$B61)^(1/$C$49)</f>
        <v>0.19102221109315454</v>
      </c>
      <c r="BB50" s="44">
        <f>100*$B$49*(Global!BA135*$B$48+Global!BA135^2*$C$48)*(BA61/$B61)^(1/$C$49)</f>
        <v>0.19383911597305656</v>
      </c>
      <c r="BC50" s="44">
        <f>100*$B$49*(Global!BB135*$B$48+Global!BB135^2*$C$48)*(BB61/$B61)^(1/$C$49)</f>
        <v>0.19673340154716709</v>
      </c>
      <c r="BD50" s="44">
        <f>100*$B$49*(Global!BC135*$B$48+Global!BC135^2*$C$48)*(BC61/$B61)^(1/$C$49)</f>
        <v>0.19970666177906679</v>
      </c>
      <c r="BE50" s="44">
        <f>100*$B$49*(Global!BD135*$B$48+Global!BD135^2*$C$48)*(BD61/$B61)^(1/$C$49)</f>
        <v>0.20276043063979207</v>
      </c>
      <c r="BF50" s="44">
        <f>100*$B$49*(Global!BE135*$B$48+Global!BE135^2*$C$48)*(BE61/$B61)^(1/$C$49)</f>
        <v>0.20589620116019353</v>
      </c>
      <c r="BG50" s="44">
        <f>100*$B$49*(Global!BF135*$B$48+Global!BF135^2*$C$48)*(BF61/$B61)^(1/$C$49)</f>
        <v>0.20911817492800294</v>
      </c>
      <c r="BH50" s="44">
        <f>100*$B$49*(Global!BG135*$B$48+Global!BG135^2*$C$48)*(BG61/$B61)^(1/$C$49)</f>
        <v>0.21242509314354521</v>
      </c>
      <c r="BI50" s="44">
        <f>100*$B$49*(Global!BH135*$B$48+Global!BH135^2*$C$48)*(BH61/$B61)^(1/$C$49)</f>
        <v>0.21581765407305475</v>
      </c>
      <c r="BJ50" s="44">
        <f>100*$B$49*(Global!BI135*$B$48+Global!BI135^2*$C$48)*(BI61/$B61)^(1/$C$49)</f>
        <v>0.21929724483493193</v>
      </c>
      <c r="BK50" s="44">
        <f>100*$B$49*(Global!BJ80*$B$48+Global!BJ80^2*$C$48)*(BJ61/$B61)^(1/$C$49)</f>
        <v>0.22098915330368665</v>
      </c>
      <c r="BL50" s="44">
        <f>100*$B$49*(Global!BK80*$B$48+Global!BK80^2*$C$48)*(BK61/$B61)^(1/$C$49)</f>
        <v>0.22273059559503483</v>
      </c>
      <c r="BM50" s="44">
        <f>100*$B$49*(Global!BL80*$B$48+Global!BL80^2*$C$48)*(BL61/$B61)^(1/$C$49)</f>
        <v>0.22452098756676087</v>
      </c>
      <c r="BN50" s="44">
        <f>100*$B$49*(Global!BM80*$B$48+Global!BM80^2*$C$48)*(BM61/$B61)^(1/$C$49)</f>
        <v>0.22635976610569675</v>
      </c>
      <c r="BO50" s="44">
        <f>100*$B$49*(Global!BN80*$B$48+Global!BN80^2*$C$48)*(BN61/$B61)^(1/$C$49)</f>
        <v>0.22824638802944153</v>
      </c>
      <c r="BP50" s="44">
        <f>100*$B$49*(Global!BO80*$B$48+Global!BO80^2*$C$48)*(BO61/$B61)^(1/$C$49)</f>
        <v>0.23018032904794625</v>
      </c>
      <c r="BQ50" s="44">
        <f>100*$B$49*(Global!BP80*$B$48+Global!BP80^2*$C$48)*(BP61/$B61)^(1/$C$49)</f>
        <v>0.23216108278180464</v>
      </c>
      <c r="BR50" s="44">
        <f>100*$B$49*(Global!BQ80*$B$48+Global!BQ80^2*$C$48)*(BQ61/$B61)^(1/$C$49)</f>
        <v>0.23418815983425037</v>
      </c>
      <c r="BS50" s="44">
        <f>100*$B$49*(Global!BR80*$B$48+Global!BR80^2*$C$48)*(BR61/$B61)^(1/$C$49)</f>
        <v>0.23626108691401757</v>
      </c>
      <c r="BT50" s="44">
        <f>100*$B$49*(Global!BS80*$B$48+Global!BS80^2*$C$48)*(BS61/$B61)^(1/$C$49)</f>
        <v>0.23837940600636454</v>
      </c>
      <c r="BU50" s="44">
        <f>100*$B$49*(Global!BT80*$B$48+Global!BT80^2*$C$48)*(BT61/$B61)^(1/$C$49)</f>
        <v>0.24054267358969605</v>
      </c>
      <c r="BV50" s="44">
        <f>100*$B$49*(Global!BU80*$B$48+Global!BU80^2*$C$48)*(BU61/$B61)^(1/$C$49)</f>
        <v>0.24275045989535821</v>
      </c>
      <c r="BW50" s="44">
        <f>100*$B$49*(Global!BV80*$B$48+Global!BV80^2*$C$48)*(BV61/$B61)^(1/$C$49)</f>
        <v>0.24500234820829647</v>
      </c>
      <c r="BX50" s="44">
        <f>100*$B$49*(Global!BW80*$B$48+Global!BW80^2*$C$48)*(BW61/$B61)^(1/$C$49)</f>
        <v>0.24729793420639098</v>
      </c>
      <c r="BY50" s="44">
        <f>100*$B$49*(Global!BX80*$B$48+Global!BX80^2*$C$48)*(BX61/$B61)^(1/$C$49)</f>
        <v>0.24963682533639422</v>
      </c>
      <c r="BZ50" s="44">
        <f>100*$B$49*(Global!BY80*$B$48+Global!BY80^2*$C$48)*(BY61/$B61)^(1/$C$49)</f>
        <v>0.25201864022450315</v>
      </c>
      <c r="CA50" s="44">
        <f>100*$B$49*(Global!BZ80*$B$48+Global!BZ80^2*$C$48)*(BZ61/$B61)^(1/$C$49)</f>
        <v>0.25444300811969883</v>
      </c>
      <c r="CB50" s="44">
        <f>100*$B$49*(Global!CA80*$B$48+Global!CA80^2*$C$48)*(CA61/$B61)^(1/$C$49)</f>
        <v>0.25690956836808593</v>
      </c>
      <c r="CC50" s="44">
        <f>100*$B$49*(Global!CB80*$B$48+Global!CB80^2*$C$48)*(CB61/$B61)^(1/$C$49)</f>
        <v>0.25941796991655047</v>
      </c>
      <c r="CD50" s="44">
        <f>100*$B$49*(Global!CC80*$B$48+Global!CC80^2*$C$48)*(CC61/$B61)^(1/$C$49)</f>
        <v>0.26196787084414846</v>
      </c>
      <c r="CE50" s="44">
        <f>100*$B$49*(Global!CD80*$B$48+Global!CD80^2*$C$48)*(CD61/$B61)^(1/$C$49)</f>
        <v>0.26455893791971452</v>
      </c>
      <c r="CF50" s="44">
        <f>100*$B$49*(Global!CE80*$B$48+Global!CE80^2*$C$48)*(CE61/$B61)^(1/$C$49)</f>
        <v>0.2671908461842612</v>
      </c>
      <c r="CG50" s="44">
        <f>100*$B$49*(Global!CF80*$B$48+Global!CF80^2*$C$48)*(CF61/$B61)^(1/$C$49)</f>
        <v>0.26986327855681558</v>
      </c>
      <c r="CH50" s="44">
        <f>100*$B$49*(Global!CG80*$B$48+Global!CG80^2*$C$48)*(CG61/$B61)^(1/$C$49)</f>
        <v>0.272575925462405</v>
      </c>
      <c r="CI50" s="44">
        <f>100*$B$49*(Global!CH80*$B$48+Global!CH80^2*$C$48)*(CH61/$B61)^(1/$C$49)</f>
        <v>0.27532848448097896</v>
      </c>
      <c r="CJ50" s="44">
        <f>100*$B$49*(Global!CI80*$B$48+Global!CI80^2*$C$48)*(CI61/$B61)^(1/$C$49)</f>
        <v>0.27812066001611069</v>
      </c>
      <c r="CK50" s="44">
        <f>100*$B$49*(Global!CJ80*$B$48+Global!CJ80^2*$C$48)*(CJ61/$B61)^(1/$C$49)</f>
        <v>0.28095216298238707</v>
      </c>
      <c r="CL50" s="44">
        <f>100*$B$49*(Global!CK80*$B$48+Global!CK80^2*$C$48)*(CK61/$B61)^(1/$C$49)</f>
        <v>0.28382271051045177</v>
      </c>
      <c r="CM50" s="44">
        <f>100*$B$49*(Global!CL80*$B$48+Global!CL80^2*$C$48)*(CL61/$B61)^(1/$C$49)</f>
        <v>0.28673202566872014</v>
      </c>
      <c r="CN50" s="44">
        <f>100*$B$49*(Global!CM80*$B$48+Global!CM80^2*$C$48)*(CM61/$B61)^(1/$C$49)</f>
        <v>0.28967983720083829</v>
      </c>
      <c r="CO50" s="44">
        <f>100*$B$49*(Global!CN80*$B$48+Global!CN80^2*$C$48)*(CN61/$B61)^(1/$C$49)</f>
        <v>0.29266587927800658</v>
      </c>
      <c r="CP50" s="44">
        <f>100*$B$49*(Global!CO80*$B$48+Global!CO80^2*$C$48)*(CO61/$B61)^(1/$C$49)</f>
        <v>0.29568989126533318</v>
      </c>
      <c r="CQ50" s="44">
        <f>100*$B$49*(Global!CP80*$B$48+Global!CP80^2*$C$48)*(CP61/$B61)^(1/$C$49)</f>
        <v>0.29875161750143292</v>
      </c>
      <c r="CR50" s="44">
        <f>100*$B$49*(Global!CQ80*$B$48+Global!CQ80^2*$C$48)*(CQ61/$B61)^(1/$C$49)</f>
        <v>0.3018508070905202</v>
      </c>
      <c r="CS50" s="44">
        <f>100*$B$49*(Global!CR80*$B$48+Global!CR80^2*$C$48)*(CR61/$B61)^(1/$C$49)</f>
        <v>0.30498721370629456</v>
      </c>
      <c r="CT50" s="44">
        <f>100*$B$49*(Global!CS80*$B$48+Global!CS80^2*$C$48)*(CS61/$B61)^(1/$C$49)</f>
        <v>0.30816059540694501</v>
      </c>
      <c r="CU50" s="44">
        <f>100*$B$49*(Global!CT80*$B$48+Global!CT80^2*$C$48)*(CT61/$B61)^(1/$C$49)</f>
        <v>0.31137071446064618</v>
      </c>
      <c r="CV50" s="44">
        <f>100*$B$49*(Global!CU80*$B$48+Global!CU80^2*$C$48)*(CU61/$B61)^(1/$C$49)</f>
        <v>0.31461733718094259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35">
        <f>+Data!B240/1000</f>
        <v>1.9576620477276797E-3</v>
      </c>
      <c r="C52" s="114">
        <f>+B95-B92</f>
        <v>-277.8354772935968</v>
      </c>
    </row>
    <row r="53" spans="1:105" ht="18" customHeight="1" x14ac:dyDescent="0.2">
      <c r="A53" s="21" t="s">
        <v>121</v>
      </c>
      <c r="B53" s="135">
        <f>+Data!O175</f>
        <v>28.62702664604187</v>
      </c>
      <c r="C53" s="114">
        <f>+Data!Q175</f>
        <v>121.65263232935504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5" x14ac:dyDescent="0.2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5" x14ac:dyDescent="0.2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1.583371286822935</v>
      </c>
      <c r="C61" s="682">
        <v>1.6001048523142207</v>
      </c>
      <c r="D61" s="682">
        <v>1.6878289370597801</v>
      </c>
      <c r="E61" s="682">
        <v>1.7680139127982437</v>
      </c>
      <c r="F61" s="682">
        <v>1.8857446168035419</v>
      </c>
      <c r="G61" s="682">
        <v>2.0285801888866857</v>
      </c>
      <c r="H61" s="682">
        <v>2.1817283015895597</v>
      </c>
      <c r="I61" s="682">
        <v>2.2700843892372879</v>
      </c>
      <c r="J61" s="682">
        <v>2.4104758473717016</v>
      </c>
      <c r="K61" s="682">
        <v>2.6237006486484646</v>
      </c>
      <c r="L61" s="682">
        <v>2.724476758538481</v>
      </c>
      <c r="M61" s="682">
        <v>2.8559045982833373</v>
      </c>
      <c r="N61" s="682">
        <v>2.964542504396817</v>
      </c>
      <c r="O61" s="682">
        <v>3.1975668542578224</v>
      </c>
      <c r="P61" s="682">
        <v>3.4509080492658613</v>
      </c>
      <c r="Q61" s="682">
        <v>3.7243383543465294</v>
      </c>
      <c r="R61" s="682">
        <v>4.0245473091727915</v>
      </c>
      <c r="S61" s="682">
        <v>4.3328604357668663</v>
      </c>
      <c r="T61" s="682">
        <v>4.4666027547595624</v>
      </c>
      <c r="U61" s="682">
        <v>4.8177620979258604</v>
      </c>
      <c r="V61" s="682">
        <v>5.2271555129440372</v>
      </c>
      <c r="W61" s="682">
        <v>5.5011271989964632</v>
      </c>
      <c r="X61" s="682">
        <v>5.8012900847493585</v>
      </c>
      <c r="Y61" s="682">
        <v>6.1717666422017068</v>
      </c>
      <c r="Z61" s="682">
        <v>6.6291085973657893</v>
      </c>
      <c r="AA61" s="682">
        <v>7.1591889448525938</v>
      </c>
      <c r="AB61" s="682">
        <v>7.7502734553927803</v>
      </c>
      <c r="AC61" s="682">
        <v>8.2769342530513654</v>
      </c>
      <c r="AD61" s="682">
        <v>8.8111152853142478</v>
      </c>
      <c r="AE61" s="682">
        <v>9.1522320572324709</v>
      </c>
      <c r="AF61" s="682">
        <v>8.6185605351107935</v>
      </c>
      <c r="AG61" s="682">
        <v>9.3985642152678128</v>
      </c>
      <c r="AH61" s="682">
        <v>10.078991437253588</v>
      </c>
      <c r="AI61" s="45">
        <f t="shared" ref="B61:BI61" si="11">AI20*AI74^$B7*(AI56/1000)^(1-$B7)</f>
        <v>123.16213371487068</v>
      </c>
      <c r="AJ61" s="45">
        <f t="shared" si="11"/>
        <v>241.77579828798901</v>
      </c>
      <c r="AK61" s="45">
        <f t="shared" si="11"/>
        <v>317.74706361561203</v>
      </c>
      <c r="AL61" s="45">
        <f t="shared" si="11"/>
        <v>366.48159641135476</v>
      </c>
      <c r="AM61" s="45">
        <f t="shared" si="11"/>
        <v>400.98310120260862</v>
      </c>
      <c r="AN61" s="45">
        <f t="shared" si="11"/>
        <v>428.05117449403929</v>
      </c>
      <c r="AO61" s="45">
        <f t="shared" si="11"/>
        <v>451.26309969748394</v>
      </c>
      <c r="AP61" s="45">
        <f t="shared" si="11"/>
        <v>472.55151287742086</v>
      </c>
      <c r="AQ61" s="45">
        <f t="shared" si="11"/>
        <v>492.98220311100715</v>
      </c>
      <c r="AR61" s="45">
        <f t="shared" si="11"/>
        <v>513.15322013031675</v>
      </c>
      <c r="AS61" s="45">
        <f t="shared" si="11"/>
        <v>533.40681420054182</v>
      </c>
      <c r="AT61" s="45">
        <f t="shared" si="11"/>
        <v>553.94438667441113</v>
      </c>
      <c r="AU61" s="45">
        <f t="shared" si="11"/>
        <v>574.88957962033521</v>
      </c>
      <c r="AV61" s="45">
        <f t="shared" si="11"/>
        <v>596.32312412522094</v>
      </c>
      <c r="AW61" s="45">
        <f t="shared" si="11"/>
        <v>618.30215545104443</v>
      </c>
      <c r="AX61" s="45">
        <f t="shared" si="11"/>
        <v>640.87094035773384</v>
      </c>
      <c r="AY61" s="45">
        <f t="shared" si="11"/>
        <v>664.06684451756189</v>
      </c>
      <c r="AZ61" s="45">
        <f t="shared" si="11"/>
        <v>687.92365897436798</v>
      </c>
      <c r="BA61" s="45">
        <f t="shared" si="11"/>
        <v>712.473461057245</v>
      </c>
      <c r="BB61" s="45">
        <f t="shared" si="11"/>
        <v>737.7476623334129</v>
      </c>
      <c r="BC61" s="45">
        <f t="shared" si="11"/>
        <v>763.77760598860061</v>
      </c>
      <c r="BD61" s="45">
        <f t="shared" si="11"/>
        <v>790.59491483815611</v>
      </c>
      <c r="BE61" s="45">
        <f t="shared" si="11"/>
        <v>818.23170163279224</v>
      </c>
      <c r="BF61" s="45">
        <f t="shared" si="11"/>
        <v>846.7650382832104</v>
      </c>
      <c r="BG61" s="45">
        <f t="shared" si="11"/>
        <v>876.18626694735985</v>
      </c>
      <c r="BH61" s="45">
        <f t="shared" si="11"/>
        <v>906.51738604122818</v>
      </c>
      <c r="BI61" s="45">
        <f t="shared" si="11"/>
        <v>937.79230391165436</v>
      </c>
      <c r="BJ61" s="45">
        <f>+BI61</f>
        <v>937.79230391165436</v>
      </c>
      <c r="BK61" s="45">
        <f t="shared" ref="BK61:CV61" si="12">+BJ61</f>
        <v>937.79230391165436</v>
      </c>
      <c r="BL61" s="45">
        <f t="shared" si="12"/>
        <v>937.79230391165436</v>
      </c>
      <c r="BM61" s="45">
        <f t="shared" si="12"/>
        <v>937.79230391165436</v>
      </c>
      <c r="BN61" s="45">
        <f t="shared" si="12"/>
        <v>937.79230391165436</v>
      </c>
      <c r="BO61" s="45">
        <f t="shared" si="12"/>
        <v>937.79230391165436</v>
      </c>
      <c r="BP61" s="45">
        <f t="shared" si="12"/>
        <v>937.79230391165436</v>
      </c>
      <c r="BQ61" s="45">
        <f t="shared" si="12"/>
        <v>937.79230391165436</v>
      </c>
      <c r="BR61" s="45">
        <f t="shared" si="12"/>
        <v>937.79230391165436</v>
      </c>
      <c r="BS61" s="45">
        <f t="shared" si="12"/>
        <v>937.79230391165436</v>
      </c>
      <c r="BT61" s="45">
        <f t="shared" si="12"/>
        <v>937.79230391165436</v>
      </c>
      <c r="BU61" s="45">
        <f t="shared" si="12"/>
        <v>937.79230391165436</v>
      </c>
      <c r="BV61" s="45">
        <f t="shared" si="12"/>
        <v>937.79230391165436</v>
      </c>
      <c r="BW61" s="45">
        <f t="shared" si="12"/>
        <v>937.79230391165436</v>
      </c>
      <c r="BX61" s="45">
        <f t="shared" si="12"/>
        <v>937.79230391165436</v>
      </c>
      <c r="BY61" s="45">
        <f t="shared" si="12"/>
        <v>937.79230391165436</v>
      </c>
      <c r="BZ61" s="45">
        <f t="shared" si="12"/>
        <v>937.79230391165436</v>
      </c>
      <c r="CA61" s="45">
        <f t="shared" si="12"/>
        <v>937.79230391165436</v>
      </c>
      <c r="CB61" s="45">
        <f t="shared" si="12"/>
        <v>937.79230391165436</v>
      </c>
      <c r="CC61" s="45">
        <f t="shared" si="12"/>
        <v>937.79230391165436</v>
      </c>
      <c r="CD61" s="45">
        <f t="shared" si="12"/>
        <v>937.79230391165436</v>
      </c>
      <c r="CE61" s="45">
        <f t="shared" si="12"/>
        <v>937.79230391165436</v>
      </c>
      <c r="CF61" s="45">
        <f t="shared" si="12"/>
        <v>937.79230391165436</v>
      </c>
      <c r="CG61" s="45">
        <f t="shared" si="12"/>
        <v>937.79230391165436</v>
      </c>
      <c r="CH61" s="45">
        <f t="shared" si="12"/>
        <v>937.79230391165436</v>
      </c>
      <c r="CI61" s="45">
        <f t="shared" si="12"/>
        <v>937.79230391165436</v>
      </c>
      <c r="CJ61" s="45">
        <f t="shared" si="12"/>
        <v>937.79230391165436</v>
      </c>
      <c r="CK61" s="45">
        <f t="shared" si="12"/>
        <v>937.79230391165436</v>
      </c>
      <c r="CL61" s="45">
        <f t="shared" si="12"/>
        <v>937.79230391165436</v>
      </c>
      <c r="CM61" s="45">
        <f t="shared" si="12"/>
        <v>937.79230391165436</v>
      </c>
      <c r="CN61" s="45">
        <f t="shared" si="12"/>
        <v>937.79230391165436</v>
      </c>
      <c r="CO61" s="45">
        <f t="shared" si="12"/>
        <v>937.79230391165436</v>
      </c>
      <c r="CP61" s="45">
        <f t="shared" si="12"/>
        <v>937.79230391165436</v>
      </c>
      <c r="CQ61" s="45">
        <f t="shared" si="12"/>
        <v>937.79230391165436</v>
      </c>
      <c r="CR61" s="45">
        <f t="shared" si="12"/>
        <v>937.79230391165436</v>
      </c>
      <c r="CS61" s="45">
        <f t="shared" si="12"/>
        <v>937.79230391165436</v>
      </c>
      <c r="CT61" s="45">
        <f t="shared" si="12"/>
        <v>937.79230391165436</v>
      </c>
      <c r="CU61" s="45">
        <f t="shared" si="12"/>
        <v>937.79230391165436</v>
      </c>
      <c r="CV61" s="45">
        <f t="shared" si="12"/>
        <v>937.79230391165436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4.0327912987443548E-3</v>
      </c>
      <c r="C62" s="63">
        <f>($B24*C81+$B25*C81^$B$26+$B$29*(C81/$B$27)^$B$28)*Parameters!$B$116*0.01</f>
        <v>3.6961638644800532E-3</v>
      </c>
      <c r="D62" s="63">
        <f>($B24*D81+$B25*D81^$B$26+$B$29*(D81/$B$27)^$B$28)*Parameters!$B$116*0.01</f>
        <v>2.5542185576853445E-3</v>
      </c>
      <c r="E62" s="63">
        <f>($B24*E81+$B25*E81^$B$26+$B$29*(E81/$B$27)^$B$28)*Parameters!$B$116*0.01</f>
        <v>2.6147891211993858E-3</v>
      </c>
      <c r="F62" s="63">
        <f>($B24*F81+$B25*F81^$B$26+$B$29*(F81/$B$27)^$B$28)*Parameters!$B$116*0.01</f>
        <v>3.1115124913215896E-3</v>
      </c>
      <c r="G62" s="63">
        <f>($B24*G81+$B25*G81^$B$26+$B$29*(G81/$B$27)^$B$28)*Parameters!$B$116*0.01</f>
        <v>3.9647903195576123E-3</v>
      </c>
      <c r="H62" s="63">
        <f>($B24*H81+$B25*H81^$B$26+$B$29*(H81/$B$27)^$B$28)*Parameters!$B$116*0.01</f>
        <v>3.2390707955215498E-3</v>
      </c>
      <c r="I62" s="63">
        <f>($B24*I81+$B25*I81^$B$26+$B$29*(I81/$B$27)^$B$28)*Parameters!$B$116*0.01</f>
        <v>4.1011300240980375E-3</v>
      </c>
      <c r="J62" s="63">
        <f>($B24*J81+$B25*J81^$B$26+$B$29*(J81/$B$27)^$B$28)*Parameters!$B$116*0.01</f>
        <v>5.0933355265784042E-3</v>
      </c>
      <c r="K62" s="63">
        <f>($B24*K81+$B25*K81^$B$26+$B$29*(K81/$B$27)^$B$28)*Parameters!$B$116*0.01</f>
        <v>3.5638771139429189E-3</v>
      </c>
      <c r="L62" s="63">
        <f>($B24*L81+$B25*L81^$B$26+$B$29*(L81/$B$27)^$B$28)*Parameters!$B$116*0.01</f>
        <v>3.6298516161280153E-3</v>
      </c>
      <c r="M62" s="63">
        <f>($B24*M81+$B25*M81^$B$26+$B$29*(M81/$B$27)^$B$28)*Parameters!$B$116*0.01</f>
        <v>4.5889579942481676E-3</v>
      </c>
      <c r="N62" s="63">
        <f>($B24*N81+$B25*N81^$B$26+$B$29*(N81/$B$27)^$B$28)*Parameters!$B$116*0.01</f>
        <v>5.3145635186526213E-3</v>
      </c>
      <c r="O62" s="63">
        <f>($B24*O81+$B25*O81^$B$26+$B$29*(O81/$B$27)^$B$28)*Parameters!$B$116*0.01</f>
        <v>5.2404831084609405E-3</v>
      </c>
      <c r="P62" s="63">
        <f>($B24*P81+$B25*P81^$B$26+$B$29*(P81/$B$27)^$B$28)*Parameters!$B$116*0.01</f>
        <v>4.5889579942481676E-3</v>
      </c>
      <c r="Q62" s="63">
        <f>($B24*Q81+$B25*Q81^$B$26+$B$29*(Q81/$B$27)^$B$28)*Parameters!$B$116*0.01</f>
        <v>5.6142626210887482E-3</v>
      </c>
      <c r="R62" s="63">
        <f>($B24*R81+$B25*R81^$B$26+$B$29*(R81/$B$27)^$B$28)*Parameters!$B$116*0.01</f>
        <v>5.3889816750112406E-3</v>
      </c>
      <c r="S62" s="63">
        <f>($B24*S81+$B25*S81^$B$26+$B$29*(S81/$B$27)^$B$28)*Parameters!$B$116*0.01</f>
        <v>5.5388312262293054E-3</v>
      </c>
      <c r="T62" s="63">
        <f>($B24*T81+$B25*T81^$B$26+$B$29*(T81/$B$27)^$B$28)*Parameters!$B$116*0.01</f>
        <v>4.6599986889373788E-3</v>
      </c>
      <c r="U62" s="63">
        <f>($B24*U81+$B25*U81^$B$26+$B$29*(U81/$B$27)^$B$28)*Parameters!$B$116*0.01</f>
        <v>5.4637375775368029E-3</v>
      </c>
      <c r="V62" s="63">
        <f>($B24*V81+$B25*V81^$B$26+$B$29*(V81/$B$27)^$B$28)*Parameters!$B$116*0.01</f>
        <v>5.9964857878900789E-3</v>
      </c>
      <c r="W62" s="63">
        <f>($B24*W81+$B25*W81^$B$26+$B$29*(W81/$B$27)^$B$28)*Parameters!$B$116*0.01</f>
        <v>5.1667404444362018E-3</v>
      </c>
      <c r="X62" s="63">
        <f>($B24*X81+$B25*X81^$B$26+$B$29*(X81/$B$27)^$B$28)*Parameters!$B$116*0.01</f>
        <v>5.4637375775368029E-3</v>
      </c>
      <c r="Y62" s="63">
        <f>($B24*Y81+$B25*Y81^$B$26+$B$29*(Y81/$B$27)^$B$28)*Parameters!$B$116*0.01</f>
        <v>5.6900317621151322E-3</v>
      </c>
      <c r="Z62" s="63">
        <f>($B24*Z81+$B25*Z81^$B$26+$B$29*(Z81/$B$27)^$B$28)*Parameters!$B$116*0.01</f>
        <v>6.1517392777791988E-3</v>
      </c>
      <c r="AA62" s="63">
        <f>($B24*AA81+$B25*AA81^$B$26+$B$29*(AA81/$B$27)^$B$28)*Parameters!$B$116*0.01</f>
        <v>7.4424026449316505E-3</v>
      </c>
      <c r="AB62" s="63">
        <f>($B24*AB81+$B25*AB81^$B$26+$B$29*(AB81/$B$27)^$B$28)*Parameters!$B$116*0.01</f>
        <v>8.3798890156396941E-3</v>
      </c>
      <c r="AC62" s="63">
        <f>($B24*AC81+$B25*AC81^$B$26+$B$29*(AC81/$B$27)^$B$28)*Parameters!$B$116*0.01</f>
        <v>7.6098149968306453E-3</v>
      </c>
      <c r="AD62" s="63">
        <f>($B24*AD81+$B25*AD81^$B$26+$B$29*(AD81/$B$27)^$B$28)*Parameters!$B$116*0.01</f>
        <v>7.0297823231056343E-3</v>
      </c>
      <c r="AE62" s="63">
        <f>($B24*AE81+$B25*AE81^$B$26+$B$29*(AE81/$B$27)^$B$28)*Parameters!$B$116*0.01</f>
        <v>8.1201579605342088E-3</v>
      </c>
      <c r="AF62" s="63">
        <f>($B24*AF81+$B25*AF81^$B$26+$B$29*(AF81/$B$27)^$B$28)*Parameters!$B$116*0.01</f>
        <v>8.3798890156396941E-3</v>
      </c>
      <c r="AG62" s="63">
        <f>($B24*AG81+$B25*AG81^$B$26+$B$29*(AG81/$B$27)^$B$28)*Parameters!$B$116*0.01</f>
        <v>7.0297823231056343E-3</v>
      </c>
      <c r="AH62" s="63">
        <f>($B24*AH81+$B25*AH81^$B$26+$B$29*(AH81/$B$27)^$B$28)*Parameters!$B$116*0.01</f>
        <v>7.3592030882325653E-3</v>
      </c>
      <c r="AI62" s="63">
        <f>($B24*AI81+$B25*AI81^$B$26+$B$29*(AI81/$B$27)^$B$28)*Parameters!$B$116*0.01</f>
        <v>9.8164587269106412E-3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4.0327912987443548E-3</v>
      </c>
      <c r="C63" s="63">
        <f t="shared" si="13"/>
        <v>3.7035470855722639E-3</v>
      </c>
      <c r="D63" s="63">
        <f t="shared" si="13"/>
        <v>2.564177558918899E-3</v>
      </c>
      <c r="E63" s="63">
        <f t="shared" si="13"/>
        <v>2.6283781488402611E-3</v>
      </c>
      <c r="F63" s="63">
        <f t="shared" si="13"/>
        <v>3.1293325847634983E-3</v>
      </c>
      <c r="G63" s="63">
        <f t="shared" si="13"/>
        <v>3.9879391424870424E-3</v>
      </c>
      <c r="H63" s="63">
        <f t="shared" si="13"/>
        <v>3.2690959054698923E-3</v>
      </c>
      <c r="I63" s="63">
        <f t="shared" si="13"/>
        <v>4.1382843864600609E-3</v>
      </c>
      <c r="J63" s="63">
        <f t="shared" si="13"/>
        <v>5.1389988305181218E-3</v>
      </c>
      <c r="K63" s="63">
        <f t="shared" si="13"/>
        <v>3.6202953340088479E-3</v>
      </c>
      <c r="L63" s="63">
        <f t="shared" si="13"/>
        <v>3.6967301075376507E-3</v>
      </c>
      <c r="M63" s="63">
        <f t="shared" si="13"/>
        <v>4.6665041407432835E-3</v>
      </c>
      <c r="N63" s="63">
        <f t="shared" si="13"/>
        <v>5.4025933000881356E-3</v>
      </c>
      <c r="O63" s="63">
        <f t="shared" si="13"/>
        <v>5.3404374556964614E-3</v>
      </c>
      <c r="P63" s="63">
        <f t="shared" si="13"/>
        <v>4.7024993098280527E-3</v>
      </c>
      <c r="Q63" s="63">
        <f t="shared" si="13"/>
        <v>5.7412892757834431E-3</v>
      </c>
      <c r="R63" s="63">
        <f t="shared" si="13"/>
        <v>5.5320784745208447E-3</v>
      </c>
      <c r="S63" s="63">
        <f t="shared" si="13"/>
        <v>5.6986889244450972E-3</v>
      </c>
      <c r="T63" s="63">
        <f t="shared" si="13"/>
        <v>4.8377549895218478E-3</v>
      </c>
      <c r="U63" s="63">
        <f t="shared" si="13"/>
        <v>5.6565711310904493E-3</v>
      </c>
      <c r="V63" s="63">
        <f t="shared" si="13"/>
        <v>6.208971220331894E-3</v>
      </c>
      <c r="W63" s="63">
        <f t="shared" si="13"/>
        <v>5.40139797222747E-3</v>
      </c>
      <c r="X63" s="63">
        <f t="shared" si="13"/>
        <v>5.7180235607985509E-3</v>
      </c>
      <c r="Y63" s="63">
        <f t="shared" si="13"/>
        <v>5.965564838960772E-3</v>
      </c>
      <c r="Z63" s="63">
        <f t="shared" si="13"/>
        <v>6.450567393976315E-3</v>
      </c>
      <c r="AA63" s="63">
        <f t="shared" si="13"/>
        <v>7.7674194436753285E-3</v>
      </c>
      <c r="AB63" s="63">
        <f t="shared" si="13"/>
        <v>8.7359104721132907E-3</v>
      </c>
      <c r="AC63" s="63">
        <f t="shared" si="13"/>
        <v>8.0008575051193839E-3</v>
      </c>
      <c r="AD63" s="63">
        <f t="shared" si="13"/>
        <v>7.4542216643835764E-3</v>
      </c>
      <c r="AE63" s="63">
        <f t="shared" si="13"/>
        <v>8.5774717005496857E-3</v>
      </c>
      <c r="AF63" s="63">
        <f t="shared" si="13"/>
        <v>8.8713046753275682E-3</v>
      </c>
      <c r="AG63" s="63">
        <f t="shared" si="13"/>
        <v>7.5442277608125923E-3</v>
      </c>
      <c r="AH63" s="63">
        <f t="shared" si="13"/>
        <v>7.912457860335469E-3</v>
      </c>
      <c r="AI63" s="63">
        <f t="shared" si="13"/>
        <v>1.0408745527802759E-2</v>
      </c>
      <c r="AJ63" s="63">
        <f t="shared" si="13"/>
        <v>1.1758223837804245E-3</v>
      </c>
      <c r="AK63" s="63">
        <f t="shared" si="13"/>
        <v>1.3924551596512283E-3</v>
      </c>
      <c r="AL63" s="63">
        <f t="shared" si="13"/>
        <v>1.4921982063012774E-3</v>
      </c>
      <c r="AM63" s="63">
        <f t="shared" si="13"/>
        <v>1.5483364139003417E-3</v>
      </c>
      <c r="AN63" s="63">
        <f t="shared" si="13"/>
        <v>1.5861473714184659E-3</v>
      </c>
      <c r="AO63" s="63">
        <f t="shared" si="13"/>
        <v>1.6154919652457875E-3</v>
      </c>
      <c r="AP63" s="63">
        <f t="shared" si="13"/>
        <v>1.6408236268905182E-3</v>
      </c>
      <c r="AQ63" s="63">
        <f t="shared" si="13"/>
        <v>1.6643344971994419E-3</v>
      </c>
      <c r="AR63" s="63">
        <f t="shared" si="13"/>
        <v>1.6871588468297663E-3</v>
      </c>
      <c r="AS63" s="63">
        <f t="shared" si="13"/>
        <v>1.7099027337794737E-3</v>
      </c>
      <c r="AT63" s="63">
        <f t="shared" si="13"/>
        <v>1.7328985149680121E-3</v>
      </c>
      <c r="AU63" s="63">
        <f t="shared" si="13"/>
        <v>1.7563336548597408E-3</v>
      </c>
      <c r="AV63" s="63">
        <f t="shared" si="13"/>
        <v>1.7803178865180404E-3</v>
      </c>
      <c r="AW63" s="63">
        <f t="shared" si="13"/>
        <v>1.804918834008448E-3</v>
      </c>
      <c r="AX63" s="63">
        <f t="shared" si="13"/>
        <v>1.8301811018347726E-3</v>
      </c>
      <c r="AY63" s="63">
        <f t="shared" si="13"/>
        <v>1.8561365761576069E-3</v>
      </c>
      <c r="AZ63" s="63">
        <f t="shared" si="13"/>
        <v>1.8828100165142363E-3</v>
      </c>
      <c r="BA63" s="63">
        <f t="shared" si="13"/>
        <v>1.9102221109315455E-3</v>
      </c>
      <c r="BB63" s="63">
        <f t="shared" si="13"/>
        <v>1.9383911597305656E-3</v>
      </c>
      <c r="BC63" s="63">
        <f t="shared" si="13"/>
        <v>1.9673340154716711E-3</v>
      </c>
      <c r="BD63" s="63">
        <f t="shared" si="13"/>
        <v>1.997066617790668E-3</v>
      </c>
      <c r="BE63" s="63">
        <f t="shared" si="13"/>
        <v>2.0276043063979206E-3</v>
      </c>
      <c r="BF63" s="63">
        <f t="shared" si="13"/>
        <v>2.0589620116019352E-3</v>
      </c>
      <c r="BG63" s="63">
        <f t="shared" si="13"/>
        <v>2.0911817492800296E-3</v>
      </c>
      <c r="BH63" s="63">
        <f t="shared" si="13"/>
        <v>2.124250931435452E-3</v>
      </c>
      <c r="BI63" s="63">
        <f t="shared" si="13"/>
        <v>2.1581765407305475E-3</v>
      </c>
      <c r="BJ63" s="63">
        <f t="shared" si="13"/>
        <v>2.1929724483493191E-3</v>
      </c>
      <c r="BK63" s="63">
        <f t="shared" si="13"/>
        <v>2.2098915330368667E-3</v>
      </c>
      <c r="BL63" s="63">
        <f t="shared" si="13"/>
        <v>2.2273059559503481E-3</v>
      </c>
      <c r="BM63" s="63">
        <f t="shared" si="13"/>
        <v>2.2452098756676085E-3</v>
      </c>
      <c r="BN63" s="63">
        <f t="shared" ref="BN63:CV63" si="14">+BN62+BN50/100</f>
        <v>2.2635976610569674E-3</v>
      </c>
      <c r="BO63" s="63">
        <f t="shared" si="14"/>
        <v>2.2824638802944153E-3</v>
      </c>
      <c r="BP63" s="63">
        <f t="shared" si="14"/>
        <v>2.3018032904794624E-3</v>
      </c>
      <c r="BQ63" s="63">
        <f t="shared" si="14"/>
        <v>2.3216108278180463E-3</v>
      </c>
      <c r="BR63" s="63">
        <f t="shared" si="14"/>
        <v>2.3418815983425037E-3</v>
      </c>
      <c r="BS63" s="63">
        <f t="shared" si="14"/>
        <v>2.3626108691401759E-3</v>
      </c>
      <c r="BT63" s="63">
        <f t="shared" si="14"/>
        <v>2.3837940600636453E-3</v>
      </c>
      <c r="BU63" s="63">
        <f t="shared" si="14"/>
        <v>2.4054267358969606E-3</v>
      </c>
      <c r="BV63" s="63">
        <f t="shared" si="14"/>
        <v>2.4275045989535821E-3</v>
      </c>
      <c r="BW63" s="63">
        <f t="shared" si="14"/>
        <v>2.4500234820829647E-3</v>
      </c>
      <c r="BX63" s="63">
        <f t="shared" si="14"/>
        <v>2.4729793420639099E-3</v>
      </c>
      <c r="BY63" s="63">
        <f t="shared" si="14"/>
        <v>2.4963682533639424E-3</v>
      </c>
      <c r="BZ63" s="63">
        <f t="shared" si="14"/>
        <v>2.5201864022450313E-3</v>
      </c>
      <c r="CA63" s="63">
        <f t="shared" si="14"/>
        <v>2.5444300811969882E-3</v>
      </c>
      <c r="CB63" s="63">
        <f t="shared" si="14"/>
        <v>2.5690956836808593E-3</v>
      </c>
      <c r="CC63" s="63">
        <f t="shared" si="14"/>
        <v>2.5941796991655048E-3</v>
      </c>
      <c r="CD63" s="63">
        <f t="shared" si="14"/>
        <v>2.6196787084414846E-3</v>
      </c>
      <c r="CE63" s="63">
        <f t="shared" si="14"/>
        <v>2.6455893791971453E-3</v>
      </c>
      <c r="CF63" s="63">
        <f t="shared" si="14"/>
        <v>2.6719084618426121E-3</v>
      </c>
      <c r="CG63" s="63">
        <f t="shared" si="14"/>
        <v>2.698632785568156E-3</v>
      </c>
      <c r="CH63" s="63">
        <f t="shared" si="14"/>
        <v>2.7257592546240501E-3</v>
      </c>
      <c r="CI63" s="63">
        <f t="shared" si="14"/>
        <v>2.7532848448097898E-3</v>
      </c>
      <c r="CJ63" s="63">
        <f t="shared" si="14"/>
        <v>2.7812066001611071E-3</v>
      </c>
      <c r="CK63" s="63">
        <f t="shared" si="14"/>
        <v>2.8095216298238707E-3</v>
      </c>
      <c r="CL63" s="63">
        <f t="shared" si="14"/>
        <v>2.8382271051045176E-3</v>
      </c>
      <c r="CM63" s="63">
        <f t="shared" si="14"/>
        <v>2.8673202566872015E-3</v>
      </c>
      <c r="CN63" s="63">
        <f t="shared" si="14"/>
        <v>2.8967983720083828E-3</v>
      </c>
      <c r="CO63" s="63">
        <f t="shared" si="14"/>
        <v>2.9266587927800659E-3</v>
      </c>
      <c r="CP63" s="63">
        <f t="shared" si="14"/>
        <v>2.9568989126533317E-3</v>
      </c>
      <c r="CQ63" s="63">
        <f t="shared" si="14"/>
        <v>2.9875161750143294E-3</v>
      </c>
      <c r="CR63" s="63">
        <f t="shared" si="14"/>
        <v>3.0185080709052019E-3</v>
      </c>
      <c r="CS63" s="63">
        <f t="shared" si="14"/>
        <v>3.0498721370629455E-3</v>
      </c>
      <c r="CT63" s="63">
        <f t="shared" si="14"/>
        <v>3.08160595406945E-3</v>
      </c>
      <c r="CU63" s="63">
        <f t="shared" si="14"/>
        <v>3.1137071446064616E-3</v>
      </c>
      <c r="CV63" s="63">
        <f t="shared" si="14"/>
        <v>3.1461733718094261E-3</v>
      </c>
    </row>
    <row r="64" spans="1:105" s="143" customFormat="1" ht="18" customHeight="1" x14ac:dyDescent="0.2">
      <c r="A64" s="559" t="s">
        <v>1133</v>
      </c>
      <c r="B64" s="143">
        <f>+B61-B65</f>
        <v>6.3597583699646076E-3</v>
      </c>
      <c r="C64" s="143">
        <f>+C63*C61/(1+C63^Parameters!$B$125)</f>
        <v>5.9260636623983702E-3</v>
      </c>
      <c r="D64" s="143">
        <f>+D63*D61/(1+D63^Parameters!$B$125)</f>
        <v>4.3278930837026266E-3</v>
      </c>
      <c r="E64" s="143">
        <f>+E63*E61/(1+E63^Parameters!$B$125)</f>
        <v>4.647009135244475E-3</v>
      </c>
      <c r="F64" s="143">
        <f>+F63*F61/(1+F63^Parameters!$B$125)</f>
        <v>5.9011220759056801E-3</v>
      </c>
      <c r="G64" s="143">
        <f>+G63*G61/(1+G63^Parameters!$B$125)</f>
        <v>8.0898543389349709E-3</v>
      </c>
      <c r="H64" s="143">
        <f>+H63*H61/(1+H63^Parameters!$B$125)</f>
        <v>7.1322790575742119E-3</v>
      </c>
      <c r="I64" s="143">
        <f>+I63*I61/(1+I63^Parameters!$B$125)</f>
        <v>9.3942547839273929E-3</v>
      </c>
      <c r="J64" s="143">
        <f>+J63*J61/(1+J63^Parameters!$B$125)</f>
        <v>1.2387432560635353E-2</v>
      </c>
      <c r="K64" s="143">
        <f>+K63*K61/(1+K63^Parameters!$B$125)</f>
        <v>9.4985712161380249E-3</v>
      </c>
      <c r="L64" s="143">
        <f>+L63*L61/(1+L63^Parameters!$B$125)</f>
        <v>1.0071655260575789E-2</v>
      </c>
      <c r="M64" s="143">
        <f>+M63*M61/(1+M63^Parameters!$B$125)</f>
        <v>1.3327090633456978E-2</v>
      </c>
      <c r="N64" s="143">
        <f>+N63*N61/(1+N63^Parameters!$B$125)</f>
        <v>1.6016217472080745E-2</v>
      </c>
      <c r="O64" s="143">
        <f>+O63*O61/(1+O63^Parameters!$B$125)</f>
        <v>1.7076405795571983E-2</v>
      </c>
      <c r="P64" s="143">
        <f>+P63*P61/(1+P63^Parameters!$B$125)</f>
        <v>1.6227892719952786E-2</v>
      </c>
      <c r="Q64" s="143">
        <f>+Q63*Q61/(1+Q63^Parameters!$B$125)</f>
        <v>2.1382503853198686E-2</v>
      </c>
      <c r="R64" s="143">
        <f>+R63*R61/(1+R63^Parameters!$B$125)</f>
        <v>2.2264111538765587E-2</v>
      </c>
      <c r="S64" s="143">
        <f>+S63*S61/(1+S63^Parameters!$B$125)</f>
        <v>2.4691623776470998E-2</v>
      </c>
      <c r="T64" s="143">
        <f>+T63*T61/(1+T63^Parameters!$B$125)</f>
        <v>2.1608329763050105E-2</v>
      </c>
      <c r="U64" s="143">
        <f>+U63*U61/(1+U63^Parameters!$B$125)</f>
        <v>2.7252013999589181E-2</v>
      </c>
      <c r="V64" s="143">
        <f>+V63*V61/(1+V63^Parameters!$B$125)</f>
        <v>3.2455258144068723E-2</v>
      </c>
      <c r="W64" s="143">
        <f>+W63*W61/(1+W63^Parameters!$B$125)</f>
        <v>2.971377729762488E-2</v>
      </c>
      <c r="X64" s="143">
        <f>+X63*X61/(1+X63^Parameters!$B$125)</f>
        <v>3.3171913387623854E-2</v>
      </c>
      <c r="Y64" s="143">
        <f>+Y63*Y61/(1+Y63^Parameters!$B$125)</f>
        <v>3.6818074074989486E-2</v>
      </c>
      <c r="Z64" s="143">
        <f>+Z63*Z61/(1+Z63^Parameters!$B$125)</f>
        <v>4.2761511769295824E-2</v>
      </c>
      <c r="AA64" s="143">
        <f>+AA63*AA61/(1+AA63^Parameters!$B$125)</f>
        <v>5.5608423411193493E-2</v>
      </c>
      <c r="AB64" s="143">
        <f>+AB63*AB61/(1+AB63^Parameters!$B$125)</f>
        <v>6.7705695040707448E-2</v>
      </c>
      <c r="AC64" s="143">
        <f>+AC63*AC61/(1+AC63^Parameters!$B$125)</f>
        <v>6.6222571537905714E-2</v>
      </c>
      <c r="AD64" s="143">
        <f>+AD63*AD61/(1+AD63^Parameters!$B$125)</f>
        <v>6.5680006447170744E-2</v>
      </c>
      <c r="AE64" s="143">
        <f>+AE63*AE61/(1+AE63^Parameters!$B$125)</f>
        <v>7.8503011467775149E-2</v>
      </c>
      <c r="AF64" s="143">
        <f>+AF63*AF61/(1+AF63^Parameters!$B$125)</f>
        <v>7.6457876369722053E-2</v>
      </c>
      <c r="AG64" s="143">
        <f>+AG63*AG61/(1+AG63^Parameters!$B$125)</f>
        <v>7.0904909064603255E-2</v>
      </c>
      <c r="AH64" s="143">
        <f>+AH63*AH61/(1+AH63^Parameters!$B$125)</f>
        <v>7.9749595021951045E-2</v>
      </c>
      <c r="AI64" s="143">
        <f>+AI63*AI61/(1+AI63^Parameters!$B$125)</f>
        <v>1.2819633084993056</v>
      </c>
      <c r="AJ64" s="143">
        <f>+AJ63*AJ61/(1+AJ63^Parameters!$B$125)</f>
        <v>0.28428539548339832</v>
      </c>
      <c r="AK64" s="143">
        <f>+AK63*AK61/(1+AK63^Parameters!$B$125)</f>
        <v>0.44244853819558605</v>
      </c>
      <c r="AL64" s="143">
        <f>+AL63*AL61/(1+AL63^Parameters!$B$125)</f>
        <v>0.54686318080745222</v>
      </c>
      <c r="AM64" s="143">
        <f>+AM63*AM61/(1+AM63^Parameters!$B$125)</f>
        <v>0.62085673695068488</v>
      </c>
      <c r="AN64" s="143">
        <f>+AN63*AN61/(1+AN63^Parameters!$B$125)</f>
        <v>0.67895224525630749</v>
      </c>
      <c r="AO64" s="143">
        <f>+AO63*AO61/(1+AO63^Parameters!$B$125)</f>
        <v>0.72901191177319402</v>
      </c>
      <c r="AP64" s="143">
        <f>+AP63*AP61/(1+AP63^Parameters!$B$125)</f>
        <v>0.77537368725213118</v>
      </c>
      <c r="AQ64" s="143">
        <f>+AQ63*AQ61/(1+AQ63^Parameters!$B$125)</f>
        <v>0.82048728714303121</v>
      </c>
      <c r="AR64" s="143">
        <f>+AR63*AR61/(1+AR63^Parameters!$B$125)</f>
        <v>0.86577099512204636</v>
      </c>
      <c r="AS64" s="143">
        <f>+AS63*AS61/(1+AS63^Parameters!$B$125)</f>
        <v>0.91207376981810628</v>
      </c>
      <c r="AT64" s="143">
        <f>+AT63*AT61/(1+AT63^Parameters!$B$125)</f>
        <v>0.95992940504295332</v>
      </c>
      <c r="AU64" s="143">
        <f>+AU63*AU61/(1+AU63^Parameters!$B$125)</f>
        <v>1.0096979165153632</v>
      </c>
      <c r="AV64" s="143">
        <f>+AV63*AV61/(1+AV63^Parameters!$B$125)</f>
        <v>1.0616447240244484</v>
      </c>
      <c r="AW64" s="143">
        <f>+AW63*AW61/(1+AW63^Parameters!$B$125)</f>
        <v>1.1159852054816093</v>
      </c>
      <c r="AX64" s="143">
        <f>+AX63*AX61/(1+AX63^Parameters!$B$125)</f>
        <v>1.172909883757804</v>
      </c>
      <c r="AY64" s="143">
        <f>+AY63*AY61/(1+AY63^Parameters!$B$125)</f>
        <v>1.2325987591226131</v>
      </c>
      <c r="AZ64" s="143">
        <f>+AZ63*AZ61/(1+AZ63^Parameters!$B$125)</f>
        <v>1.2952295557140636</v>
      </c>
      <c r="BA64" s="143">
        <f>+BA63*BA61/(1+BA63^Parameters!$B$125)</f>
        <v>1.3609825587634747</v>
      </c>
      <c r="BB64" s="143">
        <f>+BB63*BB61/(1+BB63^Parameters!$B$125)</f>
        <v>1.430043546778978</v>
      </c>
      <c r="BC64" s="143">
        <f>+BC63*BC61/(1+BC63^Parameters!$B$125)</f>
        <v>1.5026056645168935</v>
      </c>
      <c r="BD64" s="143">
        <f>+BD63*BD61/(1+BD63^Parameters!$B$125)</f>
        <v>1.5788707126183377</v>
      </c>
      <c r="BE64" s="143">
        <f>+BE63*BE61/(1+BE63^Parameters!$B$125)</f>
        <v>1.659050121861948</v>
      </c>
      <c r="BF64" s="143">
        <f>+BF63*BF61/(1+BF63^Parameters!$B$125)</f>
        <v>1.7434570465777885</v>
      </c>
      <c r="BG64" s="143">
        <f>+BG63*BG61/(1+BG63^Parameters!$B$125)</f>
        <v>1.8322647304101189</v>
      </c>
      <c r="BH64" s="143">
        <f>+BH63*BH61/(1+BH63^Parameters!$B$125)</f>
        <v>1.9256704016605102</v>
      </c>
      <c r="BI64" s="143">
        <f>+BI63*BI61/(1+BI63^Parameters!$B$125)</f>
        <v>2.0239213503797844</v>
      </c>
      <c r="BJ64" s="143">
        <f>+BJ63*BJ61/(1+BJ63^Parameters!$B$125)</f>
        <v>2.0565526847522895</v>
      </c>
      <c r="BK64" s="143">
        <f>+BK63*BK61/(1+BK63^Parameters!$B$125)</f>
        <v>2.0724192721615009</v>
      </c>
      <c r="BL64" s="143">
        <f>+BL63*BL61/(1+BL63^Parameters!$B$125)</f>
        <v>2.0887503839468269</v>
      </c>
      <c r="BM64" s="143">
        <f>+BM63*BM61/(1+BM63^Parameters!$B$125)</f>
        <v>2.1055405420675255</v>
      </c>
      <c r="BN64" s="143">
        <f>+BN63*BN61/(1+BN63^Parameters!$B$125)</f>
        <v>2.1227844656916455</v>
      </c>
      <c r="BO64" s="143">
        <f>+BO63*BO61/(1+BO63^Parameters!$B$125)</f>
        <v>2.1404770608964343</v>
      </c>
      <c r="BP64" s="143">
        <f>+BP63*BP61/(1+BP63^Parameters!$B$125)</f>
        <v>2.1586134109301618</v>
      </c>
      <c r="BQ64" s="143">
        <f>+BQ63*BQ61/(1+BQ63^Parameters!$B$125)</f>
        <v>2.1771887670057288</v>
      </c>
      <c r="BR64" s="143">
        <f>+BR63*BR61/(1+BR63^Parameters!$B$125)</f>
        <v>2.196198539597924</v>
      </c>
      <c r="BS64" s="143">
        <f>+BS63*BS61/(1+BS63^Parameters!$B$125)</f>
        <v>2.2156382902176817</v>
      </c>
      <c r="BT64" s="143">
        <f>+BT63*BT61/(1+BT63^Parameters!$B$125)</f>
        <v>2.2355037236380024</v>
      </c>
      <c r="BU64" s="143">
        <f>+BU63*BU61/(1+BU63^Parameters!$B$125)</f>
        <v>2.2557906805475012</v>
      </c>
      <c r="BV64" s="143">
        <f>+BV63*BV61/(1+BV63^Parameters!$B$125)</f>
        <v>2.2764951306088164</v>
      </c>
      <c r="BW64" s="143">
        <f>+BW63*BW61/(1+BW63^Parameters!$B$125)</f>
        <v>2.2976131659002372</v>
      </c>
      <c r="BX64" s="143">
        <f>+BX63*BX61/(1+BX63^Parameters!$B$125)</f>
        <v>2.3191409947200414</v>
      </c>
      <c r="BY64" s="143">
        <f>+BY63*BY61/(1+BY63^Parameters!$B$125)</f>
        <v>2.3410749357340839</v>
      </c>
      <c r="BZ64" s="143">
        <f>+BZ63*BZ61/(1+BZ63^Parameters!$B$125)</f>
        <v>2.3634114124481913</v>
      </c>
      <c r="CA64" s="143">
        <f>+CA63*CA61/(1+CA63^Parameters!$B$125)</f>
        <v>2.3861469479878412</v>
      </c>
      <c r="CB64" s="143">
        <f>+CB63*CB61/(1+CB63^Parameters!$B$125)</f>
        <v>2.4092781601685598</v>
      </c>
      <c r="CC64" s="143">
        <f>+CC63*CC61/(1+CC63^Parameters!$B$125)</f>
        <v>2.4328017568412612</v>
      </c>
      <c r="CD64" s="143">
        <f>+CD63*CD61/(1+CD63^Parameters!$B$125)</f>
        <v>2.4567145314976471</v>
      </c>
      <c r="CE64" s="143">
        <f>+CE63*CE61/(1+CE63^Parameters!$B$125)</f>
        <v>2.4810133591214942</v>
      </c>
      <c r="CF64" s="143">
        <f>+CF63*CF61/(1+CF63^Parameters!$B$125)</f>
        <v>2.505695192272428</v>
      </c>
      <c r="CG64" s="143">
        <f>+CG63*CG61/(1+CG63^Parameters!$B$125)</f>
        <v>2.5307570573894864</v>
      </c>
      <c r="CH64" s="143">
        <f>+CH63*CH61/(1+CH63^Parameters!$B$125)</f>
        <v>2.5561960513024018</v>
      </c>
      <c r="CI64" s="143">
        <f>+CI63*CI61/(1+CI63^Parameters!$B$125)</f>
        <v>2.5820093379392146</v>
      </c>
      <c r="CJ64" s="143">
        <f>+CJ63*CJ61/(1+CJ63^Parameters!$B$125)</f>
        <v>2.6081941452193838</v>
      </c>
      <c r="CK64" s="143">
        <f>+CK63*CK61/(1+CK63^Parameters!$B$125)</f>
        <v>2.6347477621221538</v>
      </c>
      <c r="CL64" s="143">
        <f>+CL63*CL61/(1+CL63^Parameters!$B$125)</f>
        <v>2.6616675359204707</v>
      </c>
      <c r="CM64" s="143">
        <f>+CM63*CM61/(1+CM63^Parameters!$B$125)</f>
        <v>2.6889508695712467</v>
      </c>
      <c r="CN64" s="143">
        <f>+CN63*CN61/(1+CN63^Parameters!$B$125)</f>
        <v>2.716595219253271</v>
      </c>
      <c r="CO64" s="143">
        <f>+CO63*CO61/(1+CO63^Parameters!$B$125)</f>
        <v>2.744598092044519</v>
      </c>
      <c r="CP64" s="143">
        <f>+CP63*CP61/(1+CP63^Parameters!$B$125)</f>
        <v>2.7729570437310334</v>
      </c>
      <c r="CQ64" s="143">
        <f>+CQ63*CQ61/(1+CQ63^Parameters!$B$125)</f>
        <v>2.8016696767400213</v>
      </c>
      <c r="CR64" s="143">
        <f>+CR63*CR61/(1+CR63^Parameters!$B$125)</f>
        <v>2.8307336381901127</v>
      </c>
      <c r="CS64" s="143">
        <f>+CS63*CS61/(1+CS63^Parameters!$B$125)</f>
        <v>2.8601466180522204</v>
      </c>
      <c r="CT64" s="143">
        <f>+CT63*CT61/(1+CT63^Parameters!$B$125)</f>
        <v>2.8899063474146613</v>
      </c>
      <c r="CU64" s="143">
        <f>+CU63*CU61/(1+CU63^Parameters!$B$125)</f>
        <v>2.9200105968466725</v>
      </c>
      <c r="CV64" s="143">
        <f>+CV63*CV61/(1+CV63^Parameters!$B$125)</f>
        <v>2.9504571748546597</v>
      </c>
    </row>
    <row r="65" spans="1:237" s="45" customFormat="1" ht="18" customHeight="1" x14ac:dyDescent="0.2">
      <c r="A65" s="555" t="s">
        <v>21</v>
      </c>
      <c r="B65" s="45">
        <f>+B61/(1+B63)</f>
        <v>1.5770115284529704</v>
      </c>
      <c r="C65" s="45">
        <f t="shared" ref="C65:BN65" si="15">+C61-C64</f>
        <v>1.5941787886518224</v>
      </c>
      <c r="D65" s="45">
        <f t="shared" si="15"/>
        <v>1.6835010439760776</v>
      </c>
      <c r="E65" s="45">
        <f t="shared" si="15"/>
        <v>1.7633669036629993</v>
      </c>
      <c r="F65" s="45">
        <f t="shared" si="15"/>
        <v>1.8798434947276361</v>
      </c>
      <c r="G65" s="45">
        <f t="shared" si="15"/>
        <v>2.0204903345477505</v>
      </c>
      <c r="H65" s="45">
        <f t="shared" si="15"/>
        <v>2.1745960225319854</v>
      </c>
      <c r="I65" s="45">
        <f t="shared" si="15"/>
        <v>2.2606901344533608</v>
      </c>
      <c r="J65" s="45">
        <f t="shared" si="15"/>
        <v>2.3980884148110664</v>
      </c>
      <c r="K65" s="45">
        <f t="shared" si="15"/>
        <v>2.6142020774323265</v>
      </c>
      <c r="L65" s="45">
        <f t="shared" si="15"/>
        <v>2.7144051032779051</v>
      </c>
      <c r="M65" s="45">
        <f t="shared" si="15"/>
        <v>2.8425775076498803</v>
      </c>
      <c r="N65" s="45">
        <f t="shared" si="15"/>
        <v>2.9485262869247362</v>
      </c>
      <c r="O65" s="45">
        <f t="shared" si="15"/>
        <v>3.1804904484622503</v>
      </c>
      <c r="P65" s="45">
        <f t="shared" si="15"/>
        <v>3.4346801565459084</v>
      </c>
      <c r="Q65" s="45">
        <f t="shared" si="15"/>
        <v>3.7029558504933306</v>
      </c>
      <c r="R65" s="45">
        <f t="shared" si="15"/>
        <v>4.0022831976340258</v>
      </c>
      <c r="S65" s="45">
        <f t="shared" si="15"/>
        <v>4.3081688119903951</v>
      </c>
      <c r="T65" s="45">
        <f t="shared" si="15"/>
        <v>4.4449944249965121</v>
      </c>
      <c r="U65" s="45">
        <f t="shared" si="15"/>
        <v>4.7905100839262715</v>
      </c>
      <c r="V65" s="45">
        <f t="shared" si="15"/>
        <v>5.1947002547999688</v>
      </c>
      <c r="W65" s="45">
        <f t="shared" si="15"/>
        <v>5.4714134216988386</v>
      </c>
      <c r="X65" s="45">
        <f t="shared" si="15"/>
        <v>5.7681181713617349</v>
      </c>
      <c r="Y65" s="45">
        <f t="shared" si="15"/>
        <v>6.1349485681267177</v>
      </c>
      <c r="Z65" s="45">
        <f t="shared" si="15"/>
        <v>6.5863470855964934</v>
      </c>
      <c r="AA65" s="45">
        <f t="shared" si="15"/>
        <v>7.1035805214414003</v>
      </c>
      <c r="AB65" s="45">
        <f t="shared" si="15"/>
        <v>7.6825677603520726</v>
      </c>
      <c r="AC65" s="45">
        <f t="shared" si="15"/>
        <v>8.2107116815134589</v>
      </c>
      <c r="AD65" s="45">
        <f t="shared" si="15"/>
        <v>8.7454352788670775</v>
      </c>
      <c r="AE65" s="45">
        <f t="shared" si="15"/>
        <v>9.0737290457646953</v>
      </c>
      <c r="AF65" s="45">
        <f t="shared" si="15"/>
        <v>8.5421026587410722</v>
      </c>
      <c r="AG65" s="45">
        <f t="shared" si="15"/>
        <v>9.3276593062032092</v>
      </c>
      <c r="AH65" s="45">
        <f t="shared" si="15"/>
        <v>9.9992418422316369</v>
      </c>
      <c r="AI65" s="45">
        <f t="shared" si="15"/>
        <v>121.88017040637138</v>
      </c>
      <c r="AJ65" s="45">
        <f t="shared" si="15"/>
        <v>241.4915128925056</v>
      </c>
      <c r="AK65" s="45">
        <f t="shared" si="15"/>
        <v>317.30461507741643</v>
      </c>
      <c r="AL65" s="45">
        <f t="shared" si="15"/>
        <v>365.93473323054729</v>
      </c>
      <c r="AM65" s="45">
        <f t="shared" si="15"/>
        <v>400.36224446565797</v>
      </c>
      <c r="AN65" s="45">
        <f t="shared" si="15"/>
        <v>427.37222224878298</v>
      </c>
      <c r="AO65" s="45">
        <f t="shared" si="15"/>
        <v>450.53408778571077</v>
      </c>
      <c r="AP65" s="45">
        <f t="shared" si="15"/>
        <v>471.77613919016875</v>
      </c>
      <c r="AQ65" s="45">
        <f t="shared" si="15"/>
        <v>492.16171582386414</v>
      </c>
      <c r="AR65" s="45">
        <f t="shared" si="15"/>
        <v>512.28744913519472</v>
      </c>
      <c r="AS65" s="45">
        <f t="shared" si="15"/>
        <v>532.49474043072371</v>
      </c>
      <c r="AT65" s="45">
        <f t="shared" si="15"/>
        <v>552.98445726936814</v>
      </c>
      <c r="AU65" s="45">
        <f t="shared" si="15"/>
        <v>573.87988170381982</v>
      </c>
      <c r="AV65" s="45">
        <f t="shared" si="15"/>
        <v>595.26147940119654</v>
      </c>
      <c r="AW65" s="45">
        <f t="shared" si="15"/>
        <v>617.18617024556283</v>
      </c>
      <c r="AX65" s="45">
        <f t="shared" si="15"/>
        <v>639.69803047397602</v>
      </c>
      <c r="AY65" s="45">
        <f t="shared" si="15"/>
        <v>662.83424575843924</v>
      </c>
      <c r="AZ65" s="45">
        <f t="shared" si="15"/>
        <v>686.62842941865392</v>
      </c>
      <c r="BA65" s="45">
        <f t="shared" si="15"/>
        <v>711.11247849848155</v>
      </c>
      <c r="BB65" s="45">
        <f t="shared" si="15"/>
        <v>736.31761878663394</v>
      </c>
      <c r="BC65" s="45">
        <f t="shared" si="15"/>
        <v>762.27500032408375</v>
      </c>
      <c r="BD65" s="45">
        <f t="shared" si="15"/>
        <v>789.01604412553775</v>
      </c>
      <c r="BE65" s="45">
        <f t="shared" si="15"/>
        <v>816.57265151093031</v>
      </c>
      <c r="BF65" s="45">
        <f t="shared" si="15"/>
        <v>845.02158123663264</v>
      </c>
      <c r="BG65" s="45">
        <f t="shared" si="15"/>
        <v>874.35400221694977</v>
      </c>
      <c r="BH65" s="45">
        <f t="shared" si="15"/>
        <v>904.59171563956772</v>
      </c>
      <c r="BI65" s="45">
        <f t="shared" si="15"/>
        <v>935.76838256127462</v>
      </c>
      <c r="BJ65" s="45">
        <f t="shared" si="15"/>
        <v>935.73575122690204</v>
      </c>
      <c r="BK65" s="45">
        <f t="shared" si="15"/>
        <v>935.71988463949288</v>
      </c>
      <c r="BL65" s="45">
        <f t="shared" si="15"/>
        <v>935.70355352770753</v>
      </c>
      <c r="BM65" s="45">
        <f t="shared" si="15"/>
        <v>935.68676336958686</v>
      </c>
      <c r="BN65" s="45">
        <f t="shared" si="15"/>
        <v>935.66951944596269</v>
      </c>
      <c r="BO65" s="45">
        <f t="shared" ref="BO65:CV65" si="16">+BO61-BO64</f>
        <v>935.65182685075797</v>
      </c>
      <c r="BP65" s="45">
        <f t="shared" si="16"/>
        <v>935.63369050072424</v>
      </c>
      <c r="BQ65" s="45">
        <f t="shared" si="16"/>
        <v>935.6151151446486</v>
      </c>
      <c r="BR65" s="45">
        <f t="shared" si="16"/>
        <v>935.5961053720564</v>
      </c>
      <c r="BS65" s="45">
        <f t="shared" si="16"/>
        <v>935.57666562143663</v>
      </c>
      <c r="BT65" s="45">
        <f t="shared" si="16"/>
        <v>935.55680018801638</v>
      </c>
      <c r="BU65" s="45">
        <f t="shared" si="16"/>
        <v>935.53651323110682</v>
      </c>
      <c r="BV65" s="45">
        <f t="shared" si="16"/>
        <v>935.51580878104551</v>
      </c>
      <c r="BW65" s="45">
        <f t="shared" si="16"/>
        <v>935.49469074575416</v>
      </c>
      <c r="BX65" s="45">
        <f t="shared" si="16"/>
        <v>935.47316291693437</v>
      </c>
      <c r="BY65" s="45">
        <f t="shared" si="16"/>
        <v>935.45122897592023</v>
      </c>
      <c r="BZ65" s="45">
        <f t="shared" si="16"/>
        <v>935.4288924992062</v>
      </c>
      <c r="CA65" s="45">
        <f t="shared" si="16"/>
        <v>935.40615696366649</v>
      </c>
      <c r="CB65" s="45">
        <f t="shared" si="16"/>
        <v>935.38302575148577</v>
      </c>
      <c r="CC65" s="45">
        <f t="shared" si="16"/>
        <v>935.35950215481307</v>
      </c>
      <c r="CD65" s="45">
        <f t="shared" si="16"/>
        <v>935.33558938015676</v>
      </c>
      <c r="CE65" s="45">
        <f t="shared" si="16"/>
        <v>935.31129055253291</v>
      </c>
      <c r="CF65" s="45">
        <f t="shared" si="16"/>
        <v>935.28660871938189</v>
      </c>
      <c r="CG65" s="45">
        <f t="shared" si="16"/>
        <v>935.26154685426491</v>
      </c>
      <c r="CH65" s="45">
        <f t="shared" si="16"/>
        <v>935.23610786035192</v>
      </c>
      <c r="CI65" s="45">
        <f t="shared" si="16"/>
        <v>935.21029457371515</v>
      </c>
      <c r="CJ65" s="45">
        <f t="shared" si="16"/>
        <v>935.18410976643497</v>
      </c>
      <c r="CK65" s="45">
        <f t="shared" si="16"/>
        <v>935.15755614953218</v>
      </c>
      <c r="CL65" s="45">
        <f t="shared" si="16"/>
        <v>935.13063637573384</v>
      </c>
      <c r="CM65" s="45">
        <f t="shared" si="16"/>
        <v>935.10335304208309</v>
      </c>
      <c r="CN65" s="45">
        <f t="shared" si="16"/>
        <v>935.07570869240112</v>
      </c>
      <c r="CO65" s="45">
        <f t="shared" si="16"/>
        <v>935.04770581960986</v>
      </c>
      <c r="CP65" s="45">
        <f t="shared" si="16"/>
        <v>935.01934686792333</v>
      </c>
      <c r="CQ65" s="45">
        <f t="shared" si="16"/>
        <v>934.9906342349143</v>
      </c>
      <c r="CR65" s="45">
        <f t="shared" si="16"/>
        <v>934.96157027346419</v>
      </c>
      <c r="CS65" s="45">
        <f t="shared" si="16"/>
        <v>934.93215729360213</v>
      </c>
      <c r="CT65" s="45">
        <f t="shared" si="16"/>
        <v>934.90239756423966</v>
      </c>
      <c r="CU65" s="45">
        <f t="shared" si="16"/>
        <v>934.87229331480773</v>
      </c>
      <c r="CV65" s="45">
        <f t="shared" si="16"/>
        <v>934.84184673679965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1.8699732160660842E-11</v>
      </c>
      <c r="E66" s="33">
        <f t="shared" si="17"/>
        <v>1.5962138803718121E-11</v>
      </c>
      <c r="F66" s="33">
        <f t="shared" si="17"/>
        <v>1.3841073405221552E-11</v>
      </c>
      <c r="G66" s="33">
        <f t="shared" si="17"/>
        <v>1.2172509573898512E-11</v>
      </c>
      <c r="H66" s="33">
        <f t="shared" si="17"/>
        <v>1.0841755873524444E-11</v>
      </c>
      <c r="I66" s="33">
        <f t="shared" si="17"/>
        <v>9.7671459247076031E-12</v>
      </c>
      <c r="J66" s="33">
        <f t="shared" si="17"/>
        <v>8.8895426362778075E-12</v>
      </c>
      <c r="K66" s="33">
        <f t="shared" si="17"/>
        <v>8.1654502057723731E-12</v>
      </c>
      <c r="L66" s="33">
        <f t="shared" si="17"/>
        <v>7.5624105642617584E-12</v>
      </c>
      <c r="M66" s="33">
        <f t="shared" si="17"/>
        <v>7.0558738944407272E-12</v>
      </c>
      <c r="N66" s="33">
        <f t="shared" si="17"/>
        <v>6.627037233606078E-12</v>
      </c>
      <c r="O66" s="33">
        <f t="shared" si="17"/>
        <v>6.2613294287220086E-12</v>
      </c>
      <c r="P66" s="33">
        <f t="shared" si="17"/>
        <v>5.9473343494922512E-12</v>
      </c>
      <c r="Q66" s="33">
        <f t="shared" si="17"/>
        <v>5.6760155958316492E-12</v>
      </c>
      <c r="R66" s="33">
        <f t="shared" si="17"/>
        <v>5.4401514520344116E-12</v>
      </c>
      <c r="S66" s="33">
        <f t="shared" si="17"/>
        <v>5.2339183441807087E-12</v>
      </c>
      <c r="T66" s="33">
        <f t="shared" si="17"/>
        <v>5.0525804534845118E-12</v>
      </c>
      <c r="U66" s="33">
        <f t="shared" si="17"/>
        <v>4.8922560766288387E-12</v>
      </c>
      <c r="V66" s="33">
        <f t="shared" si="17"/>
        <v>4.7497400711767284E-12</v>
      </c>
      <c r="W66" s="33">
        <f t="shared" si="17"/>
        <v>4.6223677343945052E-12</v>
      </c>
      <c r="X66" s="33">
        <f t="shared" si="17"/>
        <v>4.5079094735265539E-12</v>
      </c>
      <c r="Y66" s="33">
        <f t="shared" si="17"/>
        <v>4.4044887147233751E-12</v>
      </c>
      <c r="Z66" s="33">
        <f t="shared" si="17"/>
        <v>4.3105173978181074E-12</v>
      </c>
      <c r="AA66" s="33">
        <f t="shared" si="17"/>
        <v>4.2246449176380026E-12</v>
      </c>
      <c r="AB66" s="33">
        <f t="shared" si="17"/>
        <v>2.7352184107011569E-3</v>
      </c>
      <c r="AC66" s="33">
        <f t="shared" si="17"/>
        <v>2.5415068660880808E-3</v>
      </c>
      <c r="AD66" s="33">
        <f t="shared" si="17"/>
        <v>2.3658282284787762E-3</v>
      </c>
      <c r="AE66" s="33">
        <f t="shared" si="17"/>
        <v>2.2060611739754378E-3</v>
      </c>
      <c r="AF66" s="33">
        <f t="shared" si="17"/>
        <v>2.0603897642068668E-3</v>
      </c>
      <c r="AG66" s="33">
        <f t="shared" si="17"/>
        <v>1.9272520024489724E-3</v>
      </c>
      <c r="AH66" s="33">
        <f t="shared" ref="AH66:BI66" si="18">(AH31*(AH103)^$B38)</f>
        <v>1.805298122416662E-3</v>
      </c>
      <c r="AI66" s="33">
        <f t="shared" si="18"/>
        <v>1.69335659381109E-3</v>
      </c>
      <c r="AJ66" s="33">
        <f t="shared" si="18"/>
        <v>1.5904062797638771E-3</v>
      </c>
      <c r="AK66" s="33">
        <f t="shared" si="18"/>
        <v>1.495553524244408E-3</v>
      </c>
      <c r="AL66" s="33">
        <f t="shared" si="18"/>
        <v>1.4080132098734936E-3</v>
      </c>
      <c r="AM66" s="33">
        <f t="shared" si="18"/>
        <v>1.3270930285616833E-3</v>
      </c>
      <c r="AN66" s="33">
        <f t="shared" si="18"/>
        <v>1.2521803637775331E-3</v>
      </c>
      <c r="AO66" s="33">
        <f t="shared" si="18"/>
        <v>1.1827313050172207E-3</v>
      </c>
      <c r="AP66" s="33">
        <f t="shared" si="18"/>
        <v>1.1182614103636892E-3</v>
      </c>
      <c r="AQ66" s="33">
        <f t="shared" si="18"/>
        <v>1.0583379080177037E-3</v>
      </c>
      <c r="AR66" s="33">
        <f t="shared" si="18"/>
        <v>1.0025730869761263E-3</v>
      </c>
      <c r="AS66" s="33">
        <f t="shared" si="18"/>
        <v>9.5061867413037346E-4</v>
      </c>
      <c r="AT66" s="33">
        <f t="shared" si="18"/>
        <v>9.0216103263532832E-4</v>
      </c>
      <c r="AU66" s="33">
        <f t="shared" si="18"/>
        <v>8.5691704650777724E-4</v>
      </c>
      <c r="AV66" s="33">
        <f t="shared" si="18"/>
        <v>8.1463058063590676E-4</v>
      </c>
      <c r="AW66" s="33">
        <f t="shared" si="18"/>
        <v>7.7506942494376407E-4</v>
      </c>
      <c r="AX66" s="33">
        <f t="shared" si="18"/>
        <v>7.3802264731173792E-4</v>
      </c>
      <c r="AY66" s="33">
        <f t="shared" si="18"/>
        <v>7.0329829275327235E-4</v>
      </c>
      <c r="AZ66" s="33">
        <f t="shared" si="18"/>
        <v>6.7072137687640703E-4</v>
      </c>
      <c r="BA66" s="33">
        <f t="shared" si="18"/>
        <v>6.4013213027993134E-4</v>
      </c>
      <c r="BB66" s="33">
        <f t="shared" si="18"/>
        <v>6.1138445761538685E-4</v>
      </c>
      <c r="BC66" s="33">
        <f t="shared" si="18"/>
        <v>5.8434458088029015E-4</v>
      </c>
      <c r="BD66" s="33">
        <f t="shared" si="18"/>
        <v>5.5888984132838697E-4</v>
      </c>
      <c r="BE66" s="33">
        <f t="shared" si="18"/>
        <v>2.7236502405469091E-4</v>
      </c>
      <c r="BF66" s="33">
        <f t="shared" si="18"/>
        <v>1.3274103806450987E-4</v>
      </c>
      <c r="BG66" s="33">
        <f t="shared" si="18"/>
        <v>6.4697121654514988E-5</v>
      </c>
      <c r="BH66" s="33">
        <f t="shared" si="18"/>
        <v>3.1534648804943141E-5</v>
      </c>
      <c r="BI66" s="33">
        <f t="shared" si="18"/>
        <v>1.537134953226428E-5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3.6342416044759712E-11</v>
      </c>
      <c r="C67" s="23">
        <f>+C61*C66</f>
        <v>3.5671297990562907E-11</v>
      </c>
      <c r="D67" s="23">
        <f t="shared" ref="D67:BI67" si="19">+D61*D66</f>
        <v>3.1561949056030771E-11</v>
      </c>
      <c r="E67" s="23">
        <f t="shared" si="19"/>
        <v>2.8221283482990354E-11</v>
      </c>
      <c r="F67" s="23">
        <f t="shared" si="19"/>
        <v>2.610072966467921E-11</v>
      </c>
      <c r="G67" s="23">
        <f t="shared" si="19"/>
        <v>2.4692911770644034E-11</v>
      </c>
      <c r="H67" s="23">
        <f t="shared" si="19"/>
        <v>2.3653765628193116E-11</v>
      </c>
      <c r="I67" s="23">
        <f t="shared" si="19"/>
        <v>2.2172245491081326E-11</v>
      </c>
      <c r="J67" s="23">
        <f t="shared" si="19"/>
        <v>2.1428027818928619E-11</v>
      </c>
      <c r="K67" s="23">
        <f t="shared" si="19"/>
        <v>2.1423697001391716E-11</v>
      </c>
      <c r="L67" s="23">
        <f t="shared" si="19"/>
        <v>2.0603611820857042E-11</v>
      </c>
      <c r="M67" s="23">
        <f t="shared" si="19"/>
        <v>2.0150902700040632E-11</v>
      </c>
      <c r="N67" s="23">
        <f t="shared" si="19"/>
        <v>1.9646133557245518E-11</v>
      </c>
      <c r="O67" s="23">
        <f t="shared" si="19"/>
        <v>2.002101944487056E-11</v>
      </c>
      <c r="P67" s="23">
        <f t="shared" si="19"/>
        <v>2.0523703978338156E-11</v>
      </c>
      <c r="Q67" s="23">
        <f t="shared" si="19"/>
        <v>2.1139402583424879E-11</v>
      </c>
      <c r="R67" s="23">
        <f t="shared" si="19"/>
        <v>2.1894146887777545E-11</v>
      </c>
      <c r="S67" s="23">
        <f t="shared" si="19"/>
        <v>2.2677837717535022E-11</v>
      </c>
      <c r="T67" s="23">
        <f t="shared" si="19"/>
        <v>2.256786977217824E-11</v>
      </c>
      <c r="U67" s="23">
        <f t="shared" si="19"/>
        <v>2.3569725899329892E-11</v>
      </c>
      <c r="V67" s="23">
        <f t="shared" si="19"/>
        <v>2.482762999810264E-11</v>
      </c>
      <c r="W67" s="23">
        <f t="shared" si="19"/>
        <v>2.5428232867441273E-11</v>
      </c>
      <c r="X67" s="23">
        <f t="shared" si="19"/>
        <v>2.6151690531717299E-11</v>
      </c>
      <c r="Y67" s="23">
        <f t="shared" si="19"/>
        <v>2.7183476525483597E-11</v>
      </c>
      <c r="Z67" s="23">
        <f t="shared" si="19"/>
        <v>2.8574887940970826E-11</v>
      </c>
      <c r="AA67" s="23">
        <f t="shared" si="19"/>
        <v>3.0245031190281688E-11</v>
      </c>
      <c r="AB67" s="23">
        <f t="shared" si="19"/>
        <v>2.1198690643158803E-2</v>
      </c>
      <c r="AC67" s="23">
        <f t="shared" si="19"/>
        <v>2.1035885234289665E-2</v>
      </c>
      <c r="AD67" s="23">
        <f t="shared" si="19"/>
        <v>2.0845585266377274E-2</v>
      </c>
      <c r="AE67" s="23">
        <f t="shared" si="19"/>
        <v>2.01903837966739E-2</v>
      </c>
      <c r="AF67" s="23">
        <f t="shared" si="19"/>
        <v>1.7757593908739534E-2</v>
      </c>
      <c r="AG67" s="23">
        <f t="shared" si="19"/>
        <v>1.8113401704020149E-2</v>
      </c>
      <c r="AH67" s="23">
        <f t="shared" si="19"/>
        <v>1.8195584317527515E-2</v>
      </c>
      <c r="AI67" s="23">
        <f t="shared" si="19"/>
        <v>0.20855741123391941</v>
      </c>
      <c r="AJ67" s="23">
        <f t="shared" si="19"/>
        <v>0.38452174789214216</v>
      </c>
      <c r="AK67" s="23">
        <f t="shared" si="19"/>
        <v>0.4752077408086407</v>
      </c>
      <c r="AL67" s="23">
        <f t="shared" si="19"/>
        <v>0.51601092892271383</v>
      </c>
      <c r="AM67" s="23">
        <f t="shared" si="19"/>
        <v>0.53214187817702585</v>
      </c>
      <c r="AN67" s="23">
        <f t="shared" si="19"/>
        <v>0.53599727539334641</v>
      </c>
      <c r="AO67" s="23">
        <f t="shared" si="19"/>
        <v>0.53372299481132135</v>
      </c>
      <c r="AP67" s="23">
        <f t="shared" si="19"/>
        <v>0.52843612125979966</v>
      </c>
      <c r="AQ67" s="23">
        <f t="shared" si="19"/>
        <v>0.52174175353046204</v>
      </c>
      <c r="AR67" s="23">
        <f t="shared" si="19"/>
        <v>0.51447360799779129</v>
      </c>
      <c r="AS67" s="23">
        <f t="shared" si="19"/>
        <v>0.50706647848742548</v>
      </c>
      <c r="AT67" s="23">
        <f t="shared" si="19"/>
        <v>0.49974703990473035</v>
      </c>
      <c r="AU67" s="23">
        <f t="shared" si="19"/>
        <v>0.49263268063635529</v>
      </c>
      <c r="AV67" s="23">
        <f t="shared" si="19"/>
        <v>0.48578305285274664</v>
      </c>
      <c r="AW67" s="23">
        <f t="shared" si="19"/>
        <v>0.47922709606693081</v>
      </c>
      <c r="AX67" s="23">
        <f t="shared" si="19"/>
        <v>0.47297726798797762</v>
      </c>
      <c r="AY67" s="23">
        <f t="shared" si="19"/>
        <v>0.46703707802325406</v>
      </c>
      <c r="AZ67" s="23">
        <f t="shared" si="19"/>
        <v>0.46140510373314397</v>
      </c>
      <c r="BA67" s="23">
        <f t="shared" si="19"/>
        <v>0.45607715439448993</v>
      </c>
      <c r="BB67" s="23">
        <f t="shared" si="19"/>
        <v>0.45104745439273319</v>
      </c>
      <c r="BC67" s="23">
        <f t="shared" si="19"/>
        <v>0.44630930505716021</v>
      </c>
      <c r="BD67" s="23">
        <f t="shared" si="19"/>
        <v>0.44185546650892671</v>
      </c>
      <c r="BE67" s="23">
        <f t="shared" si="19"/>
        <v>0.22285769709752612</v>
      </c>
      <c r="BF67" s="23">
        <f t="shared" si="19"/>
        <v>0.11240047017844779</v>
      </c>
      <c r="BG67" s="23">
        <f t="shared" si="19"/>
        <v>5.6686729504708683E-2</v>
      </c>
      <c r="BH67" s="23">
        <f t="shared" si="19"/>
        <v>2.8586707404385195E-2</v>
      </c>
      <c r="BI67" s="23">
        <f t="shared" si="19"/>
        <v>1.4415133292093448E-2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1.577011528416628</v>
      </c>
      <c r="C68" s="23">
        <f>+C65-C67</f>
        <v>1.5941787886161511</v>
      </c>
      <c r="D68" s="23">
        <f>+D65-D67</f>
        <v>1.6835010439445157</v>
      </c>
      <c r="E68" s="23">
        <f>+E65-E67</f>
        <v>1.7633669036347781</v>
      </c>
      <c r="F68" s="23">
        <f>+F65-F67</f>
        <v>1.8798434947015354</v>
      </c>
      <c r="G68" s="23">
        <f t="shared" ref="G68:BI68" si="20">+G65-G67</f>
        <v>2.0204903345230578</v>
      </c>
      <c r="H68" s="23">
        <f t="shared" si="20"/>
        <v>2.1745960225083314</v>
      </c>
      <c r="I68" s="23">
        <f t="shared" si="20"/>
        <v>2.2606901344311887</v>
      </c>
      <c r="J68" s="23">
        <f t="shared" si="20"/>
        <v>2.3980884147896382</v>
      </c>
      <c r="K68" s="23">
        <f t="shared" si="20"/>
        <v>2.6142020774109027</v>
      </c>
      <c r="L68" s="23">
        <f t="shared" si="20"/>
        <v>2.7144051032573016</v>
      </c>
      <c r="M68" s="23">
        <f t="shared" si="20"/>
        <v>2.8425775076297293</v>
      </c>
      <c r="N68" s="23">
        <f t="shared" si="20"/>
        <v>2.9485262869050901</v>
      </c>
      <c r="O68" s="23">
        <f t="shared" si="20"/>
        <v>3.1804904484422294</v>
      </c>
      <c r="P68" s="23">
        <f t="shared" si="20"/>
        <v>3.4346801565253848</v>
      </c>
      <c r="Q68" s="23">
        <f t="shared" si="20"/>
        <v>3.7029558504721911</v>
      </c>
      <c r="R68" s="23">
        <f t="shared" si="20"/>
        <v>4.0022831976121314</v>
      </c>
      <c r="S68" s="23">
        <f t="shared" si="20"/>
        <v>4.3081688119677173</v>
      </c>
      <c r="T68" s="23">
        <f t="shared" si="20"/>
        <v>4.4449944249739444</v>
      </c>
      <c r="U68" s="23">
        <f t="shared" si="20"/>
        <v>4.7905100839027019</v>
      </c>
      <c r="V68" s="23">
        <f t="shared" si="20"/>
        <v>5.1947002547751415</v>
      </c>
      <c r="W68" s="23">
        <f t="shared" si="20"/>
        <v>5.47141342167341</v>
      </c>
      <c r="X68" s="23">
        <f t="shared" si="20"/>
        <v>5.7681181713355834</v>
      </c>
      <c r="Y68" s="23">
        <f t="shared" si="20"/>
        <v>6.1349485680995341</v>
      </c>
      <c r="Z68" s="23">
        <f t="shared" si="20"/>
        <v>6.5863470855679189</v>
      </c>
      <c r="AA68" s="23">
        <f t="shared" si="20"/>
        <v>7.1035805214111551</v>
      </c>
      <c r="AB68" s="23">
        <f t="shared" si="20"/>
        <v>7.6613690697089138</v>
      </c>
      <c r="AC68" s="23">
        <f t="shared" si="20"/>
        <v>8.18967579627917</v>
      </c>
      <c r="AD68" s="23">
        <f t="shared" si="20"/>
        <v>8.7245896936007004</v>
      </c>
      <c r="AE68" s="23">
        <f t="shared" si="20"/>
        <v>9.0535386619680214</v>
      </c>
      <c r="AF68" s="23">
        <f t="shared" si="20"/>
        <v>8.5243450648323336</v>
      </c>
      <c r="AG68" s="23">
        <f t="shared" si="20"/>
        <v>9.3095459044991884</v>
      </c>
      <c r="AH68" s="23">
        <f t="shared" si="20"/>
        <v>9.9810462579141088</v>
      </c>
      <c r="AI68" s="23">
        <f t="shared" si="20"/>
        <v>121.67161299513745</v>
      </c>
      <c r="AJ68" s="23">
        <f t="shared" si="20"/>
        <v>241.10699114461346</v>
      </c>
      <c r="AK68" s="23">
        <f t="shared" si="20"/>
        <v>316.8294073366078</v>
      </c>
      <c r="AL68" s="23">
        <f t="shared" si="20"/>
        <v>365.4187223016246</v>
      </c>
      <c r="AM68" s="23">
        <f t="shared" si="20"/>
        <v>399.83010258748095</v>
      </c>
      <c r="AN68" s="23">
        <f t="shared" si="20"/>
        <v>426.83622497338962</v>
      </c>
      <c r="AO68" s="23">
        <f t="shared" si="20"/>
        <v>450.00036479089943</v>
      </c>
      <c r="AP68" s="23">
        <f t="shared" si="20"/>
        <v>471.24770306890895</v>
      </c>
      <c r="AQ68" s="23">
        <f t="shared" si="20"/>
        <v>491.63997407033366</v>
      </c>
      <c r="AR68" s="23">
        <f t="shared" si="20"/>
        <v>511.77297552719693</v>
      </c>
      <c r="AS68" s="23">
        <f t="shared" si="20"/>
        <v>531.98767395223626</v>
      </c>
      <c r="AT68" s="23">
        <f t="shared" si="20"/>
        <v>552.48471022946342</v>
      </c>
      <c r="AU68" s="23">
        <f t="shared" si="20"/>
        <v>573.38724902318347</v>
      </c>
      <c r="AV68" s="23">
        <f t="shared" si="20"/>
        <v>594.77569634834379</v>
      </c>
      <c r="AW68" s="23">
        <f t="shared" si="20"/>
        <v>616.70694314949594</v>
      </c>
      <c r="AX68" s="23">
        <f t="shared" si="20"/>
        <v>639.22505320598805</v>
      </c>
      <c r="AY68" s="23">
        <f t="shared" si="20"/>
        <v>662.36720868041596</v>
      </c>
      <c r="AZ68" s="23">
        <f t="shared" si="20"/>
        <v>686.16702431492081</v>
      </c>
      <c r="BA68" s="23">
        <f t="shared" si="20"/>
        <v>710.65640134408704</v>
      </c>
      <c r="BB68" s="23">
        <f t="shared" si="20"/>
        <v>735.86657133224116</v>
      </c>
      <c r="BC68" s="23">
        <f t="shared" si="20"/>
        <v>761.82869101902656</v>
      </c>
      <c r="BD68" s="23">
        <f t="shared" si="20"/>
        <v>788.57418865902878</v>
      </c>
      <c r="BE68" s="23">
        <f t="shared" si="20"/>
        <v>816.34979381383278</v>
      </c>
      <c r="BF68" s="23">
        <f t="shared" si="20"/>
        <v>844.90918076645414</v>
      </c>
      <c r="BG68" s="23">
        <f t="shared" si="20"/>
        <v>874.29731548744508</v>
      </c>
      <c r="BH68" s="23">
        <f t="shared" si="20"/>
        <v>904.56312893216329</v>
      </c>
      <c r="BI68" s="23">
        <f t="shared" si="20"/>
        <v>935.7539674279825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0.26272072224848791</v>
      </c>
      <c r="C70" s="45">
        <f t="shared" si="21"/>
        <v>0.25135402819392283</v>
      </c>
      <c r="D70" s="45">
        <f t="shared" si="21"/>
        <v>0.21680863863852845</v>
      </c>
      <c r="E70" s="45">
        <f t="shared" si="21"/>
        <v>0.18901541956840245</v>
      </c>
      <c r="F70" s="45">
        <f t="shared" si="21"/>
        <v>0.17046892275931622</v>
      </c>
      <c r="G70" s="45">
        <f t="shared" si="21"/>
        <v>0.15729102344717191</v>
      </c>
      <c r="H70" s="45">
        <f t="shared" si="21"/>
        <v>0.14697403075640958</v>
      </c>
      <c r="I70" s="45">
        <f t="shared" si="21"/>
        <v>0.1344098204544949</v>
      </c>
      <c r="J70" s="45">
        <f t="shared" si="21"/>
        <v>0.12675340213327232</v>
      </c>
      <c r="K70" s="45">
        <f t="shared" si="21"/>
        <v>0.1236818183724122</v>
      </c>
      <c r="L70" s="45">
        <f t="shared" si="21"/>
        <v>0.11610999979162299</v>
      </c>
      <c r="M70" s="45">
        <f t="shared" si="21"/>
        <v>0.11087134673514568</v>
      </c>
      <c r="N70" s="45">
        <f t="shared" si="21"/>
        <v>0.10555703127149317</v>
      </c>
      <c r="O70" s="45">
        <f t="shared" si="21"/>
        <v>0.10506818872961207</v>
      </c>
      <c r="P70" s="45">
        <f t="shared" si="21"/>
        <v>0.10522248650416635</v>
      </c>
      <c r="Q70" s="45">
        <f t="shared" si="21"/>
        <v>0.10590321602654931</v>
      </c>
      <c r="R70" s="45">
        <f t="shared" si="21"/>
        <v>0.10720302855134099</v>
      </c>
      <c r="S70" s="45">
        <f t="shared" si="21"/>
        <v>0.10855387945023438</v>
      </c>
      <c r="T70" s="45">
        <f t="shared" si="21"/>
        <v>0.10563410898767803</v>
      </c>
      <c r="U70" s="45">
        <f t="shared" si="21"/>
        <v>0.10790619912640063</v>
      </c>
      <c r="V70" s="45">
        <f t="shared" si="21"/>
        <v>0.11120309323178766</v>
      </c>
      <c r="W70" s="45">
        <f t="shared" si="21"/>
        <v>0.1114556566685049</v>
      </c>
      <c r="X70" s="45">
        <f t="shared" si="21"/>
        <v>0.11220383756451598</v>
      </c>
      <c r="Y70" s="45">
        <f t="shared" si="21"/>
        <v>0.11419725695936329</v>
      </c>
      <c r="Z70" s="45">
        <f t="shared" si="21"/>
        <v>0.11757139389199471</v>
      </c>
      <c r="AA70" s="45">
        <f t="shared" si="21"/>
        <v>0.12191700806173721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0.26272072224848791</v>
      </c>
      <c r="C71" s="46">
        <f t="shared" si="23"/>
        <v>0.25135402819392283</v>
      </c>
      <c r="D71" s="46">
        <f t="shared" si="23"/>
        <v>0.21680863863852845</v>
      </c>
      <c r="E71" s="46">
        <f t="shared" si="23"/>
        <v>0.18901541956840245</v>
      </c>
      <c r="F71" s="46">
        <f t="shared" si="23"/>
        <v>0.17046892275931622</v>
      </c>
      <c r="G71" s="46">
        <f t="shared" si="23"/>
        <v>0.15729102344717191</v>
      </c>
      <c r="H71" s="46">
        <f t="shared" si="23"/>
        <v>0.14697403075640958</v>
      </c>
      <c r="I71" s="46">
        <f t="shared" si="23"/>
        <v>0.1344098204544949</v>
      </c>
      <c r="J71" s="46">
        <f t="shared" si="23"/>
        <v>0.12675340213327232</v>
      </c>
      <c r="K71" s="46">
        <f t="shared" si="23"/>
        <v>0.1236818183724122</v>
      </c>
      <c r="L71" s="46">
        <f t="shared" si="23"/>
        <v>0.11610999979162299</v>
      </c>
      <c r="M71" s="46">
        <f t="shared" si="23"/>
        <v>0.11087134673514568</v>
      </c>
      <c r="N71" s="46">
        <f t="shared" si="23"/>
        <v>0.10555703127149317</v>
      </c>
      <c r="O71" s="46">
        <f t="shared" si="23"/>
        <v>0.10506818872961207</v>
      </c>
      <c r="P71" s="46">
        <f t="shared" si="23"/>
        <v>0.10522248650416635</v>
      </c>
      <c r="Q71" s="46">
        <f t="shared" si="23"/>
        <v>0.10590321602654931</v>
      </c>
      <c r="R71" s="46">
        <f t="shared" si="23"/>
        <v>0.10720302855134099</v>
      </c>
      <c r="S71" s="46">
        <f t="shared" si="23"/>
        <v>0.10855387945023438</v>
      </c>
      <c r="T71" s="46">
        <f t="shared" si="23"/>
        <v>0.10563410898767803</v>
      </c>
      <c r="U71" s="46">
        <f t="shared" si="23"/>
        <v>0.10790619912640063</v>
      </c>
      <c r="V71" s="46">
        <f t="shared" si="23"/>
        <v>0.11120309323178766</v>
      </c>
      <c r="W71" s="46">
        <f t="shared" si="23"/>
        <v>0.1114556566685049</v>
      </c>
      <c r="X71" s="46">
        <f t="shared" si="23"/>
        <v>0.11220383756451598</v>
      </c>
      <c r="Y71" s="46">
        <f t="shared" si="23"/>
        <v>0.11419725695936329</v>
      </c>
      <c r="Z71" s="46">
        <f t="shared" si="23"/>
        <v>0.11757139389199471</v>
      </c>
      <c r="AA71" s="46">
        <f t="shared" si="23"/>
        <v>0.12191700806173721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0.46497630670238338</v>
      </c>
      <c r="C73" s="45">
        <f>(C97)*C68</f>
        <v>0.42828618298176441</v>
      </c>
      <c r="D73" s="45">
        <f>(D97)*D68</f>
        <v>0.42716068215686798</v>
      </c>
      <c r="E73" s="45">
        <f>(E97)*E68</f>
        <v>0.42928155122958678</v>
      </c>
      <c r="F73" s="45">
        <f>(F97)*F68</f>
        <v>0.43646877148187929</v>
      </c>
      <c r="G73" s="45">
        <f t="shared" ref="G73:BI73" si="25">(G97)*G68</f>
        <v>0.45755785790939429</v>
      </c>
      <c r="H73" s="45">
        <f t="shared" si="25"/>
        <v>0.48985663147107245</v>
      </c>
      <c r="I73" s="45">
        <f t="shared" si="25"/>
        <v>0.50762004496807078</v>
      </c>
      <c r="J73" s="45">
        <f t="shared" si="25"/>
        <v>0.53811392905449851</v>
      </c>
      <c r="K73" s="45">
        <f t="shared" si="25"/>
        <v>0.58752785664194151</v>
      </c>
      <c r="L73" s="45">
        <f t="shared" si="25"/>
        <v>0.61271892009680362</v>
      </c>
      <c r="M73" s="45">
        <f t="shared" si="25"/>
        <v>0.64865087126744148</v>
      </c>
      <c r="N73" s="45">
        <f t="shared" si="25"/>
        <v>0.6728274391190564</v>
      </c>
      <c r="O73" s="45">
        <f t="shared" si="25"/>
        <v>0.72575959491077324</v>
      </c>
      <c r="P73" s="45">
        <f t="shared" si="25"/>
        <v>0.78376342248374242</v>
      </c>
      <c r="Q73" s="45">
        <f t="shared" si="25"/>
        <v>0.8449815465811138</v>
      </c>
      <c r="R73" s="45">
        <f t="shared" si="25"/>
        <v>0.91328538139137116</v>
      </c>
      <c r="S73" s="45">
        <f t="shared" si="25"/>
        <v>0.98308575437236101</v>
      </c>
      <c r="T73" s="45">
        <f t="shared" si="25"/>
        <v>1.0143081406925132</v>
      </c>
      <c r="U73" s="45">
        <f t="shared" si="25"/>
        <v>1.0931517369002253</v>
      </c>
      <c r="V73" s="45">
        <f t="shared" si="25"/>
        <v>1.1853843341787282</v>
      </c>
      <c r="W73" s="45">
        <f t="shared" si="25"/>
        <v>1.2485278144595535</v>
      </c>
      <c r="X73" s="45">
        <f t="shared" si="25"/>
        <v>1.3162331958822175</v>
      </c>
      <c r="Y73" s="45">
        <f t="shared" si="25"/>
        <v>1.3999406254350277</v>
      </c>
      <c r="Z73" s="45">
        <f t="shared" si="25"/>
        <v>1.5029457469695497</v>
      </c>
      <c r="AA73" s="45">
        <f t="shared" si="25"/>
        <v>1.6209738105519307</v>
      </c>
      <c r="AB73" s="45">
        <f t="shared" si="25"/>
        <v>1.7482561896129105</v>
      </c>
      <c r="AC73" s="45">
        <f t="shared" si="25"/>
        <v>1.8688110795205544</v>
      </c>
      <c r="AD73" s="45">
        <f t="shared" si="25"/>
        <v>1.9908736669502265</v>
      </c>
      <c r="AE73" s="45">
        <f t="shared" si="25"/>
        <v>2.0659368919146388</v>
      </c>
      <c r="AF73" s="45">
        <f t="shared" si="25"/>
        <v>1.9451796260424259</v>
      </c>
      <c r="AG73" s="45">
        <f t="shared" si="25"/>
        <v>2.1243554646616962</v>
      </c>
      <c r="AH73" s="45">
        <f t="shared" si="25"/>
        <v>2.2775858649339411</v>
      </c>
      <c r="AI73" s="45">
        <f t="shared" si="25"/>
        <v>27.764378479030448</v>
      </c>
      <c r="AJ73" s="45">
        <f t="shared" si="25"/>
        <v>55.018468082171481</v>
      </c>
      <c r="AK73" s="45">
        <f t="shared" si="25"/>
        <v>72.297649073921917</v>
      </c>
      <c r="AL73" s="45">
        <f t="shared" si="25"/>
        <v>83.385298012869228</v>
      </c>
      <c r="AM73" s="45">
        <f t="shared" si="25"/>
        <v>91.237668526610548</v>
      </c>
      <c r="AN73" s="45">
        <f t="shared" si="25"/>
        <v>97.400225138754351</v>
      </c>
      <c r="AO73" s="45">
        <f t="shared" si="25"/>
        <v>102.68607554545706</v>
      </c>
      <c r="AP73" s="45">
        <f t="shared" si="25"/>
        <v>107.53452891186572</v>
      </c>
      <c r="AQ73" s="45">
        <f t="shared" si="25"/>
        <v>112.1878635409804</v>
      </c>
      <c r="AR73" s="45">
        <f t="shared" si="25"/>
        <v>116.78203516907875</v>
      </c>
      <c r="AS73" s="45">
        <f t="shared" si="25"/>
        <v>121.39484931772232</v>
      </c>
      <c r="AT73" s="45">
        <f t="shared" si="25"/>
        <v>126.07209044973636</v>
      </c>
      <c r="AU73" s="45">
        <f t="shared" si="25"/>
        <v>130.84186364461175</v>
      </c>
      <c r="AV73" s="45">
        <f t="shared" si="25"/>
        <v>135.72251683886415</v>
      </c>
      <c r="AW73" s="45">
        <f t="shared" si="25"/>
        <v>140.72703203936987</v>
      </c>
      <c r="AX73" s="45">
        <f t="shared" si="25"/>
        <v>145.86546420814446</v>
      </c>
      <c r="AY73" s="45">
        <f t="shared" si="25"/>
        <v>151.14629798354827</v>
      </c>
      <c r="AZ73" s="45">
        <f t="shared" si="25"/>
        <v>156.57720395036526</v>
      </c>
      <c r="BA73" s="45">
        <f t="shared" si="25"/>
        <v>162.16546168621542</v>
      </c>
      <c r="BB73" s="45">
        <f t="shared" si="25"/>
        <v>167.91819795593003</v>
      </c>
      <c r="BC73" s="45">
        <f t="shared" si="25"/>
        <v>173.842522450014</v>
      </c>
      <c r="BD73" s="45">
        <f t="shared" si="25"/>
        <v>179.94560681626393</v>
      </c>
      <c r="BE73" s="45">
        <f t="shared" si="25"/>
        <v>186.28375254326195</v>
      </c>
      <c r="BF73" s="45">
        <f t="shared" si="25"/>
        <v>192.80075029616717</v>
      </c>
      <c r="BG73" s="45">
        <f t="shared" si="25"/>
        <v>199.50686090899299</v>
      </c>
      <c r="BH73" s="45">
        <f t="shared" si="25"/>
        <v>206.41324998997337</v>
      </c>
      <c r="BI73" s="45">
        <f t="shared" si="25"/>
        <v>213.5307215493489</v>
      </c>
    </row>
    <row r="74" spans="1:237" s="45" customFormat="1" ht="18" customHeight="1" x14ac:dyDescent="0.2">
      <c r="A74" s="43" t="s">
        <v>35</v>
      </c>
      <c r="B74" s="44">
        <f>+B11</f>
        <v>4.1191882823091737</v>
      </c>
      <c r="C74" s="45">
        <f t="shared" ref="C74:BI74" si="26">+B74*(1-$B$8)^10+10*B73</f>
        <v>6.0860352117775953</v>
      </c>
      <c r="D74" s="45">
        <f t="shared" si="26"/>
        <v>6.4049310938539303</v>
      </c>
      <c r="E74" s="45">
        <f t="shared" si="26"/>
        <v>6.5048682043216566</v>
      </c>
      <c r="F74" s="45">
        <f t="shared" si="26"/>
        <v>6.5609228108348319</v>
      </c>
      <c r="G74" s="45">
        <f t="shared" si="26"/>
        <v>6.6523400461171907</v>
      </c>
      <c r="H74" s="45">
        <f t="shared" si="26"/>
        <v>6.8951061293888483</v>
      </c>
      <c r="I74" s="45">
        <f t="shared" si="26"/>
        <v>7.3027411642299782</v>
      </c>
      <c r="J74" s="45">
        <f t="shared" si="26"/>
        <v>7.6225088472784757</v>
      </c>
      <c r="K74" s="45">
        <f t="shared" si="26"/>
        <v>8.038943785062493</v>
      </c>
      <c r="L74" s="45">
        <f t="shared" si="26"/>
        <v>8.6782849454465953</v>
      </c>
      <c r="M74" s="45">
        <f t="shared" si="26"/>
        <v>9.1531200584896695</v>
      </c>
      <c r="N74" s="45">
        <f t="shared" si="26"/>
        <v>9.6780043367166151</v>
      </c>
      <c r="O74" s="45">
        <f t="shared" si="26"/>
        <v>10.10278584659795</v>
      </c>
      <c r="P74" s="45">
        <f t="shared" si="26"/>
        <v>10.780219558763864</v>
      </c>
      <c r="Q74" s="45">
        <f t="shared" si="26"/>
        <v>11.596464364522721</v>
      </c>
      <c r="R74" s="45">
        <f t="shared" si="26"/>
        <v>12.49325257110816</v>
      </c>
      <c r="S74" s="45">
        <f t="shared" si="26"/>
        <v>13.488981632183021</v>
      </c>
      <c r="T74" s="45">
        <f t="shared" si="26"/>
        <v>14.53417461777074</v>
      </c>
      <c r="U74" s="45">
        <f t="shared" si="26"/>
        <v>15.21083474079045</v>
      </c>
      <c r="V74" s="45">
        <f t="shared" si="26"/>
        <v>16.235207499039955</v>
      </c>
      <c r="W74" s="45">
        <f t="shared" si="26"/>
        <v>17.51471016725236</v>
      </c>
      <c r="X74" s="45">
        <f t="shared" si="26"/>
        <v>18.592279964516699</v>
      </c>
      <c r="Y74" s="45">
        <f t="shared" si="26"/>
        <v>19.645059134752344</v>
      </c>
      <c r="Z74" s="45">
        <f t="shared" si="26"/>
        <v>20.84921482912798</v>
      </c>
      <c r="AA74" s="45">
        <f t="shared" si="26"/>
        <v>22.299129173625634</v>
      </c>
      <c r="AB74" s="45">
        <f t="shared" si="26"/>
        <v>23.984963681367496</v>
      </c>
      <c r="AC74" s="45">
        <f t="shared" si="26"/>
        <v>25.845601618403482</v>
      </c>
      <c r="AD74" s="45">
        <f t="shared" si="26"/>
        <v>27.69991485095651</v>
      </c>
      <c r="AE74" s="45">
        <f t="shared" si="26"/>
        <v>29.567099770636609</v>
      </c>
      <c r="AF74" s="45">
        <f t="shared" si="26"/>
        <v>30.968779145453034</v>
      </c>
      <c r="AG74" s="45">
        <f t="shared" si="26"/>
        <v>30.24994186466224</v>
      </c>
      <c r="AH74" s="45">
        <f t="shared" si="26"/>
        <v>31.791057189103086</v>
      </c>
      <c r="AI74" s="45">
        <f t="shared" si="26"/>
        <v>33.860714879165769</v>
      </c>
      <c r="AJ74" s="45">
        <f t="shared" si="26"/>
        <v>289.45028603504289</v>
      </c>
      <c r="AK74" s="45">
        <f t="shared" si="26"/>
        <v>651.10975504291241</v>
      </c>
      <c r="AL74" s="45">
        <f t="shared" si="26"/>
        <v>950.00442446147508</v>
      </c>
      <c r="AM74" s="45">
        <f t="shared" si="26"/>
        <v>1165.0990409380179</v>
      </c>
      <c r="AN74" s="45">
        <f t="shared" si="26"/>
        <v>1318.6216014223799</v>
      </c>
      <c r="AO74" s="45">
        <f t="shared" si="26"/>
        <v>1433.7771744536631</v>
      </c>
      <c r="AP74" s="45">
        <f t="shared" si="26"/>
        <v>1526.7879440940596</v>
      </c>
      <c r="AQ74" s="45">
        <f t="shared" si="26"/>
        <v>1607.70332782886</v>
      </c>
      <c r="AR74" s="45">
        <f t="shared" si="26"/>
        <v>1682.45012390075</v>
      </c>
      <c r="AS74" s="45">
        <f t="shared" si="26"/>
        <v>1754.4544364385529</v>
      </c>
      <c r="AT74" s="45">
        <f t="shared" si="26"/>
        <v>1825.6889293011427</v>
      </c>
      <c r="AU74" s="45">
        <f t="shared" si="26"/>
        <v>1897.2992724739256</v>
      </c>
      <c r="AV74" s="45">
        <f t="shared" si="26"/>
        <v>1969.965987175191</v>
      </c>
      <c r="AW74" s="45">
        <f t="shared" si="26"/>
        <v>2044.109835846944</v>
      </c>
      <c r="AX74" s="45">
        <f t="shared" si="26"/>
        <v>2120.0073493498785</v>
      </c>
      <c r="AY74" s="45">
        <f t="shared" si="26"/>
        <v>2197.855497653296</v>
      </c>
      <c r="AZ74" s="45">
        <f t="shared" si="26"/>
        <v>2277.8078063224434</v>
      </c>
      <c r="BA74" s="45">
        <f t="shared" si="26"/>
        <v>2359.9945122597655</v>
      </c>
      <c r="BB74" s="45">
        <f t="shared" si="26"/>
        <v>2444.5338220414496</v>
      </c>
      <c r="BC74" s="45">
        <f t="shared" si="26"/>
        <v>2531.5382194004042</v>
      </c>
      <c r="BD74" s="45">
        <f t="shared" si="26"/>
        <v>2621.118021894205</v>
      </c>
      <c r="BE74" s="45">
        <f t="shared" si="26"/>
        <v>2713.3834113547091</v>
      </c>
      <c r="BF74" s="45">
        <f t="shared" si="26"/>
        <v>2808.9358206969964</v>
      </c>
      <c r="BG74" s="45">
        <f t="shared" si="26"/>
        <v>2907.422863263314</v>
      </c>
      <c r="BH74" s="45">
        <f t="shared" si="26"/>
        <v>3008.8242777636583</v>
      </c>
      <c r="BI74" s="45">
        <f t="shared" si="26"/>
        <v>3113.2446556053756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0.11531674531288821</v>
      </c>
      <c r="C77" s="23">
        <f t="shared" si="28"/>
        <v>7.8874248832033908E-2</v>
      </c>
      <c r="D77" s="23">
        <f t="shared" si="28"/>
        <v>7.9056070033886552E-2</v>
      </c>
      <c r="E77" s="23">
        <f t="shared" si="28"/>
        <v>8.1539572698350313E-2</v>
      </c>
      <c r="F77" s="23">
        <f t="shared" si="28"/>
        <v>8.6226191246575296E-2</v>
      </c>
      <c r="G77" s="23">
        <f t="shared" si="28"/>
        <v>9.148270419838439E-2</v>
      </c>
      <c r="H77" s="23">
        <f t="shared" si="28"/>
        <v>9.4925078482422348E-2</v>
      </c>
      <c r="I77" s="23">
        <f t="shared" si="28"/>
        <v>9.3256121428342539E-2</v>
      </c>
      <c r="J77" s="23">
        <f t="shared" si="28"/>
        <v>9.4869388635698312E-2</v>
      </c>
      <c r="K77" s="23">
        <f t="shared" si="28"/>
        <v>9.7912140654236521E-2</v>
      </c>
      <c r="L77" s="23">
        <f t="shared" si="28"/>
        <v>9.4182552508879719E-2</v>
      </c>
      <c r="M77" s="23">
        <f t="shared" si="28"/>
        <v>9.3604298207618467E-2</v>
      </c>
      <c r="N77" s="23">
        <f t="shared" si="28"/>
        <v>9.1895262739753292E-2</v>
      </c>
      <c r="O77" s="23">
        <f t="shared" si="28"/>
        <v>9.495104329073499E-2</v>
      </c>
      <c r="P77" s="23">
        <f t="shared" si="28"/>
        <v>9.6034446157279366E-2</v>
      </c>
      <c r="Q77" s="23">
        <f t="shared" si="28"/>
        <v>9.6348462012450981E-2</v>
      </c>
      <c r="R77" s="23">
        <f t="shared" si="28"/>
        <v>9.6641301845124192E-2</v>
      </c>
      <c r="S77" s="23">
        <f t="shared" si="28"/>
        <v>9.6364437744415124E-2</v>
      </c>
      <c r="T77" s="23">
        <f t="shared" si="28"/>
        <v>9.2195178719642751E-2</v>
      </c>
      <c r="U77" s="23">
        <f t="shared" si="28"/>
        <v>9.5019678670353491E-2</v>
      </c>
      <c r="V77" s="23">
        <f t="shared" si="28"/>
        <v>9.6589258497370059E-2</v>
      </c>
      <c r="W77" s="23">
        <f t="shared" si="28"/>
        <v>9.4225833253273716E-2</v>
      </c>
      <c r="X77" s="23">
        <f t="shared" si="28"/>
        <v>9.3608047466277947E-2</v>
      </c>
      <c r="Y77" s="23">
        <f t="shared" si="28"/>
        <v>9.424914325582931E-2</v>
      </c>
      <c r="Z77" s="23">
        <f t="shared" si="28"/>
        <v>9.5386449586164851E-2</v>
      </c>
      <c r="AA77" s="23">
        <f t="shared" si="28"/>
        <v>9.6315720077358183E-2</v>
      </c>
      <c r="AB77" s="23">
        <f t="shared" si="28"/>
        <v>9.6939151858047357E-2</v>
      </c>
      <c r="AC77" s="23">
        <f t="shared" si="28"/>
        <v>9.6073610998759662E-2</v>
      </c>
      <c r="AD77" s="23">
        <f t="shared" si="28"/>
        <v>9.5427534698829475E-2</v>
      </c>
      <c r="AE77" s="23">
        <f t="shared" si="28"/>
        <v>9.2862324626661344E-2</v>
      </c>
      <c r="AF77" s="23">
        <f t="shared" si="28"/>
        <v>8.348950884984635E-2</v>
      </c>
      <c r="AG77" s="23">
        <f t="shared" si="28"/>
        <v>9.3209080440387351E-2</v>
      </c>
      <c r="AH77" s="23">
        <f t="shared" si="28"/>
        <v>9.5111572200640718E-2</v>
      </c>
      <c r="AI77" s="23">
        <f t="shared" si="28"/>
        <v>1.0911949214987013</v>
      </c>
      <c r="AJ77" s="23">
        <f t="shared" si="28"/>
        <v>0.2505879005336874</v>
      </c>
      <c r="AK77" s="23">
        <f t="shared" si="28"/>
        <v>0.14640253558849095</v>
      </c>
      <c r="AL77" s="23">
        <f t="shared" si="28"/>
        <v>0.11573049145084791</v>
      </c>
      <c r="AM77" s="23">
        <f t="shared" si="28"/>
        <v>0.1032486734037078</v>
      </c>
      <c r="AN77" s="23">
        <f t="shared" si="28"/>
        <v>9.7386052382041829E-2</v>
      </c>
      <c r="AO77" s="23">
        <f t="shared" si="28"/>
        <v>9.4421178075199147E-2</v>
      </c>
      <c r="AP77" s="23">
        <f t="shared" si="28"/>
        <v>9.2852091485006255E-2</v>
      </c>
      <c r="AQ77" s="23">
        <f t="shared" si="28"/>
        <v>9.1991263794314618E-2</v>
      </c>
      <c r="AR77" s="23">
        <f t="shared" si="28"/>
        <v>9.1501057803824976E-2</v>
      </c>
      <c r="AS77" s="23">
        <f t="shared" si="28"/>
        <v>9.1209005452999162E-2</v>
      </c>
      <c r="AT77" s="23">
        <f t="shared" si="28"/>
        <v>9.1024989709466445E-2</v>
      </c>
      <c r="AU77" s="23">
        <f t="shared" si="28"/>
        <v>9.0901249153602232E-2</v>
      </c>
      <c r="AV77" s="23">
        <f t="shared" si="28"/>
        <v>9.0812195947653593E-2</v>
      </c>
      <c r="AW77" s="23">
        <f t="shared" si="28"/>
        <v>9.0743972453152577E-2</v>
      </c>
      <c r="AX77" s="23">
        <f t="shared" si="28"/>
        <v>9.0688969623751059E-2</v>
      </c>
      <c r="AY77" s="23">
        <f t="shared" si="28"/>
        <v>9.0642926055867046E-2</v>
      </c>
      <c r="AZ77" s="23">
        <f t="shared" si="28"/>
        <v>9.0603385026372996E-2</v>
      </c>
      <c r="BA77" s="23">
        <f t="shared" si="28"/>
        <v>9.0568870904919635E-2</v>
      </c>
      <c r="BB77" s="23">
        <f t="shared" si="28"/>
        <v>9.0538448150901091E-2</v>
      </c>
      <c r="BC77" s="23">
        <f t="shared" si="28"/>
        <v>9.051148429860581E-2</v>
      </c>
      <c r="BD77" s="23">
        <f t="shared" si="28"/>
        <v>9.048752191633283E-2</v>
      </c>
      <c r="BE77" s="23">
        <f t="shared" si="28"/>
        <v>9.0466208889838487E-2</v>
      </c>
      <c r="BF77" s="23">
        <f t="shared" si="28"/>
        <v>9.0436210615139428E-2</v>
      </c>
      <c r="BG77" s="23">
        <f t="shared" si="28"/>
        <v>9.0408548204500422E-2</v>
      </c>
      <c r="BH77" s="23">
        <f t="shared" si="28"/>
        <v>9.0385875247756958E-2</v>
      </c>
      <c r="BI77" s="23">
        <f t="shared" si="28"/>
        <v>9.0367999401187352E-2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7.5108282439781349E-2</v>
      </c>
      <c r="C78" s="23">
        <f t="shared" si="29"/>
        <v>5.1372498785221064E-2</v>
      </c>
      <c r="D78" s="23">
        <f t="shared" si="29"/>
        <v>5.1490922854034615E-2</v>
      </c>
      <c r="E78" s="23">
        <f t="shared" si="29"/>
        <v>5.3108481683468968E-2</v>
      </c>
      <c r="F78" s="23">
        <f t="shared" si="29"/>
        <v>5.6160977386955135E-2</v>
      </c>
      <c r="G78" s="23">
        <f t="shared" si="29"/>
        <v>5.9584657602361979E-2</v>
      </c>
      <c r="H78" s="23">
        <f t="shared" si="29"/>
        <v>6.1826750190801229E-2</v>
      </c>
      <c r="I78" s="23">
        <f t="shared" si="29"/>
        <v>6.0739722478931855E-2</v>
      </c>
      <c r="J78" s="23">
        <f t="shared" si="29"/>
        <v>6.1790478192962336E-2</v>
      </c>
      <c r="K78" s="23">
        <f t="shared" si="29"/>
        <v>6.3772288184065523E-2</v>
      </c>
      <c r="L78" s="23">
        <f t="shared" si="29"/>
        <v>6.1343127015447176E-2</v>
      </c>
      <c r="M78" s="23">
        <f t="shared" si="29"/>
        <v>6.0966497521930819E-2</v>
      </c>
      <c r="N78" s="23">
        <f t="shared" si="29"/>
        <v>5.9853365875076447E-2</v>
      </c>
      <c r="O78" s="23">
        <f t="shared" si="29"/>
        <v>6.184366163025392E-2</v>
      </c>
      <c r="P78" s="23">
        <f t="shared" si="29"/>
        <v>6.2549305275291747E-2</v>
      </c>
      <c r="Q78" s="23">
        <f t="shared" si="29"/>
        <v>6.2753830571915442E-2</v>
      </c>
      <c r="R78" s="23">
        <f t="shared" si="29"/>
        <v>6.2944563468533027E-2</v>
      </c>
      <c r="S78" s="23">
        <f t="shared" si="29"/>
        <v>6.2764235910578864E-2</v>
      </c>
      <c r="T78" s="23">
        <f t="shared" si="29"/>
        <v>6.0048707618936978E-2</v>
      </c>
      <c r="U78" s="23">
        <f t="shared" si="29"/>
        <v>6.1888365332771381E-2</v>
      </c>
      <c r="V78" s="23">
        <f t="shared" si="29"/>
        <v>6.2910666514091385E-2</v>
      </c>
      <c r="W78" s="23">
        <f t="shared" si="29"/>
        <v>6.1371316697399515E-2</v>
      </c>
      <c r="X78" s="23">
        <f t="shared" si="29"/>
        <v>6.0968939494929375E-2</v>
      </c>
      <c r="Y78" s="23">
        <f t="shared" si="29"/>
        <v>6.1386499004625297E-2</v>
      </c>
      <c r="Z78" s="23">
        <f t="shared" si="29"/>
        <v>6.2127251137783578E-2</v>
      </c>
      <c r="AA78" s="23">
        <f t="shared" si="29"/>
        <v>6.2732505043676667E-2</v>
      </c>
      <c r="AB78" s="23">
        <f t="shared" si="29"/>
        <v>6.3138559603566374E-2</v>
      </c>
      <c r="AC78" s="23">
        <f t="shared" si="29"/>
        <v>6.2574814180937924E-2</v>
      </c>
      <c r="AD78" s="23">
        <f t="shared" si="29"/>
        <v>6.2154010757452971E-2</v>
      </c>
      <c r="AE78" s="23">
        <f t="shared" si="29"/>
        <v>6.0483234131777232E-2</v>
      </c>
      <c r="AF78" s="23">
        <f t="shared" si="29"/>
        <v>5.4378517139366769E-2</v>
      </c>
      <c r="AG78" s="23">
        <f t="shared" si="29"/>
        <v>6.0709083669277651E-2</v>
      </c>
      <c r="AH78" s="23">
        <f t="shared" si="29"/>
        <v>6.1948217570262774E-2</v>
      </c>
      <c r="AI78" s="23">
        <f t="shared" si="29"/>
        <v>0.71071877842549203</v>
      </c>
      <c r="AJ78" s="23">
        <f t="shared" si="29"/>
        <v>0.16321330226766728</v>
      </c>
      <c r="AK78" s="23">
        <f t="shared" si="29"/>
        <v>9.5355127852811167E-2</v>
      </c>
      <c r="AL78" s="23">
        <f t="shared" si="29"/>
        <v>7.5377764219759849E-2</v>
      </c>
      <c r="AM78" s="23">
        <f t="shared" si="29"/>
        <v>6.7248087018908581E-2</v>
      </c>
      <c r="AN78" s="23">
        <f t="shared" si="29"/>
        <v>6.3429635549974578E-2</v>
      </c>
      <c r="AO78" s="23">
        <f t="shared" si="29"/>
        <v>6.1498548991534376E-2</v>
      </c>
      <c r="AP78" s="23">
        <f t="shared" si="29"/>
        <v>6.0476569065991768E-2</v>
      </c>
      <c r="AQ78" s="23">
        <f t="shared" si="29"/>
        <v>5.9915893431685373E-2</v>
      </c>
      <c r="AR78" s="23">
        <f t="shared" si="29"/>
        <v>5.9596611701287328E-2</v>
      </c>
      <c r="AS78" s="23">
        <f t="shared" si="29"/>
        <v>5.9406391708575E-2</v>
      </c>
      <c r="AT78" s="23">
        <f t="shared" si="29"/>
        <v>5.9286538287451118E-2</v>
      </c>
      <c r="AU78" s="23">
        <f t="shared" si="29"/>
        <v>5.9205943395582737E-2</v>
      </c>
      <c r="AV78" s="23">
        <f t="shared" si="29"/>
        <v>5.9147941122570179E-2</v>
      </c>
      <c r="AW78" s="23">
        <f t="shared" si="29"/>
        <v>5.9103505689709943E-2</v>
      </c>
      <c r="AX78" s="23">
        <f t="shared" si="29"/>
        <v>5.9067681161065234E-2</v>
      </c>
      <c r="AY78" s="23">
        <f t="shared" si="29"/>
        <v>5.9037691992607666E-2</v>
      </c>
      <c r="AZ78" s="23">
        <f t="shared" si="29"/>
        <v>5.9011938067597546E-2</v>
      </c>
      <c r="BA78" s="23">
        <f t="shared" si="29"/>
        <v>5.8989458276173967E-2</v>
      </c>
      <c r="BB78" s="23">
        <f t="shared" si="29"/>
        <v>5.8969643280570153E-2</v>
      </c>
      <c r="BC78" s="23">
        <f t="shared" si="29"/>
        <v>5.8952081142232271E-2</v>
      </c>
      <c r="BD78" s="23">
        <f t="shared" si="29"/>
        <v>5.8936473926031317E-2</v>
      </c>
      <c r="BE78" s="23">
        <f t="shared" si="29"/>
        <v>5.8922592292368826E-2</v>
      </c>
      <c r="BF78" s="23">
        <f t="shared" si="29"/>
        <v>5.8903053769297532E-2</v>
      </c>
      <c r="BG78" s="23">
        <f t="shared" si="29"/>
        <v>5.8885036644849544E-2</v>
      </c>
      <c r="BH78" s="23">
        <f t="shared" si="29"/>
        <v>5.8870269259295838E-2</v>
      </c>
      <c r="BI78" s="23">
        <f t="shared" si="29"/>
        <v>5.8858626335023589E-2</v>
      </c>
    </row>
    <row r="79" spans="1:237" s="37" customFormat="1" ht="18" customHeight="1" x14ac:dyDescent="0.2">
      <c r="A79" s="35" t="s">
        <v>70</v>
      </c>
      <c r="B79" s="29">
        <f>+C134</f>
        <v>1.7160231136614801E-3</v>
      </c>
      <c r="C79" s="23">
        <f t="shared" ref="C79:BI79" si="30">+D134</f>
        <v>1.1055130392345403E-2</v>
      </c>
      <c r="D79" s="23">
        <f t="shared" si="30"/>
        <v>1.4197346160598867E-2</v>
      </c>
      <c r="E79" s="23">
        <f t="shared" si="30"/>
        <v>2.0566972692946051E-2</v>
      </c>
      <c r="F79" s="23">
        <f t="shared" si="30"/>
        <v>2.6026258268627922E-2</v>
      </c>
      <c r="G79" s="23">
        <f t="shared" si="30"/>
        <v>2.7997280329026486E-2</v>
      </c>
      <c r="H79" s="23">
        <f t="shared" si="30"/>
        <v>2.2570055645642961E-2</v>
      </c>
      <c r="I79" s="23">
        <f t="shared" si="30"/>
        <v>2.5555680550549464E-2</v>
      </c>
      <c r="J79" s="23">
        <f t="shared" si="30"/>
        <v>2.9661873642916614E-2</v>
      </c>
      <c r="K79" s="23">
        <f t="shared" si="30"/>
        <v>2.2151386601274803E-2</v>
      </c>
      <c r="L79" s="23">
        <f t="shared" si="30"/>
        <v>2.3270167307285927E-2</v>
      </c>
      <c r="M79" s="23">
        <f t="shared" si="30"/>
        <v>2.2294634253567036E-2</v>
      </c>
      <c r="N79" s="23">
        <f t="shared" si="30"/>
        <v>2.8313510338344949E-2</v>
      </c>
      <c r="O79" s="23">
        <f t="shared" si="30"/>
        <v>2.8492215194797055E-2</v>
      </c>
      <c r="P79" s="23">
        <f t="shared" si="30"/>
        <v>2.823294082895722E-2</v>
      </c>
      <c r="Q79" s="23">
        <f t="shared" si="30"/>
        <v>2.8622619434603314E-2</v>
      </c>
      <c r="R79" s="23">
        <f t="shared" si="30"/>
        <v>2.7992420381171446E-2</v>
      </c>
      <c r="S79" s="23">
        <f t="shared" si="30"/>
        <v>2.1477851216196608E-2</v>
      </c>
      <c r="T79" s="23">
        <f t="shared" si="30"/>
        <v>2.8179069420185998E-2</v>
      </c>
      <c r="U79" s="23">
        <f t="shared" si="30"/>
        <v>2.7879895649721265E-2</v>
      </c>
      <c r="V79" s="23">
        <f t="shared" si="30"/>
        <v>2.2162163534679813E-2</v>
      </c>
      <c r="W79" s="23">
        <f t="shared" si="30"/>
        <v>2.23018292701056E-2</v>
      </c>
      <c r="X79" s="23">
        <f t="shared" si="30"/>
        <v>2.3659359919030232E-2</v>
      </c>
      <c r="Y79" s="23">
        <f t="shared" si="30"/>
        <v>2.5094724075488628E-2</v>
      </c>
      <c r="Z79" s="23">
        <f t="shared" si="30"/>
        <v>2.5802727329160557E-2</v>
      </c>
      <c r="AA79" s="23">
        <f t="shared" si="30"/>
        <v>2.5801445457561467E-2</v>
      </c>
      <c r="AB79" s="23">
        <f t="shared" si="30"/>
        <v>2.4431665310210571E-2</v>
      </c>
      <c r="AC79" s="23">
        <f t="shared" si="30"/>
        <v>2.3907420754467834E-2</v>
      </c>
      <c r="AD79" s="23">
        <f t="shared" si="30"/>
        <v>1.9882048400241992E-2</v>
      </c>
      <c r="AE79" s="23">
        <f t="shared" si="30"/>
        <v>5.4926328467757024E-3</v>
      </c>
      <c r="AF79" s="23">
        <f t="shared" si="30"/>
        <v>2.850442296775868E-2</v>
      </c>
      <c r="AG79" s="23">
        <f t="shared" si="30"/>
        <v>2.565943123408454E-2</v>
      </c>
      <c r="AH79" s="23">
        <f t="shared" si="30"/>
        <v>0.47695757928935834</v>
      </c>
      <c r="AI79" s="23">
        <f t="shared" si="30"/>
        <v>0.12465449385423089</v>
      </c>
      <c r="AJ79" s="23">
        <f t="shared" si="30"/>
        <v>5.7446476609148034E-2</v>
      </c>
      <c r="AK79" s="23">
        <f t="shared" si="30"/>
        <v>3.695721741690261E-2</v>
      </c>
      <c r="AL79" s="23">
        <f t="shared" si="30"/>
        <v>2.879476643165968E-2</v>
      </c>
      <c r="AM79" s="23">
        <f t="shared" si="30"/>
        <v>2.5000104179747851E-2</v>
      </c>
      <c r="AN79" s="23">
        <f t="shared" si="30"/>
        <v>2.3078084271543897E-2</v>
      </c>
      <c r="AO79" s="23">
        <f t="shared" si="30"/>
        <v>2.2048486255366484E-2</v>
      </c>
      <c r="AP79" s="23">
        <f t="shared" si="30"/>
        <v>2.1470275615156797E-2</v>
      </c>
      <c r="AQ79" s="23">
        <f t="shared" si="30"/>
        <v>2.112889708281962E-2</v>
      </c>
      <c r="AR79" s="23">
        <f t="shared" si="30"/>
        <v>2.0915212894098811E-2</v>
      </c>
      <c r="AS79" s="23">
        <f t="shared" si="30"/>
        <v>2.0772229305724199E-2</v>
      </c>
      <c r="AT79" s="23">
        <f t="shared" si="30"/>
        <v>2.0669664778085517E-2</v>
      </c>
      <c r="AU79" s="23">
        <f t="shared" si="30"/>
        <v>2.0591200956180611E-2</v>
      </c>
      <c r="AV79" s="23">
        <f t="shared" si="30"/>
        <v>2.052790826810913E-2</v>
      </c>
      <c r="AW79" s="23">
        <f t="shared" si="30"/>
        <v>2.0474800492032319E-2</v>
      </c>
      <c r="AX79" s="23">
        <f t="shared" si="30"/>
        <v>2.0429012086237153E-2</v>
      </c>
      <c r="AY79" s="23">
        <f t="shared" si="30"/>
        <v>2.0388828280294424E-2</v>
      </c>
      <c r="AZ79" s="23">
        <f t="shared" si="30"/>
        <v>2.0353166678371171E-2</v>
      </c>
      <c r="BA79" s="23">
        <f t="shared" si="30"/>
        <v>2.0321298999900872E-2</v>
      </c>
      <c r="BB79" s="23">
        <f t="shared" si="30"/>
        <v>2.029270091681723E-2</v>
      </c>
      <c r="BC79" s="23">
        <f t="shared" si="30"/>
        <v>2.0266970384467342E-2</v>
      </c>
      <c r="BD79" s="23">
        <f t="shared" si="30"/>
        <v>2.0284060025274941E-2</v>
      </c>
      <c r="BE79" s="23">
        <f t="shared" si="30"/>
        <v>2.024882555976304E-2</v>
      </c>
      <c r="BF79" s="23">
        <f t="shared" si="30"/>
        <v>2.0219005344140228E-2</v>
      </c>
      <c r="BG79" s="23">
        <f t="shared" si="30"/>
        <v>2.0194558403710872E-2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1.1120352217142446</v>
      </c>
      <c r="C84" s="381">
        <f t="shared" ref="C84:BH84" si="31">C68-C73</f>
        <v>1.1658926056343868</v>
      </c>
      <c r="D84" s="381">
        <f>D68-D73</f>
        <v>1.2563403617876476</v>
      </c>
      <c r="E84" s="381">
        <f>E68-E73</f>
        <v>1.3340853524051912</v>
      </c>
      <c r="F84" s="381">
        <f t="shared" si="31"/>
        <v>1.4433747232196561</v>
      </c>
      <c r="G84" s="381">
        <f t="shared" si="31"/>
        <v>1.5629324766136636</v>
      </c>
      <c r="H84" s="381">
        <f t="shared" si="31"/>
        <v>1.684739391037259</v>
      </c>
      <c r="I84" s="381">
        <f t="shared" si="31"/>
        <v>1.7530700894631179</v>
      </c>
      <c r="J84" s="381">
        <f>J68-J73</f>
        <v>1.8599744857351397</v>
      </c>
      <c r="K84" s="381">
        <f t="shared" si="31"/>
        <v>2.0266742207689612</v>
      </c>
      <c r="L84" s="381">
        <f>L68-L73</f>
        <v>2.1016861831604978</v>
      </c>
      <c r="M84" s="381">
        <f t="shared" si="31"/>
        <v>2.1939266363622876</v>
      </c>
      <c r="N84" s="381">
        <f t="shared" si="31"/>
        <v>2.2756988477860336</v>
      </c>
      <c r="O84" s="381">
        <f t="shared" si="31"/>
        <v>2.4547308535314563</v>
      </c>
      <c r="P84" s="381">
        <f t="shared" si="31"/>
        <v>2.6509167340416422</v>
      </c>
      <c r="Q84" s="381">
        <f t="shared" si="31"/>
        <v>2.8579743038910772</v>
      </c>
      <c r="R84" s="381">
        <f t="shared" si="31"/>
        <v>3.0889978162207603</v>
      </c>
      <c r="S84" s="381">
        <f t="shared" si="31"/>
        <v>3.3250830575953563</v>
      </c>
      <c r="T84" s="381">
        <f t="shared" si="31"/>
        <v>3.430686284281431</v>
      </c>
      <c r="U84" s="381">
        <f t="shared" si="31"/>
        <v>3.6973583470024769</v>
      </c>
      <c r="V84" s="381">
        <f t="shared" si="31"/>
        <v>4.0093159205964133</v>
      </c>
      <c r="W84" s="381">
        <f t="shared" si="31"/>
        <v>4.2228856072138568</v>
      </c>
      <c r="X84" s="381">
        <f t="shared" si="31"/>
        <v>4.4518849754533658</v>
      </c>
      <c r="Y84" s="381">
        <f t="shared" si="31"/>
        <v>4.735007942664506</v>
      </c>
      <c r="Z84" s="381">
        <f t="shared" si="31"/>
        <v>5.0834013385983692</v>
      </c>
      <c r="AA84" s="381">
        <f t="shared" si="31"/>
        <v>5.4826067108592245</v>
      </c>
      <c r="AB84" s="381">
        <f t="shared" si="31"/>
        <v>5.9131128800960031</v>
      </c>
      <c r="AC84" s="381">
        <f t="shared" si="31"/>
        <v>6.3208647167586154</v>
      </c>
      <c r="AD84" s="381">
        <f t="shared" si="31"/>
        <v>6.7337160266504741</v>
      </c>
      <c r="AE84" s="381">
        <f t="shared" si="31"/>
        <v>6.9876017700533826</v>
      </c>
      <c r="AF84" s="381">
        <f t="shared" si="31"/>
        <v>6.5791654387899072</v>
      </c>
      <c r="AG84" s="381">
        <f t="shared" si="31"/>
        <v>7.1851904398374922</v>
      </c>
      <c r="AH84" s="381">
        <f t="shared" si="31"/>
        <v>7.7034603929801673</v>
      </c>
      <c r="AI84" s="381">
        <f t="shared" si="31"/>
        <v>93.907234516106996</v>
      </c>
      <c r="AJ84" s="381">
        <f t="shared" si="31"/>
        <v>186.08852306244199</v>
      </c>
      <c r="AK84" s="381">
        <f t="shared" si="31"/>
        <v>244.53175826268588</v>
      </c>
      <c r="AL84" s="381">
        <f t="shared" si="31"/>
        <v>282.03342428875538</v>
      </c>
      <c r="AM84" s="381">
        <f t="shared" si="31"/>
        <v>308.5924340608704</v>
      </c>
      <c r="AN84" s="381">
        <f t="shared" si="31"/>
        <v>329.43599983463525</v>
      </c>
      <c r="AO84" s="381">
        <f t="shared" si="31"/>
        <v>347.31428924544235</v>
      </c>
      <c r="AP84" s="381">
        <f t="shared" si="31"/>
        <v>363.71317415704323</v>
      </c>
      <c r="AQ84" s="381">
        <f t="shared" si="31"/>
        <v>379.45211052935326</v>
      </c>
      <c r="AR84" s="381">
        <f t="shared" si="31"/>
        <v>394.99094035811817</v>
      </c>
      <c r="AS84" s="381">
        <f t="shared" si="31"/>
        <v>410.59282463451393</v>
      </c>
      <c r="AT84" s="381">
        <f t="shared" si="31"/>
        <v>426.41261977972704</v>
      </c>
      <c r="AU84" s="381">
        <f t="shared" si="31"/>
        <v>442.54538537857172</v>
      </c>
      <c r="AV84" s="381">
        <f t="shared" si="31"/>
        <v>459.05317950947961</v>
      </c>
      <c r="AW84" s="381">
        <f t="shared" si="31"/>
        <v>475.97991111012607</v>
      </c>
      <c r="AX84" s="381">
        <f t="shared" si="31"/>
        <v>493.35958899784362</v>
      </c>
      <c r="AY84" s="381">
        <f t="shared" si="31"/>
        <v>511.22091069686769</v>
      </c>
      <c r="AZ84" s="381">
        <f t="shared" si="31"/>
        <v>529.58982036455552</v>
      </c>
      <c r="BA84" s="381">
        <f t="shared" si="31"/>
        <v>548.49093965787165</v>
      </c>
      <c r="BB84" s="381">
        <f t="shared" si="31"/>
        <v>567.94837337631111</v>
      </c>
      <c r="BC84" s="381">
        <f t="shared" si="31"/>
        <v>587.98616856901253</v>
      </c>
      <c r="BD84" s="381">
        <f t="shared" si="31"/>
        <v>608.62858184276479</v>
      </c>
      <c r="BE84" s="381">
        <f t="shared" si="31"/>
        <v>630.06604127057085</v>
      </c>
      <c r="BF84" s="381">
        <f t="shared" si="31"/>
        <v>652.10843047028698</v>
      </c>
      <c r="BG84" s="381">
        <f t="shared" si="31"/>
        <v>674.79045457845211</v>
      </c>
      <c r="BH84" s="381">
        <f t="shared" si="31"/>
        <v>698.14987894218996</v>
      </c>
      <c r="BI84" s="381">
        <f>+BH84</f>
        <v>698.14987894218996</v>
      </c>
    </row>
    <row r="85" spans="1:103" s="381" customFormat="1" ht="18" customHeight="1" x14ac:dyDescent="0.2">
      <c r="A85" s="411" t="s">
        <v>970</v>
      </c>
      <c r="B85" s="383">
        <f>+C85/C84*B84</f>
        <v>0.18759901647195834</v>
      </c>
      <c r="C85" s="383">
        <f>+(C74-B74)/10</f>
        <v>0.19668469294684215</v>
      </c>
      <c r="D85" s="383">
        <f t="shared" ref="D85:BI85" si="32">+(D74-C74)/10</f>
        <v>3.1889588207633504E-2</v>
      </c>
      <c r="E85" s="383">
        <f t="shared" si="32"/>
        <v>9.9937110467726246E-3</v>
      </c>
      <c r="F85" s="383">
        <f t="shared" si="32"/>
        <v>5.605460651317529E-3</v>
      </c>
      <c r="G85" s="383">
        <f t="shared" si="32"/>
        <v>9.1417235282358796E-3</v>
      </c>
      <c r="H85" s="383">
        <f t="shared" si="32"/>
        <v>2.4276608327165761E-2</v>
      </c>
      <c r="I85" s="383">
        <f t="shared" si="32"/>
        <v>4.0763503484112992E-2</v>
      </c>
      <c r="J85" s="383">
        <f t="shared" si="32"/>
        <v>3.1976768304849745E-2</v>
      </c>
      <c r="K85" s="383">
        <f t="shared" si="32"/>
        <v>4.1643493778401729E-2</v>
      </c>
      <c r="L85" s="383">
        <f t="shared" si="32"/>
        <v>6.3934116038410232E-2</v>
      </c>
      <c r="M85" s="383">
        <f t="shared" si="32"/>
        <v>4.7483511304307412E-2</v>
      </c>
      <c r="N85" s="383">
        <f t="shared" si="32"/>
        <v>5.2488427822694562E-2</v>
      </c>
      <c r="O85" s="383">
        <f t="shared" si="32"/>
        <v>4.2478150988133477E-2</v>
      </c>
      <c r="P85" s="383">
        <f t="shared" si="32"/>
        <v>6.7743371216591436E-2</v>
      </c>
      <c r="Q85" s="383">
        <f t="shared" si="32"/>
        <v>8.162448057588563E-2</v>
      </c>
      <c r="R85" s="383">
        <f t="shared" si="32"/>
        <v>8.9678820658543934E-2</v>
      </c>
      <c r="S85" s="383">
        <f t="shared" si="32"/>
        <v>9.9572906107486148E-2</v>
      </c>
      <c r="T85" s="383">
        <f t="shared" si="32"/>
        <v>0.10451929855877182</v>
      </c>
      <c r="U85" s="383">
        <f t="shared" si="32"/>
        <v>6.7666012301971001E-2</v>
      </c>
      <c r="V85" s="383">
        <f t="shared" si="32"/>
        <v>0.10243727582495055</v>
      </c>
      <c r="W85" s="383">
        <f t="shared" si="32"/>
        <v>0.12795026682124053</v>
      </c>
      <c r="X85" s="383">
        <f t="shared" si="32"/>
        <v>0.10775697972643386</v>
      </c>
      <c r="Y85" s="383">
        <f t="shared" si="32"/>
        <v>0.10527791702356452</v>
      </c>
      <c r="Z85" s="383">
        <f t="shared" si="32"/>
        <v>0.12041556943756362</v>
      </c>
      <c r="AA85" s="383">
        <f t="shared" si="32"/>
        <v>0.14499143444976531</v>
      </c>
      <c r="AB85" s="383">
        <f t="shared" si="32"/>
        <v>0.16858345077418627</v>
      </c>
      <c r="AC85" s="383">
        <f t="shared" si="32"/>
        <v>0.18606379370359855</v>
      </c>
      <c r="AD85" s="383">
        <f t="shared" si="32"/>
        <v>0.18543132325530287</v>
      </c>
      <c r="AE85" s="383">
        <f t="shared" si="32"/>
        <v>0.18671849196800991</v>
      </c>
      <c r="AF85" s="383">
        <f t="shared" si="32"/>
        <v>0.14016793748164247</v>
      </c>
      <c r="AG85" s="383">
        <f t="shared" si="32"/>
        <v>-7.188372807907939E-2</v>
      </c>
      <c r="AH85" s="383">
        <f t="shared" si="32"/>
        <v>0.15411153244408454</v>
      </c>
      <c r="AI85" s="383">
        <f t="shared" si="32"/>
        <v>0.20696576900626837</v>
      </c>
      <c r="AJ85" s="383">
        <f t="shared" si="32"/>
        <v>25.558957115587713</v>
      </c>
      <c r="AK85" s="383">
        <f t="shared" si="32"/>
        <v>36.165946900786949</v>
      </c>
      <c r="AL85" s="383">
        <f t="shared" si="32"/>
        <v>29.889466941856266</v>
      </c>
      <c r="AM85" s="383">
        <f t="shared" si="32"/>
        <v>21.50946164765428</v>
      </c>
      <c r="AN85" s="383">
        <f t="shared" si="32"/>
        <v>15.352256048436198</v>
      </c>
      <c r="AO85" s="383">
        <f t="shared" si="32"/>
        <v>11.515557303128322</v>
      </c>
      <c r="AP85" s="383">
        <f t="shared" si="32"/>
        <v>9.3010769640396571</v>
      </c>
      <c r="AQ85" s="383">
        <f t="shared" si="32"/>
        <v>8.0915383734800344</v>
      </c>
      <c r="AR85" s="383">
        <f t="shared" si="32"/>
        <v>7.4746796071890005</v>
      </c>
      <c r="AS85" s="383">
        <f t="shared" si="32"/>
        <v>7.2004312537802893</v>
      </c>
      <c r="AT85" s="383">
        <f t="shared" si="32"/>
        <v>7.1234492862589835</v>
      </c>
      <c r="AU85" s="383">
        <f t="shared" si="32"/>
        <v>7.1610343172782907</v>
      </c>
      <c r="AV85" s="383">
        <f t="shared" si="32"/>
        <v>7.2666714701265391</v>
      </c>
      <c r="AW85" s="383">
        <f t="shared" si="32"/>
        <v>7.4143848671752952</v>
      </c>
      <c r="AX85" s="383">
        <f t="shared" si="32"/>
        <v>7.5897513502934544</v>
      </c>
      <c r="AY85" s="383">
        <f t="shared" si="32"/>
        <v>7.7848148303417473</v>
      </c>
      <c r="AZ85" s="383">
        <f t="shared" si="32"/>
        <v>7.9952308669147438</v>
      </c>
      <c r="BA85" s="383">
        <f t="shared" si="32"/>
        <v>8.2186705937322131</v>
      </c>
      <c r="BB85" s="383">
        <f t="shared" si="32"/>
        <v>8.45393097816841</v>
      </c>
      <c r="BC85" s="383">
        <f t="shared" si="32"/>
        <v>8.7004397358954524</v>
      </c>
      <c r="BD85" s="383">
        <f t="shared" si="32"/>
        <v>8.9579802493800802</v>
      </c>
      <c r="BE85" s="383">
        <f t="shared" si="32"/>
        <v>9.2265389460504146</v>
      </c>
      <c r="BF85" s="383">
        <f t="shared" si="32"/>
        <v>9.5552409342287312</v>
      </c>
      <c r="BG85" s="383">
        <f t="shared" si="32"/>
        <v>9.8487042566317538</v>
      </c>
      <c r="BH85" s="383">
        <f t="shared" si="32"/>
        <v>10.140141450034434</v>
      </c>
      <c r="BI85" s="383">
        <f t="shared" si="32"/>
        <v>10.442037784171726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1.2996342381862029</v>
      </c>
      <c r="C87" s="383">
        <f>+SUM(C84:C86)</f>
        <v>1.362577298581229</v>
      </c>
      <c r="D87" s="383">
        <f t="shared" ref="D87:BI87" si="35">+SUM(D84:D86)</f>
        <v>1.2882299499952812</v>
      </c>
      <c r="E87" s="383">
        <f t="shared" si="35"/>
        <v>1.3440790634519639</v>
      </c>
      <c r="F87" s="383">
        <f t="shared" si="35"/>
        <v>1.4489801838709737</v>
      </c>
      <c r="G87" s="383">
        <f t="shared" si="35"/>
        <v>1.5720742001418995</v>
      </c>
      <c r="H87" s="383">
        <f t="shared" si="35"/>
        <v>1.7090159993644247</v>
      </c>
      <c r="I87" s="383">
        <f t="shared" si="35"/>
        <v>1.7938335929472309</v>
      </c>
      <c r="J87" s="383">
        <f t="shared" si="35"/>
        <v>1.8919512540399894</v>
      </c>
      <c r="K87" s="383">
        <f t="shared" si="35"/>
        <v>2.068317714547363</v>
      </c>
      <c r="L87" s="383">
        <f t="shared" si="35"/>
        <v>2.165620299198908</v>
      </c>
      <c r="M87" s="383">
        <f t="shared" si="35"/>
        <v>2.2414101476665951</v>
      </c>
      <c r="N87" s="383">
        <f t="shared" si="35"/>
        <v>2.3281872756087281</v>
      </c>
      <c r="O87" s="383">
        <f t="shared" si="35"/>
        <v>2.4972090045195898</v>
      </c>
      <c r="P87" s="383">
        <f t="shared" si="35"/>
        <v>2.7186601052582335</v>
      </c>
      <c r="Q87" s="383">
        <f t="shared" si="35"/>
        <v>2.9395987844669627</v>
      </c>
      <c r="R87" s="383">
        <f t="shared" si="35"/>
        <v>3.1786766368793042</v>
      </c>
      <c r="S87" s="383">
        <f t="shared" si="35"/>
        <v>3.4246559637028424</v>
      </c>
      <c r="T87" s="383">
        <f t="shared" si="35"/>
        <v>3.5352055828402027</v>
      </c>
      <c r="U87" s="383">
        <f t="shared" si="35"/>
        <v>3.7650243593044479</v>
      </c>
      <c r="V87" s="383">
        <f t="shared" si="35"/>
        <v>4.1117531964213638</v>
      </c>
      <c r="W87" s="383">
        <f t="shared" si="35"/>
        <v>4.3508358740350976</v>
      </c>
      <c r="X87" s="383">
        <f t="shared" si="35"/>
        <v>4.5596419551797993</v>
      </c>
      <c r="Y87" s="383">
        <f t="shared" si="35"/>
        <v>4.8402858596880707</v>
      </c>
      <c r="Z87" s="383">
        <f t="shared" si="35"/>
        <v>5.2038169080359324</v>
      </c>
      <c r="AA87" s="383">
        <f t="shared" si="35"/>
        <v>5.6275981453089896</v>
      </c>
      <c r="AB87" s="383">
        <f t="shared" si="35"/>
        <v>6.081696330870189</v>
      </c>
      <c r="AC87" s="383">
        <f t="shared" si="35"/>
        <v>6.5069285104622141</v>
      </c>
      <c r="AD87" s="383">
        <f t="shared" si="35"/>
        <v>6.919147349905777</v>
      </c>
      <c r="AE87" s="383">
        <f t="shared" si="35"/>
        <v>7.1743202620213928</v>
      </c>
      <c r="AF87" s="383">
        <f t="shared" si="35"/>
        <v>6.7193333762715497</v>
      </c>
      <c r="AG87" s="383">
        <f t="shared" si="35"/>
        <v>7.1133067117584128</v>
      </c>
      <c r="AH87" s="383">
        <f t="shared" si="35"/>
        <v>7.857571925424252</v>
      </c>
      <c r="AI87" s="383">
        <f t="shared" si="35"/>
        <v>94.11420028511327</v>
      </c>
      <c r="AJ87" s="383">
        <f t="shared" si="35"/>
        <v>211.6474801780297</v>
      </c>
      <c r="AK87" s="383">
        <f t="shared" si="35"/>
        <v>280.69770516347285</v>
      </c>
      <c r="AL87" s="383">
        <f t="shared" si="35"/>
        <v>311.92289123061164</v>
      </c>
      <c r="AM87" s="383">
        <f t="shared" si="35"/>
        <v>330.10189570852469</v>
      </c>
      <c r="AN87" s="383">
        <f t="shared" si="35"/>
        <v>344.78825588307143</v>
      </c>
      <c r="AO87" s="383">
        <f t="shared" si="35"/>
        <v>358.82984654857069</v>
      </c>
      <c r="AP87" s="383">
        <f t="shared" si="35"/>
        <v>373.01425112108291</v>
      </c>
      <c r="AQ87" s="383">
        <f t="shared" si="35"/>
        <v>387.5436489028333</v>
      </c>
      <c r="AR87" s="383">
        <f t="shared" si="35"/>
        <v>402.46561996530716</v>
      </c>
      <c r="AS87" s="383">
        <f t="shared" si="35"/>
        <v>417.7932558882942</v>
      </c>
      <c r="AT87" s="383">
        <f t="shared" si="35"/>
        <v>433.536069065986</v>
      </c>
      <c r="AU87" s="383">
        <f t="shared" si="35"/>
        <v>449.70641969585</v>
      </c>
      <c r="AV87" s="383">
        <f t="shared" si="35"/>
        <v>466.31985097960614</v>
      </c>
      <c r="AW87" s="383">
        <f t="shared" si="35"/>
        <v>483.39429597730134</v>
      </c>
      <c r="AX87" s="383">
        <f t="shared" si="35"/>
        <v>500.94934034813707</v>
      </c>
      <c r="AY87" s="383">
        <f t="shared" si="35"/>
        <v>519.00572552720939</v>
      </c>
      <c r="AZ87" s="383">
        <f t="shared" si="35"/>
        <v>537.58505123147029</v>
      </c>
      <c r="BA87" s="383">
        <f t="shared" si="35"/>
        <v>556.70961025160386</v>
      </c>
      <c r="BB87" s="383">
        <f t="shared" si="35"/>
        <v>576.4023043544795</v>
      </c>
      <c r="BC87" s="383">
        <f t="shared" si="35"/>
        <v>596.68660830490796</v>
      </c>
      <c r="BD87" s="383">
        <f t="shared" si="35"/>
        <v>617.58656209214485</v>
      </c>
      <c r="BE87" s="383">
        <f t="shared" si="35"/>
        <v>639.29258021662122</v>
      </c>
      <c r="BF87" s="383">
        <f t="shared" si="35"/>
        <v>661.66367140451575</v>
      </c>
      <c r="BG87" s="383">
        <f t="shared" si="35"/>
        <v>684.63915883508389</v>
      </c>
      <c r="BH87" s="383">
        <f t="shared" si="35"/>
        <v>708.29002039222439</v>
      </c>
      <c r="BI87" s="383">
        <f t="shared" si="35"/>
        <v>708.59191672636166</v>
      </c>
    </row>
    <row r="88" spans="1:103" ht="18" customHeight="1" x14ac:dyDescent="0.2">
      <c r="A88" s="21" t="s">
        <v>153</v>
      </c>
      <c r="B88" s="29">
        <f t="shared" ref="B88:AG88" si="36">(B84/B56)*1000</f>
        <v>1.0159441739130284</v>
      </c>
      <c r="C88" s="23">
        <f t="shared" si="36"/>
        <v>0.9305228314999725</v>
      </c>
      <c r="D88" s="23">
        <f t="shared" si="36"/>
        <v>0.90667644608166575</v>
      </c>
      <c r="E88" s="23">
        <f t="shared" si="36"/>
        <v>0.90190719313715972</v>
      </c>
      <c r="F88" s="23">
        <f t="shared" si="36"/>
        <v>0.93540201336384432</v>
      </c>
      <c r="G88" s="23">
        <f t="shared" si="36"/>
        <v>1.0052664498444503</v>
      </c>
      <c r="H88" s="23">
        <f t="shared" si="36"/>
        <v>1.09426038789101</v>
      </c>
      <c r="I88" s="23">
        <f t="shared" si="36"/>
        <v>1.1498315016750698</v>
      </c>
      <c r="J88" s="23">
        <f t="shared" si="36"/>
        <v>1.2319380935716733</v>
      </c>
      <c r="K88" s="23">
        <f t="shared" si="36"/>
        <v>1.35554149349654</v>
      </c>
      <c r="L88" s="23">
        <f t="shared" si="36"/>
        <v>1.4204981804909482</v>
      </c>
      <c r="M88" s="23">
        <f t="shared" si="36"/>
        <v>1.4994632237682319</v>
      </c>
      <c r="N88" s="23">
        <f t="shared" si="36"/>
        <v>1.5727851947553511</v>
      </c>
      <c r="O88" s="23">
        <f t="shared" si="36"/>
        <v>1.7155343132381007</v>
      </c>
      <c r="P88" s="23">
        <f t="shared" si="36"/>
        <v>1.8734086424373082</v>
      </c>
      <c r="Q88" s="23">
        <f t="shared" si="36"/>
        <v>2.042375807484472</v>
      </c>
      <c r="R88" s="23">
        <f t="shared" si="36"/>
        <v>2.2322140845341196</v>
      </c>
      <c r="S88" s="23">
        <f t="shared" si="36"/>
        <v>2.4297503081110627</v>
      </c>
      <c r="T88" s="23">
        <f t="shared" si="36"/>
        <v>2.5350180680890047</v>
      </c>
      <c r="U88" s="23">
        <f t="shared" si="36"/>
        <v>2.7626922040564144</v>
      </c>
      <c r="V88" s="23">
        <f t="shared" si="36"/>
        <v>3.0049784757220994</v>
      </c>
      <c r="W88" s="23">
        <f t="shared" si="36"/>
        <v>3.1491964803911179</v>
      </c>
      <c r="X88" s="23">
        <f t="shared" si="36"/>
        <v>3.3033434395175076</v>
      </c>
      <c r="Y88" s="23">
        <f t="shared" si="36"/>
        <v>3.4958264079114345</v>
      </c>
      <c r="Z88" s="23">
        <f t="shared" si="36"/>
        <v>3.7342457825058917</v>
      </c>
      <c r="AA88" s="23">
        <f t="shared" si="36"/>
        <v>4.0073285161768499</v>
      </c>
      <c r="AB88" s="23">
        <f t="shared" si="36"/>
        <v>4.3003457698921466</v>
      </c>
      <c r="AC88" s="23">
        <f t="shared" si="36"/>
        <v>4.5738619823014837</v>
      </c>
      <c r="AD88" s="23">
        <f t="shared" si="36"/>
        <v>4.8482020499076333</v>
      </c>
      <c r="AE88" s="23">
        <f t="shared" si="36"/>
        <v>5.0057990655278779</v>
      </c>
      <c r="AF88" s="23">
        <f t="shared" si="36"/>
        <v>4.7013842776255421</v>
      </c>
      <c r="AG88" s="23">
        <f t="shared" si="36"/>
        <v>5.1344416977923704</v>
      </c>
      <c r="AH88" s="23">
        <f t="shared" ref="AH88:BI88" si="37">(AH84/AH56)*1000</f>
        <v>5.5047905257614778</v>
      </c>
      <c r="AI88" s="23">
        <f t="shared" si="37"/>
        <v>67.104863073715805</v>
      </c>
      <c r="AJ88" s="23">
        <f t="shared" si="37"/>
        <v>132.97638807107373</v>
      </c>
      <c r="AK88" s="23">
        <f t="shared" si="37"/>
        <v>174.73914805336946</v>
      </c>
      <c r="AL88" s="23">
        <f t="shared" si="37"/>
        <v>201.53734072386044</v>
      </c>
      <c r="AM88" s="23">
        <f t="shared" si="37"/>
        <v>220.51605650986912</v>
      </c>
      <c r="AN88" s="23">
        <f t="shared" si="37"/>
        <v>235.41059189283337</v>
      </c>
      <c r="AO88" s="23">
        <f t="shared" si="37"/>
        <v>248.18618015380702</v>
      </c>
      <c r="AP88" s="23">
        <f t="shared" si="37"/>
        <v>259.90460560020699</v>
      </c>
      <c r="AQ88" s="23">
        <f t="shared" si="37"/>
        <v>271.15144058189986</v>
      </c>
      <c r="AR88" s="23">
        <f t="shared" si="37"/>
        <v>282.25528208418785</v>
      </c>
      <c r="AS88" s="23">
        <f t="shared" si="37"/>
        <v>293.40418145764261</v>
      </c>
      <c r="AT88" s="23">
        <f t="shared" si="37"/>
        <v>304.70879704497185</v>
      </c>
      <c r="AU88" s="23">
        <f t="shared" si="37"/>
        <v>316.23705716347354</v>
      </c>
      <c r="AV88" s="23">
        <f t="shared" si="37"/>
        <v>328.03330769211266</v>
      </c>
      <c r="AW88" s="23">
        <f t="shared" si="37"/>
        <v>340.1289253748173</v>
      </c>
      <c r="AX88" s="23">
        <f t="shared" si="37"/>
        <v>352.5482124609527</v>
      </c>
      <c r="AY88" s="23">
        <f t="shared" si="37"/>
        <v>365.31167582034936</v>
      </c>
      <c r="AZ88" s="23">
        <f t="shared" si="37"/>
        <v>378.43785480342035</v>
      </c>
      <c r="BA88" s="23">
        <f t="shared" si="37"/>
        <v>391.94434371935574</v>
      </c>
      <c r="BB88" s="23">
        <f t="shared" si="37"/>
        <v>405.84836753785964</v>
      </c>
      <c r="BC88" s="23">
        <f t="shared" si="37"/>
        <v>420.16710996099812</v>
      </c>
      <c r="BD88" s="23">
        <f t="shared" si="37"/>
        <v>434.9179044379519</v>
      </c>
      <c r="BE88" s="23">
        <f t="shared" si="37"/>
        <v>450.23682834156784</v>
      </c>
      <c r="BF88" s="23">
        <f t="shared" si="37"/>
        <v>465.98802702914929</v>
      </c>
      <c r="BG88" s="23">
        <f t="shared" si="37"/>
        <v>482.19630033052175</v>
      </c>
      <c r="BH88" s="23">
        <f t="shared" si="37"/>
        <v>498.88863486136756</v>
      </c>
      <c r="BI88" s="23">
        <f t="shared" si="37"/>
        <v>498.88863486136756</v>
      </c>
    </row>
    <row r="89" spans="1:103" ht="18" customHeight="1" x14ac:dyDescent="0.2">
      <c r="A89" s="21" t="s">
        <v>166</v>
      </c>
      <c r="C89" s="23">
        <f>+LN(C88/B88)/10</f>
        <v>-8.782706710337233E-3</v>
      </c>
      <c r="D89" s="23">
        <f>+LN(D88/C88)/10</f>
        <v>-2.5960955906173134E-3</v>
      </c>
      <c r="E89" s="23">
        <f>+LN(E88/D88)/10</f>
        <v>-5.2740320060134268E-4</v>
      </c>
      <c r="F89" s="23">
        <f>+LN(F88/E88)/10</f>
        <v>3.6464773021732838E-3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-0.98424399014399144</v>
      </c>
      <c r="C90" s="33">
        <f t="shared" si="38"/>
        <v>-1.0733206770679895</v>
      </c>
      <c r="D90" s="33">
        <f t="shared" si="38"/>
        <v>-1.1004087984424271</v>
      </c>
      <c r="E90" s="33">
        <f t="shared" si="38"/>
        <v>-1.1059549194477896</v>
      </c>
      <c r="F90" s="33">
        <f t="shared" si="38"/>
        <v>-1.0679062484256092</v>
      </c>
      <c r="G90" s="33">
        <f t="shared" si="38"/>
        <v>-0.99475426090248376</v>
      </c>
      <c r="H90" s="33">
        <f t="shared" si="38"/>
        <v>-0.9119197375088206</v>
      </c>
      <c r="I90" s="33">
        <f t="shared" si="38"/>
        <v>-0.86514626236483672</v>
      </c>
      <c r="J90" s="33">
        <f t="shared" si="38"/>
        <v>-0.80192019805546177</v>
      </c>
      <c r="K90" s="33">
        <f t="shared" si="38"/>
        <v>-0.71780391291307288</v>
      </c>
      <c r="L90" s="33">
        <f t="shared" si="38"/>
        <v>-0.67806838292378901</v>
      </c>
      <c r="M90" s="33">
        <f t="shared" si="38"/>
        <v>-0.63328542426952472</v>
      </c>
      <c r="N90" s="33">
        <f t="shared" si="38"/>
        <v>-0.59475983627103868</v>
      </c>
      <c r="O90" s="33">
        <f t="shared" si="38"/>
        <v>-0.52696924931107247</v>
      </c>
      <c r="P90" s="33">
        <f t="shared" si="38"/>
        <v>-0.46121370189966182</v>
      </c>
      <c r="Q90" s="33">
        <f t="shared" si="38"/>
        <v>-0.3994654043950101</v>
      </c>
      <c r="R90" s="33">
        <f t="shared" si="38"/>
        <v>-0.33863468479465464</v>
      </c>
      <c r="S90" s="33">
        <f t="shared" si="38"/>
        <v>-0.28306651991383069</v>
      </c>
      <c r="T90" s="33">
        <f t="shared" si="38"/>
        <v>-0.25614410949765909</v>
      </c>
      <c r="U90" s="33">
        <f t="shared" si="38"/>
        <v>-0.20327181642288172</v>
      </c>
      <c r="V90" s="33">
        <f t="shared" si="38"/>
        <v>-0.15374362111259288</v>
      </c>
      <c r="W90" s="33">
        <f t="shared" si="38"/>
        <v>-0.12701609158826899</v>
      </c>
      <c r="X90" s="33">
        <f t="shared" si="38"/>
        <v>-0.10040646042580148</v>
      </c>
      <c r="Y90" s="33">
        <f t="shared" si="38"/>
        <v>-6.9682932210009429E-2</v>
      </c>
      <c r="Z90" s="33">
        <f t="shared" si="38"/>
        <v>-3.497187005838831E-2</v>
      </c>
      <c r="AA90" s="33">
        <f t="shared" si="38"/>
        <v>9.1480767956164666E-4</v>
      </c>
      <c r="AB90" s="33">
        <f t="shared" si="38"/>
        <v>3.5553131238968083E-2</v>
      </c>
      <c r="AC90" s="33">
        <f t="shared" si="38"/>
        <v>6.4834518520055506E-2</v>
      </c>
      <c r="AD90" s="33">
        <f t="shared" si="38"/>
        <v>9.1678403453782198E-2</v>
      </c>
      <c r="AE90" s="33">
        <f t="shared" si="38"/>
        <v>0.10609104244222711</v>
      </c>
      <c r="AF90" s="33">
        <f t="shared" si="38"/>
        <v>7.7604617214443894E-2</v>
      </c>
      <c r="AG90" s="33">
        <f t="shared" si="38"/>
        <v>0.11736045297931375</v>
      </c>
      <c r="AH90" s="33">
        <f t="shared" si="38"/>
        <v>0.14756828978182335</v>
      </c>
      <c r="AI90" s="33">
        <f t="shared" si="38"/>
        <v>0.75585209703205725</v>
      </c>
      <c r="AJ90" s="33">
        <f t="shared" si="38"/>
        <v>0.82656260995569775</v>
      </c>
      <c r="AK90" s="33">
        <f t="shared" si="38"/>
        <v>0.84870140722359311</v>
      </c>
      <c r="AL90" s="33">
        <f t="shared" si="38"/>
        <v>0.85911906224860446</v>
      </c>
      <c r="AM90" s="33">
        <f t="shared" si="38"/>
        <v>0.86531789765412459</v>
      </c>
      <c r="AN90" s="33">
        <f t="shared" si="38"/>
        <v>0.86964821098516387</v>
      </c>
      <c r="AO90" s="33">
        <f t="shared" si="38"/>
        <v>0.87304751735134467</v>
      </c>
      <c r="AP90" s="33">
        <f t="shared" si="38"/>
        <v>0.87594250488002234</v>
      </c>
      <c r="AQ90" s="33">
        <f t="shared" si="38"/>
        <v>0.87854258391178486</v>
      </c>
      <c r="AR90" s="33">
        <f t="shared" si="38"/>
        <v>0.88095560378022197</v>
      </c>
      <c r="AS90" s="33">
        <f t="shared" si="38"/>
        <v>0.88323925800098935</v>
      </c>
      <c r="AT90" s="33">
        <f t="shared" si="38"/>
        <v>0.8854256243432177</v>
      </c>
      <c r="AU90" s="33">
        <f t="shared" si="38"/>
        <v>0.88753338715099861</v>
      </c>
      <c r="AV90" s="33">
        <f t="shared" si="38"/>
        <v>0.88957408053972253</v>
      </c>
      <c r="AW90" s="33">
        <f t="shared" si="38"/>
        <v>0.89155532983273389</v>
      </c>
      <c r="AX90" s="33">
        <f t="shared" si="38"/>
        <v>0.89348255584461911</v>
      </c>
      <c r="AY90" s="33">
        <f t="shared" si="38"/>
        <v>0.89535988237947806</v>
      </c>
      <c r="AZ90" s="33">
        <f t="shared" si="38"/>
        <v>0.89719062720695808</v>
      </c>
      <c r="BA90" s="33">
        <f t="shared" si="38"/>
        <v>0.89897757369261522</v>
      </c>
      <c r="BB90" s="33">
        <f t="shared" si="38"/>
        <v>0.9007231259592402</v>
      </c>
      <c r="BC90" s="33">
        <f t="shared" si="38"/>
        <v>0.90242940151153572</v>
      </c>
      <c r="BD90" s="33">
        <f t="shared" si="38"/>
        <v>0.90409828973015904</v>
      </c>
      <c r="BE90" s="33">
        <f t="shared" si="38"/>
        <v>0.90574389537591671</v>
      </c>
      <c r="BF90" s="33">
        <f t="shared" si="38"/>
        <v>0.90735059884614133</v>
      </c>
      <c r="BG90" s="33">
        <f t="shared" si="38"/>
        <v>0.9089210408811268</v>
      </c>
      <c r="BH90" s="33">
        <f t="shared" si="38"/>
        <v>0.9104577113621467</v>
      </c>
      <c r="BI90" s="33">
        <f t="shared" si="38"/>
        <v>0.9104577113621467</v>
      </c>
    </row>
    <row r="91" spans="1:103" ht="18" customHeight="1" x14ac:dyDescent="0.2">
      <c r="A91" s="21" t="s">
        <v>115</v>
      </c>
      <c r="B91" s="29">
        <f t="shared" ref="B91:AG91" si="39">B17*B56*B90</f>
        <v>-1077.3367394637808</v>
      </c>
      <c r="C91" s="29">
        <f t="shared" si="39"/>
        <v>-1158.7789245756101</v>
      </c>
      <c r="D91" s="29">
        <f t="shared" si="39"/>
        <v>-1132.108856514544</v>
      </c>
      <c r="E91" s="23">
        <f t="shared" si="39"/>
        <v>-1046.5932333052226</v>
      </c>
      <c r="F91" s="23">
        <f t="shared" si="39"/>
        <v>-908.38976613815043</v>
      </c>
      <c r="G91" s="23">
        <f t="shared" si="39"/>
        <v>-734.63687298464492</v>
      </c>
      <c r="H91" s="23">
        <f t="shared" si="39"/>
        <v>-574.65360146321825</v>
      </c>
      <c r="I91" s="23">
        <f t="shared" si="39"/>
        <v>-465.19137677568654</v>
      </c>
      <c r="J91" s="23">
        <f t="shared" si="39"/>
        <v>-367.93057110873139</v>
      </c>
      <c r="K91" s="23">
        <f t="shared" si="39"/>
        <v>-281.01735794613893</v>
      </c>
      <c r="L91" s="23">
        <f t="shared" si="39"/>
        <v>-226.35831735033503</v>
      </c>
      <c r="M91" s="23">
        <f t="shared" si="39"/>
        <v>-180.14454981996485</v>
      </c>
      <c r="N91" s="23">
        <f t="shared" si="39"/>
        <v>-144.16569853279088</v>
      </c>
      <c r="O91" s="23">
        <f t="shared" si="39"/>
        <v>-108.84393970410258</v>
      </c>
      <c r="P91" s="23">
        <f t="shared" si="39"/>
        <v>-81.174543197631778</v>
      </c>
      <c r="Q91" s="23">
        <f t="shared" si="39"/>
        <v>-59.909472844123798</v>
      </c>
      <c r="R91" s="23">
        <f t="shared" si="39"/>
        <v>-43.275932644317777</v>
      </c>
      <c r="S91" s="23">
        <f t="shared" si="39"/>
        <v>-30.824935423182428</v>
      </c>
      <c r="T91" s="23">
        <f t="shared" si="39"/>
        <v>-23.768223096070741</v>
      </c>
      <c r="U91" s="23">
        <f t="shared" si="39"/>
        <v>-16.072675730157929</v>
      </c>
      <c r="V91" s="23">
        <f t="shared" si="39"/>
        <v>-10.442814629392249</v>
      </c>
      <c r="W91" s="23">
        <f t="shared" si="39"/>
        <v>-7.4713560315863594</v>
      </c>
      <c r="X91" s="23">
        <f t="shared" si="39"/>
        <v>-5.1147283058285931</v>
      </c>
      <c r="Y91" s="23">
        <f t="shared" si="39"/>
        <v>-3.0740261170170493</v>
      </c>
      <c r="Z91" s="23">
        <f t="shared" si="39"/>
        <v>-1.3360423233988066</v>
      </c>
      <c r="AA91" s="23">
        <f t="shared" si="39"/>
        <v>3.0265746201648892E-2</v>
      </c>
      <c r="AB91" s="23">
        <f t="shared" si="39"/>
        <v>1.0186375097484066</v>
      </c>
      <c r="AC91" s="23">
        <f t="shared" si="39"/>
        <v>1.6086750369276681</v>
      </c>
      <c r="AD91" s="23">
        <f t="shared" si="39"/>
        <v>1.9699232155955764</v>
      </c>
      <c r="AE91" s="23">
        <f t="shared" si="39"/>
        <v>1.9741547710783534</v>
      </c>
      <c r="AF91" s="23">
        <f t="shared" si="39"/>
        <v>1.2474407958200722</v>
      </c>
      <c r="AG91" s="23">
        <f t="shared" si="39"/>
        <v>1.6255253117053354</v>
      </c>
      <c r="AH91" s="23">
        <f t="shared" ref="AH91:BI91" si="40">AH17*AH56*AH90</f>
        <v>1.7611833903523066</v>
      </c>
      <c r="AI91" s="23">
        <f t="shared" si="40"/>
        <v>7.772986916375598</v>
      </c>
      <c r="AJ91" s="23">
        <f t="shared" si="40"/>
        <v>7.3243054508872971</v>
      </c>
      <c r="AK91" s="23">
        <f t="shared" si="40"/>
        <v>6.4801519815462116</v>
      </c>
      <c r="AL91" s="23">
        <f t="shared" si="40"/>
        <v>5.6522739434123634</v>
      </c>
      <c r="AM91" s="23">
        <f t="shared" si="40"/>
        <v>4.9055206797805653</v>
      </c>
      <c r="AN91" s="23">
        <f t="shared" si="40"/>
        <v>4.2480792467438908</v>
      </c>
      <c r="AO91" s="23">
        <f t="shared" si="40"/>
        <v>3.6747386832140183</v>
      </c>
      <c r="AP91" s="23">
        <f t="shared" si="40"/>
        <v>3.1769015592351471</v>
      </c>
      <c r="AQ91" s="23">
        <f t="shared" si="40"/>
        <v>2.745557550370334</v>
      </c>
      <c r="AR91" s="23">
        <f t="shared" si="40"/>
        <v>2.3722548019400684</v>
      </c>
      <c r="AS91" s="23">
        <f t="shared" si="40"/>
        <v>2.0493930245612288</v>
      </c>
      <c r="AT91" s="23">
        <f t="shared" si="40"/>
        <v>1.7702661019761274</v>
      </c>
      <c r="AU91" s="23">
        <f t="shared" si="40"/>
        <v>1.5290114715325027</v>
      </c>
      <c r="AV91" s="23">
        <f t="shared" si="40"/>
        <v>1.3205283895820614</v>
      </c>
      <c r="AW91" s="23">
        <f t="shared" si="40"/>
        <v>1.140390261920299</v>
      </c>
      <c r="AX91" s="23">
        <f t="shared" si="40"/>
        <v>0.98476103213667587</v>
      </c>
      <c r="AY91" s="23">
        <f t="shared" si="40"/>
        <v>0.8503192009259154</v>
      </c>
      <c r="AZ91" s="23">
        <f t="shared" si="40"/>
        <v>0.73419032969306408</v>
      </c>
      <c r="BA91" s="23">
        <f t="shared" si="40"/>
        <v>0.6338877620318123</v>
      </c>
      <c r="BB91" s="23">
        <f t="shared" si="40"/>
        <v>0.547260874844539</v>
      </c>
      <c r="BC91" s="23">
        <f t="shared" si="40"/>
        <v>0.47245005174169608</v>
      </c>
      <c r="BD91" s="23">
        <f t="shared" si="40"/>
        <v>0.4078475800073636</v>
      </c>
      <c r="BE91" s="23">
        <f t="shared" si="40"/>
        <v>0.35206855286482008</v>
      </c>
      <c r="BF91" s="23">
        <f t="shared" si="40"/>
        <v>0.30390407762121685</v>
      </c>
      <c r="BG91" s="23">
        <f t="shared" si="40"/>
        <v>0.26231741969472694</v>
      </c>
      <c r="BH91" s="23">
        <f t="shared" si="40"/>
        <v>0.22641246380627816</v>
      </c>
      <c r="BI91" s="23">
        <f t="shared" si="40"/>
        <v>0.19509220091535504</v>
      </c>
    </row>
    <row r="92" spans="1:103" ht="18" customHeight="1" x14ac:dyDescent="0.2">
      <c r="A92" s="57" t="s">
        <v>62</v>
      </c>
      <c r="B92" s="194">
        <f>SUM(B91:AO91)*10*B52+B53</f>
        <v>-140.46252250812677</v>
      </c>
      <c r="C92" s="174">
        <v>53.984410488885032</v>
      </c>
      <c r="D92" s="195">
        <f>+B92-C92</f>
        <v>-194.4469329970118</v>
      </c>
      <c r="I92" s="33"/>
    </row>
    <row r="93" spans="1:103" s="33" customFormat="1" ht="18" customHeight="1" x14ac:dyDescent="0.2">
      <c r="A93" s="32" t="s">
        <v>270</v>
      </c>
      <c r="B93" s="33">
        <f>+B90*Data!B365</f>
        <v>-0.98424399014399144</v>
      </c>
      <c r="C93" s="33">
        <f>+C90*Data!C365</f>
        <v>-1.4358618904701383</v>
      </c>
      <c r="D93" s="33">
        <f>+D90*Data!D365</f>
        <v>-1.73419043170148</v>
      </c>
      <c r="E93" s="33">
        <f>+E90*Data!E365</f>
        <v>-1.9859203922119104</v>
      </c>
      <c r="F93" s="33">
        <f>+F90*Data!F365</f>
        <v>-2.1450198553468769</v>
      </c>
      <c r="G93" s="33">
        <f>+G90*Data!G365</f>
        <v>-2.1871861516688642</v>
      </c>
      <c r="H93" s="33">
        <f>+H90*Data!H365</f>
        <v>-2.1551617073959273</v>
      </c>
      <c r="I93" s="33">
        <f>+I90*Data!I365</f>
        <v>-2.1715949110373667</v>
      </c>
      <c r="J93" s="33">
        <f>+J90*Data!J365</f>
        <v>-2.1168934705719584</v>
      </c>
      <c r="K93" s="33">
        <f>+K90*Data!K365</f>
        <v>-1.9783670909284483</v>
      </c>
      <c r="L93" s="33">
        <f>+L90*Data!L365</f>
        <v>-1.9424043824673307</v>
      </c>
      <c r="M93" s="33">
        <f>+M90*Data!M365</f>
        <v>-1.8825781814171676</v>
      </c>
      <c r="N93" s="33">
        <f>+N90*Data!N365</f>
        <v>-1.8460412118833829</v>
      </c>
      <c r="O93" s="33">
        <f>+O90*Data!O365</f>
        <v>-1.6938102093837153</v>
      </c>
      <c r="P93" s="33">
        <f>+P90*Data!P365</f>
        <v>-1.5274691852372841</v>
      </c>
      <c r="Q93" s="33">
        <f>+Q90*Data!Q365</f>
        <v>-1.3587062537072505</v>
      </c>
      <c r="R93" s="33">
        <f>+R90*Data!R365</f>
        <v>-1.1803132925465489</v>
      </c>
      <c r="S93" s="33">
        <f>+S90*Data!S365</f>
        <v>-1.0094918826560106</v>
      </c>
      <c r="T93" s="33">
        <f>+T90*Data!T365</f>
        <v>-0.93360780193969584</v>
      </c>
      <c r="U93" s="33">
        <f>+U90*Data!U365</f>
        <v>-0.75660921702788142</v>
      </c>
      <c r="V93" s="33">
        <f>+V90*Data!V365</f>
        <v>-0.58299225477499694</v>
      </c>
      <c r="W93" s="33">
        <f>+W90*Data!W365</f>
        <v>-0.48938074676425247</v>
      </c>
      <c r="X93" s="33">
        <f>+X90*Data!X365</f>
        <v>-0.3929042483241374</v>
      </c>
      <c r="Y93" s="33">
        <f>+Y90*Data!Y365</f>
        <v>-0.27660220071272407</v>
      </c>
      <c r="Z93" s="33">
        <f>+Z90*Data!Z365</f>
        <v>-0.14072608452199106</v>
      </c>
      <c r="AA93" s="33">
        <f>+AA90*Data!AA365</f>
        <v>3.7307165146706909E-3</v>
      </c>
      <c r="AB93" s="33">
        <f>+AB90*Data!AB365</f>
        <v>0.14696222513236992</v>
      </c>
      <c r="AC93" s="33">
        <f>+AC90*Data!AC365</f>
        <v>0.27176771774254177</v>
      </c>
      <c r="AD93" s="33">
        <f>+AD90*Data!AD365</f>
        <v>0.38969383107179778</v>
      </c>
      <c r="AE93" s="33">
        <f>+AE90*Data!AE365</f>
        <v>0.4572263889500115</v>
      </c>
      <c r="AF93" s="33">
        <f>+AF90*Data!AF365</f>
        <v>0.33899166979511958</v>
      </c>
      <c r="AG93" s="33">
        <f>+AG90*Data!AG365</f>
        <v>0.51937516749262136</v>
      </c>
      <c r="AH93" s="33">
        <f>+AH90*Data!AH365</f>
        <v>0.66133914407077565</v>
      </c>
      <c r="AI93" s="33">
        <f>+AI90*Data!AI365</f>
        <v>3.4289181722877324</v>
      </c>
      <c r="AJ93" s="33">
        <f>+AJ90*Data!AJ365</f>
        <v>3.7940892071665746</v>
      </c>
      <c r="AK93" s="33">
        <f>+AK90*Data!AK365</f>
        <v>3.9402779540491495</v>
      </c>
      <c r="AL93" s="33">
        <f>+AL90*Data!AL365</f>
        <v>4.0327391764280165</v>
      </c>
      <c r="AM93" s="33">
        <f>+AM90*Data!AM365</f>
        <v>4.1052245580647249</v>
      </c>
      <c r="AN93" s="33">
        <f>+AN90*Data!AN365</f>
        <v>4.1683324951041811</v>
      </c>
      <c r="AO93" s="33">
        <f>+AO90*Data!AO365</f>
        <v>4.2262875669926103</v>
      </c>
      <c r="AP93" s="33">
        <f>+AP90*Data!AP365</f>
        <v>4.2809909560674804</v>
      </c>
      <c r="AQ93" s="33">
        <f>+AQ90*Data!AQ365</f>
        <v>4.3333413656033102</v>
      </c>
      <c r="AR93" s="33">
        <f>+AR90*Data!AR365</f>
        <v>4.3837584395828957</v>
      </c>
      <c r="AS93" s="33">
        <f>+AS90*Data!AS365</f>
        <v>4.4324175471860814</v>
      </c>
      <c r="AT93" s="33">
        <f>+AT90*Data!AT365</f>
        <v>4.479363650550094</v>
      </c>
      <c r="AU93" s="33">
        <f>+AU90*Data!AU365</f>
        <v>4.5245694558705924</v>
      </c>
      <c r="AV93" s="33">
        <f>+AV90*Data!AV365</f>
        <v>4.5679663201955512</v>
      </c>
      <c r="AW93" s="33">
        <f>+AW90*Data!AW365</f>
        <v>4.6094613053133431</v>
      </c>
      <c r="AX93" s="33">
        <f>+AX90*Data!AX365</f>
        <v>4.6489469185839756</v>
      </c>
      <c r="AY93" s="33">
        <f>+AY90*Data!AY365</f>
        <v>4.6863067214032244</v>
      </c>
      <c r="AZ93" s="33">
        <f>+AZ90*Data!AZ365</f>
        <v>4.72141821424254</v>
      </c>
      <c r="BA93" s="33">
        <f>+BA90*Data!BA365</f>
        <v>4.7541533737948942</v>
      </c>
      <c r="BB93" s="33">
        <f>+BB90*Data!BB365</f>
        <v>4.7843765259913198</v>
      </c>
      <c r="BC93" s="33">
        <f>+BC90*Data!BC365</f>
        <v>4.8119387291793618</v>
      </c>
      <c r="BD93" s="33">
        <f>+BD90*Data!BD365</f>
        <v>4.8366675299617485</v>
      </c>
      <c r="BE93" s="33">
        <f>+BE90*Data!BE365</f>
        <v>4.8584175694186857</v>
      </c>
      <c r="BF93" s="33">
        <f>+BF90*Data!BF365</f>
        <v>4.8768238607437331</v>
      </c>
      <c r="BG93" s="33">
        <f>+BG90*Data!BG365</f>
        <v>4.8915325962451135</v>
      </c>
      <c r="BH93" s="33">
        <f>+BH90*Data!BH365</f>
        <v>4.9020785474332991</v>
      </c>
      <c r="BI93" s="33">
        <f>+BI90*Data!BI365</f>
        <v>4.899693884752411</v>
      </c>
    </row>
    <row r="94" spans="1:103" ht="18" customHeight="1" x14ac:dyDescent="0.2">
      <c r="A94" s="21" t="s">
        <v>271</v>
      </c>
      <c r="B94" s="29">
        <f>B$17*B$56*B93</f>
        <v>-1077.3367394637808</v>
      </c>
      <c r="C94" s="29">
        <f t="shared" ref="C94:BH94" si="41">C$17*C$56*C93</f>
        <v>-1550.1858231439744</v>
      </c>
      <c r="D94" s="29">
        <f t="shared" si="41"/>
        <v>-1784.1481723800887</v>
      </c>
      <c r="E94" s="29">
        <f t="shared" si="41"/>
        <v>-1879.3269127186697</v>
      </c>
      <c r="F94" s="29">
        <f t="shared" si="41"/>
        <v>-1824.611558957437</v>
      </c>
      <c r="G94" s="29">
        <f t="shared" si="41"/>
        <v>-1615.260831996424</v>
      </c>
      <c r="H94" s="29">
        <f t="shared" si="41"/>
        <v>-1358.0925885801535</v>
      </c>
      <c r="I94" s="29">
        <f t="shared" si="41"/>
        <v>-1167.6721849357507</v>
      </c>
      <c r="J94" s="29">
        <f t="shared" si="41"/>
        <v>-971.25602459263359</v>
      </c>
      <c r="K94" s="29">
        <f t="shared" si="41"/>
        <v>-774.52279506816831</v>
      </c>
      <c r="L94" s="29">
        <f t="shared" si="41"/>
        <v>-648.42927159256601</v>
      </c>
      <c r="M94" s="29">
        <f t="shared" si="41"/>
        <v>-535.51871872539459</v>
      </c>
      <c r="N94" s="29">
        <f t="shared" si="41"/>
        <v>-447.46770814263027</v>
      </c>
      <c r="O94" s="29">
        <f t="shared" si="41"/>
        <v>-349.85148856669872</v>
      </c>
      <c r="P94" s="29">
        <f t="shared" si="41"/>
        <v>-268.83766212797821</v>
      </c>
      <c r="Q94" s="29">
        <f t="shared" si="41"/>
        <v>-203.77077592712931</v>
      </c>
      <c r="R94" s="29">
        <f t="shared" si="41"/>
        <v>-150.83853143516998</v>
      </c>
      <c r="S94" s="29">
        <f t="shared" si="41"/>
        <v>-109.93006909673026</v>
      </c>
      <c r="T94" s="29">
        <f t="shared" si="41"/>
        <v>-86.631695588290356</v>
      </c>
      <c r="U94" s="29">
        <f t="shared" si="41"/>
        <v>-59.824991057485938</v>
      </c>
      <c r="V94" s="29">
        <f t="shared" si="41"/>
        <v>-39.598911505591218</v>
      </c>
      <c r="W94" s="29">
        <f t="shared" si="41"/>
        <v>-28.786413976046386</v>
      </c>
      <c r="X94" s="29">
        <f t="shared" si="41"/>
        <v>-20.014633240346402</v>
      </c>
      <c r="Y94" s="29">
        <f t="shared" si="41"/>
        <v>-12.202161448268807</v>
      </c>
      <c r="Z94" s="29">
        <f t="shared" si="41"/>
        <v>-5.3762067802971396</v>
      </c>
      <c r="AA94" s="29">
        <f t="shared" si="41"/>
        <v>0.12342804034770274</v>
      </c>
      <c r="AB94" s="29">
        <f t="shared" si="41"/>
        <v>4.2106343328725337</v>
      </c>
      <c r="AC94" s="29">
        <f t="shared" si="41"/>
        <v>6.7431046509583483</v>
      </c>
      <c r="AD94" s="29">
        <f t="shared" si="41"/>
        <v>8.373476150135172</v>
      </c>
      <c r="AE94" s="29">
        <f t="shared" si="41"/>
        <v>8.5081231782610764</v>
      </c>
      <c r="AF94" s="29">
        <f t="shared" si="41"/>
        <v>5.4490577174948482</v>
      </c>
      <c r="AG94" s="29">
        <f t="shared" si="41"/>
        <v>7.1937135516958604</v>
      </c>
      <c r="AH94" s="29">
        <f t="shared" si="41"/>
        <v>7.8928848308081934</v>
      </c>
      <c r="AI94" s="29">
        <f t="shared" si="41"/>
        <v>35.262105106502958</v>
      </c>
      <c r="AJ94" s="29">
        <f t="shared" si="41"/>
        <v>33.620040304862385</v>
      </c>
      <c r="AK94" s="29">
        <f t="shared" si="41"/>
        <v>30.085492700317321</v>
      </c>
      <c r="AL94" s="29">
        <f t="shared" si="41"/>
        <v>26.531999543628256</v>
      </c>
      <c r="AM94" s="29">
        <f t="shared" si="41"/>
        <v>23.272677035023015</v>
      </c>
      <c r="AN94" s="29">
        <f t="shared" si="41"/>
        <v>20.361574418604008</v>
      </c>
      <c r="AO94" s="29">
        <f t="shared" si="41"/>
        <v>17.788839782662354</v>
      </c>
      <c r="AP94" s="29">
        <f t="shared" si="41"/>
        <v>15.526460661096893</v>
      </c>
      <c r="AQ94" s="29">
        <f t="shared" si="41"/>
        <v>13.542244078471322</v>
      </c>
      <c r="AR94" s="29">
        <f t="shared" si="41"/>
        <v>11.804672067720036</v>
      </c>
      <c r="AS94" s="29">
        <f t="shared" si="41"/>
        <v>10.284603544123456</v>
      </c>
      <c r="AT94" s="29">
        <f t="shared" si="41"/>
        <v>8.9557670469214852</v>
      </c>
      <c r="AU94" s="29">
        <f t="shared" si="41"/>
        <v>7.794769979278211</v>
      </c>
      <c r="AV94" s="29">
        <f t="shared" si="41"/>
        <v>6.7809183523120549</v>
      </c>
      <c r="AW94" s="29">
        <f t="shared" si="41"/>
        <v>5.8959714662509652</v>
      </c>
      <c r="AX94" s="29">
        <f t="shared" si="41"/>
        <v>5.1238848883464136</v>
      </c>
      <c r="AY94" s="29">
        <f t="shared" si="41"/>
        <v>4.4505641419261677</v>
      </c>
      <c r="AZ94" s="29">
        <f t="shared" si="41"/>
        <v>3.8636377713004766</v>
      </c>
      <c r="BA94" s="29">
        <f t="shared" si="41"/>
        <v>3.3522523037946961</v>
      </c>
      <c r="BB94" s="29">
        <f t="shared" si="41"/>
        <v>2.9068889292825486</v>
      </c>
      <c r="BC94" s="29">
        <f t="shared" si="41"/>
        <v>2.5192006131125591</v>
      </c>
      <c r="BD94" s="29">
        <f t="shared" si="41"/>
        <v>2.181868022318513</v>
      </c>
      <c r="BE94" s="29">
        <f t="shared" si="41"/>
        <v>1.8884985608082241</v>
      </c>
      <c r="BF94" s="29">
        <f t="shared" si="41"/>
        <v>1.6334222504566638</v>
      </c>
      <c r="BG94" s="29">
        <f t="shared" si="41"/>
        <v>1.4117114152795605</v>
      </c>
      <c r="BH94" s="29">
        <f t="shared" si="41"/>
        <v>1.2190480324843997</v>
      </c>
      <c r="BI94" s="29">
        <f>BI$17*BI$56*BI93/(1-(BJ17/BI17))</f>
        <v>7.5896895060601395</v>
      </c>
    </row>
    <row r="95" spans="1:103" ht="39" customHeight="1" x14ac:dyDescent="0.2">
      <c r="A95" s="57" t="s">
        <v>62</v>
      </c>
      <c r="B95" s="191">
        <f>SUM(B94:BI94)*10*B52+B53-C53</f>
        <v>-418.29799980172356</v>
      </c>
      <c r="C95" s="84">
        <v>75.047156066029544</v>
      </c>
      <c r="D95" s="183">
        <f>+B95-C95</f>
        <v>-493.34515586775308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+Controls!B34</f>
        <v>0.2948464854719452</v>
      </c>
      <c r="C97" s="385">
        <f>+Controls!C34</f>
        <v>0.26865630507701344</v>
      </c>
      <c r="D97" s="385">
        <f>+Controls!D34</f>
        <v>0.25373354159378009</v>
      </c>
      <c r="E97" s="385">
        <f>+Controls!E34</f>
        <v>0.24344426015069293</v>
      </c>
      <c r="F97" s="385">
        <f>+Controls!F34</f>
        <v>0.23218356885139413</v>
      </c>
      <c r="G97" s="385">
        <f>+Controls!G34</f>
        <v>0.22645882046122337</v>
      </c>
      <c r="H97" s="385">
        <f>+Controls!H34</f>
        <v>0.22526327943248856</v>
      </c>
      <c r="I97" s="385">
        <f>+Controls!I34</f>
        <v>0.22454207112988211</v>
      </c>
      <c r="J97" s="385">
        <f>+Controls!J34</f>
        <v>0.22439286463993957</v>
      </c>
      <c r="K97" s="385">
        <f>+Controls!K34</f>
        <v>0.22474462158787176</v>
      </c>
      <c r="L97" s="385">
        <f>+Controls!L34</f>
        <v>0.22572862074328459</v>
      </c>
      <c r="M97" s="385">
        <f>+Controls!M34</f>
        <v>0.22819109400760584</v>
      </c>
      <c r="N97" s="385">
        <f>+Controls!N34</f>
        <v>0.22819109400760584</v>
      </c>
      <c r="O97" s="385">
        <f>+Controls!O34</f>
        <v>0.22819109400760584</v>
      </c>
      <c r="P97" s="385">
        <f>+Controls!P34</f>
        <v>0.22819109400760584</v>
      </c>
      <c r="Q97" s="385">
        <f>+Controls!Q34</f>
        <v>0.22819109400760584</v>
      </c>
      <c r="R97" s="385">
        <f>+Controls!R34</f>
        <v>0.22819109400760584</v>
      </c>
      <c r="S97" s="385">
        <f>+Controls!S34</f>
        <v>0.22819109400760584</v>
      </c>
      <c r="T97" s="385">
        <f>+Controls!T34</f>
        <v>0.22819109400760584</v>
      </c>
      <c r="U97" s="385">
        <f>+Controls!U34</f>
        <v>0.22819109400760584</v>
      </c>
      <c r="V97" s="385">
        <f>+Controls!V34</f>
        <v>0.22819109400760584</v>
      </c>
      <c r="W97" s="385">
        <f>+Controls!W34</f>
        <v>0.22819109400760584</v>
      </c>
      <c r="X97" s="385">
        <f>+Controls!X34</f>
        <v>0.22819109400760584</v>
      </c>
      <c r="Y97" s="385">
        <f>+Controls!Y34</f>
        <v>0.22819109400760584</v>
      </c>
      <c r="Z97" s="385">
        <f>+Controls!Z34</f>
        <v>0.22819109400760584</v>
      </c>
      <c r="AA97" s="385">
        <f>+Controls!AA34</f>
        <v>0.22819109400760584</v>
      </c>
      <c r="AB97" s="385">
        <f>+Controls!AB34</f>
        <v>0.22819109400760584</v>
      </c>
      <c r="AC97" s="385">
        <f>+Controls!AC34</f>
        <v>0.22819109400760584</v>
      </c>
      <c r="AD97" s="385">
        <f>+Controls!AD34</f>
        <v>0.22819109400760584</v>
      </c>
      <c r="AE97" s="385">
        <f>+Controls!AE34</f>
        <v>0.22819109400760584</v>
      </c>
      <c r="AF97" s="385">
        <f>+Controls!AF34</f>
        <v>0.22819109400760584</v>
      </c>
      <c r="AG97" s="385">
        <f>+Controls!AG34</f>
        <v>0.22819109400760584</v>
      </c>
      <c r="AH97" s="385">
        <f>+Controls!AH34</f>
        <v>0.22819109400760584</v>
      </c>
      <c r="AI97" s="385">
        <f>+Controls!AI34</f>
        <v>0.22819109400760584</v>
      </c>
      <c r="AJ97" s="385">
        <f>+Controls!AJ34</f>
        <v>0.22819109400760584</v>
      </c>
      <c r="AK97" s="385">
        <f>+Controls!AK34</f>
        <v>0.22819109400760584</v>
      </c>
      <c r="AL97" s="385">
        <f>+Controls!AL34</f>
        <v>0.22819109400760584</v>
      </c>
      <c r="AM97" s="385">
        <f>+Controls!AM34</f>
        <v>0.22819109400760584</v>
      </c>
      <c r="AN97" s="385">
        <f>+Controls!AN34</f>
        <v>0.22819109400760584</v>
      </c>
      <c r="AO97" s="385">
        <f>+Controls!AO34</f>
        <v>0.22819109400760584</v>
      </c>
      <c r="AP97" s="385">
        <f>+Controls!AP34</f>
        <v>0.22819109400760584</v>
      </c>
      <c r="AQ97" s="385">
        <f>+Controls!AQ34</f>
        <v>0.22819109400760584</v>
      </c>
      <c r="AR97" s="385">
        <f>+Controls!AR34</f>
        <v>0.22819109400760584</v>
      </c>
      <c r="AS97" s="385">
        <f>+Controls!AS34</f>
        <v>0.22819109400760584</v>
      </c>
      <c r="AT97" s="385">
        <f>+Controls!AT34</f>
        <v>0.22819109400760584</v>
      </c>
      <c r="AU97" s="385">
        <f>+Controls!AU34</f>
        <v>0.22819109400760584</v>
      </c>
      <c r="AV97" s="385">
        <f>+Controls!AV34</f>
        <v>0.22819109400760584</v>
      </c>
      <c r="AW97" s="385">
        <f>+Controls!AW34</f>
        <v>0.22819109400760584</v>
      </c>
      <c r="AX97" s="385">
        <f>+Controls!AX34</f>
        <v>0.22819109400760584</v>
      </c>
      <c r="AY97" s="385">
        <f>+Controls!AY34</f>
        <v>0.22819109400760584</v>
      </c>
      <c r="AZ97" s="385">
        <f>+Controls!AZ34</f>
        <v>0.22819109400760584</v>
      </c>
      <c r="BA97" s="385">
        <f>+Controls!BA34</f>
        <v>0.22819109400760584</v>
      </c>
      <c r="BB97" s="385">
        <f>+Controls!BB34</f>
        <v>0.22819109400760584</v>
      </c>
      <c r="BC97" s="385">
        <f>+Controls!BC34</f>
        <v>0.22819109400760584</v>
      </c>
      <c r="BD97" s="385">
        <f>+Controls!BD34</f>
        <v>0.22819109400760584</v>
      </c>
      <c r="BE97" s="385">
        <f>+Controls!BE34</f>
        <v>0.22819109400760584</v>
      </c>
      <c r="BF97" s="385">
        <f>+Controls!BF34</f>
        <v>0.22819109400760584</v>
      </c>
      <c r="BG97" s="385">
        <f>+Controls!BG34</f>
        <v>0.22819109400760584</v>
      </c>
      <c r="BH97" s="385">
        <f>+Controls!BH34</f>
        <v>0.22819109400760584</v>
      </c>
      <c r="BI97" s="385">
        <f>+Controls!BI34</f>
        <v>0.22819109400760584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71">
        <f t="shared" ref="B101:AG101" si="42">+B$36*1000*B103^($B$38-1)</f>
        <v>9.9999999999999937E-4</v>
      </c>
      <c r="C101" s="463">
        <f t="shared" si="42"/>
        <v>9.999999999999998E-4</v>
      </c>
      <c r="D101" s="463">
        <f t="shared" si="42"/>
        <v>1.000000000000002E-3</v>
      </c>
      <c r="E101" s="463">
        <f t="shared" si="42"/>
        <v>1.0000000000000224E-3</v>
      </c>
      <c r="F101" s="463">
        <f t="shared" si="42"/>
        <v>1.0000000000003012E-3</v>
      </c>
      <c r="G101" s="463">
        <f t="shared" si="42"/>
        <v>1.0000000000020106E-3</v>
      </c>
      <c r="H101" s="463">
        <f t="shared" si="42"/>
        <v>1.0000000000091698E-3</v>
      </c>
      <c r="I101" s="463">
        <f t="shared" si="42"/>
        <v>1.0000000000319857E-3</v>
      </c>
      <c r="J101" s="463">
        <f t="shared" si="42"/>
        <v>1.0000000000922257E-3</v>
      </c>
      <c r="K101" s="463">
        <f t="shared" si="42"/>
        <v>1.0000000002275565E-3</v>
      </c>
      <c r="L101" s="463">
        <f t="shared" si="42"/>
        <v>1.0000000005053195E-3</v>
      </c>
      <c r="M101" s="463">
        <f t="shared" si="42"/>
        <v>1.0000000010417338E-3</v>
      </c>
      <c r="N101" s="463">
        <f t="shared" si="42"/>
        <v>1.0000000019921515E-3</v>
      </c>
      <c r="O101" s="463">
        <f t="shared" si="42"/>
        <v>1.0000000035927919E-3</v>
      </c>
      <c r="P101" s="463">
        <f t="shared" si="42"/>
        <v>1.0000000062096871E-3</v>
      </c>
      <c r="Q101" s="463">
        <f t="shared" si="42"/>
        <v>1.0000000104204655E-3</v>
      </c>
      <c r="R101" s="463">
        <f t="shared" si="42"/>
        <v>1.0000000170144597E-3</v>
      </c>
      <c r="S101" s="463">
        <f t="shared" si="42"/>
        <v>1.000000027214217E-3</v>
      </c>
      <c r="T101" s="463">
        <f t="shared" si="42"/>
        <v>1.0000000427819891E-3</v>
      </c>
      <c r="U101" s="463">
        <f t="shared" si="42"/>
        <v>1.0000000656043373E-3</v>
      </c>
      <c r="V101" s="463">
        <f t="shared" si="42"/>
        <v>1.000000097088636E-3</v>
      </c>
      <c r="W101" s="463">
        <f t="shared" si="42"/>
        <v>1.0000001421883765E-3</v>
      </c>
      <c r="X101" s="463">
        <f t="shared" si="42"/>
        <v>1.000000205597753E-3</v>
      </c>
      <c r="Y101" s="463">
        <f t="shared" si="42"/>
        <v>1.0000002932497446E-3</v>
      </c>
      <c r="Z101" s="463">
        <f t="shared" si="42"/>
        <v>1.0000004131003612E-3</v>
      </c>
      <c r="AA101" s="463">
        <f t="shared" si="42"/>
        <v>1.0000005755955621E-3</v>
      </c>
      <c r="AB101" s="463">
        <f t="shared" si="42"/>
        <v>467.31496583656661</v>
      </c>
      <c r="AC101" s="463">
        <f t="shared" si="42"/>
        <v>450.87921754473825</v>
      </c>
      <c r="AD101" s="463">
        <f t="shared" si="42"/>
        <v>435.26525666750126</v>
      </c>
      <c r="AE101" s="463">
        <f t="shared" si="42"/>
        <v>420.43199383412622</v>
      </c>
      <c r="AF101" s="463">
        <f t="shared" si="42"/>
        <v>406.34039414241983</v>
      </c>
      <c r="AG101" s="463">
        <f t="shared" si="42"/>
        <v>392.95337443529877</v>
      </c>
      <c r="AH101" s="463">
        <f t="shared" ref="AH101:BI101" si="43">+AH$36*1000*AH103^($B$38-1)</f>
        <v>380.23570571353383</v>
      </c>
      <c r="AI101" s="463">
        <f t="shared" si="43"/>
        <v>368.15392042785709</v>
      </c>
      <c r="AJ101" s="463">
        <f t="shared" si="43"/>
        <v>356.67622440646426</v>
      </c>
      <c r="AK101" s="463">
        <f t="shared" si="43"/>
        <v>345.77241318614102</v>
      </c>
      <c r="AL101" s="463">
        <f t="shared" si="43"/>
        <v>335.41379252683402</v>
      </c>
      <c r="AM101" s="463">
        <f t="shared" si="43"/>
        <v>325.5731029004923</v>
      </c>
      <c r="AN101" s="463">
        <f t="shared" si="43"/>
        <v>316.22444775546768</v>
      </c>
      <c r="AO101" s="463">
        <f t="shared" si="43"/>
        <v>307.34322536769429</v>
      </c>
      <c r="AP101" s="463">
        <f t="shared" si="43"/>
        <v>298.90606409930956</v>
      </c>
      <c r="AQ101" s="463">
        <f t="shared" si="43"/>
        <v>290.89076089434406</v>
      </c>
      <c r="AR101" s="463">
        <f t="shared" si="43"/>
        <v>283.27622284962683</v>
      </c>
      <c r="AS101" s="463">
        <f t="shared" si="43"/>
        <v>276.0424117071455</v>
      </c>
      <c r="AT101" s="463">
        <f t="shared" si="43"/>
        <v>269.17029112178824</v>
      </c>
      <c r="AU101" s="463">
        <f t="shared" si="43"/>
        <v>262.64177656569882</v>
      </c>
      <c r="AV101" s="463">
        <f t="shared" si="43"/>
        <v>256.43968773741386</v>
      </c>
      <c r="AW101" s="463">
        <f t="shared" si="43"/>
        <v>250.5477033505432</v>
      </c>
      <c r="AX101" s="463">
        <f t="shared" si="43"/>
        <v>244.95031818301604</v>
      </c>
      <c r="AY101" s="463">
        <f t="shared" si="43"/>
        <v>239.63280227386525</v>
      </c>
      <c r="AZ101" s="463">
        <f t="shared" si="43"/>
        <v>234.581162160172</v>
      </c>
      <c r="BA101" s="463">
        <f t="shared" si="43"/>
        <v>229.78210405216339</v>
      </c>
      <c r="BB101" s="463">
        <f t="shared" si="43"/>
        <v>225.22299884955521</v>
      </c>
      <c r="BC101" s="463">
        <f t="shared" si="43"/>
        <v>220.89184890707745</v>
      </c>
      <c r="BD101" s="463">
        <f t="shared" si="43"/>
        <v>216.77725646172357</v>
      </c>
      <c r="BE101" s="463">
        <f t="shared" si="43"/>
        <v>108.38862823086178</v>
      </c>
      <c r="BF101" s="463">
        <f t="shared" si="43"/>
        <v>54.194314115430892</v>
      </c>
      <c r="BG101" s="463">
        <f t="shared" si="43"/>
        <v>27.097157057715446</v>
      </c>
      <c r="BH101" s="463">
        <f t="shared" si="43"/>
        <v>13.548578528857723</v>
      </c>
      <c r="BI101" s="463">
        <f t="shared" si="43"/>
        <v>6.7742892644288615</v>
      </c>
    </row>
    <row r="102" spans="1:61" s="467" customFormat="1" ht="18" customHeight="1" x14ac:dyDescent="0.2">
      <c r="A102" s="612" t="s">
        <v>955</v>
      </c>
      <c r="B102" s="465">
        <f>+B119*(1-MIN(B103,1))</f>
        <v>0.26272072224848791</v>
      </c>
      <c r="C102" s="465">
        <f>+C119*(1-MIN(C103,1))</f>
        <v>0.25135402819392283</v>
      </c>
      <c r="D102" s="465">
        <f t="shared" ref="D102:BI102" si="44">+D119*(1-MIN(D103,1))</f>
        <v>0.21680863863852845</v>
      </c>
      <c r="E102" s="465">
        <f t="shared" si="44"/>
        <v>0.18901541956840245</v>
      </c>
      <c r="F102" s="465">
        <f t="shared" si="44"/>
        <v>0.17046892275931622</v>
      </c>
      <c r="G102" s="465">
        <f t="shared" si="44"/>
        <v>0.15729102344717191</v>
      </c>
      <c r="H102" s="465">
        <f t="shared" si="44"/>
        <v>0.14697403075640958</v>
      </c>
      <c r="I102" s="465">
        <f t="shared" si="44"/>
        <v>0.1344098204544949</v>
      </c>
      <c r="J102" s="465">
        <f t="shared" si="44"/>
        <v>0.12675340213327232</v>
      </c>
      <c r="K102" s="465">
        <f t="shared" si="44"/>
        <v>0.1236818183724122</v>
      </c>
      <c r="L102" s="465">
        <f t="shared" si="44"/>
        <v>0.11610999979162299</v>
      </c>
      <c r="M102" s="465">
        <f t="shared" si="44"/>
        <v>0.11087134673514568</v>
      </c>
      <c r="N102" s="465">
        <f t="shared" si="44"/>
        <v>0.10555703127149317</v>
      </c>
      <c r="O102" s="465">
        <f t="shared" si="44"/>
        <v>0.10506818872961207</v>
      </c>
      <c r="P102" s="465">
        <f t="shared" si="44"/>
        <v>0.10522248650416635</v>
      </c>
      <c r="Q102" s="465">
        <f t="shared" si="44"/>
        <v>0.10590321602654931</v>
      </c>
      <c r="R102" s="465">
        <f t="shared" si="44"/>
        <v>0.10720302855134099</v>
      </c>
      <c r="S102" s="465">
        <f t="shared" si="44"/>
        <v>0.10855387945023438</v>
      </c>
      <c r="T102" s="465">
        <f t="shared" si="44"/>
        <v>0.10563410898767803</v>
      </c>
      <c r="U102" s="465">
        <f t="shared" si="44"/>
        <v>0.10790619912640063</v>
      </c>
      <c r="V102" s="465">
        <f t="shared" si="44"/>
        <v>0.11120309323178766</v>
      </c>
      <c r="W102" s="465">
        <f t="shared" si="44"/>
        <v>0.1114556566685049</v>
      </c>
      <c r="X102" s="465">
        <f t="shared" si="44"/>
        <v>0.11220383756451598</v>
      </c>
      <c r="Y102" s="465">
        <f t="shared" si="44"/>
        <v>0.11419725695936329</v>
      </c>
      <c r="Z102" s="465">
        <f t="shared" si="44"/>
        <v>0.11757139389199471</v>
      </c>
      <c r="AA102" s="465">
        <f t="shared" si="44"/>
        <v>0.12191700806173721</v>
      </c>
      <c r="AB102" s="465">
        <f t="shared" si="44"/>
        <v>0</v>
      </c>
      <c r="AC102" s="465">
        <f t="shared" si="44"/>
        <v>0</v>
      </c>
      <c r="AD102" s="465">
        <f t="shared" si="44"/>
        <v>0</v>
      </c>
      <c r="AE102" s="465">
        <f t="shared" si="44"/>
        <v>0</v>
      </c>
      <c r="AF102" s="465">
        <f t="shared" si="44"/>
        <v>0</v>
      </c>
      <c r="AG102" s="465">
        <f t="shared" si="44"/>
        <v>0</v>
      </c>
      <c r="AH102" s="465">
        <f t="shared" si="44"/>
        <v>0</v>
      </c>
      <c r="AI102" s="465">
        <f t="shared" si="44"/>
        <v>0</v>
      </c>
      <c r="AJ102" s="465">
        <f t="shared" si="44"/>
        <v>0</v>
      </c>
      <c r="AK102" s="465">
        <f t="shared" si="44"/>
        <v>0</v>
      </c>
      <c r="AL102" s="465">
        <f t="shared" si="44"/>
        <v>0</v>
      </c>
      <c r="AM102" s="465">
        <f t="shared" si="44"/>
        <v>0</v>
      </c>
      <c r="AN102" s="465">
        <f t="shared" si="44"/>
        <v>0</v>
      </c>
      <c r="AO102" s="465">
        <f t="shared" si="44"/>
        <v>0</v>
      </c>
      <c r="AP102" s="465">
        <f t="shared" si="44"/>
        <v>0</v>
      </c>
      <c r="AQ102" s="465">
        <f t="shared" si="44"/>
        <v>0</v>
      </c>
      <c r="AR102" s="465">
        <f t="shared" si="44"/>
        <v>0</v>
      </c>
      <c r="AS102" s="465">
        <f t="shared" si="44"/>
        <v>0</v>
      </c>
      <c r="AT102" s="465">
        <f t="shared" si="44"/>
        <v>0</v>
      </c>
      <c r="AU102" s="465">
        <f t="shared" si="44"/>
        <v>0</v>
      </c>
      <c r="AV102" s="465">
        <f t="shared" si="44"/>
        <v>0</v>
      </c>
      <c r="AW102" s="465">
        <f t="shared" si="44"/>
        <v>0</v>
      </c>
      <c r="AX102" s="465">
        <f t="shared" si="44"/>
        <v>0</v>
      </c>
      <c r="AY102" s="465">
        <f t="shared" si="44"/>
        <v>0</v>
      </c>
      <c r="AZ102" s="465">
        <f t="shared" si="44"/>
        <v>0</v>
      </c>
      <c r="BA102" s="465">
        <f t="shared" si="44"/>
        <v>0</v>
      </c>
      <c r="BB102" s="465">
        <f t="shared" si="44"/>
        <v>0</v>
      </c>
      <c r="BC102" s="465">
        <f t="shared" si="44"/>
        <v>0</v>
      </c>
      <c r="BD102" s="465">
        <f t="shared" si="44"/>
        <v>0</v>
      </c>
      <c r="BE102" s="465">
        <f t="shared" si="44"/>
        <v>0</v>
      </c>
      <c r="BF102" s="465">
        <f t="shared" si="44"/>
        <v>0</v>
      </c>
      <c r="BG102" s="465">
        <f t="shared" si="44"/>
        <v>0</v>
      </c>
      <c r="BH102" s="465">
        <f t="shared" si="44"/>
        <v>0</v>
      </c>
      <c r="BI102" s="465">
        <f t="shared" si="44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3.8717679147140402E-4</v>
      </c>
      <c r="C103" s="468">
        <f>+IF($B$98&gt;0,C109,IF($B$99&gt;0,C114,C122))</f>
        <v>3.9720851919222591E-4</v>
      </c>
      <c r="D103" s="468">
        <f t="shared" ref="D103:BI103" si="45">+IF($B$98&gt;0,D109,IF($B$99&gt;0,D114,D122))</f>
        <v>4.0744432808423477E-4</v>
      </c>
      <c r="E103" s="468">
        <f t="shared" si="45"/>
        <v>4.1788428101055547E-4</v>
      </c>
      <c r="F103" s="468">
        <f t="shared" si="45"/>
        <v>4.2852811039583268E-4</v>
      </c>
      <c r="G103" s="468">
        <f t="shared" si="45"/>
        <v>4.3937519748236519E-4</v>
      </c>
      <c r="H103" s="468">
        <f t="shared" si="45"/>
        <v>4.5042455156639357E-4</v>
      </c>
      <c r="I103" s="468">
        <f t="shared" si="45"/>
        <v>4.6167478935889777E-4</v>
      </c>
      <c r="J103" s="468">
        <f t="shared" si="45"/>
        <v>4.7312411463072701E-4</v>
      </c>
      <c r="K103" s="468">
        <f t="shared" si="45"/>
        <v>4.8477029831625471E-4</v>
      </c>
      <c r="L103" s="468">
        <f t="shared" si="45"/>
        <v>4.966106592683273E-4</v>
      </c>
      <c r="M103" s="468">
        <f t="shared" si="45"/>
        <v>5.0864204586809362E-4</v>
      </c>
      <c r="N103" s="468">
        <f t="shared" si="45"/>
        <v>5.2086081869774235E-4</v>
      </c>
      <c r="O103" s="468">
        <f t="shared" si="45"/>
        <v>5.3326283452837431E-4</v>
      </c>
      <c r="P103" s="468">
        <f t="shared" si="45"/>
        <v>5.4584343185218797E-4</v>
      </c>
      <c r="Q103" s="468">
        <f t="shared" si="45"/>
        <v>5.5859741821567572E-4</v>
      </c>
      <c r="R103" s="468">
        <f t="shared" si="45"/>
        <v>5.715190595731416E-4</v>
      </c>
      <c r="S103" s="468">
        <f t="shared" si="45"/>
        <v>5.8460207201146475E-4</v>
      </c>
      <c r="T103" s="468">
        <f t="shared" si="45"/>
        <v>5.978396160014048E-4</v>
      </c>
      <c r="U103" s="468">
        <f t="shared" si="45"/>
        <v>6.1122429328255433E-4</v>
      </c>
      <c r="V103" s="468">
        <f t="shared" si="45"/>
        <v>6.2474814671233711E-4</v>
      </c>
      <c r="W103" s="468">
        <f t="shared" si="45"/>
        <v>6.3840266500504977E-4</v>
      </c>
      <c r="X103" s="468">
        <f t="shared" si="45"/>
        <v>6.5217878830350017E-4</v>
      </c>
      <c r="Y103" s="468">
        <f t="shared" si="45"/>
        <v>6.6606691921212329E-4</v>
      </c>
      <c r="Z103" s="468">
        <f t="shared" si="45"/>
        <v>6.8005693745913089E-4</v>
      </c>
      <c r="AA103" s="468">
        <f t="shared" si="45"/>
        <v>6.941382184270428E-4</v>
      </c>
      <c r="AB103" s="468">
        <f t="shared" si="45"/>
        <v>1</v>
      </c>
      <c r="AC103" s="468">
        <f t="shared" si="45"/>
        <v>1</v>
      </c>
      <c r="AD103" s="468">
        <f t="shared" si="45"/>
        <v>1</v>
      </c>
      <c r="AE103" s="468">
        <f t="shared" si="45"/>
        <v>1</v>
      </c>
      <c r="AF103" s="468">
        <f t="shared" si="45"/>
        <v>1</v>
      </c>
      <c r="AG103" s="468">
        <f t="shared" si="45"/>
        <v>1</v>
      </c>
      <c r="AH103" s="468">
        <f t="shared" si="45"/>
        <v>1</v>
      </c>
      <c r="AI103" s="468">
        <f t="shared" si="45"/>
        <v>1</v>
      </c>
      <c r="AJ103" s="468">
        <f t="shared" si="45"/>
        <v>1</v>
      </c>
      <c r="AK103" s="468">
        <f t="shared" si="45"/>
        <v>1</v>
      </c>
      <c r="AL103" s="468">
        <f t="shared" si="45"/>
        <v>1</v>
      </c>
      <c r="AM103" s="468">
        <f t="shared" si="45"/>
        <v>1</v>
      </c>
      <c r="AN103" s="468">
        <f t="shared" si="45"/>
        <v>1</v>
      </c>
      <c r="AO103" s="468">
        <f t="shared" si="45"/>
        <v>1</v>
      </c>
      <c r="AP103" s="468">
        <f t="shared" si="45"/>
        <v>1</v>
      </c>
      <c r="AQ103" s="468">
        <f t="shared" si="45"/>
        <v>1</v>
      </c>
      <c r="AR103" s="468">
        <f t="shared" si="45"/>
        <v>1</v>
      </c>
      <c r="AS103" s="468">
        <f t="shared" si="45"/>
        <v>1</v>
      </c>
      <c r="AT103" s="468">
        <f t="shared" si="45"/>
        <v>1</v>
      </c>
      <c r="AU103" s="468">
        <f t="shared" si="45"/>
        <v>1</v>
      </c>
      <c r="AV103" s="468">
        <f t="shared" si="45"/>
        <v>1</v>
      </c>
      <c r="AW103" s="468">
        <f t="shared" si="45"/>
        <v>1</v>
      </c>
      <c r="AX103" s="468">
        <f t="shared" si="45"/>
        <v>1</v>
      </c>
      <c r="AY103" s="468">
        <f t="shared" si="45"/>
        <v>1</v>
      </c>
      <c r="AZ103" s="468">
        <f t="shared" si="45"/>
        <v>1</v>
      </c>
      <c r="BA103" s="468">
        <f t="shared" si="45"/>
        <v>1</v>
      </c>
      <c r="BB103" s="468">
        <f t="shared" si="45"/>
        <v>1</v>
      </c>
      <c r="BC103" s="468">
        <f t="shared" si="45"/>
        <v>1</v>
      </c>
      <c r="BD103" s="468">
        <f t="shared" si="45"/>
        <v>1</v>
      </c>
      <c r="BE103" s="468">
        <f t="shared" si="45"/>
        <v>1</v>
      </c>
      <c r="BF103" s="468">
        <f t="shared" si="45"/>
        <v>1</v>
      </c>
      <c r="BG103" s="468">
        <f t="shared" si="45"/>
        <v>1</v>
      </c>
      <c r="BH103" s="468">
        <f t="shared" si="45"/>
        <v>1</v>
      </c>
      <c r="BI103" s="468">
        <f t="shared" si="45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6">+MIN(B107+B108,B36*1000)</f>
        <v>1E-3</v>
      </c>
      <c r="C106" s="373">
        <f t="shared" si="46"/>
        <v>1E-3</v>
      </c>
      <c r="D106" s="373">
        <f t="shared" si="46"/>
        <v>1.0000000000000005E-3</v>
      </c>
      <c r="E106" s="373">
        <f t="shared" si="46"/>
        <v>1.000000000000023E-3</v>
      </c>
      <c r="F106" s="373">
        <f t="shared" si="46"/>
        <v>1.0000000000003001E-3</v>
      </c>
      <c r="G106" s="373">
        <f t="shared" si="46"/>
        <v>1.0000000000020112E-3</v>
      </c>
      <c r="H106" s="373">
        <f t="shared" si="46"/>
        <v>1.0000000000091702E-3</v>
      </c>
      <c r="I106" s="373">
        <f t="shared" si="46"/>
        <v>1.0000000000319844E-3</v>
      </c>
      <c r="J106" s="373">
        <f t="shared" si="46"/>
        <v>1.0000000000922251E-3</v>
      </c>
      <c r="K106" s="373">
        <f t="shared" si="46"/>
        <v>1.0000000002275561E-3</v>
      </c>
      <c r="L106" s="373">
        <f t="shared" si="46"/>
        <v>1.0000000005053185E-3</v>
      </c>
      <c r="M106" s="450">
        <f t="shared" si="46"/>
        <v>1.0000000010417327E-3</v>
      </c>
      <c r="N106" s="373">
        <f t="shared" si="46"/>
        <v>1.0000000019921491E-3</v>
      </c>
      <c r="O106" s="373">
        <f t="shared" si="46"/>
        <v>1.0000000035927906E-3</v>
      </c>
      <c r="P106" s="373">
        <f t="shared" si="46"/>
        <v>1.0000000062096877E-3</v>
      </c>
      <c r="Q106" s="373">
        <f t="shared" si="46"/>
        <v>1.0000000104204644E-3</v>
      </c>
      <c r="R106" s="373">
        <f t="shared" si="46"/>
        <v>1.0000000170144582E-3</v>
      </c>
      <c r="S106" s="373">
        <f t="shared" si="46"/>
        <v>1.0000000272142174E-3</v>
      </c>
      <c r="T106" s="373">
        <f t="shared" si="46"/>
        <v>1.0000000427819878E-3</v>
      </c>
      <c r="U106" s="373">
        <f t="shared" si="46"/>
        <v>1.0000000656043364E-3</v>
      </c>
      <c r="V106" s="373">
        <f t="shared" si="46"/>
        <v>1.0000000970886349E-3</v>
      </c>
      <c r="W106" s="373">
        <f t="shared" si="46"/>
        <v>1.0000001421883765E-3</v>
      </c>
      <c r="X106" s="373">
        <f t="shared" si="46"/>
        <v>1.0000002055977509E-3</v>
      </c>
      <c r="Y106" s="373">
        <f t="shared" si="46"/>
        <v>1.0000002932497453E-3</v>
      </c>
      <c r="Z106" s="373">
        <f t="shared" si="46"/>
        <v>1.0000004131003601E-3</v>
      </c>
      <c r="AA106" s="373">
        <f t="shared" si="46"/>
        <v>1.0000005755955613E-3</v>
      </c>
      <c r="AB106" s="373">
        <f t="shared" si="46"/>
        <v>467.31496583656661</v>
      </c>
      <c r="AC106" s="373">
        <f t="shared" si="46"/>
        <v>450.87921754473825</v>
      </c>
      <c r="AD106" s="373">
        <f t="shared" si="46"/>
        <v>435.26525666750126</v>
      </c>
      <c r="AE106" s="373">
        <f t="shared" si="46"/>
        <v>420.43199383412622</v>
      </c>
      <c r="AF106" s="373">
        <f t="shared" si="46"/>
        <v>406.34039414241983</v>
      </c>
      <c r="AG106" s="373">
        <f t="shared" si="46"/>
        <v>392.95337443529877</v>
      </c>
      <c r="AH106" s="373">
        <f t="shared" si="46"/>
        <v>380.23570571353383</v>
      </c>
      <c r="AI106" s="373">
        <f t="shared" si="46"/>
        <v>368.15392042785709</v>
      </c>
      <c r="AJ106" s="373">
        <f t="shared" si="46"/>
        <v>356.67622440646426</v>
      </c>
      <c r="AK106" s="373">
        <f t="shared" si="46"/>
        <v>345.77241318614102</v>
      </c>
      <c r="AL106" s="373">
        <f t="shared" si="46"/>
        <v>335.41379252683402</v>
      </c>
      <c r="AM106" s="373">
        <f t="shared" si="46"/>
        <v>325.5731029004923</v>
      </c>
      <c r="AN106" s="373">
        <f t="shared" si="46"/>
        <v>316.22444775546768</v>
      </c>
      <c r="AO106" s="373">
        <f t="shared" si="46"/>
        <v>307.34322536769429</v>
      </c>
      <c r="AP106" s="373">
        <f t="shared" si="46"/>
        <v>298.90606409930956</v>
      </c>
      <c r="AQ106" s="373">
        <f t="shared" si="46"/>
        <v>290.89076089434406</v>
      </c>
      <c r="AR106" s="373">
        <f t="shared" si="46"/>
        <v>283.27622284962683</v>
      </c>
      <c r="AS106" s="373">
        <f t="shared" si="46"/>
        <v>276.0424117071455</v>
      </c>
      <c r="AT106" s="373">
        <f t="shared" si="46"/>
        <v>269.17029112178824</v>
      </c>
      <c r="AU106" s="373">
        <f t="shared" si="46"/>
        <v>262.64177656569882</v>
      </c>
      <c r="AV106" s="373">
        <f t="shared" si="46"/>
        <v>256.43968773741386</v>
      </c>
      <c r="AW106" s="373">
        <f t="shared" si="46"/>
        <v>250.5477033505432</v>
      </c>
      <c r="AX106" s="373">
        <f t="shared" si="46"/>
        <v>244.95031818301604</v>
      </c>
      <c r="AY106" s="373">
        <f t="shared" si="46"/>
        <v>239.63280227386525</v>
      </c>
      <c r="AZ106" s="373">
        <f t="shared" si="46"/>
        <v>234.581162160172</v>
      </c>
      <c r="BA106" s="373">
        <f t="shared" si="46"/>
        <v>229.78210405216339</v>
      </c>
      <c r="BB106" s="373">
        <f t="shared" si="46"/>
        <v>225.22299884955521</v>
      </c>
      <c r="BC106" s="373">
        <f t="shared" si="46"/>
        <v>220.89184890707745</v>
      </c>
      <c r="BD106" s="373">
        <f t="shared" si="46"/>
        <v>216.77725646172357</v>
      </c>
      <c r="BE106" s="373">
        <f t="shared" si="46"/>
        <v>108.38862823086178</v>
      </c>
      <c r="BF106" s="373">
        <f t="shared" si="46"/>
        <v>54.194314115430892</v>
      </c>
      <c r="BG106" s="373">
        <f t="shared" si="46"/>
        <v>27.097157057715446</v>
      </c>
      <c r="BH106" s="373">
        <f t="shared" si="46"/>
        <v>13.548578528857723</v>
      </c>
      <c r="BI106" s="373">
        <f t="shared" si="46"/>
        <v>6.7742892644288615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+Controls!B17</f>
        <v>1E-3</v>
      </c>
      <c r="C108" s="373">
        <f>+Controls!C17</f>
        <v>1E-3</v>
      </c>
      <c r="D108" s="373">
        <f>+Controls!D17</f>
        <v>1E-3</v>
      </c>
      <c r="E108" s="373">
        <f>+Controls!E17</f>
        <v>1E-3</v>
      </c>
      <c r="F108" s="373">
        <f>+Controls!F17</f>
        <v>1E-3</v>
      </c>
      <c r="G108" s="373">
        <f>+Controls!G17</f>
        <v>1E-3</v>
      </c>
      <c r="H108" s="373">
        <f>+Controls!H17</f>
        <v>1E-3</v>
      </c>
      <c r="I108" s="373">
        <f>+Controls!I17</f>
        <v>1E-3</v>
      </c>
      <c r="J108" s="373">
        <f>+Controls!J17</f>
        <v>1E-3</v>
      </c>
      <c r="K108" s="373">
        <f>+Controls!K17</f>
        <v>1E-3</v>
      </c>
      <c r="L108" s="373">
        <f>+Controls!L17</f>
        <v>1E-3</v>
      </c>
      <c r="M108" s="373">
        <f>+Controls!M17</f>
        <v>1E-3</v>
      </c>
      <c r="N108" s="373">
        <f>+Controls!N17</f>
        <v>1E-3</v>
      </c>
      <c r="O108" s="373">
        <f>+Controls!O17</f>
        <v>1E-3</v>
      </c>
      <c r="P108" s="373">
        <f>+Controls!P17</f>
        <v>1E-3</v>
      </c>
      <c r="Q108" s="373">
        <f>+Controls!Q17</f>
        <v>1E-3</v>
      </c>
      <c r="R108" s="373">
        <f>+Controls!R17</f>
        <v>1E-3</v>
      </c>
      <c r="S108" s="373">
        <f>+Controls!S17</f>
        <v>1E-3</v>
      </c>
      <c r="T108" s="373">
        <f>+Controls!T17</f>
        <v>1E-3</v>
      </c>
      <c r="U108" s="373">
        <f>+Controls!U17</f>
        <v>1E-3</v>
      </c>
      <c r="V108" s="373">
        <f>+Controls!V17</f>
        <v>1E-3</v>
      </c>
      <c r="W108" s="373">
        <f>+Controls!W17</f>
        <v>1E-3</v>
      </c>
      <c r="X108" s="373">
        <f>+Controls!X17</f>
        <v>1E-3</v>
      </c>
      <c r="Y108" s="373">
        <f>+Controls!Y17</f>
        <v>1E-3</v>
      </c>
      <c r="Z108" s="373">
        <f>+Controls!Z17</f>
        <v>1E-3</v>
      </c>
      <c r="AA108" s="373">
        <f>+Controls!AA17</f>
        <v>1E-3</v>
      </c>
      <c r="AB108" s="373">
        <f>+Controls!AB17</f>
        <v>1200</v>
      </c>
      <c r="AC108" s="373">
        <f>+Controls!AC17</f>
        <v>1200</v>
      </c>
      <c r="AD108" s="373">
        <f>+Controls!AD17</f>
        <v>1200</v>
      </c>
      <c r="AE108" s="373">
        <f>+Controls!AE17</f>
        <v>1200</v>
      </c>
      <c r="AF108" s="373">
        <f>+Controls!AF17</f>
        <v>1200</v>
      </c>
      <c r="AG108" s="373">
        <f>+Controls!AG17</f>
        <v>1200</v>
      </c>
      <c r="AH108" s="373">
        <f>+Controls!AH17</f>
        <v>1200</v>
      </c>
      <c r="AI108" s="373">
        <f>+Controls!AI17</f>
        <v>1200</v>
      </c>
      <c r="AJ108" s="373">
        <f>+Controls!AJ17</f>
        <v>1200</v>
      </c>
      <c r="AK108" s="373">
        <f>+Controls!AK17</f>
        <v>1200</v>
      </c>
      <c r="AL108" s="373">
        <f>+Controls!AL17</f>
        <v>1200</v>
      </c>
      <c r="AM108" s="373">
        <f>+Controls!AM17</f>
        <v>1200</v>
      </c>
      <c r="AN108" s="373">
        <f>+Controls!AN17</f>
        <v>1200</v>
      </c>
      <c r="AO108" s="373">
        <f>+Controls!AO17</f>
        <v>1200</v>
      </c>
      <c r="AP108" s="373">
        <f>+Controls!AP17</f>
        <v>1200</v>
      </c>
      <c r="AQ108" s="373">
        <f>+Controls!AQ17</f>
        <v>1200</v>
      </c>
      <c r="AR108" s="373">
        <f>+Controls!AR17</f>
        <v>1200</v>
      </c>
      <c r="AS108" s="373">
        <f>+Controls!AS17</f>
        <v>1200</v>
      </c>
      <c r="AT108" s="373">
        <f>+Controls!AT17</f>
        <v>1200</v>
      </c>
      <c r="AU108" s="373">
        <f>+Controls!AU17</f>
        <v>1200</v>
      </c>
      <c r="AV108" s="373">
        <f>+Controls!AV17</f>
        <v>1200</v>
      </c>
      <c r="AW108" s="373">
        <f>+Controls!AW17</f>
        <v>1200</v>
      </c>
      <c r="AX108" s="373">
        <f>+Controls!AX17</f>
        <v>1200</v>
      </c>
      <c r="AY108" s="373">
        <f>+Controls!AY17</f>
        <v>1200</v>
      </c>
      <c r="AZ108" s="373">
        <f>+Controls!AZ17</f>
        <v>1200</v>
      </c>
      <c r="BA108" s="373">
        <f>+Controls!BA17</f>
        <v>1200</v>
      </c>
      <c r="BB108" s="373">
        <f>+Controls!BB17</f>
        <v>1200</v>
      </c>
      <c r="BC108" s="373">
        <f>+Controls!BC17</f>
        <v>1200</v>
      </c>
      <c r="BD108" s="373">
        <f>+Controls!BD17</f>
        <v>1200</v>
      </c>
      <c r="BE108" s="373">
        <f>+Controls!BE17</f>
        <v>1200</v>
      </c>
      <c r="BF108" s="373">
        <f>+Controls!BF17</f>
        <v>1200</v>
      </c>
      <c r="BG108" s="373">
        <f>+Controls!BG17</f>
        <v>1200</v>
      </c>
      <c r="BH108" s="373">
        <f>+Controls!BH17</f>
        <v>1200</v>
      </c>
      <c r="BI108" s="373">
        <f>+Controls!BI17</f>
        <v>1200</v>
      </c>
    </row>
    <row r="109" spans="1:61" ht="18" customHeight="1" x14ac:dyDescent="0.2">
      <c r="A109" s="372" t="s">
        <v>193</v>
      </c>
      <c r="B109" s="375">
        <f>+(B106/(1000*B$36))^(1/($B$38-1))</f>
        <v>3.8717679147140402E-4</v>
      </c>
      <c r="C109" s="375">
        <f t="shared" ref="C109:BI109" si="47">+(C106/(1000*C$36))^(1/($B$38-1))</f>
        <v>3.9720851919222591E-4</v>
      </c>
      <c r="D109" s="375">
        <f t="shared" si="47"/>
        <v>4.0744432808423477E-4</v>
      </c>
      <c r="E109" s="375">
        <f t="shared" si="47"/>
        <v>4.1788428101055547E-4</v>
      </c>
      <c r="F109" s="375">
        <f t="shared" si="47"/>
        <v>4.2852811039583268E-4</v>
      </c>
      <c r="G109" s="375">
        <f t="shared" si="47"/>
        <v>4.3937519748236519E-4</v>
      </c>
      <c r="H109" s="375">
        <f t="shared" si="47"/>
        <v>4.5042455156639357E-4</v>
      </c>
      <c r="I109" s="375">
        <f t="shared" si="47"/>
        <v>4.6167478935889777E-4</v>
      </c>
      <c r="J109" s="375">
        <f t="shared" si="47"/>
        <v>4.7312411463072701E-4</v>
      </c>
      <c r="K109" s="375">
        <f t="shared" si="47"/>
        <v>4.8477029831625471E-4</v>
      </c>
      <c r="L109" s="375">
        <f t="shared" si="47"/>
        <v>4.966106592683273E-4</v>
      </c>
      <c r="M109" s="375">
        <f t="shared" si="47"/>
        <v>5.0864204586809362E-4</v>
      </c>
      <c r="N109" s="375">
        <f t="shared" si="47"/>
        <v>5.2086081869774235E-4</v>
      </c>
      <c r="O109" s="375">
        <f t="shared" si="47"/>
        <v>5.3326283452837431E-4</v>
      </c>
      <c r="P109" s="375">
        <f t="shared" si="47"/>
        <v>5.4584343185218797E-4</v>
      </c>
      <c r="Q109" s="375">
        <f t="shared" si="47"/>
        <v>5.5859741821567572E-4</v>
      </c>
      <c r="R109" s="375">
        <f t="shared" si="47"/>
        <v>5.715190595731416E-4</v>
      </c>
      <c r="S109" s="375">
        <f t="shared" si="47"/>
        <v>5.8460207201146475E-4</v>
      </c>
      <c r="T109" s="375">
        <f t="shared" si="47"/>
        <v>5.978396160014048E-4</v>
      </c>
      <c r="U109" s="375">
        <f t="shared" si="47"/>
        <v>6.1122429328255433E-4</v>
      </c>
      <c r="V109" s="375">
        <f t="shared" si="47"/>
        <v>6.2474814671233711E-4</v>
      </c>
      <c r="W109" s="375">
        <f t="shared" si="47"/>
        <v>6.3840266500504977E-4</v>
      </c>
      <c r="X109" s="375">
        <f t="shared" si="47"/>
        <v>6.5217878830350017E-4</v>
      </c>
      <c r="Y109" s="375">
        <f t="shared" si="47"/>
        <v>6.6606691921212329E-4</v>
      </c>
      <c r="Z109" s="375">
        <f t="shared" si="47"/>
        <v>6.8005693745913089E-4</v>
      </c>
      <c r="AA109" s="375">
        <f t="shared" si="47"/>
        <v>6.941382184270428E-4</v>
      </c>
      <c r="AB109" s="375">
        <f t="shared" si="47"/>
        <v>1</v>
      </c>
      <c r="AC109" s="375">
        <f t="shared" si="47"/>
        <v>1</v>
      </c>
      <c r="AD109" s="375">
        <f t="shared" si="47"/>
        <v>1</v>
      </c>
      <c r="AE109" s="375">
        <f t="shared" si="47"/>
        <v>1</v>
      </c>
      <c r="AF109" s="375">
        <f t="shared" si="47"/>
        <v>1</v>
      </c>
      <c r="AG109" s="375">
        <f t="shared" si="47"/>
        <v>1</v>
      </c>
      <c r="AH109" s="375">
        <f t="shared" si="47"/>
        <v>1</v>
      </c>
      <c r="AI109" s="375">
        <f t="shared" si="47"/>
        <v>1</v>
      </c>
      <c r="AJ109" s="375">
        <f t="shared" si="47"/>
        <v>1</v>
      </c>
      <c r="AK109" s="375">
        <f t="shared" si="47"/>
        <v>1</v>
      </c>
      <c r="AL109" s="375">
        <f t="shared" si="47"/>
        <v>1</v>
      </c>
      <c r="AM109" s="375">
        <f t="shared" si="47"/>
        <v>1</v>
      </c>
      <c r="AN109" s="375">
        <f t="shared" si="47"/>
        <v>1</v>
      </c>
      <c r="AO109" s="375">
        <f t="shared" si="47"/>
        <v>1</v>
      </c>
      <c r="AP109" s="375">
        <f t="shared" si="47"/>
        <v>1</v>
      </c>
      <c r="AQ109" s="375">
        <f t="shared" si="47"/>
        <v>1</v>
      </c>
      <c r="AR109" s="375">
        <f t="shared" si="47"/>
        <v>1</v>
      </c>
      <c r="AS109" s="375">
        <f t="shared" si="47"/>
        <v>1</v>
      </c>
      <c r="AT109" s="375">
        <f t="shared" si="47"/>
        <v>1</v>
      </c>
      <c r="AU109" s="375">
        <f t="shared" si="47"/>
        <v>1</v>
      </c>
      <c r="AV109" s="375">
        <f t="shared" si="47"/>
        <v>1</v>
      </c>
      <c r="AW109" s="375">
        <f t="shared" si="47"/>
        <v>1</v>
      </c>
      <c r="AX109" s="375">
        <f t="shared" si="47"/>
        <v>1</v>
      </c>
      <c r="AY109" s="375">
        <f t="shared" si="47"/>
        <v>1</v>
      </c>
      <c r="AZ109" s="375">
        <f t="shared" si="47"/>
        <v>1</v>
      </c>
      <c r="BA109" s="375">
        <f t="shared" si="47"/>
        <v>1</v>
      </c>
      <c r="BB109" s="375">
        <f t="shared" si="47"/>
        <v>1</v>
      </c>
      <c r="BC109" s="375">
        <f t="shared" si="47"/>
        <v>1</v>
      </c>
      <c r="BD109" s="375">
        <f t="shared" si="47"/>
        <v>1</v>
      </c>
      <c r="BE109" s="375">
        <f t="shared" si="47"/>
        <v>1</v>
      </c>
      <c r="BF109" s="375">
        <f t="shared" si="47"/>
        <v>1</v>
      </c>
      <c r="BG109" s="375">
        <f t="shared" si="47"/>
        <v>1</v>
      </c>
      <c r="BH109" s="375">
        <f t="shared" si="47"/>
        <v>1</v>
      </c>
      <c r="BI109" s="375">
        <f t="shared" si="47"/>
        <v>1</v>
      </c>
    </row>
    <row r="110" spans="1:61" s="40" customFormat="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0.26282248101341321</v>
      </c>
      <c r="C112" s="455">
        <f>+C40*C61</f>
        <v>0.25145390782829641</v>
      </c>
      <c r="D112" s="455">
        <f t="shared" ref="D112:BI112" si="48">+D40*D61</f>
        <v>0.21689701209588536</v>
      </c>
      <c r="E112" s="455">
        <f t="shared" si="48"/>
        <v>0.18909443916215482</v>
      </c>
      <c r="F112" s="455">
        <f t="shared" si="48"/>
        <v>0.1705420048023773</v>
      </c>
      <c r="G112" s="455">
        <f t="shared" si="48"/>
        <v>0.15736016360012958</v>
      </c>
      <c r="H112" s="455">
        <f t="shared" si="48"/>
        <v>0.14704026130016792</v>
      </c>
      <c r="I112" s="455">
        <f t="shared" si="48"/>
        <v>0.13447190274186793</v>
      </c>
      <c r="J112" s="455">
        <f t="shared" si="48"/>
        <v>0.12681340061115978</v>
      </c>
      <c r="K112" s="455">
        <f t="shared" si="48"/>
        <v>0.12374180472400245</v>
      </c>
      <c r="L112" s="455">
        <f t="shared" si="48"/>
        <v>0.11616768990469224</v>
      </c>
      <c r="M112" s="455">
        <f t="shared" si="48"/>
        <v>0.11092776926264701</v>
      </c>
      <c r="N112" s="455">
        <f t="shared" si="48"/>
        <v>0.10561204044534388</v>
      </c>
      <c r="O112" s="455">
        <f t="shared" si="48"/>
        <v>0.1051242475838563</v>
      </c>
      <c r="P112" s="455">
        <f t="shared" si="48"/>
        <v>0.10527995287494885</v>
      </c>
      <c r="Q112" s="455">
        <f t="shared" si="48"/>
        <v>0.1059624063531661</v>
      </c>
      <c r="R112" s="455">
        <f t="shared" si="48"/>
        <v>0.10726433216158372</v>
      </c>
      <c r="S112" s="455">
        <f t="shared" si="48"/>
        <v>0.10861737739411544</v>
      </c>
      <c r="T112" s="455">
        <f t="shared" si="48"/>
        <v>0.10569729902033673</v>
      </c>
      <c r="U112" s="455">
        <f t="shared" si="48"/>
        <v>0.10797219435458918</v>
      </c>
      <c r="V112" s="455">
        <f t="shared" si="48"/>
        <v>0.111272610589033</v>
      </c>
      <c r="W112" s="455">
        <f t="shared" si="48"/>
        <v>0.11152685571041006</v>
      </c>
      <c r="X112" s="455">
        <f t="shared" si="48"/>
        <v>0.11227706228294995</v>
      </c>
      <c r="Y112" s="455">
        <f t="shared" si="48"/>
        <v>0.11427337067131432</v>
      </c>
      <c r="Z112" s="455">
        <f t="shared" si="48"/>
        <v>0.1176514035451774</v>
      </c>
      <c r="AA112" s="455">
        <f t="shared" si="48"/>
        <v>0.12200169410032509</v>
      </c>
      <c r="AB112" s="455">
        <f t="shared" si="48"/>
        <v>0.12701569207095167</v>
      </c>
      <c r="AC112" s="455">
        <f t="shared" si="48"/>
        <v>0.13063471627003231</v>
      </c>
      <c r="AD112" s="455">
        <f t="shared" si="48"/>
        <v>0.13409670965409343</v>
      </c>
      <c r="AE112" s="455">
        <f t="shared" si="48"/>
        <v>0.13446425452814378</v>
      </c>
      <c r="AF112" s="455">
        <f t="shared" si="48"/>
        <v>0.12236357413937954</v>
      </c>
      <c r="AG112" s="455">
        <f t="shared" si="48"/>
        <v>0.12906753846850408</v>
      </c>
      <c r="AH112" s="455">
        <f t="shared" si="48"/>
        <v>0.13398961571341891</v>
      </c>
      <c r="AI112" s="455">
        <f t="shared" si="48"/>
        <v>1.5861864265259302</v>
      </c>
      <c r="AJ112" s="455">
        <f t="shared" si="48"/>
        <v>3.0185945135245329</v>
      </c>
      <c r="AK112" s="455">
        <f t="shared" si="48"/>
        <v>3.8481429504553812</v>
      </c>
      <c r="AL112" s="455">
        <f t="shared" si="48"/>
        <v>4.3076064049095661</v>
      </c>
      <c r="AM112" s="455">
        <f t="shared" si="48"/>
        <v>4.5765367151692278</v>
      </c>
      <c r="AN112" s="455">
        <f t="shared" si="48"/>
        <v>4.7459719884210649</v>
      </c>
      <c r="AO112" s="455">
        <f t="shared" si="48"/>
        <v>4.8623957260936033</v>
      </c>
      <c r="AP112" s="455">
        <f t="shared" si="48"/>
        <v>4.9501208481198447</v>
      </c>
      <c r="AQ112" s="455">
        <f t="shared" si="48"/>
        <v>5.0220808161587032</v>
      </c>
      <c r="AR112" s="455">
        <f t="shared" si="48"/>
        <v>5.0852347856900746</v>
      </c>
      <c r="AS112" s="455">
        <f t="shared" si="48"/>
        <v>5.1433623224211216</v>
      </c>
      <c r="AT112" s="455">
        <f t="shared" si="48"/>
        <v>5.198536977842493</v>
      </c>
      <c r="AU112" s="455">
        <f t="shared" si="48"/>
        <v>5.2519120294510735</v>
      </c>
      <c r="AV112" s="455">
        <f t="shared" si="48"/>
        <v>5.3041421161785403</v>
      </c>
      <c r="AW112" s="455">
        <f t="shared" si="48"/>
        <v>5.3556103330551519</v>
      </c>
      <c r="AX112" s="455">
        <f t="shared" si="48"/>
        <v>5.4065508474941097</v>
      </c>
      <c r="AY112" s="455">
        <f t="shared" si="48"/>
        <v>5.4571152448928792</v>
      </c>
      <c r="AZ112" s="455">
        <f t="shared" si="48"/>
        <v>5.5074085171880531</v>
      </c>
      <c r="BA112" s="455">
        <f t="shared" si="48"/>
        <v>5.5575086561774771</v>
      </c>
      <c r="BB112" s="455">
        <f t="shared" si="48"/>
        <v>5.6074773835298615</v>
      </c>
      <c r="BC112" s="455">
        <f t="shared" si="48"/>
        <v>5.6573660836427937</v>
      </c>
      <c r="BD112" s="455">
        <f t="shared" si="48"/>
        <v>5.7072191355251629</v>
      </c>
      <c r="BE112" s="455">
        <f t="shared" si="48"/>
        <v>5.7570758303535712</v>
      </c>
      <c r="BF112" s="455">
        <f t="shared" si="48"/>
        <v>5.8072755719228182</v>
      </c>
      <c r="BG112" s="455">
        <f t="shared" si="48"/>
        <v>5.8575459512270394</v>
      </c>
      <c r="BH112" s="455">
        <f t="shared" si="48"/>
        <v>5.9078360554055065</v>
      </c>
      <c r="BI112" s="455">
        <f t="shared" si="48"/>
        <v>5.958170908024341</v>
      </c>
    </row>
    <row r="113" spans="1:61" s="40" customFormat="1" ht="18" customHeight="1" x14ac:dyDescent="0.2">
      <c r="A113" s="382" t="s">
        <v>949</v>
      </c>
      <c r="B113" s="383">
        <f>+Controls!B76</f>
        <v>0.40515158969265602</v>
      </c>
      <c r="C113" s="383">
        <f>+Controls!C76</f>
        <v>0.72309374310061081</v>
      </c>
      <c r="D113" s="383">
        <f>+Controls!D76</f>
        <v>0.95176955277897013</v>
      </c>
      <c r="E113" s="383">
        <f>+Controls!E76</f>
        <v>1.1736542267846262</v>
      </c>
      <c r="F113" s="383">
        <f>+Controls!F76</f>
        <v>0.84377862604833109</v>
      </c>
      <c r="G113" s="383">
        <f>+Controls!G76</f>
        <v>0.59412543656290517</v>
      </c>
      <c r="H113" s="383">
        <f>+Controls!H76</f>
        <v>0.48265141280888452</v>
      </c>
      <c r="I113" s="383">
        <f>+Controls!I76</f>
        <v>0.40009497139017691</v>
      </c>
      <c r="J113" s="383">
        <f>+Controls!J76</f>
        <v>0.33903711576945383</v>
      </c>
      <c r="K113" s="383">
        <f>+Controls!K76</f>
        <v>0.29383505522586312</v>
      </c>
      <c r="L113" s="383">
        <f>+Controls!L76</f>
        <v>0.26170534723586308</v>
      </c>
      <c r="M113" s="383">
        <f>+Controls!M76</f>
        <v>0.23618907588036642</v>
      </c>
      <c r="N113" s="383">
        <f>+Controls!N76</f>
        <v>0.21316064098203069</v>
      </c>
      <c r="O113" s="383">
        <f>+Controls!O76</f>
        <v>0.19237747848628267</v>
      </c>
      <c r="P113" s="383">
        <f>+Controls!P76</f>
        <v>0.17362067433387007</v>
      </c>
      <c r="Q113" s="383">
        <f>+Controls!Q76</f>
        <v>0.15669265858631773</v>
      </c>
      <c r="R113" s="383">
        <f>+Controls!R76</f>
        <v>0.14141512437415174</v>
      </c>
      <c r="S113" s="383">
        <f>+Controls!S76</f>
        <v>0.12762714974767195</v>
      </c>
      <c r="T113" s="383">
        <f>+Controls!T76</f>
        <v>0.11518350264727392</v>
      </c>
      <c r="U113" s="383">
        <f>+Controls!U76</f>
        <v>0.10395311113916471</v>
      </c>
      <c r="V113" s="383">
        <f>+Controls!V76</f>
        <v>9.3817682803096145E-2</v>
      </c>
      <c r="W113" s="383">
        <f>+Controls!W76</f>
        <v>8.9126798662941334E-2</v>
      </c>
      <c r="X113" s="383">
        <f>+Controls!X76</f>
        <v>8.4670458729794257E-2</v>
      </c>
      <c r="Y113" s="383">
        <f>+Controls!Y76</f>
        <v>8.0436935793304534E-2</v>
      </c>
      <c r="Z113" s="383">
        <f>+Controls!Z76</f>
        <v>7.6415089003639303E-2</v>
      </c>
      <c r="AA113" s="383">
        <f>+Controls!AA76</f>
        <v>7.2594334553457332E-2</v>
      </c>
      <c r="AB113" s="383">
        <f>+Controls!AB76</f>
        <v>6.8964617825784461E-2</v>
      </c>
      <c r="AC113" s="383">
        <f>+Controls!AC76</f>
        <v>6.5516386934495241E-2</v>
      </c>
      <c r="AD113" s="383">
        <f>+Controls!AD76</f>
        <v>6.2240567587770475E-2</v>
      </c>
      <c r="AE113" s="383">
        <f>+Controls!AE76</f>
        <v>5.9128539208381951E-2</v>
      </c>
      <c r="AF113" s="383">
        <f>+Controls!AF76</f>
        <v>5.6172112247962848E-2</v>
      </c>
      <c r="AG113" s="383">
        <f>+Controls!AG76</f>
        <v>5.3363506635564703E-2</v>
      </c>
      <c r="AH113" s="383">
        <f>+Controls!AH76</f>
        <v>5.0695331303786464E-2</v>
      </c>
      <c r="AI113" s="383">
        <f>+Controls!AI76</f>
        <v>4.8160564738597138E-2</v>
      </c>
      <c r="AJ113" s="383">
        <f>+Controls!AJ76</f>
        <v>4.5752536501667281E-2</v>
      </c>
      <c r="AK113" s="383">
        <f>+Controls!AK76</f>
        <v>4.3464909676583917E-2</v>
      </c>
      <c r="AL113" s="383">
        <f>+Controls!AL76</f>
        <v>4.1291664192754721E-2</v>
      </c>
      <c r="AM113" s="383">
        <f>+Controls!AM76</f>
        <v>3.9227080983116981E-2</v>
      </c>
      <c r="AN113" s="383">
        <f>+Controls!AN76</f>
        <v>3.726572693396113E-2</v>
      </c>
      <c r="AO113" s="383">
        <f>+Controls!AO76</f>
        <v>3.5402440587263072E-2</v>
      </c>
      <c r="AP113" s="383">
        <f>+Controls!AP76</f>
        <v>3.3632318557899915E-2</v>
      </c>
      <c r="AQ113" s="383">
        <f>+Controls!AQ76</f>
        <v>3.1950702630004921E-2</v>
      </c>
      <c r="AR113" s="383">
        <f>+Controls!AR76</f>
        <v>3.0353167498504672E-2</v>
      </c>
      <c r="AS113" s="383">
        <f>+Controls!AS76</f>
        <v>2.8835509123579437E-2</v>
      </c>
      <c r="AT113" s="383">
        <f>+Controls!AT76</f>
        <v>2.7393733667400465E-2</v>
      </c>
      <c r="AU113" s="383">
        <f>+Controls!AU76</f>
        <v>2.6024046984030439E-2</v>
      </c>
      <c r="AV113" s="383">
        <f>+Controls!AV76</f>
        <v>2.4722844634828916E-2</v>
      </c>
      <c r="AW113" s="383">
        <f>+Controls!AW76</f>
        <v>2.3486702403087468E-2</v>
      </c>
      <c r="AX113" s="383">
        <f>+Controls!AX76</f>
        <v>2.2312367282933093E-2</v>
      </c>
      <c r="AY113" s="383">
        <f>+Controls!AY76</f>
        <v>2.1196748918786437E-2</v>
      </c>
      <c r="AZ113" s="383">
        <f>+Controls!AZ76</f>
        <v>2.0136911472847116E-2</v>
      </c>
      <c r="BA113" s="383">
        <f>+Controls!BA76</f>
        <v>1.9130065899204761E-2</v>
      </c>
      <c r="BB113" s="383">
        <f>+Controls!BB76</f>
        <v>1.8173562604244523E-2</v>
      </c>
      <c r="BC113" s="383">
        <f>+Controls!BC76</f>
        <v>1.7264884474032297E-2</v>
      </c>
      <c r="BD113" s="383">
        <f>+Controls!BD76</f>
        <v>1.6401640250330682E-2</v>
      </c>
      <c r="BE113" s="383">
        <f>+Controls!BE76</f>
        <v>1.5581558237814147E-2</v>
      </c>
      <c r="BF113" s="383">
        <f>+Controls!BF76</f>
        <v>1.4802480325923439E-2</v>
      </c>
      <c r="BG113" s="383">
        <f>+Controls!BG76</f>
        <v>1.4062356309627266E-2</v>
      </c>
      <c r="BH113" s="383">
        <f>+Controls!BH76</f>
        <v>1.3359238494145902E-2</v>
      </c>
      <c r="BI113" s="383">
        <f>+Controls!BI76</f>
        <v>1.2691276569438607E-2</v>
      </c>
    </row>
    <row r="114" spans="1:61" ht="18" customHeight="1" x14ac:dyDescent="0.2">
      <c r="A114" s="382" t="s">
        <v>951</v>
      </c>
      <c r="B114" s="383">
        <f>IF(1-(B113/B112)&lt;0,0,1-(B113/B112))</f>
        <v>0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9">IF(1-(F113/F112)&lt;0,0,1-(F113/F112))</f>
        <v>0</v>
      </c>
      <c r="G114" s="383">
        <f t="shared" si="49"/>
        <v>0</v>
      </c>
      <c r="H114" s="383">
        <f t="shared" si="49"/>
        <v>0</v>
      </c>
      <c r="I114" s="383">
        <f t="shared" si="49"/>
        <v>0</v>
      </c>
      <c r="J114" s="383">
        <f t="shared" si="49"/>
        <v>0</v>
      </c>
      <c r="K114" s="383">
        <f t="shared" si="49"/>
        <v>0</v>
      </c>
      <c r="L114" s="383">
        <f t="shared" si="49"/>
        <v>0</v>
      </c>
      <c r="M114" s="383">
        <f t="shared" si="49"/>
        <v>0</v>
      </c>
      <c r="N114" s="383">
        <f t="shared" si="49"/>
        <v>0</v>
      </c>
      <c r="O114" s="383">
        <f t="shared" si="49"/>
        <v>0</v>
      </c>
      <c r="P114" s="383">
        <f t="shared" si="49"/>
        <v>0</v>
      </c>
      <c r="Q114" s="383">
        <f t="shared" si="49"/>
        <v>0</v>
      </c>
      <c r="R114" s="383">
        <f t="shared" si="49"/>
        <v>0</v>
      </c>
      <c r="S114" s="383">
        <f t="shared" si="49"/>
        <v>0</v>
      </c>
      <c r="T114" s="383">
        <f t="shared" si="49"/>
        <v>0</v>
      </c>
      <c r="U114" s="383">
        <f t="shared" si="49"/>
        <v>3.7223316979420606E-2</v>
      </c>
      <c r="V114" s="383">
        <f t="shared" si="49"/>
        <v>0.15686634557720358</v>
      </c>
      <c r="W114" s="383">
        <f t="shared" si="49"/>
        <v>0.20084899645725307</v>
      </c>
      <c r="X114" s="383">
        <f t="shared" si="49"/>
        <v>0.24587928283681104</v>
      </c>
      <c r="Y114" s="383">
        <f t="shared" si="49"/>
        <v>0.29610078602944057</v>
      </c>
      <c r="Z114" s="383">
        <f t="shared" si="49"/>
        <v>0.35049572974880505</v>
      </c>
      <c r="AA114" s="383">
        <f t="shared" si="49"/>
        <v>0.40497273346252738</v>
      </c>
      <c r="AB114" s="383">
        <f t="shared" si="49"/>
        <v>0.45703860128352924</v>
      </c>
      <c r="AC114" s="383">
        <f t="shared" si="49"/>
        <v>0.4984764478757111</v>
      </c>
      <c r="AD114" s="383">
        <f t="shared" si="49"/>
        <v>0.53585313354576769</v>
      </c>
      <c r="AE114" s="383">
        <f t="shared" si="49"/>
        <v>0.56026574188156331</v>
      </c>
      <c r="AF114" s="383">
        <f t="shared" si="49"/>
        <v>0.54094089974865067</v>
      </c>
      <c r="AG114" s="383">
        <f t="shared" si="49"/>
        <v>0.58654587149667514</v>
      </c>
      <c r="AH114" s="383">
        <f t="shared" si="49"/>
        <v>0.62164731174231302</v>
      </c>
      <c r="AI114" s="383">
        <f t="shared" si="49"/>
        <v>0.96963751301032219</v>
      </c>
      <c r="AJ114" s="383">
        <f t="shared" si="49"/>
        <v>0.98484309956283389</v>
      </c>
      <c r="AK114" s="383">
        <f t="shared" si="49"/>
        <v>0.98870496490484061</v>
      </c>
      <c r="AL114" s="383">
        <f t="shared" si="49"/>
        <v>0.99041424394167188</v>
      </c>
      <c r="AM114" s="383">
        <f t="shared" si="49"/>
        <v>0.99142865371251232</v>
      </c>
      <c r="AN114" s="383">
        <f t="shared" si="49"/>
        <v>0.99214792522482653</v>
      </c>
      <c r="AO114" s="383">
        <f t="shared" si="49"/>
        <v>0.99271913628969377</v>
      </c>
      <c r="AP114" s="383">
        <f t="shared" si="49"/>
        <v>0.99320575808352762</v>
      </c>
      <c r="AQ114" s="383">
        <f t="shared" si="49"/>
        <v>0.9936379553018736</v>
      </c>
      <c r="AR114" s="383">
        <f t="shared" si="49"/>
        <v>0.9940311177796709</v>
      </c>
      <c r="AS114" s="383">
        <f t="shared" si="49"/>
        <v>0.99439364615674097</v>
      </c>
      <c r="AT114" s="383">
        <f t="shared" si="49"/>
        <v>0.99473049171638872</v>
      </c>
      <c r="AU114" s="383">
        <f t="shared" si="49"/>
        <v>0.99504484331837706</v>
      </c>
      <c r="AV114" s="383">
        <f t="shared" si="49"/>
        <v>0.99533895508579606</v>
      </c>
      <c r="AW114" s="383">
        <f t="shared" si="49"/>
        <v>0.99561456100378964</v>
      </c>
      <c r="AX114" s="383">
        <f t="shared" si="49"/>
        <v>0.99587308657361939</v>
      </c>
      <c r="AY114" s="383">
        <f t="shared" si="49"/>
        <v>0.99611575934031749</v>
      </c>
      <c r="AZ114" s="383">
        <f t="shared" si="49"/>
        <v>0.99634366845858591</v>
      </c>
      <c r="BA114" s="383">
        <f t="shared" si="49"/>
        <v>0.99655779827208357</v>
      </c>
      <c r="BB114" s="383">
        <f t="shared" si="49"/>
        <v>0.99675904843457352</v>
      </c>
      <c r="BC114" s="383">
        <f t="shared" si="49"/>
        <v>0.99694824690168971</v>
      </c>
      <c r="BD114" s="383">
        <f t="shared" si="49"/>
        <v>0.99712615901705315</v>
      </c>
      <c r="BE114" s="383">
        <f t="shared" si="49"/>
        <v>0.9972934943542584</v>
      </c>
      <c r="BF114" s="383">
        <f t="shared" si="49"/>
        <v>0.99745104565082277</v>
      </c>
      <c r="BG114" s="383">
        <f t="shared" si="49"/>
        <v>0.99759927511850222</v>
      </c>
      <c r="BH114" s="383">
        <f t="shared" si="49"/>
        <v>0.99773872558939369</v>
      </c>
      <c r="BI114" s="383">
        <f t="shared" si="49"/>
        <v>0.99786993747488073</v>
      </c>
    </row>
    <row r="115" spans="1:61" s="40" customFormat="1" ht="18" customHeight="1" x14ac:dyDescent="0.2">
      <c r="A115" s="382" t="s">
        <v>952</v>
      </c>
      <c r="B115" s="384">
        <f t="shared" ref="B115:BI115" si="50">+B$36*1000*B114^($B$38-1)</f>
        <v>0</v>
      </c>
      <c r="C115" s="384">
        <f t="shared" si="50"/>
        <v>0</v>
      </c>
      <c r="D115" s="384">
        <f t="shared" si="50"/>
        <v>0</v>
      </c>
      <c r="E115" s="384">
        <f t="shared" si="50"/>
        <v>0</v>
      </c>
      <c r="F115" s="384">
        <f t="shared" si="50"/>
        <v>0</v>
      </c>
      <c r="G115" s="384">
        <f t="shared" si="50"/>
        <v>0</v>
      </c>
      <c r="H115" s="384">
        <f t="shared" si="50"/>
        <v>0</v>
      </c>
      <c r="I115" s="384">
        <f t="shared" si="50"/>
        <v>0</v>
      </c>
      <c r="J115" s="384">
        <f t="shared" si="50"/>
        <v>0</v>
      </c>
      <c r="K115" s="384">
        <f t="shared" si="50"/>
        <v>0</v>
      </c>
      <c r="L115" s="384">
        <f t="shared" si="50"/>
        <v>0</v>
      </c>
      <c r="M115" s="384">
        <f t="shared" si="50"/>
        <v>0</v>
      </c>
      <c r="N115" s="384">
        <f t="shared" si="50"/>
        <v>0</v>
      </c>
      <c r="O115" s="384">
        <f t="shared" si="50"/>
        <v>0</v>
      </c>
      <c r="P115" s="384">
        <f t="shared" si="50"/>
        <v>0</v>
      </c>
      <c r="Q115" s="384">
        <f t="shared" si="50"/>
        <v>0</v>
      </c>
      <c r="R115" s="384">
        <f t="shared" si="50"/>
        <v>0</v>
      </c>
      <c r="S115" s="384">
        <f t="shared" si="50"/>
        <v>0</v>
      </c>
      <c r="T115" s="384">
        <f t="shared" si="50"/>
        <v>0</v>
      </c>
      <c r="U115" s="384">
        <f t="shared" si="50"/>
        <v>1.6304446605888792</v>
      </c>
      <c r="V115" s="384">
        <f t="shared" si="50"/>
        <v>20.877797791815649</v>
      </c>
      <c r="W115" s="384">
        <f t="shared" si="50"/>
        <v>31.332497696922008</v>
      </c>
      <c r="X115" s="384">
        <f t="shared" si="50"/>
        <v>43.394987940798337</v>
      </c>
      <c r="Y115" s="384">
        <f t="shared" si="50"/>
        <v>58.379339835036426</v>
      </c>
      <c r="Z115" s="384">
        <f t="shared" si="50"/>
        <v>76.181163246447113</v>
      </c>
      <c r="AA115" s="384">
        <f t="shared" si="50"/>
        <v>95.22784095666205</v>
      </c>
      <c r="AB115" s="384">
        <f t="shared" si="50"/>
        <v>114.16286971000649</v>
      </c>
      <c r="AC115" s="384">
        <f t="shared" si="50"/>
        <v>128.77174355735596</v>
      </c>
      <c r="AD115" s="384">
        <f t="shared" si="50"/>
        <v>141.59124391970269</v>
      </c>
      <c r="AE115" s="384">
        <f t="shared" si="50"/>
        <v>148.18528489075575</v>
      </c>
      <c r="AF115" s="384">
        <f t="shared" si="50"/>
        <v>134.44964870340041</v>
      </c>
      <c r="AG115" s="384">
        <f t="shared" si="50"/>
        <v>150.41272891826387</v>
      </c>
      <c r="AH115" s="384">
        <f t="shared" si="50"/>
        <v>161.59659456854448</v>
      </c>
      <c r="AI115" s="384">
        <f t="shared" si="50"/>
        <v>348.27825976590577</v>
      </c>
      <c r="AJ115" s="384">
        <f t="shared" si="50"/>
        <v>347.00429011790607</v>
      </c>
      <c r="AK115" s="384">
        <f t="shared" si="50"/>
        <v>338.77427768927953</v>
      </c>
      <c r="AL115" s="384">
        <f t="shared" si="50"/>
        <v>329.64864657237564</v>
      </c>
      <c r="AM115" s="384">
        <f t="shared" si="50"/>
        <v>320.56725493655824</v>
      </c>
      <c r="AN115" s="384">
        <f t="shared" si="50"/>
        <v>311.76906043108158</v>
      </c>
      <c r="AO115" s="384">
        <f t="shared" si="50"/>
        <v>303.32705827539087</v>
      </c>
      <c r="AP115" s="384">
        <f t="shared" si="50"/>
        <v>295.26049098442417</v>
      </c>
      <c r="AQ115" s="384">
        <f t="shared" si="50"/>
        <v>287.56805372208248</v>
      </c>
      <c r="AR115" s="384">
        <f t="shared" si="50"/>
        <v>280.23997596457264</v>
      </c>
      <c r="AS115" s="384">
        <f t="shared" si="50"/>
        <v>273.26299643007115</v>
      </c>
      <c r="AT115" s="384">
        <f t="shared" si="50"/>
        <v>266.62256332963358</v>
      </c>
      <c r="AU115" s="384">
        <f t="shared" si="50"/>
        <v>260.30384515717333</v>
      </c>
      <c r="AV115" s="384">
        <f t="shared" si="50"/>
        <v>254.2922018537385</v>
      </c>
      <c r="AW115" s="384">
        <f t="shared" si="50"/>
        <v>248.57340272019266</v>
      </c>
      <c r="AX115" s="384">
        <f t="shared" si="50"/>
        <v>243.13372298029645</v>
      </c>
      <c r="AY115" s="384">
        <f t="shared" si="50"/>
        <v>237.95998139657306</v>
      </c>
      <c r="AZ115" s="384">
        <f t="shared" si="50"/>
        <v>233.03954896988023</v>
      </c>
      <c r="BA115" s="384">
        <f t="shared" si="50"/>
        <v>228.360343356935</v>
      </c>
      <c r="BB115" s="384">
        <f t="shared" si="50"/>
        <v>223.91081621942712</v>
      </c>
      <c r="BC115" s="384">
        <f t="shared" si="50"/>
        <v>219.67993710766868</v>
      </c>
      <c r="BD115" s="384">
        <f t="shared" si="50"/>
        <v>215.65717570977154</v>
      </c>
      <c r="BE115" s="384">
        <f t="shared" si="50"/>
        <v>107.86116200756905</v>
      </c>
      <c r="BF115" s="384">
        <f t="shared" si="50"/>
        <v>53.945917778643427</v>
      </c>
      <c r="BG115" s="384">
        <f t="shared" si="50"/>
        <v>26.980174446449272</v>
      </c>
      <c r="BH115" s="384">
        <f t="shared" si="50"/>
        <v>13.493481720039082</v>
      </c>
      <c r="BI115" s="384">
        <f t="shared" si="50"/>
        <v>6.7483380100954671</v>
      </c>
    </row>
    <row r="116" spans="1:61" s="379" customFormat="1" ht="18" customHeight="1" x14ac:dyDescent="0.2">
      <c r="A116" s="382" t="s">
        <v>969</v>
      </c>
      <c r="B116" s="383">
        <f t="shared" ref="B116:AG116" si="51">+B112*(1-B103)</f>
        <v>0.26272072224848791</v>
      </c>
      <c r="C116" s="383">
        <f t="shared" si="51"/>
        <v>0.25135402819392283</v>
      </c>
      <c r="D116" s="383">
        <f t="shared" si="51"/>
        <v>0.21680863863852845</v>
      </c>
      <c r="E116" s="383">
        <f t="shared" si="51"/>
        <v>0.18901541956840245</v>
      </c>
      <c r="F116" s="383">
        <f t="shared" si="51"/>
        <v>0.17046892275931622</v>
      </c>
      <c r="G116" s="383">
        <f t="shared" si="51"/>
        <v>0.15729102344717191</v>
      </c>
      <c r="H116" s="383">
        <f t="shared" si="51"/>
        <v>0.14697403075640958</v>
      </c>
      <c r="I116" s="383">
        <f t="shared" si="51"/>
        <v>0.1344098204544949</v>
      </c>
      <c r="J116" s="383">
        <f t="shared" si="51"/>
        <v>0.12675340213327232</v>
      </c>
      <c r="K116" s="383">
        <f t="shared" si="51"/>
        <v>0.1236818183724122</v>
      </c>
      <c r="L116" s="383">
        <f t="shared" si="51"/>
        <v>0.11610999979162299</v>
      </c>
      <c r="M116" s="383">
        <f t="shared" si="51"/>
        <v>0.11087134673514568</v>
      </c>
      <c r="N116" s="383">
        <f t="shared" si="51"/>
        <v>0.10555703127149317</v>
      </c>
      <c r="O116" s="383">
        <f t="shared" si="51"/>
        <v>0.10506818872961207</v>
      </c>
      <c r="P116" s="383">
        <f t="shared" si="51"/>
        <v>0.10522248650416635</v>
      </c>
      <c r="Q116" s="383">
        <f t="shared" si="51"/>
        <v>0.10590321602654931</v>
      </c>
      <c r="R116" s="383">
        <f t="shared" si="51"/>
        <v>0.10720302855134099</v>
      </c>
      <c r="S116" s="383">
        <f t="shared" si="51"/>
        <v>0.10855387945023438</v>
      </c>
      <c r="T116" s="383">
        <f t="shared" si="51"/>
        <v>0.10563410898767803</v>
      </c>
      <c r="U116" s="383">
        <f t="shared" si="51"/>
        <v>0.10790619912640063</v>
      </c>
      <c r="V116" s="383">
        <f t="shared" si="51"/>
        <v>0.11120309323178766</v>
      </c>
      <c r="W116" s="383">
        <f t="shared" si="51"/>
        <v>0.1114556566685049</v>
      </c>
      <c r="X116" s="383">
        <f t="shared" si="51"/>
        <v>0.11220383756451598</v>
      </c>
      <c r="Y116" s="383">
        <f t="shared" si="51"/>
        <v>0.11419725695936329</v>
      </c>
      <c r="Z116" s="383">
        <f t="shared" si="51"/>
        <v>0.11757139389199471</v>
      </c>
      <c r="AA116" s="383">
        <f t="shared" si="51"/>
        <v>0.12191700806173721</v>
      </c>
      <c r="AB116" s="383">
        <f t="shared" si="51"/>
        <v>0</v>
      </c>
      <c r="AC116" s="383">
        <f t="shared" si="51"/>
        <v>0</v>
      </c>
      <c r="AD116" s="383">
        <f t="shared" si="51"/>
        <v>0</v>
      </c>
      <c r="AE116" s="383">
        <f t="shared" si="51"/>
        <v>0</v>
      </c>
      <c r="AF116" s="383">
        <f t="shared" si="51"/>
        <v>0</v>
      </c>
      <c r="AG116" s="383">
        <f t="shared" si="51"/>
        <v>0</v>
      </c>
      <c r="AH116" s="383">
        <f t="shared" ref="AH116:BI116" si="52">+AH112*(1-AH103)</f>
        <v>0</v>
      </c>
      <c r="AI116" s="383">
        <f t="shared" si="52"/>
        <v>0</v>
      </c>
      <c r="AJ116" s="383">
        <f t="shared" si="52"/>
        <v>0</v>
      </c>
      <c r="AK116" s="383">
        <f t="shared" si="52"/>
        <v>0</v>
      </c>
      <c r="AL116" s="383">
        <f t="shared" si="52"/>
        <v>0</v>
      </c>
      <c r="AM116" s="383">
        <f t="shared" si="52"/>
        <v>0</v>
      </c>
      <c r="AN116" s="383">
        <f t="shared" si="52"/>
        <v>0</v>
      </c>
      <c r="AO116" s="383">
        <f t="shared" si="52"/>
        <v>0</v>
      </c>
      <c r="AP116" s="383">
        <f t="shared" si="52"/>
        <v>0</v>
      </c>
      <c r="AQ116" s="383">
        <f t="shared" si="52"/>
        <v>0</v>
      </c>
      <c r="AR116" s="383">
        <f t="shared" si="52"/>
        <v>0</v>
      </c>
      <c r="AS116" s="383">
        <f t="shared" si="52"/>
        <v>0</v>
      </c>
      <c r="AT116" s="383">
        <f t="shared" si="52"/>
        <v>0</v>
      </c>
      <c r="AU116" s="383">
        <f t="shared" si="52"/>
        <v>0</v>
      </c>
      <c r="AV116" s="383">
        <f t="shared" si="52"/>
        <v>0</v>
      </c>
      <c r="AW116" s="383">
        <f t="shared" si="52"/>
        <v>0</v>
      </c>
      <c r="AX116" s="383">
        <f t="shared" si="52"/>
        <v>0</v>
      </c>
      <c r="AY116" s="383">
        <f t="shared" si="52"/>
        <v>0</v>
      </c>
      <c r="AZ116" s="383">
        <f t="shared" si="52"/>
        <v>0</v>
      </c>
      <c r="BA116" s="383">
        <f t="shared" si="52"/>
        <v>0</v>
      </c>
      <c r="BB116" s="383">
        <f t="shared" si="52"/>
        <v>0</v>
      </c>
      <c r="BC116" s="383">
        <f t="shared" si="52"/>
        <v>0</v>
      </c>
      <c r="BD116" s="383">
        <f t="shared" si="52"/>
        <v>0</v>
      </c>
      <c r="BE116" s="383">
        <f t="shared" si="52"/>
        <v>0</v>
      </c>
      <c r="BF116" s="383">
        <f t="shared" si="52"/>
        <v>0</v>
      </c>
      <c r="BG116" s="383">
        <f t="shared" si="52"/>
        <v>0</v>
      </c>
      <c r="BH116" s="383">
        <f t="shared" si="52"/>
        <v>0</v>
      </c>
      <c r="BI116" s="383">
        <f t="shared" si="52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0.26282248101341321</v>
      </c>
      <c r="C119" s="405">
        <f t="shared" ref="C119:BI120" si="53">+C112</f>
        <v>0.25145390782829641</v>
      </c>
      <c r="D119" s="405">
        <f t="shared" si="53"/>
        <v>0.21689701209588536</v>
      </c>
      <c r="E119" s="405">
        <f t="shared" si="53"/>
        <v>0.18909443916215482</v>
      </c>
      <c r="F119" s="405">
        <f t="shared" si="53"/>
        <v>0.1705420048023773</v>
      </c>
      <c r="G119" s="405">
        <f t="shared" si="53"/>
        <v>0.15736016360012958</v>
      </c>
      <c r="H119" s="405">
        <f t="shared" si="53"/>
        <v>0.14704026130016792</v>
      </c>
      <c r="I119" s="405">
        <f t="shared" si="53"/>
        <v>0.13447190274186793</v>
      </c>
      <c r="J119" s="405">
        <f t="shared" si="53"/>
        <v>0.12681340061115978</v>
      </c>
      <c r="K119" s="405">
        <f t="shared" si="53"/>
        <v>0.12374180472400245</v>
      </c>
      <c r="L119" s="405">
        <f t="shared" si="53"/>
        <v>0.11616768990469224</v>
      </c>
      <c r="M119" s="405">
        <f t="shared" si="53"/>
        <v>0.11092776926264701</v>
      </c>
      <c r="N119" s="405">
        <f t="shared" si="53"/>
        <v>0.10561204044534388</v>
      </c>
      <c r="O119" s="405">
        <f t="shared" si="53"/>
        <v>0.1051242475838563</v>
      </c>
      <c r="P119" s="405">
        <f t="shared" si="53"/>
        <v>0.10527995287494885</v>
      </c>
      <c r="Q119" s="405">
        <f t="shared" si="53"/>
        <v>0.1059624063531661</v>
      </c>
      <c r="R119" s="405">
        <f t="shared" si="53"/>
        <v>0.10726433216158372</v>
      </c>
      <c r="S119" s="405">
        <f t="shared" si="53"/>
        <v>0.10861737739411544</v>
      </c>
      <c r="T119" s="405">
        <f t="shared" si="53"/>
        <v>0.10569729902033673</v>
      </c>
      <c r="U119" s="405">
        <f t="shared" si="53"/>
        <v>0.10797219435458918</v>
      </c>
      <c r="V119" s="405">
        <f t="shared" si="53"/>
        <v>0.111272610589033</v>
      </c>
      <c r="W119" s="405">
        <f t="shared" si="53"/>
        <v>0.11152685571041006</v>
      </c>
      <c r="X119" s="405">
        <f t="shared" si="53"/>
        <v>0.11227706228294995</v>
      </c>
      <c r="Y119" s="405">
        <f t="shared" si="53"/>
        <v>0.11427337067131432</v>
      </c>
      <c r="Z119" s="405">
        <f t="shared" si="53"/>
        <v>0.1176514035451774</v>
      </c>
      <c r="AA119" s="405">
        <f t="shared" si="53"/>
        <v>0.12200169410032509</v>
      </c>
      <c r="AB119" s="405">
        <f t="shared" si="53"/>
        <v>0.12701569207095167</v>
      </c>
      <c r="AC119" s="405">
        <f t="shared" si="53"/>
        <v>0.13063471627003231</v>
      </c>
      <c r="AD119" s="405">
        <f t="shared" si="53"/>
        <v>0.13409670965409343</v>
      </c>
      <c r="AE119" s="405">
        <f t="shared" si="53"/>
        <v>0.13446425452814378</v>
      </c>
      <c r="AF119" s="405">
        <f t="shared" si="53"/>
        <v>0.12236357413937954</v>
      </c>
      <c r="AG119" s="405">
        <f t="shared" si="53"/>
        <v>0.12906753846850408</v>
      </c>
      <c r="AH119" s="405">
        <f t="shared" si="53"/>
        <v>0.13398961571341891</v>
      </c>
      <c r="AI119" s="405">
        <f t="shared" si="53"/>
        <v>1.5861864265259302</v>
      </c>
      <c r="AJ119" s="405">
        <f t="shared" si="53"/>
        <v>3.0185945135245329</v>
      </c>
      <c r="AK119" s="405">
        <f t="shared" si="53"/>
        <v>3.8481429504553812</v>
      </c>
      <c r="AL119" s="405">
        <f t="shared" si="53"/>
        <v>4.3076064049095661</v>
      </c>
      <c r="AM119" s="405">
        <f t="shared" si="53"/>
        <v>4.5765367151692278</v>
      </c>
      <c r="AN119" s="405">
        <f t="shared" si="53"/>
        <v>4.7459719884210649</v>
      </c>
      <c r="AO119" s="405">
        <f t="shared" si="53"/>
        <v>4.8623957260936033</v>
      </c>
      <c r="AP119" s="405">
        <f t="shared" si="53"/>
        <v>4.9501208481198447</v>
      </c>
      <c r="AQ119" s="405">
        <f t="shared" si="53"/>
        <v>5.0220808161587032</v>
      </c>
      <c r="AR119" s="405">
        <f t="shared" si="53"/>
        <v>5.0852347856900746</v>
      </c>
      <c r="AS119" s="405">
        <f t="shared" si="53"/>
        <v>5.1433623224211216</v>
      </c>
      <c r="AT119" s="405">
        <f t="shared" si="53"/>
        <v>5.198536977842493</v>
      </c>
      <c r="AU119" s="405">
        <f t="shared" si="53"/>
        <v>5.2519120294510735</v>
      </c>
      <c r="AV119" s="405">
        <f t="shared" si="53"/>
        <v>5.3041421161785403</v>
      </c>
      <c r="AW119" s="405">
        <f t="shared" si="53"/>
        <v>5.3556103330551519</v>
      </c>
      <c r="AX119" s="405">
        <f t="shared" si="53"/>
        <v>5.4065508474941097</v>
      </c>
      <c r="AY119" s="405">
        <f t="shared" si="53"/>
        <v>5.4571152448928792</v>
      </c>
      <c r="AZ119" s="405">
        <f t="shared" si="53"/>
        <v>5.5074085171880531</v>
      </c>
      <c r="BA119" s="405">
        <f t="shared" si="53"/>
        <v>5.5575086561774771</v>
      </c>
      <c r="BB119" s="405">
        <f t="shared" si="53"/>
        <v>5.6074773835298615</v>
      </c>
      <c r="BC119" s="405">
        <f t="shared" si="53"/>
        <v>5.6573660836427937</v>
      </c>
      <c r="BD119" s="405">
        <f t="shared" si="53"/>
        <v>5.7072191355251629</v>
      </c>
      <c r="BE119" s="405">
        <f t="shared" si="53"/>
        <v>5.7570758303535712</v>
      </c>
      <c r="BF119" s="405">
        <f t="shared" si="53"/>
        <v>5.8072755719228182</v>
      </c>
      <c r="BG119" s="405">
        <f t="shared" si="53"/>
        <v>5.8575459512270394</v>
      </c>
      <c r="BH119" s="405">
        <f t="shared" si="53"/>
        <v>5.9078360554055065</v>
      </c>
      <c r="BI119" s="405">
        <f t="shared" si="53"/>
        <v>5.958170908024341</v>
      </c>
    </row>
    <row r="120" spans="1:61" s="401" customFormat="1" ht="18" customHeight="1" x14ac:dyDescent="0.2">
      <c r="A120" s="403" t="s">
        <v>949</v>
      </c>
      <c r="B120" s="405">
        <f>+B113</f>
        <v>0.40515158969265602</v>
      </c>
      <c r="C120" s="405">
        <f t="shared" si="53"/>
        <v>0.72309374310061081</v>
      </c>
      <c r="D120" s="405">
        <f t="shared" si="53"/>
        <v>0.95176955277897013</v>
      </c>
      <c r="E120" s="405">
        <f t="shared" si="53"/>
        <v>1.1736542267846262</v>
      </c>
      <c r="F120" s="405">
        <f t="shared" si="53"/>
        <v>0.84377862604833109</v>
      </c>
      <c r="G120" s="405">
        <f t="shared" si="53"/>
        <v>0.59412543656290517</v>
      </c>
      <c r="H120" s="405">
        <f t="shared" si="53"/>
        <v>0.48265141280888452</v>
      </c>
      <c r="I120" s="405">
        <f t="shared" si="53"/>
        <v>0.40009497139017691</v>
      </c>
      <c r="J120" s="405">
        <f t="shared" si="53"/>
        <v>0.33903711576945383</v>
      </c>
      <c r="K120" s="405">
        <f t="shared" si="53"/>
        <v>0.29383505522586312</v>
      </c>
      <c r="L120" s="405">
        <f t="shared" si="53"/>
        <v>0.26170534723586308</v>
      </c>
      <c r="M120" s="405">
        <f t="shared" si="53"/>
        <v>0.23618907588036642</v>
      </c>
      <c r="N120" s="405">
        <f t="shared" si="53"/>
        <v>0.21316064098203069</v>
      </c>
      <c r="O120" s="405">
        <f t="shared" si="53"/>
        <v>0.19237747848628267</v>
      </c>
      <c r="P120" s="405">
        <f t="shared" si="53"/>
        <v>0.17362067433387007</v>
      </c>
      <c r="Q120" s="405">
        <f t="shared" si="53"/>
        <v>0.15669265858631773</v>
      </c>
      <c r="R120" s="405">
        <f t="shared" si="53"/>
        <v>0.14141512437415174</v>
      </c>
      <c r="S120" s="405">
        <f t="shared" si="53"/>
        <v>0.12762714974767195</v>
      </c>
      <c r="T120" s="405">
        <f t="shared" si="53"/>
        <v>0.11518350264727392</v>
      </c>
      <c r="U120" s="405">
        <f t="shared" si="53"/>
        <v>0.10395311113916471</v>
      </c>
      <c r="V120" s="405">
        <f t="shared" si="53"/>
        <v>9.3817682803096145E-2</v>
      </c>
      <c r="W120" s="405">
        <f t="shared" si="53"/>
        <v>8.9126798662941334E-2</v>
      </c>
      <c r="X120" s="405">
        <f t="shared" si="53"/>
        <v>8.4670458729794257E-2</v>
      </c>
      <c r="Y120" s="405">
        <f t="shared" si="53"/>
        <v>8.0436935793304534E-2</v>
      </c>
      <c r="Z120" s="405">
        <f t="shared" si="53"/>
        <v>7.6415089003639303E-2</v>
      </c>
      <c r="AA120" s="405">
        <f t="shared" si="53"/>
        <v>7.2594334553457332E-2</v>
      </c>
      <c r="AB120" s="405">
        <f t="shared" si="53"/>
        <v>6.8964617825784461E-2</v>
      </c>
      <c r="AC120" s="405">
        <f t="shared" si="53"/>
        <v>6.5516386934495241E-2</v>
      </c>
      <c r="AD120" s="405">
        <f t="shared" si="53"/>
        <v>6.2240567587770475E-2</v>
      </c>
      <c r="AE120" s="405">
        <f t="shared" si="53"/>
        <v>5.9128539208381951E-2</v>
      </c>
      <c r="AF120" s="405">
        <f t="shared" si="53"/>
        <v>5.6172112247962848E-2</v>
      </c>
      <c r="AG120" s="405">
        <f t="shared" si="53"/>
        <v>5.3363506635564703E-2</v>
      </c>
      <c r="AH120" s="405">
        <f t="shared" si="53"/>
        <v>5.0695331303786464E-2</v>
      </c>
      <c r="AI120" s="405">
        <f t="shared" si="53"/>
        <v>4.8160564738597138E-2</v>
      </c>
      <c r="AJ120" s="405">
        <f t="shared" si="53"/>
        <v>4.5752536501667281E-2</v>
      </c>
      <c r="AK120" s="405">
        <f t="shared" si="53"/>
        <v>4.3464909676583917E-2</v>
      </c>
      <c r="AL120" s="405">
        <f t="shared" si="53"/>
        <v>4.1291664192754721E-2</v>
      </c>
      <c r="AM120" s="405">
        <f t="shared" si="53"/>
        <v>3.9227080983116981E-2</v>
      </c>
      <c r="AN120" s="405">
        <f t="shared" si="53"/>
        <v>3.726572693396113E-2</v>
      </c>
      <c r="AO120" s="405">
        <f t="shared" si="53"/>
        <v>3.5402440587263072E-2</v>
      </c>
      <c r="AP120" s="405">
        <f t="shared" si="53"/>
        <v>3.3632318557899915E-2</v>
      </c>
      <c r="AQ120" s="405">
        <f t="shared" si="53"/>
        <v>3.1950702630004921E-2</v>
      </c>
      <c r="AR120" s="405">
        <f t="shared" si="53"/>
        <v>3.0353167498504672E-2</v>
      </c>
      <c r="AS120" s="405">
        <f t="shared" si="53"/>
        <v>2.8835509123579437E-2</v>
      </c>
      <c r="AT120" s="405">
        <f t="shared" si="53"/>
        <v>2.7393733667400465E-2</v>
      </c>
      <c r="AU120" s="405">
        <f t="shared" si="53"/>
        <v>2.6024046984030439E-2</v>
      </c>
      <c r="AV120" s="405">
        <f t="shared" si="53"/>
        <v>2.4722844634828916E-2</v>
      </c>
      <c r="AW120" s="405">
        <f t="shared" si="53"/>
        <v>2.3486702403087468E-2</v>
      </c>
      <c r="AX120" s="405">
        <f t="shared" si="53"/>
        <v>2.2312367282933093E-2</v>
      </c>
      <c r="AY120" s="405">
        <f t="shared" si="53"/>
        <v>2.1196748918786437E-2</v>
      </c>
      <c r="AZ120" s="405">
        <f t="shared" si="53"/>
        <v>2.0136911472847116E-2</v>
      </c>
      <c r="BA120" s="405">
        <f t="shared" si="53"/>
        <v>1.9130065899204761E-2</v>
      </c>
      <c r="BB120" s="405">
        <f t="shared" si="53"/>
        <v>1.8173562604244523E-2</v>
      </c>
      <c r="BC120" s="405">
        <f t="shared" si="53"/>
        <v>1.7264884474032297E-2</v>
      </c>
      <c r="BD120" s="405">
        <f t="shared" si="53"/>
        <v>1.6401640250330682E-2</v>
      </c>
      <c r="BE120" s="405">
        <f t="shared" si="53"/>
        <v>1.5581558237814147E-2</v>
      </c>
      <c r="BF120" s="405">
        <f t="shared" si="53"/>
        <v>1.4802480325923439E-2</v>
      </c>
      <c r="BG120" s="405">
        <f t="shared" si="53"/>
        <v>1.4062356309627266E-2</v>
      </c>
      <c r="BH120" s="405">
        <f t="shared" si="53"/>
        <v>1.3359238494145902E-2</v>
      </c>
      <c r="BI120" s="405">
        <f t="shared" si="53"/>
        <v>1.2691276569438607E-2</v>
      </c>
    </row>
    <row r="121" spans="1:61" s="402" customFormat="1" ht="18" customHeight="1" x14ac:dyDescent="0.2">
      <c r="A121" s="404" t="s">
        <v>965</v>
      </c>
      <c r="B121" s="405">
        <f>+B119*(1-B122)</f>
        <v>0.26282248101341321</v>
      </c>
      <c r="C121" s="405">
        <f t="shared" ref="C121:BI121" si="54">+C119*(1-C122)</f>
        <v>0.25145390782829641</v>
      </c>
      <c r="D121" s="405">
        <f t="shared" si="54"/>
        <v>0.21689701209588536</v>
      </c>
      <c r="E121" s="405">
        <f t="shared" si="54"/>
        <v>0.18909443916215482</v>
      </c>
      <c r="F121" s="405">
        <f t="shared" si="54"/>
        <v>0.10029041540594216</v>
      </c>
      <c r="G121" s="405">
        <f t="shared" si="54"/>
        <v>7.5587239884656474E-2</v>
      </c>
      <c r="H121" s="405">
        <f t="shared" si="54"/>
        <v>6.1776977314485379E-2</v>
      </c>
      <c r="I121" s="405">
        <f t="shared" si="54"/>
        <v>5.6942538947138716E-2</v>
      </c>
      <c r="J121" s="405">
        <f t="shared" si="54"/>
        <v>4.8734246563708221E-2</v>
      </c>
      <c r="K121" s="405">
        <f t="shared" si="54"/>
        <v>4.3942964797214899E-2</v>
      </c>
      <c r="L121" s="405">
        <f t="shared" si="54"/>
        <v>3.8821237832530213E-2</v>
      </c>
      <c r="M121" s="405">
        <f t="shared" si="54"/>
        <v>3.5280523419825675E-2</v>
      </c>
      <c r="N121" s="405">
        <f t="shared" si="54"/>
        <v>3.2132228293630688E-2</v>
      </c>
      <c r="O121" s="405">
        <f t="shared" si="54"/>
        <v>3.0690583125410471E-2</v>
      </c>
      <c r="P121" s="405">
        <f t="shared" si="54"/>
        <v>2.9644607176560436E-2</v>
      </c>
      <c r="Q121" s="405">
        <f t="shared" si="54"/>
        <v>2.8888557339960381E-2</v>
      </c>
      <c r="R121" s="405">
        <f t="shared" si="54"/>
        <v>2.8431585933356353E-2</v>
      </c>
      <c r="S121" s="405">
        <f t="shared" si="54"/>
        <v>2.8117838125114088E-2</v>
      </c>
      <c r="T121" s="405">
        <f t="shared" si="54"/>
        <v>2.6750848775816041E-2</v>
      </c>
      <c r="U121" s="405">
        <f t="shared" si="54"/>
        <v>2.6749905932685128E-2</v>
      </c>
      <c r="V121" s="405">
        <f t="shared" si="54"/>
        <v>2.7025808131727763E-2</v>
      </c>
      <c r="W121" s="405">
        <f t="shared" si="54"/>
        <v>3.0147643134884217E-2</v>
      </c>
      <c r="X121" s="405">
        <f t="shared" si="54"/>
        <v>3.3340864975236272E-2</v>
      </c>
      <c r="Y121" s="405">
        <f t="shared" si="54"/>
        <v>3.6887701307913877E-2</v>
      </c>
      <c r="Z121" s="405">
        <f t="shared" si="54"/>
        <v>4.0929534902667646E-2</v>
      </c>
      <c r="AA121" s="405">
        <f t="shared" si="54"/>
        <v>4.5412458530095359E-2</v>
      </c>
      <c r="AB121" s="405">
        <f t="shared" si="54"/>
        <v>5.0277874156044913E-2</v>
      </c>
      <c r="AC121" s="405">
        <f t="shared" si="54"/>
        <v>5.4702086602450482E-2</v>
      </c>
      <c r="AD121" s="405">
        <f t="shared" si="54"/>
        <v>5.9129632200232166E-2</v>
      </c>
      <c r="AE121" s="405">
        <f t="shared" si="54"/>
        <v>6.2186580000856397E-2</v>
      </c>
      <c r="AF121" s="405">
        <f t="shared" si="54"/>
        <v>5.9143635423221583E-2</v>
      </c>
      <c r="AG121" s="405">
        <f t="shared" si="54"/>
        <v>6.4993679671612389E-2</v>
      </c>
      <c r="AH121" s="405">
        <f t="shared" si="54"/>
        <v>7.0096802051412638E-2</v>
      </c>
      <c r="AI121" s="405">
        <f t="shared" si="54"/>
        <v>0.85990474876123979</v>
      </c>
      <c r="AJ121" s="405">
        <f t="shared" si="54"/>
        <v>1.6918826114421321</v>
      </c>
      <c r="AK121" s="405">
        <f t="shared" si="54"/>
        <v>2.2252374707786604</v>
      </c>
      <c r="AL121" s="405">
        <f t="shared" si="54"/>
        <v>2.5650141296809394</v>
      </c>
      <c r="AM121" s="405">
        <f t="shared" si="54"/>
        <v>2.8012824730382535</v>
      </c>
      <c r="AN121" s="405">
        <f t="shared" si="54"/>
        <v>2.9813266331574138</v>
      </c>
      <c r="AO121" s="405">
        <f t="shared" si="54"/>
        <v>3.1300484365688996</v>
      </c>
      <c r="AP121" s="405">
        <f t="shared" si="54"/>
        <v>3.2608639568571975</v>
      </c>
      <c r="AQ121" s="405">
        <f t="shared" si="54"/>
        <v>3.3811095062913448</v>
      </c>
      <c r="AR121" s="405">
        <f t="shared" si="54"/>
        <v>3.4948311369353413</v>
      </c>
      <c r="AS121" s="405">
        <f t="shared" si="54"/>
        <v>3.6042726335814637</v>
      </c>
      <c r="AT121" s="405">
        <f t="shared" si="54"/>
        <v>3.7106850096172583</v>
      </c>
      <c r="AU121" s="405">
        <f t="shared" si="54"/>
        <v>3.8147714046816805</v>
      </c>
      <c r="AV121" s="405">
        <f t="shared" si="54"/>
        <v>3.9169327322985805</v>
      </c>
      <c r="AW121" s="405">
        <f t="shared" si="54"/>
        <v>4.0174035142994864</v>
      </c>
      <c r="AX121" s="405">
        <f t="shared" si="54"/>
        <v>4.1163269702395375</v>
      </c>
      <c r="AY121" s="405">
        <f t="shared" si="54"/>
        <v>4.2137964686216636</v>
      </c>
      <c r="AZ121" s="405">
        <f t="shared" si="54"/>
        <v>4.3098783570781434</v>
      </c>
      <c r="BA121" s="405">
        <f t="shared" si="54"/>
        <v>4.4046244964118761</v>
      </c>
      <c r="BB121" s="405">
        <f t="shared" si="54"/>
        <v>4.4980791111328458</v>
      </c>
      <c r="BC121" s="405">
        <f t="shared" si="54"/>
        <v>4.5902825093150996</v>
      </c>
      <c r="BD121" s="405">
        <f t="shared" si="54"/>
        <v>4.6812730824390671</v>
      </c>
      <c r="BE121" s="405">
        <f t="shared" si="54"/>
        <v>4.3225116418929383</v>
      </c>
      <c r="BF121" s="405">
        <f t="shared" si="54"/>
        <v>3.8013790342738463</v>
      </c>
      <c r="BG121" s="405">
        <f t="shared" si="54"/>
        <v>3.0529528829219337</v>
      </c>
      <c r="BH121" s="405">
        <f t="shared" si="54"/>
        <v>1.9868017187083793</v>
      </c>
      <c r="BI121" s="405">
        <f t="shared" si="54"/>
        <v>0.47662285647934494</v>
      </c>
    </row>
    <row r="122" spans="1:61" s="401" customFormat="1" ht="18" customHeight="1" x14ac:dyDescent="0.2">
      <c r="A122" s="403" t="s">
        <v>951</v>
      </c>
      <c r="B122" s="406">
        <f t="shared" ref="B122:L122" si="55">+(B123/(1000*B$36))^(1/($B$38-1))</f>
        <v>0</v>
      </c>
      <c r="C122" s="406">
        <f t="shared" si="55"/>
        <v>0</v>
      </c>
      <c r="D122" s="406">
        <f t="shared" si="55"/>
        <v>0</v>
      </c>
      <c r="E122" s="406">
        <f t="shared" si="55"/>
        <v>0</v>
      </c>
      <c r="F122" s="406">
        <f t="shared" si="55"/>
        <v>0.4119312979687445</v>
      </c>
      <c r="G122" s="406">
        <f t="shared" si="55"/>
        <v>0.51965454181445558</v>
      </c>
      <c r="H122" s="406">
        <f t="shared" si="55"/>
        <v>0.57986352330825985</v>
      </c>
      <c r="I122" s="406">
        <f t="shared" si="55"/>
        <v>0.57654693816264702</v>
      </c>
      <c r="J122" s="406">
        <f t="shared" si="55"/>
        <v>0.6157011299370555</v>
      </c>
      <c r="K122" s="406">
        <f t="shared" si="55"/>
        <v>0.64488181746478768</v>
      </c>
      <c r="L122" s="406">
        <f t="shared" si="55"/>
        <v>0.66581725207430376</v>
      </c>
      <c r="M122" s="406">
        <f t="shared" ref="M122:BI122" si="56">+(M123/(1000*M$36))^(1/($B$38-1))</f>
        <v>0.68195048314465856</v>
      </c>
      <c r="N122" s="406">
        <f t="shared" si="56"/>
        <v>0.69575222523742741</v>
      </c>
      <c r="O122" s="406">
        <f t="shared" si="56"/>
        <v>0.70805419462404262</v>
      </c>
      <c r="P122" s="406">
        <f t="shared" si="56"/>
        <v>0.71842115837787091</v>
      </c>
      <c r="Q122" s="406">
        <f t="shared" si="56"/>
        <v>0.72736974995002834</v>
      </c>
      <c r="R122" s="406">
        <f t="shared" si="56"/>
        <v>0.73493904860632686</v>
      </c>
      <c r="S122" s="406">
        <f t="shared" si="56"/>
        <v>0.74112946933814083</v>
      </c>
      <c r="T122" s="406">
        <f t="shared" si="56"/>
        <v>0.74691076286945579</v>
      </c>
      <c r="U122" s="406">
        <f t="shared" si="56"/>
        <v>0.75225190066216185</v>
      </c>
      <c r="V122" s="406">
        <f t="shared" si="56"/>
        <v>0.75712075066214524</v>
      </c>
      <c r="W122" s="406">
        <f t="shared" si="56"/>
        <v>0.72968265855924963</v>
      </c>
      <c r="X122" s="406">
        <f t="shared" si="56"/>
        <v>0.70304829590915197</v>
      </c>
      <c r="Y122" s="406">
        <f t="shared" si="56"/>
        <v>0.67719774877373351</v>
      </c>
      <c r="Z122" s="406">
        <f t="shared" si="56"/>
        <v>0.65211180088513809</v>
      </c>
      <c r="AA122" s="406">
        <f t="shared" si="56"/>
        <v>0.62777190214464118</v>
      </c>
      <c r="AB122" s="406">
        <f t="shared" si="56"/>
        <v>0.60416013693836024</v>
      </c>
      <c r="AC122" s="406">
        <f t="shared" si="56"/>
        <v>0.58125919231625278</v>
      </c>
      <c r="AD122" s="406">
        <f t="shared" si="56"/>
        <v>0.55905232609540634</v>
      </c>
      <c r="AE122" s="406">
        <f t="shared" si="56"/>
        <v>0.53752333496304361</v>
      </c>
      <c r="AF122" s="406">
        <f t="shared" si="56"/>
        <v>0.51665652266863837</v>
      </c>
      <c r="AG122" s="406">
        <f t="shared" si="56"/>
        <v>0.49643666840773765</v>
      </c>
      <c r="AH122" s="406">
        <f t="shared" si="56"/>
        <v>0.47684899551217591</v>
      </c>
      <c r="AI122" s="406">
        <f t="shared" si="56"/>
        <v>0.45787914057201612</v>
      </c>
      <c r="AJ122" s="406">
        <f t="shared" si="56"/>
        <v>0.43951312312342422</v>
      </c>
      <c r="AK122" s="406">
        <f t="shared" si="56"/>
        <v>0.42173731604348785</v>
      </c>
      <c r="AL122" s="406">
        <f t="shared" si="56"/>
        <v>0.40453841679743963</v>
      </c>
      <c r="AM122" s="406">
        <f t="shared" si="56"/>
        <v>0.38790341968562803</v>
      </c>
      <c r="AN122" s="406">
        <f t="shared" si="56"/>
        <v>0.37181958923670982</v>
      </c>
      <c r="AO122" s="406">
        <f t="shared" si="56"/>
        <v>0.35627443488982602</v>
      </c>
      <c r="AP122" s="406">
        <f t="shared" si="56"/>
        <v>0.34125568710191401</v>
      </c>
      <c r="AQ122" s="406">
        <f t="shared" si="56"/>
        <v>0.32675127500686202</v>
      </c>
      <c r="AR122" s="406">
        <f t="shared" si="56"/>
        <v>0.31274930574103527</v>
      </c>
      <c r="AS122" s="406">
        <f t="shared" si="56"/>
        <v>0.29923804553500061</v>
      </c>
      <c r="AT122" s="406">
        <f t="shared" si="56"/>
        <v>0.28620590265431295</v>
      </c>
      <c r="AU122" s="406">
        <f t="shared" si="56"/>
        <v>0.27364141225335842</v>
      </c>
      <c r="AV122" s="406">
        <f t="shared" si="56"/>
        <v>0.26153322318584454</v>
      </c>
      <c r="AW122" s="406">
        <f t="shared" si="56"/>
        <v>0.24987008679406189</v>
      </c>
      <c r="AX122" s="406">
        <f t="shared" si="56"/>
        <v>0.23864084767695837</v>
      </c>
      <c r="AY122" s="406">
        <f t="shared" si="56"/>
        <v>0.22783443641487947</v>
      </c>
      <c r="AZ122" s="406">
        <f t="shared" si="56"/>
        <v>0.2174398642070117</v>
      </c>
      <c r="BA122" s="406">
        <f t="shared" si="56"/>
        <v>0.20744621935660079</v>
      </c>
      <c r="BB122" s="406">
        <f t="shared" si="56"/>
        <v>0.19784266551934951</v>
      </c>
      <c r="BC122" s="406">
        <f t="shared" si="56"/>
        <v>0.18861844161242552</v>
      </c>
      <c r="BD122" s="406">
        <f t="shared" si="56"/>
        <v>0.17976286326557725</v>
      </c>
      <c r="BE122" s="406">
        <f t="shared" si="56"/>
        <v>0.24918278492998922</v>
      </c>
      <c r="BF122" s="406">
        <f t="shared" si="56"/>
        <v>0.34541094404872708</v>
      </c>
      <c r="BG122" s="406">
        <f t="shared" si="56"/>
        <v>0.47880001141392664</v>
      </c>
      <c r="BH122" s="406">
        <f t="shared" si="56"/>
        <v>0.66370060034240275</v>
      </c>
      <c r="BI122" s="406">
        <f t="shared" si="56"/>
        <v>0.92000517208436583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0</v>
      </c>
      <c r="D123" s="400">
        <f>+Global!D118*D46</f>
        <v>0</v>
      </c>
      <c r="E123" s="400">
        <f>+Global!E118*E46</f>
        <v>0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0.26282248101341321</v>
      </c>
      <c r="C124" s="405">
        <f t="shared" ref="C124:BI124" si="57">+C119*(1-C122)</f>
        <v>0.25145390782829641</v>
      </c>
      <c r="D124" s="405">
        <f t="shared" si="57"/>
        <v>0.21689701209588536</v>
      </c>
      <c r="E124" s="405">
        <f t="shared" si="57"/>
        <v>0.18909443916215482</v>
      </c>
      <c r="F124" s="405">
        <f t="shared" si="57"/>
        <v>0.10029041540594216</v>
      </c>
      <c r="G124" s="405">
        <f t="shared" si="57"/>
        <v>7.5587239884656474E-2</v>
      </c>
      <c r="H124" s="405">
        <f t="shared" si="57"/>
        <v>6.1776977314485379E-2</v>
      </c>
      <c r="I124" s="405">
        <f t="shared" si="57"/>
        <v>5.6942538947138716E-2</v>
      </c>
      <c r="J124" s="405">
        <f t="shared" si="57"/>
        <v>4.8734246563708221E-2</v>
      </c>
      <c r="K124" s="405">
        <f t="shared" si="57"/>
        <v>4.3942964797214899E-2</v>
      </c>
      <c r="L124" s="405">
        <f t="shared" si="57"/>
        <v>3.8821237832530213E-2</v>
      </c>
      <c r="M124" s="405">
        <f t="shared" si="57"/>
        <v>3.5280523419825675E-2</v>
      </c>
      <c r="N124" s="405">
        <f t="shared" si="57"/>
        <v>3.2132228293630688E-2</v>
      </c>
      <c r="O124" s="405">
        <f t="shared" si="57"/>
        <v>3.0690583125410471E-2</v>
      </c>
      <c r="P124" s="405">
        <f t="shared" si="57"/>
        <v>2.9644607176560436E-2</v>
      </c>
      <c r="Q124" s="405">
        <f t="shared" si="57"/>
        <v>2.8888557339960381E-2</v>
      </c>
      <c r="R124" s="405">
        <f t="shared" si="57"/>
        <v>2.8431585933356353E-2</v>
      </c>
      <c r="S124" s="405">
        <f t="shared" si="57"/>
        <v>2.8117838125114088E-2</v>
      </c>
      <c r="T124" s="405">
        <f t="shared" si="57"/>
        <v>2.6750848775816041E-2</v>
      </c>
      <c r="U124" s="405">
        <f t="shared" si="57"/>
        <v>2.6749905932685128E-2</v>
      </c>
      <c r="V124" s="405">
        <f t="shared" si="57"/>
        <v>2.7025808131727763E-2</v>
      </c>
      <c r="W124" s="405">
        <f t="shared" si="57"/>
        <v>3.0147643134884217E-2</v>
      </c>
      <c r="X124" s="405">
        <f t="shared" si="57"/>
        <v>3.3340864975236272E-2</v>
      </c>
      <c r="Y124" s="405">
        <f t="shared" si="57"/>
        <v>3.6887701307913877E-2</v>
      </c>
      <c r="Z124" s="405">
        <f t="shared" si="57"/>
        <v>4.0929534902667646E-2</v>
      </c>
      <c r="AA124" s="405">
        <f t="shared" si="57"/>
        <v>4.5412458530095359E-2</v>
      </c>
      <c r="AB124" s="405">
        <f t="shared" si="57"/>
        <v>5.0277874156044913E-2</v>
      </c>
      <c r="AC124" s="405">
        <f t="shared" si="57"/>
        <v>5.4702086602450482E-2</v>
      </c>
      <c r="AD124" s="405">
        <f t="shared" si="57"/>
        <v>5.9129632200232166E-2</v>
      </c>
      <c r="AE124" s="405">
        <f t="shared" si="57"/>
        <v>6.2186580000856397E-2</v>
      </c>
      <c r="AF124" s="405">
        <f t="shared" si="57"/>
        <v>5.9143635423221583E-2</v>
      </c>
      <c r="AG124" s="405">
        <f t="shared" si="57"/>
        <v>6.4993679671612389E-2</v>
      </c>
      <c r="AH124" s="405">
        <f t="shared" si="57"/>
        <v>7.0096802051412638E-2</v>
      </c>
      <c r="AI124" s="405">
        <f t="shared" si="57"/>
        <v>0.85990474876123979</v>
      </c>
      <c r="AJ124" s="405">
        <f t="shared" si="57"/>
        <v>1.6918826114421321</v>
      </c>
      <c r="AK124" s="405">
        <f t="shared" si="57"/>
        <v>2.2252374707786604</v>
      </c>
      <c r="AL124" s="405">
        <f t="shared" si="57"/>
        <v>2.5650141296809394</v>
      </c>
      <c r="AM124" s="405">
        <f t="shared" si="57"/>
        <v>2.8012824730382535</v>
      </c>
      <c r="AN124" s="405">
        <f t="shared" si="57"/>
        <v>2.9813266331574138</v>
      </c>
      <c r="AO124" s="405">
        <f t="shared" si="57"/>
        <v>3.1300484365688996</v>
      </c>
      <c r="AP124" s="405">
        <f t="shared" si="57"/>
        <v>3.2608639568571975</v>
      </c>
      <c r="AQ124" s="405">
        <f t="shared" si="57"/>
        <v>3.3811095062913448</v>
      </c>
      <c r="AR124" s="405">
        <f t="shared" si="57"/>
        <v>3.4948311369353413</v>
      </c>
      <c r="AS124" s="405">
        <f t="shared" si="57"/>
        <v>3.6042726335814637</v>
      </c>
      <c r="AT124" s="405">
        <f t="shared" si="57"/>
        <v>3.7106850096172583</v>
      </c>
      <c r="AU124" s="405">
        <f t="shared" si="57"/>
        <v>3.8147714046816805</v>
      </c>
      <c r="AV124" s="405">
        <f t="shared" si="57"/>
        <v>3.9169327322985805</v>
      </c>
      <c r="AW124" s="405">
        <f t="shared" si="57"/>
        <v>4.0174035142994864</v>
      </c>
      <c r="AX124" s="405">
        <f t="shared" si="57"/>
        <v>4.1163269702395375</v>
      </c>
      <c r="AY124" s="405">
        <f t="shared" si="57"/>
        <v>4.2137964686216636</v>
      </c>
      <c r="AZ124" s="405">
        <f t="shared" si="57"/>
        <v>4.3098783570781434</v>
      </c>
      <c r="BA124" s="405">
        <f t="shared" si="57"/>
        <v>4.4046244964118761</v>
      </c>
      <c r="BB124" s="405">
        <f t="shared" si="57"/>
        <v>4.4980791111328458</v>
      </c>
      <c r="BC124" s="405">
        <f t="shared" si="57"/>
        <v>4.5902825093150996</v>
      </c>
      <c r="BD124" s="405">
        <f t="shared" si="57"/>
        <v>4.6812730824390671</v>
      </c>
      <c r="BE124" s="405">
        <f t="shared" si="57"/>
        <v>4.3225116418929383</v>
      </c>
      <c r="BF124" s="405">
        <f t="shared" si="57"/>
        <v>3.8013790342738463</v>
      </c>
      <c r="BG124" s="405">
        <f t="shared" si="57"/>
        <v>3.0529528829219337</v>
      </c>
      <c r="BH124" s="405">
        <f t="shared" si="57"/>
        <v>1.9868017187083793</v>
      </c>
      <c r="BI124" s="405">
        <f t="shared" si="57"/>
        <v>0.47662285647934494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8">+$B$7*C61/C74</f>
        <v>7.8874248832033908E-2</v>
      </c>
      <c r="D128" s="23">
        <f t="shared" si="58"/>
        <v>7.9056070033886552E-2</v>
      </c>
      <c r="E128" s="23">
        <f t="shared" si="58"/>
        <v>8.1539572698350313E-2</v>
      </c>
      <c r="F128" s="23">
        <f t="shared" si="58"/>
        <v>8.6226191246575296E-2</v>
      </c>
      <c r="G128" s="23">
        <f t="shared" si="58"/>
        <v>9.148270419838439E-2</v>
      </c>
      <c r="H128" s="23">
        <f t="shared" si="58"/>
        <v>9.4925078482422348E-2</v>
      </c>
      <c r="I128" s="23">
        <f t="shared" si="58"/>
        <v>9.3256121428342539E-2</v>
      </c>
      <c r="J128" s="23">
        <f t="shared" si="58"/>
        <v>9.4869388635698312E-2</v>
      </c>
      <c r="K128" s="23">
        <f t="shared" si="58"/>
        <v>9.7912140654236521E-2</v>
      </c>
      <c r="L128" s="23">
        <f t="shared" si="58"/>
        <v>9.4182552508879719E-2</v>
      </c>
      <c r="M128" s="23">
        <f t="shared" si="58"/>
        <v>9.3604298207618467E-2</v>
      </c>
      <c r="N128" s="23">
        <f t="shared" si="58"/>
        <v>9.1895262739753292E-2</v>
      </c>
      <c r="O128" s="23">
        <f t="shared" si="58"/>
        <v>9.495104329073499E-2</v>
      </c>
      <c r="P128" s="23">
        <f t="shared" si="58"/>
        <v>9.6034446157279366E-2</v>
      </c>
      <c r="Q128" s="23">
        <f t="shared" si="58"/>
        <v>9.6348462012450981E-2</v>
      </c>
      <c r="R128" s="23">
        <f t="shared" si="58"/>
        <v>9.6641301845124192E-2</v>
      </c>
      <c r="S128" s="23">
        <f t="shared" si="58"/>
        <v>9.6364437744415124E-2</v>
      </c>
      <c r="T128" s="23">
        <f t="shared" si="58"/>
        <v>9.2195178719642751E-2</v>
      </c>
      <c r="U128" s="23">
        <f t="shared" si="58"/>
        <v>9.5019678670353491E-2</v>
      </c>
      <c r="V128" s="23">
        <f t="shared" si="58"/>
        <v>9.6589258497370059E-2</v>
      </c>
      <c r="W128" s="23">
        <f t="shared" si="58"/>
        <v>9.4225833253273716E-2</v>
      </c>
      <c r="X128" s="23">
        <f t="shared" si="58"/>
        <v>9.3608047466277947E-2</v>
      </c>
      <c r="Y128" s="23">
        <f t="shared" si="58"/>
        <v>9.424914325582931E-2</v>
      </c>
      <c r="Z128" s="23">
        <f t="shared" si="58"/>
        <v>9.5386449586164851E-2</v>
      </c>
      <c r="AA128" s="23">
        <f t="shared" si="58"/>
        <v>9.6315720077358183E-2</v>
      </c>
      <c r="AB128" s="23">
        <f t="shared" si="58"/>
        <v>9.6939151858047357E-2</v>
      </c>
      <c r="AC128" s="23">
        <f t="shared" si="58"/>
        <v>9.6073610998759662E-2</v>
      </c>
      <c r="AD128" s="23">
        <f t="shared" si="58"/>
        <v>9.5427534698829475E-2</v>
      </c>
      <c r="AE128" s="23">
        <f t="shared" si="58"/>
        <v>9.2862324626661344E-2</v>
      </c>
      <c r="AF128" s="23">
        <f t="shared" si="58"/>
        <v>8.348950884984635E-2</v>
      </c>
      <c r="AG128" s="23">
        <f t="shared" si="58"/>
        <v>9.3209080440387351E-2</v>
      </c>
      <c r="AH128" s="23">
        <f t="shared" si="58"/>
        <v>9.5111572200640718E-2</v>
      </c>
      <c r="AI128" s="23">
        <f t="shared" si="58"/>
        <v>1.0911949214987013</v>
      </c>
      <c r="AJ128" s="23">
        <f t="shared" si="58"/>
        <v>0.2505879005336874</v>
      </c>
      <c r="AK128" s="23">
        <f t="shared" si="58"/>
        <v>0.14640253558849095</v>
      </c>
      <c r="AL128" s="23">
        <f t="shared" si="58"/>
        <v>0.11573049145084791</v>
      </c>
      <c r="AM128" s="23">
        <f t="shared" si="58"/>
        <v>0.1032486734037078</v>
      </c>
      <c r="AN128" s="23">
        <f t="shared" si="58"/>
        <v>9.7386052382041829E-2</v>
      </c>
      <c r="AO128" s="23">
        <f t="shared" si="58"/>
        <v>9.4421178075199147E-2</v>
      </c>
      <c r="AP128" s="23">
        <f t="shared" si="58"/>
        <v>9.2852091485006255E-2</v>
      </c>
      <c r="AQ128" s="23">
        <f t="shared" si="58"/>
        <v>9.1991263794314618E-2</v>
      </c>
      <c r="AR128" s="23">
        <f t="shared" si="58"/>
        <v>9.1501057803824976E-2</v>
      </c>
      <c r="AS128" s="23">
        <f t="shared" si="58"/>
        <v>9.1209005452999162E-2</v>
      </c>
      <c r="AT128" s="23">
        <f t="shared" si="58"/>
        <v>9.1024989709466445E-2</v>
      </c>
      <c r="AU128" s="23">
        <f t="shared" si="58"/>
        <v>9.0901249153602232E-2</v>
      </c>
      <c r="AV128" s="23">
        <f t="shared" si="58"/>
        <v>9.0812195947653593E-2</v>
      </c>
      <c r="AW128" s="23">
        <f t="shared" si="58"/>
        <v>9.0743972453152577E-2</v>
      </c>
      <c r="AX128" s="23">
        <f t="shared" si="58"/>
        <v>9.0688969623751059E-2</v>
      </c>
      <c r="AY128" s="23">
        <f t="shared" si="58"/>
        <v>9.0642926055867046E-2</v>
      </c>
      <c r="AZ128" s="23">
        <f t="shared" si="58"/>
        <v>9.0603385026372996E-2</v>
      </c>
      <c r="BA128" s="23">
        <f t="shared" si="58"/>
        <v>9.0568870904919635E-2</v>
      </c>
      <c r="BB128" s="23">
        <f t="shared" si="58"/>
        <v>9.0538448150901091E-2</v>
      </c>
      <c r="BC128" s="23">
        <f t="shared" si="58"/>
        <v>9.051148429860581E-2</v>
      </c>
      <c r="BD128" s="23">
        <f t="shared" si="58"/>
        <v>9.048752191633283E-2</v>
      </c>
      <c r="BE128" s="23">
        <f t="shared" si="58"/>
        <v>9.0466208889838487E-2</v>
      </c>
      <c r="BF128" s="23">
        <f t="shared" si="58"/>
        <v>9.0436210615139428E-2</v>
      </c>
      <c r="BG128" s="23">
        <f t="shared" si="58"/>
        <v>9.0408548204500422E-2</v>
      </c>
      <c r="BH128" s="23">
        <f t="shared" si="58"/>
        <v>9.0385875247756958E-2</v>
      </c>
      <c r="BI128" s="23">
        <f t="shared" si="58"/>
        <v>9.0367999401187352E-2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2.1173556332495166E-2</v>
      </c>
      <c r="D129" s="23">
        <f t="shared" ref="D129:BH129" si="59">+$B$14+LN(E56/D56)/10+$B$18*LN(E88/D88)/10</f>
        <v>2.0740589173674322E-2</v>
      </c>
      <c r="E129" s="23">
        <f t="shared" si="59"/>
        <v>2.4697038828220601E-2</v>
      </c>
      <c r="F129" s="23">
        <f t="shared" si="59"/>
        <v>2.6559567577168916E-2</v>
      </c>
      <c r="G129" s="23">
        <f t="shared" si="59"/>
        <v>2.6746006821114346E-2</v>
      </c>
      <c r="H129" s="23">
        <f t="shared" si="59"/>
        <v>2.1452606052678836E-2</v>
      </c>
      <c r="I129" s="23">
        <f t="shared" si="59"/>
        <v>2.4368078444782733E-2</v>
      </c>
      <c r="J129" s="23">
        <f t="shared" si="59"/>
        <v>2.8363955715908003E-2</v>
      </c>
      <c r="K129" s="23">
        <f t="shared" si="59"/>
        <v>2.0974715260742877E-2</v>
      </c>
      <c r="L129" s="23">
        <f t="shared" si="59"/>
        <v>2.2000273199899292E-2</v>
      </c>
      <c r="M129" s="23">
        <f t="shared" si="59"/>
        <v>2.1046469999011812E-2</v>
      </c>
      <c r="N129" s="23">
        <f t="shared" si="59"/>
        <v>2.6916819617344691E-2</v>
      </c>
      <c r="O129" s="23">
        <f t="shared" si="59"/>
        <v>2.709058892835297E-2</v>
      </c>
      <c r="P129" s="23">
        <f t="shared" si="59"/>
        <v>2.6838465433433052E-2</v>
      </c>
      <c r="Q129" s="23">
        <f t="shared" si="59"/>
        <v>2.7217372555388059E-2</v>
      </c>
      <c r="R129" s="23">
        <f t="shared" si="59"/>
        <v>2.6604521768093609E-2</v>
      </c>
      <c r="S129" s="23">
        <f t="shared" si="59"/>
        <v>2.0247180365100294E-2</v>
      </c>
      <c r="T129" s="23">
        <f t="shared" si="59"/>
        <v>2.6786071838652267E-2</v>
      </c>
      <c r="U129" s="23">
        <f t="shared" si="59"/>
        <v>2.7303441130256238E-2</v>
      </c>
      <c r="V129" s="23">
        <f t="shared" si="59"/>
        <v>2.2533651893187984E-2</v>
      </c>
      <c r="W129" s="23">
        <f t="shared" si="59"/>
        <v>2.2670280110788754E-2</v>
      </c>
      <c r="X129" s="23">
        <f t="shared" si="59"/>
        <v>2.3997314910195452E-2</v>
      </c>
      <c r="Y129" s="23">
        <f t="shared" si="59"/>
        <v>2.5398522017011337E-2</v>
      </c>
      <c r="Z129" s="23">
        <f t="shared" si="59"/>
        <v>2.6088954667666059E-2</v>
      </c>
      <c r="AA129" s="23">
        <f t="shared" si="59"/>
        <v>2.6087705039091528E-2</v>
      </c>
      <c r="AB129" s="23">
        <f t="shared" si="59"/>
        <v>2.4751485909699261E-2</v>
      </c>
      <c r="AC129" s="23">
        <f t="shared" si="59"/>
        <v>2.4239613075014797E-2</v>
      </c>
      <c r="AD129" s="23">
        <f t="shared" si="59"/>
        <v>2.0300481750545225E-2</v>
      </c>
      <c r="AE129" s="23">
        <f t="shared" si="59"/>
        <v>5.8400470835047978E-3</v>
      </c>
      <c r="AF129" s="23">
        <f t="shared" si="59"/>
        <v>2.8217118014060041E-2</v>
      </c>
      <c r="AG129" s="23">
        <f t="shared" si="59"/>
        <v>2.5447140782753945E-2</v>
      </c>
      <c r="AH129" s="23">
        <f t="shared" si="59"/>
        <v>0.39009566978275489</v>
      </c>
      <c r="AI129" s="23">
        <f t="shared" si="59"/>
        <v>0.11758725941866294</v>
      </c>
      <c r="AJ129" s="23">
        <f t="shared" si="59"/>
        <v>5.5968405028100042E-2</v>
      </c>
      <c r="AK129" s="23">
        <f t="shared" si="59"/>
        <v>3.640205979544972E-2</v>
      </c>
      <c r="AL129" s="23">
        <f t="shared" si="59"/>
        <v>2.8499374933544243E-2</v>
      </c>
      <c r="AM129" s="23">
        <f t="shared" si="59"/>
        <v>2.4804101735394327E-2</v>
      </c>
      <c r="AN129" s="23">
        <f t="shared" si="59"/>
        <v>2.2927200274037631E-2</v>
      </c>
      <c r="AO129" s="23">
        <f t="shared" si="59"/>
        <v>2.1920320682329596E-2</v>
      </c>
      <c r="AP129" s="23">
        <f t="shared" si="59"/>
        <v>2.1354423596940422E-2</v>
      </c>
      <c r="AQ129" s="23">
        <f t="shared" si="59"/>
        <v>2.1020164638963112E-2</v>
      </c>
      <c r="AR129" s="23">
        <f t="shared" si="59"/>
        <v>2.0810880041772672E-2</v>
      </c>
      <c r="AS129" s="23">
        <f t="shared" si="59"/>
        <v>2.0670815910845422E-2</v>
      </c>
      <c r="AT129" s="23">
        <f t="shared" si="59"/>
        <v>2.0570333474365439E-2</v>
      </c>
      <c r="AU129" s="23">
        <f t="shared" si="59"/>
        <v>2.0493455674706829E-2</v>
      </c>
      <c r="AV129" s="23">
        <f t="shared" si="59"/>
        <v>2.0431438041531122E-2</v>
      </c>
      <c r="AW129" s="23">
        <f t="shared" si="59"/>
        <v>2.0379397173715834E-2</v>
      </c>
      <c r="AX129" s="23">
        <f t="shared" si="59"/>
        <v>2.0334526459553991E-2</v>
      </c>
      <c r="AY129" s="23">
        <f t="shared" si="59"/>
        <v>2.0295146358936478E-2</v>
      </c>
      <c r="AZ129" s="23">
        <f t="shared" si="59"/>
        <v>2.0260196716095729E-2</v>
      </c>
      <c r="BA129" s="23">
        <f t="shared" si="59"/>
        <v>2.0228964220164635E-2</v>
      </c>
      <c r="BB129" s="23">
        <f t="shared" si="59"/>
        <v>2.0200935319954656E-2</v>
      </c>
      <c r="BC129" s="23">
        <f t="shared" si="59"/>
        <v>2.0175716226670456E-2</v>
      </c>
      <c r="BD129" s="23">
        <f t="shared" si="59"/>
        <v>2.0192466252083784E-2</v>
      </c>
      <c r="BE129" s="23">
        <f t="shared" si="59"/>
        <v>2.0157931679507395E-2</v>
      </c>
      <c r="BF129" s="23">
        <f t="shared" si="59"/>
        <v>2.0128702877001345E-2</v>
      </c>
      <c r="BG129" s="23">
        <f t="shared" si="59"/>
        <v>2.0104740146244339E-2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1.5338157565968295E-2</v>
      </c>
      <c r="D130" s="23">
        <f t="shared" ref="D130:BH130" si="60">+$B$14+LN(D56/C56)/10+$B$18*LN(D88/C88)/10</f>
        <v>2.1173556332495166E-2</v>
      </c>
      <c r="E130" s="23">
        <f t="shared" si="60"/>
        <v>2.0740589173674322E-2</v>
      </c>
      <c r="F130" s="23">
        <f t="shared" si="60"/>
        <v>2.4697038828220601E-2</v>
      </c>
      <c r="G130" s="23">
        <f t="shared" si="60"/>
        <v>2.6559567577168916E-2</v>
      </c>
      <c r="H130" s="23">
        <f t="shared" si="60"/>
        <v>2.6746006821114346E-2</v>
      </c>
      <c r="I130" s="23">
        <f t="shared" si="60"/>
        <v>2.1452606052678836E-2</v>
      </c>
      <c r="J130" s="23">
        <f t="shared" si="60"/>
        <v>2.4368078444782733E-2</v>
      </c>
      <c r="K130" s="23">
        <f t="shared" si="60"/>
        <v>2.8363955715908003E-2</v>
      </c>
      <c r="L130" s="23">
        <f t="shared" si="60"/>
        <v>2.0974715260742877E-2</v>
      </c>
      <c r="M130" s="23">
        <f t="shared" si="60"/>
        <v>2.2000273199899292E-2</v>
      </c>
      <c r="N130" s="23">
        <f t="shared" si="60"/>
        <v>2.1046469999011812E-2</v>
      </c>
      <c r="O130" s="23">
        <f t="shared" si="60"/>
        <v>2.6916819617344691E-2</v>
      </c>
      <c r="P130" s="23">
        <f t="shared" si="60"/>
        <v>2.709058892835297E-2</v>
      </c>
      <c r="Q130" s="23">
        <f t="shared" si="60"/>
        <v>2.6838465433433052E-2</v>
      </c>
      <c r="R130" s="23">
        <f t="shared" si="60"/>
        <v>2.7217372555388059E-2</v>
      </c>
      <c r="S130" s="23">
        <f t="shared" si="60"/>
        <v>2.6604521768093609E-2</v>
      </c>
      <c r="T130" s="23">
        <f t="shared" si="60"/>
        <v>2.0247180365100294E-2</v>
      </c>
      <c r="U130" s="23">
        <f t="shared" si="60"/>
        <v>2.6786071838652267E-2</v>
      </c>
      <c r="V130" s="23">
        <f t="shared" si="60"/>
        <v>2.7303441130256238E-2</v>
      </c>
      <c r="W130" s="23">
        <f t="shared" si="60"/>
        <v>2.2533651893187984E-2</v>
      </c>
      <c r="X130" s="23">
        <f t="shared" si="60"/>
        <v>2.2670280110788754E-2</v>
      </c>
      <c r="Y130" s="23">
        <f t="shared" si="60"/>
        <v>2.3997314910195452E-2</v>
      </c>
      <c r="Z130" s="23">
        <f t="shared" si="60"/>
        <v>2.5398522017011337E-2</v>
      </c>
      <c r="AA130" s="23">
        <f t="shared" si="60"/>
        <v>2.6088954667666059E-2</v>
      </c>
      <c r="AB130" s="23">
        <f t="shared" si="60"/>
        <v>2.6087705039091528E-2</v>
      </c>
      <c r="AC130" s="23">
        <f t="shared" si="60"/>
        <v>2.4751485909699261E-2</v>
      </c>
      <c r="AD130" s="23">
        <f t="shared" si="60"/>
        <v>2.4239613075014797E-2</v>
      </c>
      <c r="AE130" s="23">
        <f t="shared" si="60"/>
        <v>2.0300481750545225E-2</v>
      </c>
      <c r="AF130" s="23">
        <f t="shared" si="60"/>
        <v>5.8400470835047978E-3</v>
      </c>
      <c r="AG130" s="23">
        <f t="shared" si="60"/>
        <v>2.8217118014060041E-2</v>
      </c>
      <c r="AH130" s="23">
        <f t="shared" si="60"/>
        <v>2.5447140782753945E-2</v>
      </c>
      <c r="AI130" s="23">
        <f t="shared" si="60"/>
        <v>0.39009566978275489</v>
      </c>
      <c r="AJ130" s="23">
        <f t="shared" si="60"/>
        <v>0.11758725941866294</v>
      </c>
      <c r="AK130" s="23">
        <f t="shared" si="60"/>
        <v>5.5968405028100042E-2</v>
      </c>
      <c r="AL130" s="23">
        <f t="shared" si="60"/>
        <v>3.640205979544972E-2</v>
      </c>
      <c r="AM130" s="23">
        <f t="shared" si="60"/>
        <v>2.8499374933544243E-2</v>
      </c>
      <c r="AN130" s="23">
        <f t="shared" si="60"/>
        <v>2.4804101735394327E-2</v>
      </c>
      <c r="AO130" s="23">
        <f t="shared" si="60"/>
        <v>2.2927200274037631E-2</v>
      </c>
      <c r="AP130" s="23">
        <f t="shared" si="60"/>
        <v>2.1920320682329596E-2</v>
      </c>
      <c r="AQ130" s="23">
        <f t="shared" si="60"/>
        <v>2.1354423596940422E-2</v>
      </c>
      <c r="AR130" s="23">
        <f t="shared" si="60"/>
        <v>2.1020164638963112E-2</v>
      </c>
      <c r="AS130" s="23">
        <f t="shared" si="60"/>
        <v>2.0810880041772672E-2</v>
      </c>
      <c r="AT130" s="23">
        <f t="shared" si="60"/>
        <v>2.0670815910845422E-2</v>
      </c>
      <c r="AU130" s="23">
        <f t="shared" si="60"/>
        <v>2.0570333474365439E-2</v>
      </c>
      <c r="AV130" s="23">
        <f t="shared" si="60"/>
        <v>2.0493455674706829E-2</v>
      </c>
      <c r="AW130" s="23">
        <f t="shared" si="60"/>
        <v>2.0431438041531122E-2</v>
      </c>
      <c r="AX130" s="23">
        <f t="shared" si="60"/>
        <v>2.0379397173715834E-2</v>
      </c>
      <c r="AY130" s="23">
        <f t="shared" si="60"/>
        <v>2.0334526459553991E-2</v>
      </c>
      <c r="AZ130" s="23">
        <f t="shared" si="60"/>
        <v>2.0295146358936478E-2</v>
      </c>
      <c r="BA130" s="23">
        <f t="shared" si="60"/>
        <v>2.0260196716095729E-2</v>
      </c>
      <c r="BB130" s="23">
        <f t="shared" si="60"/>
        <v>2.0228964220164635E-2</v>
      </c>
      <c r="BC130" s="23">
        <f t="shared" si="60"/>
        <v>2.0200935319954656E-2</v>
      </c>
      <c r="BD130" s="23">
        <f t="shared" si="60"/>
        <v>2.0175716226670456E-2</v>
      </c>
      <c r="BE130" s="23">
        <f t="shared" si="60"/>
        <v>2.0192466252083784E-2</v>
      </c>
      <c r="BF130" s="23">
        <f t="shared" si="60"/>
        <v>2.0157931679507395E-2</v>
      </c>
      <c r="BG130" s="23">
        <f t="shared" si="60"/>
        <v>2.0128702877001345E-2</v>
      </c>
      <c r="BH130" s="23">
        <f t="shared" si="60"/>
        <v>2.0104740146244339E-2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1">+AVERAGE(C129:C130)</f>
        <v>1.8255856949231729E-2</v>
      </c>
      <c r="D131" s="23">
        <f t="shared" si="61"/>
        <v>2.0957072753084744E-2</v>
      </c>
      <c r="E131" s="23">
        <f t="shared" si="61"/>
        <v>2.2718814000947461E-2</v>
      </c>
      <c r="F131" s="23">
        <f t="shared" si="61"/>
        <v>2.5628303202694758E-2</v>
      </c>
      <c r="G131" s="23">
        <f t="shared" si="61"/>
        <v>2.6652787199141631E-2</v>
      </c>
      <c r="H131" s="23">
        <f t="shared" si="61"/>
        <v>2.4099306436896589E-2</v>
      </c>
      <c r="I131" s="23">
        <f t="shared" si="61"/>
        <v>2.2910342248730786E-2</v>
      </c>
      <c r="J131" s="23">
        <f t="shared" si="61"/>
        <v>2.6366017080345368E-2</v>
      </c>
      <c r="K131" s="23">
        <f t="shared" si="61"/>
        <v>2.466933548832544E-2</v>
      </c>
      <c r="L131" s="23">
        <f t="shared" si="61"/>
        <v>2.1487494230321084E-2</v>
      </c>
      <c r="M131" s="23">
        <f t="shared" si="61"/>
        <v>2.1523371599455554E-2</v>
      </c>
      <c r="N131" s="23">
        <f t="shared" si="61"/>
        <v>2.398164480817825E-2</v>
      </c>
      <c r="O131" s="23">
        <f t="shared" si="61"/>
        <v>2.700370427284883E-2</v>
      </c>
      <c r="P131" s="23">
        <f t="shared" si="61"/>
        <v>2.6964527180893011E-2</v>
      </c>
      <c r="Q131" s="23">
        <f t="shared" si="61"/>
        <v>2.7027918994410555E-2</v>
      </c>
      <c r="R131" s="23">
        <f t="shared" si="61"/>
        <v>2.6910947161740834E-2</v>
      </c>
      <c r="S131" s="23">
        <f t="shared" si="61"/>
        <v>2.3425851066596951E-2</v>
      </c>
      <c r="T131" s="23">
        <f t="shared" si="61"/>
        <v>2.3516626101876281E-2</v>
      </c>
      <c r="U131" s="23">
        <f t="shared" si="61"/>
        <v>2.7044756484454251E-2</v>
      </c>
      <c r="V131" s="23">
        <f t="shared" si="61"/>
        <v>2.4918546511722109E-2</v>
      </c>
      <c r="W131" s="23">
        <f t="shared" si="61"/>
        <v>2.2601966001988369E-2</v>
      </c>
      <c r="X131" s="23">
        <f t="shared" si="61"/>
        <v>2.3333797510492103E-2</v>
      </c>
      <c r="Y131" s="23">
        <f t="shared" si="61"/>
        <v>2.4697918463603395E-2</v>
      </c>
      <c r="Z131" s="23">
        <f t="shared" si="61"/>
        <v>2.5743738342338698E-2</v>
      </c>
      <c r="AA131" s="23">
        <f t="shared" si="61"/>
        <v>2.6088329853378792E-2</v>
      </c>
      <c r="AB131" s="23">
        <f t="shared" si="61"/>
        <v>2.5419595474395394E-2</v>
      </c>
      <c r="AC131" s="23">
        <f t="shared" si="61"/>
        <v>2.4495549492357029E-2</v>
      </c>
      <c r="AD131" s="23">
        <f t="shared" si="61"/>
        <v>2.2270047412780013E-2</v>
      </c>
      <c r="AE131" s="23">
        <f t="shared" si="61"/>
        <v>1.3070264417025012E-2</v>
      </c>
      <c r="AF131" s="23">
        <f t="shared" si="61"/>
        <v>1.7028582548782419E-2</v>
      </c>
      <c r="AG131" s="23">
        <f t="shared" si="61"/>
        <v>2.6832129398406991E-2</v>
      </c>
      <c r="AH131" s="23">
        <f t="shared" si="61"/>
        <v>0.20777140528275442</v>
      </c>
      <c r="AI131" s="23">
        <f t="shared" si="61"/>
        <v>0.25384146460070889</v>
      </c>
      <c r="AJ131" s="23">
        <f t="shared" si="61"/>
        <v>8.6777832223381493E-2</v>
      </c>
      <c r="AK131" s="23">
        <f t="shared" si="61"/>
        <v>4.6185232411774885E-2</v>
      </c>
      <c r="AL131" s="23">
        <f t="shared" si="61"/>
        <v>3.2450717364496978E-2</v>
      </c>
      <c r="AM131" s="23">
        <f t="shared" si="61"/>
        <v>2.6651738334469287E-2</v>
      </c>
      <c r="AN131" s="23">
        <f t="shared" si="61"/>
        <v>2.3865651004715979E-2</v>
      </c>
      <c r="AO131" s="23">
        <f t="shared" si="61"/>
        <v>2.2423760478183612E-2</v>
      </c>
      <c r="AP131" s="23">
        <f t="shared" si="61"/>
        <v>2.1637372139635007E-2</v>
      </c>
      <c r="AQ131" s="23">
        <f t="shared" si="61"/>
        <v>2.1187294117951769E-2</v>
      </c>
      <c r="AR131" s="23">
        <f t="shared" si="61"/>
        <v>2.0915522340367892E-2</v>
      </c>
      <c r="AS131" s="23">
        <f t="shared" si="61"/>
        <v>2.0740847976309047E-2</v>
      </c>
      <c r="AT131" s="23">
        <f t="shared" si="61"/>
        <v>2.062057469260543E-2</v>
      </c>
      <c r="AU131" s="23">
        <f t="shared" si="61"/>
        <v>2.0531894574536136E-2</v>
      </c>
      <c r="AV131" s="23">
        <f t="shared" si="61"/>
        <v>2.0462446858118974E-2</v>
      </c>
      <c r="AW131" s="23">
        <f t="shared" si="61"/>
        <v>2.0405417607623478E-2</v>
      </c>
      <c r="AX131" s="23">
        <f t="shared" si="61"/>
        <v>2.0356961816634912E-2</v>
      </c>
      <c r="AY131" s="23">
        <f t="shared" si="61"/>
        <v>2.0314836409245234E-2</v>
      </c>
      <c r="AZ131" s="23">
        <f t="shared" si="61"/>
        <v>2.0277671537516105E-2</v>
      </c>
      <c r="BA131" s="23">
        <f t="shared" si="61"/>
        <v>2.0244580468130182E-2</v>
      </c>
      <c r="BB131" s="23">
        <f t="shared" si="61"/>
        <v>2.0214949770059644E-2</v>
      </c>
      <c r="BC131" s="23">
        <f>+AVERAGE(BC129:BC130)</f>
        <v>2.0188325773312556E-2</v>
      </c>
      <c r="BD131" s="23">
        <f>+AVERAGE(BD129:BD130)</f>
        <v>2.018409123937712E-2</v>
      </c>
      <c r="BE131" s="23">
        <f>+AVERAGE(BE129:BE130)</f>
        <v>2.0175198965795588E-2</v>
      </c>
      <c r="BF131" s="23">
        <f>+AVERAGE(BF129:BF130)</f>
        <v>2.0143317278254372E-2</v>
      </c>
      <c r="BG131" s="23">
        <f>+AVERAGE(BG129:BG130)</f>
        <v>2.0116721511622842E-2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2">+B88^-$B$18</f>
        <v>0.97655168516860658</v>
      </c>
      <c r="C132" s="23">
        <f t="shared" si="62"/>
        <v>1.1140622276434982</v>
      </c>
      <c r="D132" s="23">
        <f t="shared" si="62"/>
        <v>1.1583011820366842</v>
      </c>
      <c r="E132" s="23">
        <f t="shared" si="62"/>
        <v>1.167500900021939</v>
      </c>
      <c r="F132" s="23">
        <f t="shared" si="62"/>
        <v>1.10535695822864</v>
      </c>
      <c r="G132" s="23">
        <f t="shared" si="62"/>
        <v>0.99215201164384903</v>
      </c>
      <c r="H132" s="23">
        <f t="shared" si="62"/>
        <v>0.87361278844868984</v>
      </c>
      <c r="I132" s="23">
        <f t="shared" si="62"/>
        <v>0.81105199311712173</v>
      </c>
      <c r="J132" s="23">
        <f t="shared" si="62"/>
        <v>0.73133553035578225</v>
      </c>
      <c r="K132" s="23">
        <f t="shared" si="62"/>
        <v>0.63362277036688053</v>
      </c>
      <c r="L132" s="23">
        <f t="shared" si="62"/>
        <v>0.59066192620669888</v>
      </c>
      <c r="M132" s="23">
        <f t="shared" si="62"/>
        <v>0.54462336867622219</v>
      </c>
      <c r="N132" s="23">
        <f t="shared" si="62"/>
        <v>0.50698590042332692</v>
      </c>
      <c r="O132" s="23">
        <f t="shared" si="62"/>
        <v>0.44504188506404507</v>
      </c>
      <c r="P132" s="23">
        <f t="shared" si="62"/>
        <v>0.38998797934406343</v>
      </c>
      <c r="Q132" s="23">
        <f t="shared" si="62"/>
        <v>0.34260722225227641</v>
      </c>
      <c r="R132" s="23">
        <f t="shared" si="62"/>
        <v>0.29984460139136659</v>
      </c>
      <c r="S132" s="23">
        <f t="shared" si="62"/>
        <v>0.26403258714088051</v>
      </c>
      <c r="T132" s="23">
        <f t="shared" si="62"/>
        <v>0.24775841350207606</v>
      </c>
      <c r="U132" s="23">
        <f t="shared" si="62"/>
        <v>0.2177716023985839</v>
      </c>
      <c r="V132" s="23">
        <f t="shared" si="62"/>
        <v>0.19197202749270062</v>
      </c>
      <c r="W132" s="23">
        <f t="shared" si="62"/>
        <v>0.17893708738177841</v>
      </c>
      <c r="X132" s="23">
        <f t="shared" si="62"/>
        <v>0.16655949957575844</v>
      </c>
      <c r="Y132" s="23">
        <f t="shared" si="62"/>
        <v>0.15299428624218875</v>
      </c>
      <c r="Z132" s="23">
        <f t="shared" si="62"/>
        <v>0.13857843462085445</v>
      </c>
      <c r="AA132" s="23">
        <f t="shared" si="62"/>
        <v>0.12465726085187609</v>
      </c>
      <c r="AB132" s="23">
        <f t="shared" si="62"/>
        <v>0.11213596770675729</v>
      </c>
      <c r="AC132" s="23">
        <f t="shared" si="62"/>
        <v>0.10222930699467524</v>
      </c>
      <c r="AD132" s="23">
        <f t="shared" si="62"/>
        <v>9.3676128510725182E-2</v>
      </c>
      <c r="AE132" s="23">
        <f t="shared" si="62"/>
        <v>8.9287339129692708E-2</v>
      </c>
      <c r="AF132" s="23">
        <f t="shared" si="62"/>
        <v>9.8098275775429344E-2</v>
      </c>
      <c r="AG132" s="23">
        <f t="shared" si="62"/>
        <v>8.5952825932388205E-2</v>
      </c>
      <c r="AH132" s="23">
        <f t="shared" si="62"/>
        <v>7.7426353121789276E-2</v>
      </c>
      <c r="AI132" s="23">
        <f t="shared" si="62"/>
        <v>1.8191520836555628E-3</v>
      </c>
      <c r="AJ132" s="23">
        <f t="shared" si="62"/>
        <v>6.5213603918765973E-4</v>
      </c>
      <c r="AK132" s="23">
        <f t="shared" si="62"/>
        <v>4.3292700709001016E-4</v>
      </c>
      <c r="AL132" s="23">
        <f t="shared" si="62"/>
        <v>3.4951572062376753E-4</v>
      </c>
      <c r="AM132" s="23">
        <f t="shared" si="62"/>
        <v>3.0537935531204237E-4</v>
      </c>
      <c r="AN132" s="23">
        <f t="shared" si="62"/>
        <v>2.7686050140466201E-4</v>
      </c>
      <c r="AO132" s="23">
        <f t="shared" si="62"/>
        <v>2.5576057975907409E-4</v>
      </c>
      <c r="AP132" s="23">
        <f t="shared" si="62"/>
        <v>2.3865967060007905E-4</v>
      </c>
      <c r="AQ132" s="23">
        <f t="shared" si="62"/>
        <v>2.2396601660600363E-4</v>
      </c>
      <c r="AR132" s="23">
        <f t="shared" si="62"/>
        <v>2.1088072354350298E-4</v>
      </c>
      <c r="AS132" s="23">
        <f t="shared" si="62"/>
        <v>1.9897593384480598E-4</v>
      </c>
      <c r="AT132" s="23">
        <f t="shared" si="62"/>
        <v>1.8800634699081594E-4</v>
      </c>
      <c r="AU132" s="23">
        <f t="shared" si="62"/>
        <v>1.7782010409814745E-4</v>
      </c>
      <c r="AV132" s="23">
        <f t="shared" si="62"/>
        <v>1.6831510226382511E-4</v>
      </c>
      <c r="AW132" s="23">
        <f t="shared" si="62"/>
        <v>1.5941700643037297E-4</v>
      </c>
      <c r="AX132" s="23">
        <f t="shared" si="62"/>
        <v>1.5106791126785017E-4</v>
      </c>
      <c r="AY132" s="23">
        <f t="shared" si="62"/>
        <v>1.432203301270626E-4</v>
      </c>
      <c r="AZ132" s="23">
        <f t="shared" si="62"/>
        <v>1.3583389120314915E-4</v>
      </c>
      <c r="BA132" s="23">
        <f t="shared" si="62"/>
        <v>1.2887343308584637E-4</v>
      </c>
      <c r="BB132" s="23">
        <f t="shared" si="62"/>
        <v>1.2230783955475522E-4</v>
      </c>
      <c r="BC132" s="23">
        <f t="shared" si="62"/>
        <v>1.1610927673220454E-4</v>
      </c>
      <c r="BD132" s="23">
        <f t="shared" si="62"/>
        <v>1.1025265836523277E-4</v>
      </c>
      <c r="BE132" s="23">
        <f t="shared" si="62"/>
        <v>1.0467391680426562E-4</v>
      </c>
      <c r="BF132" s="23">
        <f t="shared" si="62"/>
        <v>9.9411782899803039E-5</v>
      </c>
      <c r="BG132" s="23">
        <f t="shared" si="62"/>
        <v>9.4441785489066571E-5</v>
      </c>
      <c r="BH132" s="23">
        <f t="shared" si="62"/>
        <v>8.9741760365753427E-5</v>
      </c>
      <c r="BI132" s="23">
        <f t="shared" si="62"/>
        <v>8.9741760365753427E-5</v>
      </c>
    </row>
    <row r="133" spans="1:61" ht="18" customHeight="1" x14ac:dyDescent="0.2">
      <c r="A133" s="23" t="s">
        <v>14</v>
      </c>
      <c r="B133" s="23">
        <f t="shared" ref="B133:AG133" si="63">+B17*B132/$B132</f>
        <v>1</v>
      </c>
      <c r="C133" s="23">
        <f t="shared" si="63"/>
        <v>0.98300062376532893</v>
      </c>
      <c r="D133" s="23">
        <f t="shared" si="63"/>
        <v>0.88065422047516462</v>
      </c>
      <c r="E133" s="23">
        <f t="shared" si="63"/>
        <v>0.76485784015322333</v>
      </c>
      <c r="F133" s="23">
        <f t="shared" si="63"/>
        <v>0.62397275291943044</v>
      </c>
      <c r="G133" s="23">
        <f t="shared" si="63"/>
        <v>0.4825928364724128</v>
      </c>
      <c r="H133" s="23">
        <f t="shared" si="63"/>
        <v>0.36615183427306425</v>
      </c>
      <c r="I133" s="23">
        <f t="shared" si="63"/>
        <v>0.29290750847517621</v>
      </c>
      <c r="J133" s="23">
        <f t="shared" si="63"/>
        <v>0.22758207848225281</v>
      </c>
      <c r="K133" s="23">
        <f t="shared" si="63"/>
        <v>0.16989935877891027</v>
      </c>
      <c r="L133" s="23">
        <f t="shared" si="63"/>
        <v>0.13647073124864079</v>
      </c>
      <c r="M133" s="23">
        <f t="shared" si="63"/>
        <v>0.10842673764918144</v>
      </c>
      <c r="N133" s="23">
        <f t="shared" si="63"/>
        <v>8.6971223120136901E-2</v>
      </c>
      <c r="O133" s="23">
        <f t="shared" si="63"/>
        <v>6.5783982283458622E-2</v>
      </c>
      <c r="P133" s="23">
        <f t="shared" si="63"/>
        <v>4.9671819906159931E-2</v>
      </c>
      <c r="Q133" s="23">
        <f t="shared" si="63"/>
        <v>3.7600614501384806E-2</v>
      </c>
      <c r="R133" s="23">
        <f t="shared" si="63"/>
        <v>2.8355299591667465E-2</v>
      </c>
      <c r="S133" s="23">
        <f t="shared" si="63"/>
        <v>2.1514691100739138E-2</v>
      </c>
      <c r="T133" s="23">
        <f t="shared" si="63"/>
        <v>1.7395846737289375E-2</v>
      </c>
      <c r="U133" s="23">
        <f t="shared" si="63"/>
        <v>1.3175223331044069E-2</v>
      </c>
      <c r="V133" s="23">
        <f t="shared" si="63"/>
        <v>1.0007699768737085E-2</v>
      </c>
      <c r="W133" s="23">
        <f t="shared" si="63"/>
        <v>8.0377826415305564E-3</v>
      </c>
      <c r="X133" s="23">
        <f t="shared" si="63"/>
        <v>6.4468101161220016E-3</v>
      </c>
      <c r="Y133" s="23">
        <f t="shared" si="63"/>
        <v>5.1025851495686177E-3</v>
      </c>
      <c r="Z133" s="23">
        <f t="shared" si="63"/>
        <v>3.9824495024089511E-3</v>
      </c>
      <c r="AA133" s="23">
        <f t="shared" si="63"/>
        <v>3.0868233986960968E-3</v>
      </c>
      <c r="AB133" s="23">
        <f t="shared" si="63"/>
        <v>2.392647479976937E-3</v>
      </c>
      <c r="AC133" s="23">
        <f t="shared" si="63"/>
        <v>1.8795278949811629E-3</v>
      </c>
      <c r="AD133" s="23">
        <f t="shared" si="63"/>
        <v>1.4840272312984892E-3</v>
      </c>
      <c r="AE133" s="23">
        <f t="shared" si="63"/>
        <v>1.2188279212203067E-3</v>
      </c>
      <c r="AF133" s="23">
        <f t="shared" si="63"/>
        <v>1.1538609226217794E-3</v>
      </c>
      <c r="AG133" s="23">
        <f t="shared" si="63"/>
        <v>8.7114776916142993E-4</v>
      </c>
      <c r="AH133" s="23">
        <f t="shared" ref="AH133:BI133" si="64">+AH17*AH132/$B132</f>
        <v>6.7617646461233766E-4</v>
      </c>
      <c r="AI133" s="23">
        <f t="shared" si="64"/>
        <v>1.3689255588676416E-5</v>
      </c>
      <c r="AJ133" s="23">
        <f t="shared" si="64"/>
        <v>4.2285220820202472E-6</v>
      </c>
      <c r="AK133" s="23">
        <f t="shared" si="64"/>
        <v>2.4188261661845827E-6</v>
      </c>
      <c r="AL133" s="23">
        <f t="shared" si="64"/>
        <v>1.6826596124931604E-6</v>
      </c>
      <c r="AM133" s="23">
        <f t="shared" si="64"/>
        <v>1.2668021970743266E-6</v>
      </c>
      <c r="AN133" s="23">
        <f t="shared" si="64"/>
        <v>9.8962284581607113E-7</v>
      </c>
      <c r="AO133" s="23">
        <f t="shared" si="64"/>
        <v>7.8773818258301977E-7</v>
      </c>
      <c r="AP133" s="23">
        <f t="shared" si="64"/>
        <v>6.3338373017597618E-7</v>
      </c>
      <c r="AQ133" s="23">
        <f t="shared" si="64"/>
        <v>5.1216461466135804E-7</v>
      </c>
      <c r="AR133" s="23">
        <f t="shared" si="64"/>
        <v>4.1553145485347675E-7</v>
      </c>
      <c r="AS133" s="23">
        <f t="shared" si="64"/>
        <v>3.3783695238197239E-7</v>
      </c>
      <c r="AT133" s="23">
        <f t="shared" si="64"/>
        <v>2.7505445758607151E-7</v>
      </c>
      <c r="AU133" s="23">
        <f t="shared" si="64"/>
        <v>2.2416438536960893E-7</v>
      </c>
      <c r="AV133" s="23">
        <f t="shared" si="64"/>
        <v>1.8283040312985609E-7</v>
      </c>
      <c r="AW133" s="23">
        <f t="shared" si="64"/>
        <v>1.4921055943060014E-7</v>
      </c>
      <c r="AX133" s="23">
        <f t="shared" si="64"/>
        <v>1.2183630265892354E-7</v>
      </c>
      <c r="AY133" s="23">
        <f t="shared" si="64"/>
        <v>9.9528792356406904E-8</v>
      </c>
      <c r="AZ133" s="23">
        <f t="shared" si="64"/>
        <v>8.1337680518466419E-8</v>
      </c>
      <c r="BA133" s="23">
        <f t="shared" si="64"/>
        <v>6.6494636621157944E-8</v>
      </c>
      <c r="BB133" s="23">
        <f t="shared" si="64"/>
        <v>5.4377231353694881E-8</v>
      </c>
      <c r="BC133" s="23">
        <f t="shared" si="64"/>
        <v>4.4480462455505964E-8</v>
      </c>
      <c r="BD133" s="23">
        <f t="shared" si="64"/>
        <v>3.639410313071037E-8</v>
      </c>
      <c r="BE133" s="23">
        <f t="shared" si="64"/>
        <v>2.9772822244309906E-8</v>
      </c>
      <c r="BF133" s="23">
        <f t="shared" si="64"/>
        <v>2.4364582244434881E-8</v>
      </c>
      <c r="BG133" s="23">
        <f t="shared" si="64"/>
        <v>1.9944578992610646E-8</v>
      </c>
      <c r="BH133" s="23">
        <f t="shared" si="64"/>
        <v>1.6330325677902321E-8</v>
      </c>
      <c r="BI133" s="23">
        <f t="shared" si="64"/>
        <v>1.40713065199998E-8</v>
      </c>
    </row>
    <row r="134" spans="1:61" ht="18" customHeight="1" x14ac:dyDescent="0.2">
      <c r="A134" s="23" t="s">
        <v>15</v>
      </c>
      <c r="B134" s="23"/>
      <c r="C134" s="23">
        <f>+(C133/B133)^-0.1-1</f>
        <v>1.7160231136614801E-3</v>
      </c>
      <c r="D134" s="23">
        <f t="shared" ref="D134:BI134" si="65">+(D133/C133)^-0.1-1</f>
        <v>1.1055130392345403E-2</v>
      </c>
      <c r="E134" s="23">
        <f t="shared" si="65"/>
        <v>1.4197346160598867E-2</v>
      </c>
      <c r="F134" s="23">
        <f t="shared" si="65"/>
        <v>2.0566972692946051E-2</v>
      </c>
      <c r="G134" s="23">
        <f t="shared" si="65"/>
        <v>2.6026258268627922E-2</v>
      </c>
      <c r="H134" s="23">
        <f t="shared" si="65"/>
        <v>2.7997280329026486E-2</v>
      </c>
      <c r="I134" s="23">
        <f t="shared" si="65"/>
        <v>2.2570055645642961E-2</v>
      </c>
      <c r="J134" s="23">
        <f t="shared" si="65"/>
        <v>2.5555680550549464E-2</v>
      </c>
      <c r="K134" s="23">
        <f t="shared" si="65"/>
        <v>2.9661873642916614E-2</v>
      </c>
      <c r="L134" s="23">
        <f t="shared" si="65"/>
        <v>2.2151386601274803E-2</v>
      </c>
      <c r="M134" s="23">
        <f t="shared" si="65"/>
        <v>2.3270167307285927E-2</v>
      </c>
      <c r="N134" s="23">
        <f t="shared" si="65"/>
        <v>2.2294634253567036E-2</v>
      </c>
      <c r="O134" s="23">
        <f t="shared" si="65"/>
        <v>2.8313510338344949E-2</v>
      </c>
      <c r="P134" s="23">
        <f t="shared" si="65"/>
        <v>2.8492215194797055E-2</v>
      </c>
      <c r="Q134" s="23">
        <f t="shared" si="65"/>
        <v>2.823294082895722E-2</v>
      </c>
      <c r="R134" s="23">
        <f t="shared" si="65"/>
        <v>2.8622619434603314E-2</v>
      </c>
      <c r="S134" s="23">
        <f t="shared" si="65"/>
        <v>2.7992420381171446E-2</v>
      </c>
      <c r="T134" s="23">
        <f t="shared" si="65"/>
        <v>2.1477851216196608E-2</v>
      </c>
      <c r="U134" s="23">
        <f t="shared" si="65"/>
        <v>2.8179069420185998E-2</v>
      </c>
      <c r="V134" s="23">
        <f t="shared" si="65"/>
        <v>2.7879895649721265E-2</v>
      </c>
      <c r="W134" s="23">
        <f t="shared" si="65"/>
        <v>2.2162163534679813E-2</v>
      </c>
      <c r="X134" s="23">
        <f t="shared" si="65"/>
        <v>2.23018292701056E-2</v>
      </c>
      <c r="Y134" s="23">
        <f t="shared" si="65"/>
        <v>2.3659359919030232E-2</v>
      </c>
      <c r="Z134" s="23">
        <f t="shared" si="65"/>
        <v>2.5094724075488628E-2</v>
      </c>
      <c r="AA134" s="23">
        <f t="shared" si="65"/>
        <v>2.5802727329160557E-2</v>
      </c>
      <c r="AB134" s="23">
        <f t="shared" si="65"/>
        <v>2.5801445457561467E-2</v>
      </c>
      <c r="AC134" s="23">
        <f t="shared" si="65"/>
        <v>2.4431665310210571E-2</v>
      </c>
      <c r="AD134" s="23">
        <f t="shared" si="65"/>
        <v>2.3907420754467834E-2</v>
      </c>
      <c r="AE134" s="23">
        <f t="shared" si="65"/>
        <v>1.9882048400241992E-2</v>
      </c>
      <c r="AF134" s="23">
        <f t="shared" si="65"/>
        <v>5.4926328467757024E-3</v>
      </c>
      <c r="AG134" s="23">
        <f t="shared" si="65"/>
        <v>2.850442296775868E-2</v>
      </c>
      <c r="AH134" s="23">
        <f t="shared" si="65"/>
        <v>2.565943123408454E-2</v>
      </c>
      <c r="AI134" s="23">
        <f t="shared" si="65"/>
        <v>0.47695757928935834</v>
      </c>
      <c r="AJ134" s="23">
        <f t="shared" si="65"/>
        <v>0.12465449385423089</v>
      </c>
      <c r="AK134" s="23">
        <f t="shared" si="65"/>
        <v>5.7446476609148034E-2</v>
      </c>
      <c r="AL134" s="23">
        <f t="shared" si="65"/>
        <v>3.695721741690261E-2</v>
      </c>
      <c r="AM134" s="23">
        <f t="shared" si="65"/>
        <v>2.879476643165968E-2</v>
      </c>
      <c r="AN134" s="23">
        <f t="shared" si="65"/>
        <v>2.5000104179747851E-2</v>
      </c>
      <c r="AO134" s="23">
        <f t="shared" si="65"/>
        <v>2.3078084271543897E-2</v>
      </c>
      <c r="AP134" s="23">
        <f t="shared" si="65"/>
        <v>2.2048486255366484E-2</v>
      </c>
      <c r="AQ134" s="23">
        <f t="shared" si="65"/>
        <v>2.1470275615156797E-2</v>
      </c>
      <c r="AR134" s="23">
        <f t="shared" si="65"/>
        <v>2.112889708281962E-2</v>
      </c>
      <c r="AS134" s="23">
        <f t="shared" si="65"/>
        <v>2.0915212894098811E-2</v>
      </c>
      <c r="AT134" s="23">
        <f t="shared" si="65"/>
        <v>2.0772229305724199E-2</v>
      </c>
      <c r="AU134" s="23">
        <f t="shared" si="65"/>
        <v>2.0669664778085517E-2</v>
      </c>
      <c r="AV134" s="23">
        <f t="shared" si="65"/>
        <v>2.0591200956180611E-2</v>
      </c>
      <c r="AW134" s="23">
        <f t="shared" si="65"/>
        <v>2.052790826810913E-2</v>
      </c>
      <c r="AX134" s="23">
        <f t="shared" si="65"/>
        <v>2.0474800492032319E-2</v>
      </c>
      <c r="AY134" s="23">
        <f t="shared" si="65"/>
        <v>2.0429012086237153E-2</v>
      </c>
      <c r="AZ134" s="23">
        <f t="shared" si="65"/>
        <v>2.0388828280294424E-2</v>
      </c>
      <c r="BA134" s="23">
        <f t="shared" si="65"/>
        <v>2.0353166678371171E-2</v>
      </c>
      <c r="BB134" s="23">
        <f t="shared" si="65"/>
        <v>2.0321298999900872E-2</v>
      </c>
      <c r="BC134" s="23">
        <f t="shared" si="65"/>
        <v>2.029270091681723E-2</v>
      </c>
      <c r="BD134" s="23">
        <f t="shared" si="65"/>
        <v>2.0266970384467342E-2</v>
      </c>
      <c r="BE134" s="23">
        <f t="shared" si="65"/>
        <v>2.0284060025274941E-2</v>
      </c>
      <c r="BF134" s="23">
        <f t="shared" si="65"/>
        <v>2.024882555976304E-2</v>
      </c>
      <c r="BG134" s="23">
        <f t="shared" si="65"/>
        <v>2.0219005344140228E-2</v>
      </c>
      <c r="BH134" s="23">
        <f t="shared" si="65"/>
        <v>2.0194558403710872E-2</v>
      </c>
      <c r="BI134" s="23">
        <f t="shared" si="65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 x14ac:dyDescent="0.2">
      <c r="A136" s="23" t="s">
        <v>207</v>
      </c>
      <c r="B136" s="23"/>
      <c r="C136" s="23">
        <f>+C134+C135</f>
        <v>1.5228240745135624E-2</v>
      </c>
      <c r="D136" s="23">
        <f t="shared" ref="D136:K136" si="67">+D134+D135</f>
        <v>2.112283011076654E-2</v>
      </c>
      <c r="E136" s="23">
        <f t="shared" si="67"/>
        <v>2.0729040135175202E-2</v>
      </c>
      <c r="F136" s="23">
        <f t="shared" si="67"/>
        <v>2.4794295567906726E-2</v>
      </c>
      <c r="G136" s="23">
        <f t="shared" si="67"/>
        <v>2.6781099064047877E-2</v>
      </c>
      <c r="H136" s="23">
        <f t="shared" si="67"/>
        <v>2.7019378208749906E-2</v>
      </c>
      <c r="I136" s="23">
        <f t="shared" si="67"/>
        <v>2.1592153525366382E-2</v>
      </c>
      <c r="J136" s="23">
        <f t="shared" si="67"/>
        <v>2.4577778430272885E-2</v>
      </c>
      <c r="K136" s="23">
        <f t="shared" si="67"/>
        <v>2.8683971522640034E-2</v>
      </c>
    </row>
    <row r="137" spans="1:61" ht="18" customHeight="1" x14ac:dyDescent="0.2">
      <c r="A137" s="23" t="s">
        <v>208</v>
      </c>
      <c r="B137" s="23"/>
      <c r="C137" s="23">
        <f>+C136-C129</f>
        <v>-5.9453155873595426E-3</v>
      </c>
      <c r="D137" s="23">
        <f t="shared" ref="D137:K137" si="68">+D136-D129</f>
        <v>3.8224093709221876E-4</v>
      </c>
      <c r="E137" s="23">
        <f t="shared" si="68"/>
        <v>-3.9679986930453992E-3</v>
      </c>
      <c r="F137" s="23">
        <f t="shared" si="68"/>
        <v>-1.76527200926219E-3</v>
      </c>
      <c r="G137" s="23">
        <f t="shared" si="68"/>
        <v>3.5092242933531387E-5</v>
      </c>
      <c r="H137" s="23">
        <f t="shared" si="68"/>
        <v>5.5667721560710703E-3</v>
      </c>
      <c r="I137" s="23">
        <f t="shared" si="68"/>
        <v>-2.7759249194163511E-3</v>
      </c>
      <c r="J137" s="23">
        <f t="shared" si="68"/>
        <v>-3.7861772856351179E-3</v>
      </c>
      <c r="K137" s="23">
        <f t="shared" si="68"/>
        <v>7.7092562618971579E-3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69">+$B$7*B68/B74-(1-(1-0.1)^10)/10</f>
        <v>4.9721408863260749E-2</v>
      </c>
      <c r="C139" s="23">
        <f t="shared" si="69"/>
        <v>1.3449978345886987E-2</v>
      </c>
      <c r="D139" s="23">
        <f t="shared" si="69"/>
        <v>1.3721200241731055E-2</v>
      </c>
      <c r="E139" s="23">
        <f t="shared" si="69"/>
        <v>1.6193099875902658E-2</v>
      </c>
      <c r="F139" s="23">
        <f t="shared" si="69"/>
        <v>2.0824204825453885E-2</v>
      </c>
      <c r="G139" s="23">
        <f t="shared" si="69"/>
        <v>2.5985720750337532E-2</v>
      </c>
      <c r="H139" s="23">
        <f t="shared" si="69"/>
        <v>2.9482603305999916E-2</v>
      </c>
      <c r="I139" s="23">
        <f t="shared" si="69"/>
        <v>2.7738045086182994E-2</v>
      </c>
      <c r="J139" s="23">
        <f t="shared" si="69"/>
        <v>2.9249698967604168E-2</v>
      </c>
      <c r="K139" s="23">
        <f t="shared" si="69"/>
        <v>3.2425513797483693E-2</v>
      </c>
      <c r="L139" s="23">
        <f t="shared" si="69"/>
        <v>2.8702229040703159E-2</v>
      </c>
      <c r="M139" s="23">
        <f t="shared" si="69"/>
        <v>2.8035337371780794E-2</v>
      </c>
      <c r="N139" s="23">
        <f t="shared" si="69"/>
        <v>2.6266634018356674E-2</v>
      </c>
      <c r="O139" s="23">
        <f t="shared" si="69"/>
        <v>2.9311807192093184E-2</v>
      </c>
      <c r="P139" s="23">
        <f t="shared" si="69"/>
        <v>3.0450688249933924E-2</v>
      </c>
      <c r="Q139" s="23">
        <f t="shared" si="69"/>
        <v>3.0663141630213789E-2</v>
      </c>
      <c r="R139" s="23">
        <f t="shared" si="69"/>
        <v>3.0974518588911357E-2</v>
      </c>
      <c r="S139" s="23">
        <f t="shared" si="69"/>
        <v>3.0683130799826291E-2</v>
      </c>
      <c r="T139" s="23">
        <f t="shared" si="69"/>
        <v>2.6617005043316128E-2</v>
      </c>
      <c r="U139" s="23">
        <f t="shared" si="69"/>
        <v>2.9350037108636429E-2</v>
      </c>
      <c r="V139" s="23">
        <f t="shared" si="69"/>
        <v>3.0857382580707943E-2</v>
      </c>
      <c r="W139" s="23">
        <f t="shared" si="69"/>
        <v>2.8584726038172525E-2</v>
      </c>
      <c r="X139" s="23">
        <f t="shared" si="69"/>
        <v>2.794063845496346E-2</v>
      </c>
      <c r="Y139" s="23">
        <f t="shared" si="69"/>
        <v>2.8554737890305076E-2</v>
      </c>
      <c r="Z139" s="23">
        <f t="shared" si="69"/>
        <v>2.9638996874226026E-2</v>
      </c>
      <c r="AA139" s="23">
        <f t="shared" si="69"/>
        <v>3.0435439490090851E-2</v>
      </c>
      <c r="AB139" s="23">
        <f t="shared" si="69"/>
        <v>3.0694994363292982E-2</v>
      </c>
      <c r="AC139" s="23">
        <f t="shared" si="69"/>
        <v>2.992861199515312E-2</v>
      </c>
      <c r="AD139" s="23">
        <f t="shared" si="69"/>
        <v>2.9358275556934127E-2</v>
      </c>
      <c r="AE139" s="23">
        <f t="shared" si="69"/>
        <v>2.6728784706244943E-2</v>
      </c>
      <c r="AF139" s="23">
        <f t="shared" si="69"/>
        <v>1.744467106019304E-2</v>
      </c>
      <c r="AG139" s="23">
        <f t="shared" si="69"/>
        <v>2.7194096531244022E-2</v>
      </c>
      <c r="AH139" s="23">
        <f t="shared" si="69"/>
        <v>2.9055145160858983E-2</v>
      </c>
      <c r="AI139" s="23">
        <f t="shared" si="69"/>
        <v>1.0128570131341377</v>
      </c>
      <c r="AJ139" s="23">
        <f t="shared" si="69"/>
        <v>0.18476256111049377</v>
      </c>
      <c r="AK139" s="23">
        <f t="shared" si="69"/>
        <v>8.0847567804367068E-2</v>
      </c>
      <c r="AL139" s="23">
        <f t="shared" si="69"/>
        <v>5.0262692568342662E-2</v>
      </c>
      <c r="AM139" s="23">
        <f t="shared" si="69"/>
        <v>3.7819633138307662E-2</v>
      </c>
      <c r="AN139" s="23">
        <f t="shared" si="69"/>
        <v>3.1977482858544667E-2</v>
      </c>
      <c r="AO139" s="23">
        <f t="shared" si="69"/>
        <v>2.9024810547503485E-2</v>
      </c>
      <c r="AP139" s="23">
        <f t="shared" si="69"/>
        <v>2.7463748678712249E-2</v>
      </c>
      <c r="AQ139" s="23">
        <f t="shared" si="69"/>
        <v>2.6608645728860819E-2</v>
      </c>
      <c r="AR139" s="23">
        <f t="shared" si="69"/>
        <v>2.612278849667303E-2</v>
      </c>
      <c r="AS139" s="23">
        <f t="shared" si="69"/>
        <v>2.5834185951397304E-2</v>
      </c>
      <c r="AT139" s="23">
        <f t="shared" si="69"/>
        <v>2.5652977451262035E-2</v>
      </c>
      <c r="AU139" s="23">
        <f t="shared" si="69"/>
        <v>2.5531545410496417E-2</v>
      </c>
      <c r="AV139" s="23">
        <f t="shared" si="69"/>
        <v>2.5444386988980369E-2</v>
      </c>
      <c r="AW139" s="23">
        <f t="shared" si="69"/>
        <v>2.5377698079652788E-2</v>
      </c>
      <c r="AX139" s="23">
        <f t="shared" si="69"/>
        <v>2.532390588195714E-2</v>
      </c>
      <c r="AY139" s="23">
        <f t="shared" si="69"/>
        <v>2.5278775400299547E-2</v>
      </c>
      <c r="AZ139" s="23">
        <f t="shared" si="69"/>
        <v>2.5239870448360707E-2</v>
      </c>
      <c r="BA139" s="23">
        <f t="shared" si="69"/>
        <v>2.5205732210885554E-2</v>
      </c>
      <c r="BB139" s="23">
        <f t="shared" si="69"/>
        <v>2.5175439433373595E-2</v>
      </c>
      <c r="BC139" s="23">
        <f t="shared" si="69"/>
        <v>2.5148372091397031E-2</v>
      </c>
      <c r="BD139" s="23">
        <f t="shared" si="69"/>
        <v>2.5124083760221114E-2</v>
      </c>
      <c r="BE139" s="23">
        <f t="shared" si="69"/>
        <v>2.5125983393949558E-2</v>
      </c>
      <c r="BF139" s="23">
        <f t="shared" si="69"/>
        <v>2.510584530653398E-2</v>
      </c>
      <c r="BG139" s="23">
        <f t="shared" si="69"/>
        <v>2.508148233567449E-2</v>
      </c>
      <c r="BH139" s="23">
        <f t="shared" si="69"/>
        <v>2.5058866691240453E-2</v>
      </c>
      <c r="BI139" s="23">
        <f t="shared" si="69"/>
        <v>2.5039424236741645E-2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70">+B140/(1+C131)^10</f>
        <v>0.83450862946313631</v>
      </c>
      <c r="D140" s="23">
        <f t="shared" si="70"/>
        <v>0.67819722915970149</v>
      </c>
      <c r="E140" s="23">
        <f t="shared" si="70"/>
        <v>0.54174331108359219</v>
      </c>
      <c r="F140" s="23">
        <f t="shared" si="70"/>
        <v>0.42062355211542179</v>
      </c>
      <c r="G140" s="23">
        <f t="shared" si="70"/>
        <v>0.32333869511768443</v>
      </c>
      <c r="H140" s="23">
        <f t="shared" si="70"/>
        <v>0.25482202414582528</v>
      </c>
      <c r="I140" s="23">
        <f t="shared" si="70"/>
        <v>0.20317078799942176</v>
      </c>
      <c r="J140" s="23">
        <f t="shared" si="70"/>
        <v>0.15661690004336121</v>
      </c>
      <c r="K140" s="23">
        <f t="shared" si="70"/>
        <v>0.1227442700895492</v>
      </c>
      <c r="L140" s="23">
        <f t="shared" si="70"/>
        <v>9.9236328266143009E-2</v>
      </c>
      <c r="M140" s="23">
        <f t="shared" si="70"/>
        <v>8.0202445955984317E-2</v>
      </c>
      <c r="N140" s="23">
        <f t="shared" si="70"/>
        <v>6.3279916122784052E-2</v>
      </c>
      <c r="O140" s="23">
        <f t="shared" si="70"/>
        <v>4.8478122790680971E-2</v>
      </c>
      <c r="P140" s="23">
        <f t="shared" si="70"/>
        <v>3.7152784398858676E-2</v>
      </c>
      <c r="Q140" s="23">
        <f t="shared" si="70"/>
        <v>2.8455673557962285E-2</v>
      </c>
      <c r="R140" s="23">
        <f t="shared" si="70"/>
        <v>2.1819311082221651E-2</v>
      </c>
      <c r="S140" s="23">
        <f t="shared" si="70"/>
        <v>1.7309208387194436E-2</v>
      </c>
      <c r="T140" s="23">
        <f t="shared" si="70"/>
        <v>1.3719181089253527E-2</v>
      </c>
      <c r="U140" s="23">
        <f t="shared" si="70"/>
        <v>1.0505929739818093E-2</v>
      </c>
      <c r="V140" s="23">
        <f t="shared" si="70"/>
        <v>8.2137403858623878E-3</v>
      </c>
      <c r="W140" s="23">
        <f t="shared" si="70"/>
        <v>6.5686290766713978E-3</v>
      </c>
      <c r="X140" s="23">
        <f t="shared" si="70"/>
        <v>5.2155673858322931E-3</v>
      </c>
      <c r="Y140" s="23">
        <f t="shared" si="70"/>
        <v>4.0864201864518916E-3</v>
      </c>
      <c r="Z140" s="23">
        <f t="shared" si="70"/>
        <v>3.1692337778519786E-3</v>
      </c>
      <c r="AA140" s="23">
        <f t="shared" si="70"/>
        <v>2.449665545105709E-3</v>
      </c>
      <c r="AB140" s="23">
        <f t="shared" si="70"/>
        <v>1.9058585708443365E-3</v>
      </c>
      <c r="AC140" s="23">
        <f t="shared" si="70"/>
        <v>1.4962008885200156E-3</v>
      </c>
      <c r="AD140" s="23">
        <f t="shared" si="70"/>
        <v>1.2004208971704209E-3</v>
      </c>
      <c r="AE140" s="23">
        <f t="shared" si="70"/>
        <v>1.0542360562277042E-3</v>
      </c>
      <c r="AF140" s="23">
        <f t="shared" si="70"/>
        <v>8.9044332073879987E-4</v>
      </c>
      <c r="AG140" s="23">
        <f t="shared" si="70"/>
        <v>6.8330057862588404E-4</v>
      </c>
      <c r="AH140" s="23">
        <f t="shared" si="70"/>
        <v>1.0345806617897232E-4</v>
      </c>
      <c r="AI140" s="23">
        <f t="shared" ref="AI140:BG140" si="71">+AH140/(1+AI131)^10</f>
        <v>1.0773035167997854E-5</v>
      </c>
      <c r="AJ140" s="23">
        <f t="shared" si="71"/>
        <v>4.6873821875624842E-6</v>
      </c>
      <c r="AK140" s="23">
        <f t="shared" si="71"/>
        <v>2.9843139670773107E-6</v>
      </c>
      <c r="AL140" s="23">
        <f t="shared" si="71"/>
        <v>2.1684589634440638E-6</v>
      </c>
      <c r="AM140" s="23">
        <f t="shared" si="71"/>
        <v>1.6669391224812425E-6</v>
      </c>
      <c r="AN140" s="23">
        <f t="shared" si="71"/>
        <v>1.3167096110538423E-6</v>
      </c>
      <c r="AO140" s="23">
        <f t="shared" si="71"/>
        <v>1.0548256187156025E-6</v>
      </c>
      <c r="AP140" s="23">
        <f t="shared" si="71"/>
        <v>8.5155549531214556E-7</v>
      </c>
      <c r="AQ140" s="23">
        <f t="shared" si="71"/>
        <v>6.9049244371715231E-7</v>
      </c>
      <c r="AR140" s="23">
        <f t="shared" si="71"/>
        <v>5.6138507214296634E-7</v>
      </c>
      <c r="AS140" s="23">
        <f t="shared" si="71"/>
        <v>4.5719967505192172E-7</v>
      </c>
      <c r="AT140" s="23">
        <f t="shared" si="71"/>
        <v>3.7278868563230458E-7</v>
      </c>
      <c r="AU140" s="23">
        <f t="shared" si="71"/>
        <v>3.0422640154759742E-7</v>
      </c>
      <c r="AV140" s="23">
        <f t="shared" si="71"/>
        <v>2.4844292172876489E-7</v>
      </c>
      <c r="AW140" s="23">
        <f t="shared" si="71"/>
        <v>2.0300141759166443E-7</v>
      </c>
      <c r="AX140" s="23">
        <f t="shared" si="71"/>
        <v>1.6595018879688581E-7</v>
      </c>
      <c r="AY140" s="23">
        <f t="shared" si="71"/>
        <v>1.3571746311348374E-7</v>
      </c>
      <c r="AZ140" s="23">
        <f t="shared" si="71"/>
        <v>1.1103295789494146E-7</v>
      </c>
      <c r="BA140" s="23">
        <f t="shared" si="71"/>
        <v>9.0867576370878776E-8</v>
      </c>
      <c r="BB140" s="23">
        <f t="shared" si="71"/>
        <v>7.4386155335951672E-8</v>
      </c>
      <c r="BC140" s="23">
        <f t="shared" si="71"/>
        <v>6.0910002548102263E-8</v>
      </c>
      <c r="BD140" s="23">
        <f t="shared" si="71"/>
        <v>4.9877324492835216E-8</v>
      </c>
      <c r="BE140" s="23">
        <f t="shared" si="71"/>
        <v>4.084656452900173E-8</v>
      </c>
      <c r="BF140" s="23">
        <f t="shared" si="71"/>
        <v>3.3461364424174421E-8</v>
      </c>
      <c r="BG140" s="23">
        <f t="shared" si="71"/>
        <v>2.7418581389652445E-8</v>
      </c>
      <c r="BH140" s="23">
        <f>+BG140</f>
        <v>2.7418581389652445E-8</v>
      </c>
      <c r="BI140" s="23">
        <f>+BH140</f>
        <v>2.7418581389652445E-8</v>
      </c>
    </row>
    <row r="141" spans="1:61" ht="18" customHeight="1" x14ac:dyDescent="0.2">
      <c r="A141" s="23" t="s">
        <v>208</v>
      </c>
      <c r="B141" s="23">
        <f t="shared" ref="B141:K141" si="72">+B139-C131</f>
        <v>3.146555191402902E-2</v>
      </c>
      <c r="C141" s="23">
        <f t="shared" si="72"/>
        <v>-7.507094407197757E-3</v>
      </c>
      <c r="D141" s="23">
        <f t="shared" si="72"/>
        <v>-8.9976137592164065E-3</v>
      </c>
      <c r="E141" s="23">
        <f t="shared" si="72"/>
        <v>-9.4352033267921E-3</v>
      </c>
      <c r="F141" s="23">
        <f t="shared" si="72"/>
        <v>-5.8285823736877462E-3</v>
      </c>
      <c r="G141" s="23">
        <f t="shared" si="72"/>
        <v>1.8864143134409428E-3</v>
      </c>
      <c r="H141" s="23">
        <f t="shared" si="72"/>
        <v>6.5722610572691298E-3</v>
      </c>
      <c r="I141" s="23">
        <f t="shared" si="72"/>
        <v>1.3720280058376264E-3</v>
      </c>
      <c r="J141" s="23">
        <f t="shared" si="72"/>
        <v>4.5803634792787283E-3</v>
      </c>
      <c r="K141" s="23">
        <f t="shared" si="72"/>
        <v>1.0938019567162609E-2</v>
      </c>
    </row>
    <row r="142" spans="1:61" ht="18" customHeight="1" x14ac:dyDescent="0.2">
      <c r="A142" s="23" t="s">
        <v>13</v>
      </c>
      <c r="B142" s="23"/>
      <c r="C142" s="23">
        <f>+EXP(C128-0.1)</f>
        <v>0.97909583438301506</v>
      </c>
      <c r="D142" s="23">
        <f>+EXP(D128-0.1)</f>
        <v>0.97927387094927221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71.359903538236907</v>
      </c>
    </row>
    <row r="145" spans="1:74" ht="18" customHeight="1" x14ac:dyDescent="0.2">
      <c r="A145" s="23" t="s">
        <v>150</v>
      </c>
      <c r="B145" s="23">
        <f>+SUMPRODUCT(B140:AE140*B84:AE84)*10</f>
        <v>73.049464966512474</v>
      </c>
    </row>
    <row r="146" spans="1:74" ht="18" customHeight="1" x14ac:dyDescent="0.2">
      <c r="A146" s="23" t="s">
        <v>151</v>
      </c>
      <c r="B146" s="23">
        <f>+SUMPRODUCT(B140:BI140*B84:BI84)*10</f>
        <v>73.230094268539688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3">+B148/(1+B79)^10</f>
        <v>0.9830006237653296</v>
      </c>
      <c r="D148" s="23">
        <f t="shared" si="73"/>
        <v>0.88065422047516606</v>
      </c>
      <c r="E148" s="23">
        <f t="shared" si="73"/>
        <v>0.76485784015322411</v>
      </c>
      <c r="F148" s="23">
        <f t="shared" si="73"/>
        <v>0.62397275291943133</v>
      </c>
      <c r="G148" s="23">
        <f t="shared" si="73"/>
        <v>0.48259283647241369</v>
      </c>
      <c r="H148" s="23">
        <f t="shared" si="73"/>
        <v>0.36615183427306436</v>
      </c>
      <c r="I148" s="23">
        <f t="shared" si="73"/>
        <v>0.29290750847517638</v>
      </c>
      <c r="J148" s="23">
        <f t="shared" si="73"/>
        <v>0.2275820784822532</v>
      </c>
      <c r="K148" s="23">
        <f t="shared" si="73"/>
        <v>0.16989935877891052</v>
      </c>
      <c r="L148" s="23">
        <f t="shared" si="73"/>
        <v>0.13647073124864106</v>
      </c>
      <c r="M148" s="23">
        <f t="shared" si="73"/>
        <v>0.10842673764918163</v>
      </c>
      <c r="N148" s="23">
        <f t="shared" si="73"/>
        <v>8.6971223120137012E-2</v>
      </c>
      <c r="O148" s="23">
        <f t="shared" si="73"/>
        <v>6.5783982283458706E-2</v>
      </c>
      <c r="P148" s="23">
        <f t="shared" si="73"/>
        <v>4.9671819906160007E-2</v>
      </c>
      <c r="Q148" s="23">
        <f t="shared" si="73"/>
        <v>3.7600614501384896E-2</v>
      </c>
      <c r="R148" s="23">
        <f t="shared" si="73"/>
        <v>2.8355299591667549E-2</v>
      </c>
      <c r="S148" s="23">
        <f t="shared" si="73"/>
        <v>2.1514691100739235E-2</v>
      </c>
      <c r="T148" s="23">
        <f t="shared" si="73"/>
        <v>1.7395846737289448E-2</v>
      </c>
      <c r="U148" s="23">
        <f t="shared" si="73"/>
        <v>1.3175223331044117E-2</v>
      </c>
      <c r="V148" s="23">
        <f t="shared" si="73"/>
        <v>1.0007699768737131E-2</v>
      </c>
      <c r="W148" s="23">
        <f t="shared" si="73"/>
        <v>8.037782641530598E-3</v>
      </c>
      <c r="X148" s="23">
        <f t="shared" si="73"/>
        <v>6.4468101161220233E-3</v>
      </c>
      <c r="Y148" s="23">
        <f t="shared" si="73"/>
        <v>5.1025851495686359E-3</v>
      </c>
      <c r="Z148" s="23">
        <f t="shared" si="73"/>
        <v>3.9824495024089589E-3</v>
      </c>
      <c r="AA148" s="23">
        <f t="shared" si="73"/>
        <v>3.0868233986961011E-3</v>
      </c>
      <c r="AB148" s="23">
        <f t="shared" si="73"/>
        <v>2.3926474799769401E-3</v>
      </c>
      <c r="AC148" s="23">
        <f t="shared" si="73"/>
        <v>1.8795278949811664E-3</v>
      </c>
      <c r="AD148" s="23">
        <f t="shared" si="73"/>
        <v>1.4840272312984912E-3</v>
      </c>
      <c r="AE148" s="23">
        <f t="shared" si="73"/>
        <v>1.2188279212203093E-3</v>
      </c>
      <c r="AF148" s="23">
        <f t="shared" si="73"/>
        <v>1.1538609226217818E-3</v>
      </c>
      <c r="AG148" s="23">
        <f t="shared" si="73"/>
        <v>8.7114776916143145E-4</v>
      </c>
      <c r="AH148" s="23">
        <f t="shared" si="73"/>
        <v>6.7617646461233841E-4</v>
      </c>
      <c r="AI148" s="23">
        <f t="shared" ref="AI148:BI148" si="74">+AH148/(1+AH79)^10</f>
        <v>1.3689255588676419E-5</v>
      </c>
      <c r="AJ148" s="23">
        <f t="shared" si="74"/>
        <v>4.2285220820202472E-6</v>
      </c>
      <c r="AK148" s="23">
        <f t="shared" si="74"/>
        <v>2.4188261661845827E-6</v>
      </c>
      <c r="AL148" s="23">
        <f t="shared" si="74"/>
        <v>1.6826596124931596E-6</v>
      </c>
      <c r="AM148" s="23">
        <f t="shared" si="74"/>
        <v>1.266802197074326E-6</v>
      </c>
      <c r="AN148" s="23">
        <f t="shared" si="74"/>
        <v>9.8962284581607155E-7</v>
      </c>
      <c r="AO148" s="23">
        <f t="shared" si="74"/>
        <v>7.8773818258301946E-7</v>
      </c>
      <c r="AP148" s="23">
        <f t="shared" si="74"/>
        <v>6.3338373017597629E-7</v>
      </c>
      <c r="AQ148" s="23">
        <f t="shared" si="74"/>
        <v>5.1216461466135783E-7</v>
      </c>
      <c r="AR148" s="23">
        <f t="shared" si="74"/>
        <v>4.1553145485347622E-7</v>
      </c>
      <c r="AS148" s="23">
        <f t="shared" si="74"/>
        <v>3.3783695238197196E-7</v>
      </c>
      <c r="AT148" s="23">
        <f t="shared" si="74"/>
        <v>2.7505445758607103E-7</v>
      </c>
      <c r="AU148" s="23">
        <f t="shared" si="74"/>
        <v>2.2416438536960837E-7</v>
      </c>
      <c r="AV148" s="23">
        <f t="shared" si="74"/>
        <v>1.8283040312985553E-7</v>
      </c>
      <c r="AW148" s="23">
        <f t="shared" si="74"/>
        <v>1.4921055943059956E-7</v>
      </c>
      <c r="AX148" s="23">
        <f t="shared" si="74"/>
        <v>1.2183630265892328E-7</v>
      </c>
      <c r="AY148" s="23">
        <f t="shared" si="74"/>
        <v>9.9528792356406666E-8</v>
      </c>
      <c r="AZ148" s="23">
        <f t="shared" si="74"/>
        <v>8.1337680518466287E-8</v>
      </c>
      <c r="BA148" s="23">
        <f t="shared" si="74"/>
        <v>6.6494636621157746E-8</v>
      </c>
      <c r="BB148" s="23">
        <f t="shared" si="74"/>
        <v>5.4377231353694656E-8</v>
      </c>
      <c r="BC148" s="23">
        <f t="shared" si="74"/>
        <v>4.4480462455505732E-8</v>
      </c>
      <c r="BD148" s="23">
        <f t="shared" si="74"/>
        <v>3.6394103130710211E-8</v>
      </c>
      <c r="BE148" s="23">
        <f t="shared" si="74"/>
        <v>2.9772822244309813E-8</v>
      </c>
      <c r="BF148" s="23">
        <f t="shared" si="74"/>
        <v>2.4364582244434792E-8</v>
      </c>
      <c r="BG148" s="23">
        <f t="shared" si="74"/>
        <v>1.9944578992610566E-8</v>
      </c>
      <c r="BH148" s="23">
        <f t="shared" si="74"/>
        <v>1.6330325677902248E-8</v>
      </c>
      <c r="BI148" s="23">
        <f t="shared" si="74"/>
        <v>1.4071306519999737E-8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93.285267985814343</v>
      </c>
    </row>
    <row r="152" spans="1:74" ht="18" customHeight="1" x14ac:dyDescent="0.2">
      <c r="A152" s="23" t="s">
        <v>150</v>
      </c>
      <c r="B152" s="23">
        <f>+SUMPRODUCT(B148:AE148*B84:AE84)*10</f>
        <v>95.371608696209051</v>
      </c>
    </row>
    <row r="153" spans="1:74" ht="18" customHeight="1" x14ac:dyDescent="0.2">
      <c r="A153" s="23" t="s">
        <v>151</v>
      </c>
      <c r="B153" s="23">
        <f>+SUMPRODUCT(B148:BI148*B84:BI84)*10</f>
        <v>95.617876063075542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6.3854059481811849E-3</v>
      </c>
      <c r="C155" s="29">
        <f t="shared" ref="C155:BI155" si="75">+C63*C61</f>
        <v>5.9260636623983702E-3</v>
      </c>
      <c r="D155" s="29">
        <f t="shared" si="75"/>
        <v>4.3278930837026266E-3</v>
      </c>
      <c r="E155" s="29">
        <f t="shared" si="75"/>
        <v>4.647009135244475E-3</v>
      </c>
      <c r="F155" s="29">
        <f t="shared" si="75"/>
        <v>5.9011220759056801E-3</v>
      </c>
      <c r="G155" s="29">
        <f t="shared" si="75"/>
        <v>8.0898543389349709E-3</v>
      </c>
      <c r="H155" s="29">
        <f t="shared" si="75"/>
        <v>7.1322790575742119E-3</v>
      </c>
      <c r="I155" s="29">
        <f t="shared" si="75"/>
        <v>9.3942547839273929E-3</v>
      </c>
      <c r="J155" s="29">
        <f t="shared" si="75"/>
        <v>1.2387432560635353E-2</v>
      </c>
      <c r="K155" s="29">
        <f t="shared" si="75"/>
        <v>9.4985712161380249E-3</v>
      </c>
      <c r="L155" s="29">
        <f t="shared" si="75"/>
        <v>1.0071655260575789E-2</v>
      </c>
      <c r="M155" s="29">
        <f t="shared" si="75"/>
        <v>1.3327090633456978E-2</v>
      </c>
      <c r="N155" s="29">
        <f t="shared" si="75"/>
        <v>1.6016217472080745E-2</v>
      </c>
      <c r="O155" s="29">
        <f t="shared" si="75"/>
        <v>1.7076405795571983E-2</v>
      </c>
      <c r="P155" s="29">
        <f t="shared" si="75"/>
        <v>1.6227892719952786E-2</v>
      </c>
      <c r="Q155" s="29">
        <f t="shared" si="75"/>
        <v>2.1382503853198686E-2</v>
      </c>
      <c r="R155" s="29">
        <f t="shared" si="75"/>
        <v>2.2264111538765587E-2</v>
      </c>
      <c r="S155" s="29">
        <f t="shared" si="75"/>
        <v>2.4691623776470998E-2</v>
      </c>
      <c r="T155" s="29">
        <f t="shared" si="75"/>
        <v>2.1608329763050105E-2</v>
      </c>
      <c r="U155" s="29">
        <f t="shared" si="75"/>
        <v>2.7252013999589181E-2</v>
      </c>
      <c r="V155" s="29">
        <f t="shared" si="75"/>
        <v>3.2455258144068723E-2</v>
      </c>
      <c r="W155" s="29">
        <f t="shared" si="75"/>
        <v>2.971377729762488E-2</v>
      </c>
      <c r="X155" s="29">
        <f t="shared" si="75"/>
        <v>3.3171913387623854E-2</v>
      </c>
      <c r="Y155" s="29">
        <f t="shared" si="75"/>
        <v>3.6818074074989486E-2</v>
      </c>
      <c r="Z155" s="29">
        <f t="shared" si="75"/>
        <v>4.2761511769295824E-2</v>
      </c>
      <c r="AA155" s="29">
        <f t="shared" si="75"/>
        <v>5.5608423411193493E-2</v>
      </c>
      <c r="AB155" s="29">
        <f t="shared" si="75"/>
        <v>6.7705695040707448E-2</v>
      </c>
      <c r="AC155" s="29">
        <f t="shared" si="75"/>
        <v>6.6222571537905714E-2</v>
      </c>
      <c r="AD155" s="29">
        <f t="shared" si="75"/>
        <v>6.5680006447170744E-2</v>
      </c>
      <c r="AE155" s="29">
        <f t="shared" si="75"/>
        <v>7.8503011467775149E-2</v>
      </c>
      <c r="AF155" s="29">
        <f t="shared" si="75"/>
        <v>7.6457876369722053E-2</v>
      </c>
      <c r="AG155" s="29">
        <f t="shared" si="75"/>
        <v>7.0904909064603255E-2</v>
      </c>
      <c r="AH155" s="29">
        <f t="shared" si="75"/>
        <v>7.9749595021951045E-2</v>
      </c>
      <c r="AI155" s="29">
        <f t="shared" si="75"/>
        <v>1.2819633084993056</v>
      </c>
      <c r="AJ155" s="29">
        <f t="shared" si="75"/>
        <v>0.28428539548339832</v>
      </c>
      <c r="AK155" s="29">
        <f t="shared" si="75"/>
        <v>0.44244853819558605</v>
      </c>
      <c r="AL155" s="29">
        <f t="shared" si="75"/>
        <v>0.54686318080745222</v>
      </c>
      <c r="AM155" s="29">
        <f t="shared" si="75"/>
        <v>0.62085673695068488</v>
      </c>
      <c r="AN155" s="29">
        <f t="shared" si="75"/>
        <v>0.67895224525630749</v>
      </c>
      <c r="AO155" s="29">
        <f t="shared" si="75"/>
        <v>0.72901191177319402</v>
      </c>
      <c r="AP155" s="29">
        <f t="shared" si="75"/>
        <v>0.77537368725213118</v>
      </c>
      <c r="AQ155" s="29">
        <f t="shared" si="75"/>
        <v>0.82048728714303121</v>
      </c>
      <c r="AR155" s="29">
        <f t="shared" si="75"/>
        <v>0.86577099512204636</v>
      </c>
      <c r="AS155" s="29">
        <f t="shared" si="75"/>
        <v>0.91207376981810628</v>
      </c>
      <c r="AT155" s="29">
        <f t="shared" si="75"/>
        <v>0.95992940504295332</v>
      </c>
      <c r="AU155" s="29">
        <f t="shared" si="75"/>
        <v>1.0096979165153632</v>
      </c>
      <c r="AV155" s="29">
        <f t="shared" si="75"/>
        <v>1.0616447240244484</v>
      </c>
      <c r="AW155" s="29">
        <f t="shared" si="75"/>
        <v>1.1159852054816093</v>
      </c>
      <c r="AX155" s="29">
        <f t="shared" si="75"/>
        <v>1.172909883757804</v>
      </c>
      <c r="AY155" s="29">
        <f t="shared" si="75"/>
        <v>1.2325987591226131</v>
      </c>
      <c r="AZ155" s="29">
        <f t="shared" si="75"/>
        <v>1.2952295557140636</v>
      </c>
      <c r="BA155" s="29">
        <f t="shared" si="75"/>
        <v>1.3609825587634747</v>
      </c>
      <c r="BB155" s="29">
        <f t="shared" si="75"/>
        <v>1.430043546778978</v>
      </c>
      <c r="BC155" s="29">
        <f t="shared" si="75"/>
        <v>1.5026056645168935</v>
      </c>
      <c r="BD155" s="29">
        <f t="shared" si="75"/>
        <v>1.5788707126183377</v>
      </c>
      <c r="BE155" s="29">
        <f t="shared" si="75"/>
        <v>1.659050121861948</v>
      </c>
      <c r="BF155" s="29">
        <f t="shared" si="75"/>
        <v>1.7434570465777885</v>
      </c>
      <c r="BG155" s="29">
        <f t="shared" si="75"/>
        <v>1.8322647304101189</v>
      </c>
      <c r="BH155" s="29">
        <f t="shared" si="75"/>
        <v>1.9256704016605102</v>
      </c>
      <c r="BI155" s="29">
        <f t="shared" si="75"/>
        <v>2.0239213503797844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CE39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11.6640625" defaultRowHeight="18" customHeight="1" x14ac:dyDescent="0.2"/>
  <cols>
    <col min="1" max="1" width="68.5" style="21" customWidth="1"/>
    <col min="2" max="2" width="11.6640625" style="29" customWidth="1"/>
    <col min="3" max="16384" width="11.6640625" style="23"/>
  </cols>
  <sheetData>
    <row r="1" spans="1:61" ht="18" customHeight="1" x14ac:dyDescent="0.2">
      <c r="A1" s="21" t="s">
        <v>56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+Parameters!M35</f>
        <v>0.3</v>
      </c>
    </row>
    <row r="8" spans="1:61" ht="18" customHeight="1" x14ac:dyDescent="0.2">
      <c r="A8" s="21" t="s">
        <v>108</v>
      </c>
      <c r="B8" s="31">
        <f>+Parameters!M36</f>
        <v>0.1</v>
      </c>
    </row>
    <row r="9" spans="1:61" ht="18" customHeight="1" x14ac:dyDescent="0.2">
      <c r="A9" s="23" t="s">
        <v>49</v>
      </c>
      <c r="B9" s="29">
        <f>Parameters!M37</f>
        <v>3.4801033488396897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 x14ac:dyDescent="0.2">
      <c r="A11" s="23" t="s">
        <v>38</v>
      </c>
      <c r="B11" s="29">
        <f>+Parameters!M39</f>
        <v>5.4160684888199055</v>
      </c>
    </row>
    <row r="12" spans="1:61" ht="18" customHeight="1" x14ac:dyDescent="0.2">
      <c r="A12" s="23" t="s">
        <v>162</v>
      </c>
      <c r="B12" s="29">
        <f>+Parameters!M40</f>
        <v>3.8948608362974033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+Parameters!M43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+Parameters!M45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 x14ac:dyDescent="0.2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 x14ac:dyDescent="0.2">
      <c r="A21" s="21" t="s">
        <v>190</v>
      </c>
      <c r="B21" s="29">
        <f>+Parameters!M40</f>
        <v>3.8948608362974033</v>
      </c>
    </row>
    <row r="22" spans="1:103" ht="18" customHeight="1" x14ac:dyDescent="0.2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+Parameters!M51</f>
        <v>0.27798926381489875</v>
      </c>
    </row>
    <row r="25" spans="1:103" ht="18" customHeight="1" x14ac:dyDescent="0.2">
      <c r="A25" s="21" t="s">
        <v>182</v>
      </c>
      <c r="B25" s="29">
        <f>+Parameters!M52</f>
        <v>0.15859855711634607</v>
      </c>
    </row>
    <row r="26" spans="1:103" ht="18" customHeight="1" x14ac:dyDescent="0.2">
      <c r="A26" s="21" t="s">
        <v>47</v>
      </c>
      <c r="B26" s="29">
        <f>+Parameters!M53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+Parameters!M54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+Parameters!M55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3.4527102524812545E-3</v>
      </c>
      <c r="AB31" s="23">
        <f t="shared" si="7"/>
        <v>3.2121640949902652E-3</v>
      </c>
      <c r="AC31" s="23">
        <f t="shared" si="7"/>
        <v>2.9932665997645363E-3</v>
      </c>
      <c r="AD31" s="23">
        <f t="shared" si="7"/>
        <v>2.7935785136863791E-3</v>
      </c>
      <c r="AE31" s="23">
        <f t="shared" si="7"/>
        <v>2.6109973294333277E-3</v>
      </c>
      <c r="AF31" s="23">
        <f t="shared" si="7"/>
        <v>2.4437025594432663E-3</v>
      </c>
      <c r="AG31" s="23">
        <f t="shared" si="7"/>
        <v>2.2901110425327231E-3</v>
      </c>
      <c r="AH31" s="23">
        <f t="shared" si="7"/>
        <v>2.148840266257781E-3</v>
      </c>
      <c r="AI31" s="23">
        <f t="shared" si="7"/>
        <v>2.0186781262647034E-3</v>
      </c>
      <c r="AJ31" s="23">
        <f t="shared" si="7"/>
        <v>1.898557880008912E-3</v>
      </c>
      <c r="AK31" s="23">
        <f t="shared" si="7"/>
        <v>1.7875373116278642E-3</v>
      </c>
      <c r="AL31" s="23">
        <f t="shared" si="7"/>
        <v>1.6847813260962522E-3</v>
      </c>
      <c r="AM31" s="23">
        <f t="shared" si="7"/>
        <v>1.5895473479242501E-3</v>
      </c>
      <c r="AN31" s="23">
        <f t="shared" si="7"/>
        <v>1.5011730229317994E-3</v>
      </c>
      <c r="AO31" s="23">
        <f t="shared" si="7"/>
        <v>1.4190658188249431E-3</v>
      </c>
      <c r="AP31" s="23">
        <f t="shared" si="7"/>
        <v>1.342694197297694E-3</v>
      </c>
      <c r="AQ31" s="23">
        <f t="shared" si="7"/>
        <v>1.2715800916597607E-3</v>
      </c>
      <c r="AR31" s="23">
        <f t="shared" si="7"/>
        <v>1.2052924729686997E-3</v>
      </c>
      <c r="AS31" s="23">
        <f t="shared" si="7"/>
        <v>1.1434418269557398E-3</v>
      </c>
      <c r="AT31" s="23">
        <f t="shared" si="7"/>
        <v>1.0856753957109518E-3</v>
      </c>
      <c r="AU31" s="23">
        <f t="shared" si="7"/>
        <v>1.031673063714691E-3</v>
      </c>
      <c r="AV31" s="23">
        <f t="shared" si="7"/>
        <v>9.8114378860069177E-4</v>
      </c>
      <c r="AW31" s="23">
        <f t="shared" si="7"/>
        <v>9.3382249397793815E-4</v>
      </c>
      <c r="AX31" s="23">
        <f t="shared" si="7"/>
        <v>8.8946735548423961E-4</v>
      </c>
      <c r="AY31" s="23">
        <f t="shared" si="7"/>
        <v>8.478574225959433E-4</v>
      </c>
      <c r="AZ31" s="23">
        <f t="shared" si="7"/>
        <v>8.0879052805313809E-4</v>
      </c>
      <c r="BA31" s="23">
        <f t="shared" si="7"/>
        <v>7.7208144445883365E-4</v>
      </c>
      <c r="BB31" s="23">
        <f t="shared" si="7"/>
        <v>7.3756025397867474E-4</v>
      </c>
      <c r="BC31" s="23">
        <f t="shared" si="7"/>
        <v>7.0507090234939076E-4</v>
      </c>
      <c r="BD31" s="23">
        <f t="shared" si="7"/>
        <v>6.7446991279656514E-4</v>
      </c>
      <c r="BE31" s="23">
        <f t="shared" si="7"/>
        <v>3.2874036781029947E-4</v>
      </c>
      <c r="BF31" s="23">
        <f t="shared" si="7"/>
        <v>1.6023807205166885E-4</v>
      </c>
      <c r="BG31" s="23">
        <f t="shared" si="7"/>
        <v>7.8108515174538993E-5</v>
      </c>
      <c r="BH31" s="23">
        <f t="shared" si="7"/>
        <v>3.8075801164372478E-5</v>
      </c>
      <c r="BI31" s="23">
        <f t="shared" si="7"/>
        <v>1.8561621642050648E-5</v>
      </c>
    </row>
    <row r="32" spans="1:103" s="33" customFormat="1" ht="18" customHeight="1" x14ac:dyDescent="0.2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0.44055977592015955</v>
      </c>
      <c r="AB36" s="23">
        <f>+IF(AB4&gt;$B$37,AA36*Parameters!$B$105,$B$33*$B$32+(AA36-$B$33*$B$32)*(1-$B$34))</f>
        <v>0.42483178712415154</v>
      </c>
      <c r="AC36" s="23">
        <f>+IF(AC4&gt;$B$37,AB36*Parameters!$B$105,$B$33*$B$32+(AB36-$B$33*$B$32)*(1-$B$34))</f>
        <v>0.40989019776794394</v>
      </c>
      <c r="AD36" s="23">
        <f>+IF(AD4&gt;$B$37,AC36*Parameters!$B$105,$B$33*$B$32+(AC36-$B$33*$B$32)*(1-$B$34))</f>
        <v>0.39569568787954673</v>
      </c>
      <c r="AE36" s="23">
        <f>+IF(AE4&gt;$B$37,AD36*Parameters!$B$105,$B$33*$B$32+(AD36-$B$33*$B$32)*(1-$B$34))</f>
        <v>0.38221090348556941</v>
      </c>
      <c r="AF36" s="23">
        <f>+IF(AF4&gt;$B$37,AE36*Parameters!$B$105,$B$33*$B$32+(AE36-$B$33*$B$32)*(1-$B$34))</f>
        <v>0.36940035831129092</v>
      </c>
      <c r="AG36" s="23">
        <f>+IF(AG4&gt;$B$37,AF36*Parameters!$B$105,$B$33*$B$32+(AF36-$B$33*$B$32)*(1-$B$34))</f>
        <v>0.35723034039572638</v>
      </c>
      <c r="AH36" s="23">
        <f>+IF(AH4&gt;$B$37,AG36*Parameters!$B$105,$B$33*$B$32+(AG36-$B$33*$B$32)*(1-$B$34))</f>
        <v>0.34566882337594007</v>
      </c>
      <c r="AI36" s="23">
        <f>+IF(AI4&gt;$B$37,AH36*Parameters!$B$105,$B$33*$B$32+(AH36-$B$33*$B$32)*(1-$B$34))</f>
        <v>0.33468538220714306</v>
      </c>
      <c r="AJ36" s="23">
        <f>+IF(AJ4&gt;$B$37,AI36*Parameters!$B$105,$B$33*$B$32+(AI36-$B$33*$B$32)*(1-$B$34))</f>
        <v>0.32425111309678589</v>
      </c>
      <c r="AK36" s="23">
        <f>+IF(AK4&gt;$B$37,AJ36*Parameters!$B$105,$B$33*$B$32+(AJ36-$B$33*$B$32)*(1-$B$34))</f>
        <v>0.31433855744194661</v>
      </c>
      <c r="AL36" s="23">
        <f>+IF(AL4&gt;$B$37,AK36*Parameters!$B$105,$B$33*$B$32+(AK36-$B$33*$B$32)*(1-$B$34))</f>
        <v>0.30492162956984925</v>
      </c>
      <c r="AM36" s="23">
        <f>+IF(AM4&gt;$B$37,AL36*Parameters!$B$105,$B$33*$B$32+(AL36-$B$33*$B$32)*(1-$B$34))</f>
        <v>0.29597554809135679</v>
      </c>
      <c r="AN36" s="23">
        <f>+IF(AN4&gt;$B$37,AM36*Parameters!$B$105,$B$33*$B$32+(AM36-$B$33*$B$32)*(1-$B$34))</f>
        <v>0.28747677068678895</v>
      </c>
      <c r="AO36" s="23">
        <f>+IF(AO4&gt;$B$37,AN36*Parameters!$B$105,$B$33*$B$32+(AN36-$B$33*$B$32)*(1-$B$34))</f>
        <v>0.27940293215244949</v>
      </c>
      <c r="AP36" s="23">
        <f>+IF(AP4&gt;$B$37,AO36*Parameters!$B$105,$B$33*$B$32+(AO36-$B$33*$B$32)*(1-$B$34))</f>
        <v>0.27173278554482705</v>
      </c>
      <c r="AQ36" s="23">
        <f>+IF(AQ4&gt;$B$37,AP36*Parameters!$B$105,$B$33*$B$32+(AP36-$B$33*$B$32)*(1-$B$34))</f>
        <v>0.26444614626758567</v>
      </c>
      <c r="AR36" s="23">
        <f>+IF(AR4&gt;$B$37,AQ36*Parameters!$B$105,$B$33*$B$32+(AQ36-$B$33*$B$32)*(1-$B$34))</f>
        <v>0.25752383895420639</v>
      </c>
      <c r="AS36" s="23">
        <f>+IF(AS4&gt;$B$37,AR36*Parameters!$B$105,$B$33*$B$32+(AR36-$B$33*$B$32)*(1-$B$34))</f>
        <v>0.25094764700649608</v>
      </c>
      <c r="AT36" s="23">
        <f>+IF(AT4&gt;$B$37,AS36*Parameters!$B$105,$B$33*$B$32+(AS36-$B$33*$B$32)*(1-$B$34))</f>
        <v>0.24470026465617128</v>
      </c>
      <c r="AU36" s="23">
        <f>+IF(AU4&gt;$B$37,AT36*Parameters!$B$105,$B$33*$B$32+(AT36-$B$33*$B$32)*(1-$B$34))</f>
        <v>0.23876525142336272</v>
      </c>
      <c r="AV36" s="23">
        <f>+IF(AV4&gt;$B$37,AU36*Parameters!$B$105,$B$33*$B$32+(AU36-$B$33*$B$32)*(1-$B$34))</f>
        <v>0.23312698885219457</v>
      </c>
      <c r="AW36" s="23">
        <f>+IF(AW4&gt;$B$37,AV36*Parameters!$B$105,$B$33*$B$32+(AV36-$B$33*$B$32)*(1-$B$34))</f>
        <v>0.22777063940958484</v>
      </c>
      <c r="AX36" s="23">
        <f>+IF(AX4&gt;$B$37,AW36*Parameters!$B$105,$B$33*$B$32+(AW36-$B$33*$B$32)*(1-$B$34))</f>
        <v>0.2226821074391056</v>
      </c>
      <c r="AY36" s="23">
        <f>+IF(AY4&gt;$B$37,AX36*Parameters!$B$105,$B$33*$B$32+(AX36-$B$33*$B$32)*(1-$B$34))</f>
        <v>0.21784800206715033</v>
      </c>
      <c r="AZ36" s="23">
        <f>+IF(AZ4&gt;$B$37,AY36*Parameters!$B$105,$B$33*$B$32+(AY36-$B$33*$B$32)*(1-$B$34))</f>
        <v>0.21325560196379281</v>
      </c>
      <c r="BA36" s="23">
        <f>+IF(BA4&gt;$B$37,AZ36*Parameters!$B$105,$B$33*$B$32+(AZ36-$B$33*$B$32)*(1-$B$34))</f>
        <v>0.20889282186560315</v>
      </c>
      <c r="BB36" s="23">
        <f>+IF(BB4&gt;$B$37,BA36*Parameters!$B$105,$B$33*$B$32+(BA36-$B$33*$B$32)*(1-$B$34))</f>
        <v>0.20474818077232299</v>
      </c>
      <c r="BC36" s="23">
        <f>+IF(BC4&gt;$B$37,BB36*Parameters!$B$105,$B$33*$B$32+(BB36-$B$33*$B$32)*(1-$B$34))</f>
        <v>0.20081077173370682</v>
      </c>
      <c r="BD36" s="23">
        <f>+IF(BD4&gt;$B$37,BC36*Parameters!$B$105,$B$33*$B$32+(BC36-$B$33*$B$32)*(1-$B$34))</f>
        <v>0.19707023314702149</v>
      </c>
      <c r="BE36" s="23">
        <f>+IF(BE4&gt;$B$37,BD36*Parameters!$B$105,$B$33*$B$32+(BD36-$B$33*$B$32)*(1-$B$34))</f>
        <v>9.8535116573510745E-2</v>
      </c>
      <c r="BF36" s="23">
        <f>+IF(BF4&gt;$B$37,BE36*Parameters!$B$105,$B$33*$B$32+(BE36-$B$33*$B$32)*(1-$B$34))</f>
        <v>4.9267558286755372E-2</v>
      </c>
      <c r="BG36" s="23">
        <f>+IF(BG4&gt;$B$37,BF36*Parameters!$B$105,$B$33*$B$32+(BF36-$B$33*$B$32)*(1-$B$34))</f>
        <v>2.4633779143377686E-2</v>
      </c>
      <c r="BH36" s="23">
        <f>+IF(BH4&gt;$B$37,BG36*Parameters!$B$105,$B$33*$B$32+(BG36-$B$33*$B$32)*(1-$B$34))</f>
        <v>1.2316889571688843E-2</v>
      </c>
      <c r="BI36" s="23">
        <f>+IF(BI4&gt;$B$37,BH36*Parameters!$B$105,$B$33*$B$32+(BH36-$B$33*$B$32)*(1-$B$34))</f>
        <v>6.1584447858444216E-3</v>
      </c>
    </row>
    <row r="37" spans="1:61 16384:16384" s="33" customFormat="1" ht="18" customHeight="1" x14ac:dyDescent="0.2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 x14ac:dyDescent="0.2">
      <c r="A41" s="21" t="s">
        <v>92</v>
      </c>
      <c r="B41" s="29">
        <f>+Parameters!M69</f>
        <v>0.16944179563838435</v>
      </c>
    </row>
    <row r="42" spans="1:61 16384:16384" s="45" customFormat="1" ht="18" customHeight="1" x14ac:dyDescent="0.2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 x14ac:dyDescent="0.2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 x14ac:dyDescent="0.2">
      <c r="A44" s="21" t="s">
        <v>23</v>
      </c>
      <c r="B44" s="29">
        <f>+Parameters!M70</f>
        <v>0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+Parameters!D138</f>
        <v>1.3812294738709933E-3</v>
      </c>
      <c r="C48" s="219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3.3250385552437325E-2</v>
      </c>
      <c r="D50" s="44">
        <f>100*$B$49*(Global!C135*$B$48+Global!C135^2*$C$48)*(C61/$B61)^(1/$C$49)</f>
        <v>3.9140853635093328E-2</v>
      </c>
      <c r="E50" s="44">
        <f>100*$B$49*(Global!D135*$B$48+Global!D135^2*$C$48)*(D61/$B61)^(1/$C$49)</f>
        <v>4.6387230478675018E-2</v>
      </c>
      <c r="F50" s="44">
        <f>100*$B$49*(Global!E135*$B$48+Global!E135^2*$C$48)*(E61/$B61)^(1/$C$49)</f>
        <v>5.306206404368155E-2</v>
      </c>
      <c r="G50" s="44">
        <f>100*$B$49*(Global!F135*$B$48+Global!F135^2*$C$48)*(F61/$B61)^(1/$C$49)</f>
        <v>6.0208300461318254E-2</v>
      </c>
      <c r="H50" s="44">
        <f>100*$B$49*(Global!G135*$B$48+Global!G135^2*$C$48)*(G61/$B61)^(1/$C$49)</f>
        <v>6.9569282977447536E-2</v>
      </c>
      <c r="I50" s="44">
        <f>100*$B$49*(Global!H135*$B$48+Global!H135^2*$C$48)*(H61/$B61)^(1/$C$49)</f>
        <v>7.7569697577309804E-2</v>
      </c>
      <c r="J50" s="44">
        <f>100*$B$49*(Global!I135*$B$48+Global!I135^2*$C$48)*(I61/$B61)^(1/$C$49)</f>
        <v>8.6268514213501846E-2</v>
      </c>
      <c r="K50" s="44">
        <f>100*$B$49*(Global!J135*$B$48+Global!J135^2*$C$48)*(J61/$B61)^(1/$C$49)</f>
        <v>9.6135889085401244E-2</v>
      </c>
      <c r="L50" s="44">
        <f>100*$B$49*(Global!K135*$B$48+Global!K135^2*$C$48)*(K61/$B61)^(1/$C$49)</f>
        <v>0.10382297837315368</v>
      </c>
      <c r="M50" s="44">
        <f>100*$B$49*(Global!L135*$B$48+Global!L135^2*$C$48)*(L61/$B61)^(1/$C$49)</f>
        <v>0.11376701561621595</v>
      </c>
      <c r="N50" s="44">
        <f>100*$B$49*(Global!M135*$B$48+Global!M135^2*$C$48)*(M61/$B61)^(1/$C$49)</f>
        <v>0.12081125836578828</v>
      </c>
      <c r="O50" s="44">
        <f>100*$B$49*(Global!N135*$B$48+Global!N135^2*$C$48)*(N61/$B61)^(1/$C$49)</f>
        <v>0.12857688851900811</v>
      </c>
      <c r="P50" s="44">
        <f>100*$B$49*(Global!O135*$B$48+Global!O135^2*$C$48)*(O61/$B61)^(1/$C$49)</f>
        <v>0.13750983617688217</v>
      </c>
      <c r="Q50" s="44">
        <f>100*$B$49*(Global!P135*$B$48+Global!P135^2*$C$48)*(P61/$B61)^(1/$C$49)</f>
        <v>0.14718310662592515</v>
      </c>
      <c r="R50" s="44">
        <f>100*$B$49*(Global!Q135*$B$48+Global!Q135^2*$C$48)*(Q61/$B61)^(1/$C$49)</f>
        <v>0.1565102636888186</v>
      </c>
      <c r="S50" s="44">
        <f>100*$B$49*(Global!R135*$B$48+Global!R135^2*$C$48)*(R61/$B61)^(1/$C$49)</f>
        <v>0.16607815679689156</v>
      </c>
      <c r="T50" s="44">
        <f>100*$B$49*(Global!S135*$B$48+Global!S135^2*$C$48)*(S61/$B61)^(1/$C$49)</f>
        <v>0.17569944894969611</v>
      </c>
      <c r="U50" s="44">
        <f>100*$B$49*(Global!T135*$B$48+Global!T135^2*$C$48)*(T61/$B61)^(1/$C$49)</f>
        <v>0.18424863680185588</v>
      </c>
      <c r="V50" s="44">
        <f>100*$B$49*(Global!U135*$B$48+Global!U135^2*$C$48)*(U61/$B61)^(1/$C$49)</f>
        <v>0.19149029636858042</v>
      </c>
      <c r="W50" s="44">
        <f>100*$B$49*(Global!V135*$B$48+Global!V135^2*$C$48)*(V61/$B61)^(1/$C$49)</f>
        <v>0.20166071200219315</v>
      </c>
      <c r="X50" s="44">
        <f>100*$B$49*(Global!W135*$B$48+Global!W135^2*$C$48)*(W61/$B61)^(1/$C$49)</f>
        <v>0.21202268164980947</v>
      </c>
      <c r="Y50" s="44">
        <f>100*$B$49*(Global!X135*$B$48+Global!X135^2*$C$48)*(X61/$B61)^(1/$C$49)</f>
        <v>0.2207689222295775</v>
      </c>
      <c r="Z50" s="44">
        <f>100*$B$49*(Global!Y135*$B$48+Global!Y135^2*$C$48)*(Y61/$B61)^(1/$C$49)</f>
        <v>0.22958057226059692</v>
      </c>
      <c r="AA50" s="44">
        <f>100*$B$49*(Global!Z135*$B$48+Global!Z135^2*$C$48)*(Z61/$B61)^(1/$C$49)</f>
        <v>0.23948258990447549</v>
      </c>
      <c r="AB50" s="44">
        <f>100*$B$49*(Global!AA135*$B$48+Global!AA135^2*$C$48)*(AA61/$B61)^(1/$C$49)</f>
        <v>0.25007088935870958</v>
      </c>
      <c r="AC50" s="44">
        <f>100*$B$49*(Global!AB135*$B$48+Global!AB135^2*$C$48)*(AB61/$B61)^(1/$C$49)</f>
        <v>0.2629205150837966</v>
      </c>
      <c r="AD50" s="44">
        <f>100*$B$49*(Global!AC135*$B$48+Global!AC135^2*$C$48)*(AC61/$B61)^(1/$C$49)</f>
        <v>0.27219232273649613</v>
      </c>
      <c r="AE50" s="44">
        <f>100*$B$49*(Global!AD135*$B$48+Global!AD135^2*$C$48)*(AD61/$B61)^(1/$C$49)</f>
        <v>0.28124221541483241</v>
      </c>
      <c r="AF50" s="44">
        <f>100*$B$49*(Global!AE135*$B$48+Global!AE135^2*$C$48)*(AE61/$B61)^(1/$C$49)</f>
        <v>0.29038791072365489</v>
      </c>
      <c r="AG50" s="44">
        <f>100*$B$49*(Global!AF135*$B$48+Global!AF135^2*$C$48)*(AF61/$B61)^(1/$C$49)</f>
        <v>0.29672607530364958</v>
      </c>
      <c r="AH50" s="44">
        <f>100*$B$49*(Global!AG135*$B$48+Global!AG135^2*$C$48)*(AG61/$B61)^(1/$C$49)</f>
        <v>0.30745767466578799</v>
      </c>
      <c r="AI50" s="44">
        <f>100*$B$49*(Global!AH135*$B$48+Global!AH135^2*$C$48)*(AH61/$B61)^(1/$C$49)</f>
        <v>0.31929173874291678</v>
      </c>
      <c r="AJ50" s="44">
        <f>100*$B$49*(Global!AI135*$B$48+Global!AI135^2*$C$48)*(AI61/$B61)^(1/$C$49)</f>
        <v>0.6295146156234982</v>
      </c>
      <c r="AK50" s="44">
        <f>100*$B$49*(Global!AJ135*$B$48+Global!AJ135^2*$C$48)*(AJ61/$B61)^(1/$C$49)</f>
        <v>0.74918567056990693</v>
      </c>
      <c r="AL50" s="44">
        <f>100*$B$49*(Global!AK135*$B$48+Global!AK135^2*$C$48)*(AK61/$B61)^(1/$C$49)</f>
        <v>0.80297834186640538</v>
      </c>
      <c r="AM50" s="44">
        <f>100*$B$49*(Global!AL135*$B$48+Global!AL135^2*$C$48)*(AL61/$B61)^(1/$C$49)</f>
        <v>0.83241814947751613</v>
      </c>
      <c r="AN50" s="44">
        <f>100*$B$49*(Global!AM135*$B$48+Global!AM135^2*$C$48)*(AM61/$B61)^(1/$C$49)</f>
        <v>0.85160888922507905</v>
      </c>
      <c r="AO50" s="44">
        <f>100*$B$49*(Global!AN135*$B$48+Global!AN135^2*$C$48)*(AN61/$B61)^(1/$C$49)</f>
        <v>0.86600731816288312</v>
      </c>
      <c r="AP50" s="44">
        <f>100*$B$49*(Global!AO135*$B$48+Global!AO135^2*$C$48)*(AO61/$B61)^(1/$C$49)</f>
        <v>0.8780635765264424</v>
      </c>
      <c r="AQ50" s="44">
        <f>100*$B$49*(Global!AP135*$B$48+Global!AP135^2*$C$48)*(AP61/$B61)^(1/$C$49)</f>
        <v>0.8889775786849422</v>
      </c>
      <c r="AR50" s="44">
        <f>100*$B$49*(Global!AQ135*$B$48+Global!AQ135^2*$C$48)*(AQ61/$B61)^(1/$C$49)</f>
        <v>0.89936633841665636</v>
      </c>
      <c r="AS50" s="44">
        <f>100*$B$49*(Global!AR135*$B$48+Global!AR135^2*$C$48)*(AR61/$B61)^(1/$C$49)</f>
        <v>0.90955648805412814</v>
      </c>
      <c r="AT50" s="44">
        <f>100*$B$49*(Global!AS135*$B$48+Global!AS135^2*$C$48)*(AS61/$B61)^(1/$C$49)</f>
        <v>0.91972449099719888</v>
      </c>
      <c r="AU50" s="44">
        <f>100*$B$49*(Global!AT135*$B$48+Global!AT135^2*$C$48)*(AT61/$B61)^(1/$C$49)</f>
        <v>0.92996748027624732</v>
      </c>
      <c r="AV50" s="44">
        <f>100*$B$49*(Global!AU135*$B$48+Global!AU135^2*$C$48)*(AU61/$B61)^(1/$C$49)</f>
        <v>0.94034013719102105</v>
      </c>
      <c r="AW50" s="44">
        <f>100*$B$49*(Global!AV135*$B$48+Global!AV135^2*$C$48)*(AV61/$B61)^(1/$C$49)</f>
        <v>0.9508742184377853</v>
      </c>
      <c r="AX50" s="44">
        <f>100*$B$49*(Global!AW135*$B$48+Global!AW135^2*$C$48)*(AW61/$B61)^(1/$C$49)</f>
        <v>0.96158899763849381</v>
      </c>
      <c r="AY50" s="44">
        <f>100*$B$49*(Global!AX135*$B$48+Global!AX135^2*$C$48)*(AX61/$B61)^(1/$C$49)</f>
        <v>0.9724968833698886</v>
      </c>
      <c r="AZ50" s="44">
        <f>100*$B$49*(Global!AY135*$B$48+Global!AY135^2*$C$48)*(AY61/$B61)^(1/$C$49)</f>
        <v>0.9836064563208271</v>
      </c>
      <c r="BA50" s="44">
        <f>100*$B$49*(Global!AZ135*$B$48+Global!AZ135^2*$C$48)*(AZ61/$B61)^(1/$C$49)</f>
        <v>0.99492411912308587</v>
      </c>
      <c r="BB50" s="44">
        <f>100*$B$49*(Global!BA135*$B$48+Global!BA135^2*$C$48)*(BA61/$B61)^(1/$C$49)</f>
        <v>1.0064549981528608</v>
      </c>
      <c r="BC50" s="44">
        <f>100*$B$49*(Global!BB135*$B$48+Global!BB135^2*$C$48)*(BB61/$B61)^(1/$C$49)</f>
        <v>1.0182034409946357</v>
      </c>
      <c r="BD50" s="44">
        <f>100*$B$49*(Global!BC135*$B$48+Global!BC135^2*$C$48)*(BC61/$B61)^(1/$C$49)</f>
        <v>1.0301732947579696</v>
      </c>
      <c r="BE50" s="44">
        <f>100*$B$49*(Global!BD135*$B$48+Global!BD135^2*$C$48)*(BD61/$B61)^(1/$C$49)</f>
        <v>1.0423680651917044</v>
      </c>
      <c r="BF50" s="44">
        <f>100*$B$49*(Global!BE135*$B$48+Global!BE135^2*$C$48)*(BE61/$B61)^(1/$C$49)</f>
        <v>1.0547910106090936</v>
      </c>
      <c r="BG50" s="44">
        <f>100*$B$49*(Global!BF135*$B$48+Global!BF135^2*$C$48)*(BF61/$B61)^(1/$C$49)</f>
        <v>1.0674622042845188</v>
      </c>
      <c r="BH50" s="44">
        <f>100*$B$49*(Global!BG135*$B$48+Global!BG135^2*$C$48)*(BG61/$B61)^(1/$C$49)</f>
        <v>1.0803676566770655</v>
      </c>
      <c r="BI50" s="44">
        <f>100*$B$49*(Global!BH135*$B$48+Global!BH135^2*$C$48)*(BH61/$B61)^(1/$C$49)</f>
        <v>1.093505635163377</v>
      </c>
      <c r="BJ50" s="44">
        <f>100*$B$49*(Global!BI135*$B$48+Global!BI135^2*$C$48)*(BI61/$B61)^(1/$C$49)</f>
        <v>1.106878672214447</v>
      </c>
      <c r="BK50" s="44">
        <f>100*$B$49*(Global!BJ80*$B$48+Global!BJ80^2*$C$48)*(BJ61/$B61)^(1/$C$49)</f>
        <v>1.1111414773063315</v>
      </c>
      <c r="BL50" s="44">
        <f>100*$B$49*(Global!BK80*$B$48+Global!BK80^2*$C$48)*(BK61/$B61)^(1/$C$49)</f>
        <v>1.1155120857185219</v>
      </c>
      <c r="BM50" s="44">
        <f>100*$B$49*(Global!BL80*$B$48+Global!BL80^2*$C$48)*(BL61/$B61)^(1/$C$49)</f>
        <v>1.1199877791658972</v>
      </c>
      <c r="BN50" s="44">
        <f>100*$B$49*(Global!BM80*$B$48+Global!BM80^2*$C$48)*(BM61/$B61)^(1/$C$49)</f>
        <v>1.1245659049201964</v>
      </c>
      <c r="BO50" s="44">
        <f>100*$B$49*(Global!BN80*$B$48+Global!BN80^2*$C$48)*(BN61/$B61)^(1/$C$49)</f>
        <v>1.1292438742307769</v>
      </c>
      <c r="BP50" s="44">
        <f>100*$B$49*(Global!BO80*$B$48+Global!BO80^2*$C$48)*(BO61/$B61)^(1/$C$49)</f>
        <v>1.1340191607834398</v>
      </c>
      <c r="BQ50" s="44">
        <f>100*$B$49*(Global!BP80*$B$48+Global!BP80^2*$C$48)*(BP61/$B61)^(1/$C$49)</f>
        <v>1.1388892991964037</v>
      </c>
      <c r="BR50" s="44">
        <f>100*$B$49*(Global!BQ80*$B$48+Global!BQ80^2*$C$48)*(BQ61/$B61)^(1/$C$49)</f>
        <v>1.1438518835525322</v>
      </c>
      <c r="BS50" s="44">
        <f>100*$B$49*(Global!BR80*$B$48+Global!BR80^2*$C$48)*(BR61/$B61)^(1/$C$49)</f>
        <v>1.1489045659669337</v>
      </c>
      <c r="BT50" s="44">
        <f>100*$B$49*(Global!BS80*$B$48+Global!BS80^2*$C$48)*(BS61/$B61)^(1/$C$49)</f>
        <v>1.1540450551890939</v>
      </c>
      <c r="BU50" s="44">
        <f>100*$B$49*(Global!BT80*$B$48+Global!BT80^2*$C$48)*(BT61/$B61)^(1/$C$49)</f>
        <v>1.1592711152386856</v>
      </c>
      <c r="BV50" s="44">
        <f>100*$B$49*(Global!BU80*$B$48+Global!BU80^2*$C$48)*(BU61/$B61)^(1/$C$49)</f>
        <v>1.164580564074267</v>
      </c>
      <c r="BW50" s="44">
        <f>100*$B$49*(Global!BV80*$B$48+Global!BV80^2*$C$48)*(BV61/$B61)^(1/$C$49)</f>
        <v>1.1699712722940587</v>
      </c>
      <c r="BX50" s="44">
        <f>100*$B$49*(Global!BW80*$B$48+Global!BW80^2*$C$48)*(BW61/$B61)^(1/$C$49)</f>
        <v>1.1754411618680314</v>
      </c>
      <c r="BY50" s="44">
        <f>100*$B$49*(Global!BX80*$B$48+Global!BX80^2*$C$48)*(BX61/$B61)^(1/$C$49)</f>
        <v>1.1809882049005473</v>
      </c>
      <c r="BZ50" s="44">
        <f>100*$B$49*(Global!BY80*$B$48+Global!BY80^2*$C$48)*(BY61/$B61)^(1/$C$49)</f>
        <v>1.1866104224228222</v>
      </c>
      <c r="CA50" s="44">
        <f>100*$B$49*(Global!BZ80*$B$48+Global!BZ80^2*$C$48)*(BZ61/$B61)^(1/$C$49)</f>
        <v>1.1923058832144813</v>
      </c>
      <c r="CB50" s="44">
        <f>100*$B$49*(Global!CA80*$B$48+Global!CA80^2*$C$48)*(CA61/$B61)^(1/$C$49)</f>
        <v>1.1980727026535143</v>
      </c>
      <c r="CC50" s="44">
        <f>100*$B$49*(Global!CB80*$B$48+Global!CB80^2*$C$48)*(CB61/$B61)^(1/$C$49)</f>
        <v>1.2039090415939411</v>
      </c>
      <c r="CD50" s="44">
        <f>100*$B$49*(Global!CC80*$B$48+Global!CC80^2*$C$48)*(CC61/$B61)^(1/$C$49)</f>
        <v>1.2098131052705206</v>
      </c>
      <c r="CE50" s="44">
        <f>100*$B$49*(Global!CD80*$B$48+Global!CD80^2*$C$48)*(CD61/$B61)^(1/$C$49)</f>
        <v>1.2157831422298486</v>
      </c>
      <c r="CF50" s="44">
        <f>100*$B$49*(Global!CE80*$B$48+Global!CE80^2*$C$48)*(CE61/$B61)^(1/$C$49)</f>
        <v>1.2218174432872122</v>
      </c>
      <c r="CG50" s="44">
        <f>100*$B$49*(Global!CF80*$B$48+Global!CF80^2*$C$48)*(CF61/$B61)^(1/$C$49)</f>
        <v>1.2279143405085762</v>
      </c>
      <c r="CH50" s="44">
        <f>100*$B$49*(Global!CG80*$B$48+Global!CG80^2*$C$48)*(CG61/$B61)^(1/$C$49)</f>
        <v>1.2340722062170966</v>
      </c>
      <c r="CI50" s="44">
        <f>100*$B$49*(Global!CH80*$B$48+Global!CH80^2*$C$48)*(CH61/$B61)^(1/$C$49)</f>
        <v>1.2402894520235697</v>
      </c>
      <c r="CJ50" s="44">
        <f>100*$B$49*(Global!CI80*$B$48+Global!CI80^2*$C$48)*(CI61/$B61)^(1/$C$49)</f>
        <v>1.2465645278802393</v>
      </c>
      <c r="CK50" s="44">
        <f>100*$B$49*(Global!CJ80*$B$48+Global!CJ80^2*$C$48)*(CJ61/$B61)^(1/$C$49)</f>
        <v>1.2528959211574016</v>
      </c>
      <c r="CL50" s="44">
        <f>100*$B$49*(Global!CK80*$B$48+Global!CK80^2*$C$48)*(CK61/$B61)^(1/$C$49)</f>
        <v>1.2592821557422509</v>
      </c>
      <c r="CM50" s="44">
        <f>100*$B$49*(Global!CL80*$B$48+Global!CL80^2*$C$48)*(CL61/$B61)^(1/$C$49)</f>
        <v>1.2657217911594396</v>
      </c>
      <c r="CN50" s="44">
        <f>100*$B$49*(Global!CM80*$B$48+Global!CM80^2*$C$48)*(CM61/$B61)^(1/$C$49)</f>
        <v>1.2722134217128205</v>
      </c>
      <c r="CO50" s="44">
        <f>100*$B$49*(Global!CN80*$B$48+Global!CN80^2*$C$48)*(CN61/$B61)^(1/$C$49)</f>
        <v>1.2787556756478675</v>
      </c>
      <c r="CP50" s="44">
        <f>100*$B$49*(Global!CO80*$B$48+Global!CO80^2*$C$48)*(CO61/$B61)^(1/$C$49)</f>
        <v>1.285347214334269</v>
      </c>
      <c r="CQ50" s="44">
        <f>100*$B$49*(Global!CP80*$B$48+Global!CP80^2*$C$48)*(CP61/$B61)^(1/$C$49)</f>
        <v>1.2919867314682143</v>
      </c>
      <c r="CR50" s="44">
        <f>100*$B$49*(Global!CQ80*$B$48+Global!CQ80^2*$C$48)*(CQ61/$B61)^(1/$C$49)</f>
        <v>1.2986729522938973</v>
      </c>
      <c r="CS50" s="44">
        <f>100*$B$49*(Global!CR80*$B$48+Global!CR80^2*$C$48)*(CR61/$B61)^(1/$C$49)</f>
        <v>1.3054046328437683</v>
      </c>
      <c r="CT50" s="44">
        <f>100*$B$49*(Global!CS80*$B$48+Global!CS80^2*$C$48)*(CS61/$B61)^(1/$C$49)</f>
        <v>1.3121805591970883</v>
      </c>
      <c r="CU50" s="44">
        <f>100*$B$49*(Global!CT80*$B$48+Global!CT80^2*$C$48)*(CT61/$B61)^(1/$C$49)</f>
        <v>1.3189995467563449</v>
      </c>
      <c r="CV50" s="44">
        <f>100*$B$49*(Global!CU80*$B$48+Global!CU80^2*$C$48)*(CU61/$B61)^(1/$C$49)</f>
        <v>1.3258604395410942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82">
        <f>+Data!B241/1000</f>
        <v>1.5599047040985921E-2</v>
      </c>
      <c r="C52" s="114">
        <f>+B95-B92</f>
        <v>104.75794463237696</v>
      </c>
    </row>
    <row r="53" spans="1:105" ht="18" customHeight="1" x14ac:dyDescent="0.2">
      <c r="A53" s="21" t="s">
        <v>121</v>
      </c>
      <c r="B53" s="135">
        <f>+Data!O176</f>
        <v>-256.71108634943255</v>
      </c>
      <c r="C53" s="114">
        <f>+Data!Q176</f>
        <v>-79.157194445829305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5" x14ac:dyDescent="0.2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5" x14ac:dyDescent="0.2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1.6796987665062539</v>
      </c>
      <c r="C61" s="682">
        <v>1.7819652745965224</v>
      </c>
      <c r="D61" s="682">
        <v>1.9391234665905146</v>
      </c>
      <c r="E61" s="682">
        <v>1.9759341745266359</v>
      </c>
      <c r="F61" s="682">
        <v>2.0045185797855249</v>
      </c>
      <c r="G61" s="682">
        <v>2.2028483603237046</v>
      </c>
      <c r="H61" s="682">
        <v>2.3058162281955008</v>
      </c>
      <c r="I61" s="682">
        <v>2.3820882314925891</v>
      </c>
      <c r="J61" s="682">
        <v>2.4797180262709833</v>
      </c>
      <c r="K61" s="682">
        <v>2.5043408265093339</v>
      </c>
      <c r="L61" s="682">
        <v>2.7365896770598974</v>
      </c>
      <c r="M61" s="682">
        <v>2.7647417329002923</v>
      </c>
      <c r="N61" s="682">
        <v>2.803030107988429</v>
      </c>
      <c r="O61" s="682">
        <v>2.951387796207551</v>
      </c>
      <c r="P61" s="682">
        <v>3.2150503974456681</v>
      </c>
      <c r="Q61" s="682">
        <v>3.3651417632914233</v>
      </c>
      <c r="R61" s="682">
        <v>3.5538386380132505</v>
      </c>
      <c r="S61" s="682">
        <v>3.7356314235005486</v>
      </c>
      <c r="T61" s="682">
        <v>3.8974081693029916</v>
      </c>
      <c r="U61" s="682">
        <v>3.8893407357860612</v>
      </c>
      <c r="V61" s="682">
        <v>4.08565963001963</v>
      </c>
      <c r="W61" s="682">
        <v>4.3612756386728169</v>
      </c>
      <c r="X61" s="682">
        <v>4.483937199555764</v>
      </c>
      <c r="Y61" s="682">
        <v>4.5981688307195805</v>
      </c>
      <c r="Z61" s="682">
        <v>4.7696161846857352</v>
      </c>
      <c r="AA61" s="682">
        <v>4.9112452096924164</v>
      </c>
      <c r="AB61" s="682">
        <v>5.1755313288962324</v>
      </c>
      <c r="AC61" s="682">
        <v>5.2148461941729343</v>
      </c>
      <c r="AD61" s="682">
        <v>5.2824138571822035</v>
      </c>
      <c r="AE61" s="682">
        <v>5.2989643362942562</v>
      </c>
      <c r="AF61" s="682">
        <v>5.1151781044507931</v>
      </c>
      <c r="AG61" s="682">
        <v>5.3236617837094142</v>
      </c>
      <c r="AH61" s="682">
        <v>5.594652941052094</v>
      </c>
      <c r="AI61" s="45">
        <f t="shared" ref="B61:BI61" si="11">AI20*AI74^$B7*(AI56/1000)^(1-$B7)</f>
        <v>74.979651890732782</v>
      </c>
      <c r="AJ61" s="45">
        <f t="shared" si="11"/>
        <v>150.26807182018564</v>
      </c>
      <c r="AK61" s="45">
        <f t="shared" si="11"/>
        <v>197.9555898371764</v>
      </c>
      <c r="AL61" s="45">
        <f t="shared" si="11"/>
        <v>228.04786657821097</v>
      </c>
      <c r="AM61" s="45">
        <f t="shared" si="11"/>
        <v>249.0008148719221</v>
      </c>
      <c r="AN61" s="45">
        <f t="shared" si="11"/>
        <v>265.20890916380637</v>
      </c>
      <c r="AO61" s="45">
        <f t="shared" si="11"/>
        <v>278.97035633772754</v>
      </c>
      <c r="AP61" s="45">
        <f t="shared" si="11"/>
        <v>291.52048662387892</v>
      </c>
      <c r="AQ61" s="45">
        <f t="shared" si="11"/>
        <v>303.53726490680373</v>
      </c>
      <c r="AR61" s="45">
        <f t="shared" si="11"/>
        <v>315.39913801246524</v>
      </c>
      <c r="AS61" s="45">
        <f t="shared" si="11"/>
        <v>327.32131664117446</v>
      </c>
      <c r="AT61" s="45">
        <f t="shared" si="11"/>
        <v>339.42940312275294</v>
      </c>
      <c r="AU61" s="45">
        <f t="shared" si="11"/>
        <v>351.79966622410592</v>
      </c>
      <c r="AV61" s="45">
        <f t="shared" si="11"/>
        <v>364.48122201092565</v>
      </c>
      <c r="AW61" s="45">
        <f t="shared" si="11"/>
        <v>377.50829570185743</v>
      </c>
      <c r="AX61" s="45">
        <f t="shared" si="11"/>
        <v>390.90701571410921</v>
      </c>
      <c r="AY61" s="45">
        <f t="shared" si="11"/>
        <v>404.6991850697683</v>
      </c>
      <c r="AZ61" s="45">
        <f t="shared" si="11"/>
        <v>418.90437964183945</v>
      </c>
      <c r="BA61" s="45">
        <f t="shared" si="11"/>
        <v>433.54111977708578</v>
      </c>
      <c r="BB61" s="45">
        <f t="shared" si="11"/>
        <v>448.62752874857136</v>
      </c>
      <c r="BC61" s="45">
        <f t="shared" si="11"/>
        <v>464.18170712575812</v>
      </c>
      <c r="BD61" s="45">
        <f t="shared" si="11"/>
        <v>480.2219500102965</v>
      </c>
      <c r="BE61" s="45">
        <f t="shared" si="11"/>
        <v>496.76687748020544</v>
      </c>
      <c r="BF61" s="45">
        <f t="shared" si="11"/>
        <v>513.86825963792467</v>
      </c>
      <c r="BG61" s="45">
        <f t="shared" si="11"/>
        <v>531.51447589158761</v>
      </c>
      <c r="BH61" s="45">
        <f t="shared" si="11"/>
        <v>549.71647018245937</v>
      </c>
      <c r="BI61" s="45">
        <f t="shared" si="11"/>
        <v>568.49391893999837</v>
      </c>
      <c r="BJ61" s="45">
        <f>+BI61</f>
        <v>568.49391893999837</v>
      </c>
      <c r="BK61" s="45">
        <f t="shared" ref="BK61:CV61" si="12">+BJ61</f>
        <v>568.49391893999837</v>
      </c>
      <c r="BL61" s="45">
        <f t="shared" si="12"/>
        <v>568.49391893999837</v>
      </c>
      <c r="BM61" s="45">
        <f t="shared" si="12"/>
        <v>568.49391893999837</v>
      </c>
      <c r="BN61" s="45">
        <f t="shared" si="12"/>
        <v>568.49391893999837</v>
      </c>
      <c r="BO61" s="45">
        <f t="shared" si="12"/>
        <v>568.49391893999837</v>
      </c>
      <c r="BP61" s="45">
        <f t="shared" si="12"/>
        <v>568.49391893999837</v>
      </c>
      <c r="BQ61" s="45">
        <f t="shared" si="12"/>
        <v>568.49391893999837</v>
      </c>
      <c r="BR61" s="45">
        <f t="shared" si="12"/>
        <v>568.49391893999837</v>
      </c>
      <c r="BS61" s="45">
        <f t="shared" si="12"/>
        <v>568.49391893999837</v>
      </c>
      <c r="BT61" s="45">
        <f t="shared" si="12"/>
        <v>568.49391893999837</v>
      </c>
      <c r="BU61" s="45">
        <f t="shared" si="12"/>
        <v>568.49391893999837</v>
      </c>
      <c r="BV61" s="45">
        <f t="shared" si="12"/>
        <v>568.49391893999837</v>
      </c>
      <c r="BW61" s="45">
        <f t="shared" si="12"/>
        <v>568.49391893999837</v>
      </c>
      <c r="BX61" s="45">
        <f t="shared" si="12"/>
        <v>568.49391893999837</v>
      </c>
      <c r="BY61" s="45">
        <f t="shared" si="12"/>
        <v>568.49391893999837</v>
      </c>
      <c r="BZ61" s="45">
        <f t="shared" si="12"/>
        <v>568.49391893999837</v>
      </c>
      <c r="CA61" s="45">
        <f t="shared" si="12"/>
        <v>568.49391893999837</v>
      </c>
      <c r="CB61" s="45">
        <f t="shared" si="12"/>
        <v>568.49391893999837</v>
      </c>
      <c r="CC61" s="45">
        <f t="shared" si="12"/>
        <v>568.49391893999837</v>
      </c>
      <c r="CD61" s="45">
        <f t="shared" si="12"/>
        <v>568.49391893999837</v>
      </c>
      <c r="CE61" s="45">
        <f t="shared" si="12"/>
        <v>568.49391893999837</v>
      </c>
      <c r="CF61" s="45">
        <f t="shared" si="12"/>
        <v>568.49391893999837</v>
      </c>
      <c r="CG61" s="45">
        <f t="shared" si="12"/>
        <v>568.49391893999837</v>
      </c>
      <c r="CH61" s="45">
        <f t="shared" si="12"/>
        <v>568.49391893999837</v>
      </c>
      <c r="CI61" s="45">
        <f t="shared" si="12"/>
        <v>568.49391893999837</v>
      </c>
      <c r="CJ61" s="45">
        <f t="shared" si="12"/>
        <v>568.49391893999837</v>
      </c>
      <c r="CK61" s="45">
        <f t="shared" si="12"/>
        <v>568.49391893999837</v>
      </c>
      <c r="CL61" s="45">
        <f t="shared" si="12"/>
        <v>568.49391893999837</v>
      </c>
      <c r="CM61" s="45">
        <f t="shared" si="12"/>
        <v>568.49391893999837</v>
      </c>
      <c r="CN61" s="45">
        <f t="shared" si="12"/>
        <v>568.49391893999837</v>
      </c>
      <c r="CO61" s="45">
        <f t="shared" si="12"/>
        <v>568.49391893999837</v>
      </c>
      <c r="CP61" s="45">
        <f t="shared" si="12"/>
        <v>568.49391893999837</v>
      </c>
      <c r="CQ61" s="45">
        <f t="shared" si="12"/>
        <v>568.49391893999837</v>
      </c>
      <c r="CR61" s="45">
        <f t="shared" si="12"/>
        <v>568.49391893999837</v>
      </c>
      <c r="CS61" s="45">
        <f t="shared" si="12"/>
        <v>568.49391893999837</v>
      </c>
      <c r="CT61" s="45">
        <f t="shared" si="12"/>
        <v>568.49391893999837</v>
      </c>
      <c r="CU61" s="45">
        <f t="shared" si="12"/>
        <v>568.49391893999837</v>
      </c>
      <c r="CV61" s="45">
        <f t="shared" si="12"/>
        <v>568.49391893999837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2.8236976195584085E-3</v>
      </c>
      <c r="C62" s="63">
        <f>($B24*C81+$B25*C81^$B$26+$B$29*(C81/$B$27)^$B$28)*Parameters!$B$116*0.01</f>
        <v>2.574476990455099E-3</v>
      </c>
      <c r="D62" s="63">
        <f>($B24*D81+$B25*D81^$B$26+$B$29*(D81/$B$27)^$B$28)*Parameters!$B$116*0.01</f>
        <v>1.7429425283293509E-3</v>
      </c>
      <c r="E62" s="63">
        <f>($B24*E81+$B25*E81^$B$26+$B$29*(E81/$B$27)^$B$28)*Parameters!$B$116*0.01</f>
        <v>1.786442711865359E-3</v>
      </c>
      <c r="F62" s="63">
        <f>($B24*F81+$B25*F81^$B$26+$B$29*(F81/$B$27)^$B$28)*Parameters!$B$116*0.01</f>
        <v>2.1458632762658011E-3</v>
      </c>
      <c r="G62" s="63">
        <f>($B24*G81+$B25*G81^$B$26+$B$29*(G81/$B$27)^$B$28)*Parameters!$B$116*0.01</f>
        <v>2.7732190995092814E-3</v>
      </c>
      <c r="H62" s="63">
        <f>($B24*H81+$B25*H81^$B$26+$B$29*(H81/$B$27)^$B$28)*Parameters!$B$116*0.01</f>
        <v>2.2388903885082385E-3</v>
      </c>
      <c r="I62" s="63">
        <f>($B24*I81+$B25*I81^$B$26+$B$29*(I81/$B$27)^$B$28)*Parameters!$B$116*0.01</f>
        <v>2.8744933367217691E-3</v>
      </c>
      <c r="J62" s="63">
        <f>($B24*J81+$B25*J81^$B$26+$B$29*(J81/$B$27)^$B$28)*Parameters!$B$116*0.01</f>
        <v>3.6189390740032426E-3</v>
      </c>
      <c r="K62" s="63">
        <f>($B24*K81+$B25*K81^$B$26+$B$29*(K81/$B$27)^$B$28)*Parameters!$B$116*0.01</f>
        <v>2.4770091186134043E-3</v>
      </c>
      <c r="L62" s="63">
        <f>($B24*L81+$B25*L81^$B$26+$B$29*(L81/$B$27)^$B$28)*Parameters!$B$116*0.01</f>
        <v>2.5255844559771349E-3</v>
      </c>
      <c r="M62" s="63">
        <f>($B24*M81+$B25*M81^$B$26+$B$29*(M81/$B$27)^$B$28)*Parameters!$B$116*0.01</f>
        <v>3.2389448760638054E-3</v>
      </c>
      <c r="N62" s="63">
        <f>($B24*N81+$B25*N81^$B$26+$B$29*(N81/$B$27)^$B$28)*Parameters!$B$116*0.01</f>
        <v>3.7865516869764926E-3</v>
      </c>
      <c r="O62" s="63">
        <f>($B24*O81+$B25*O81^$B$26+$B$29*(O81/$B$27)^$B$28)*Parameters!$B$116*0.01</f>
        <v>3.7303636188711765E-3</v>
      </c>
      <c r="P62" s="63">
        <f>($B24*P81+$B25*P81^$B$26+$B$29*(P81/$B$27)^$B$28)*Parameters!$B$116*0.01</f>
        <v>3.2389448760638054E-3</v>
      </c>
      <c r="Q62" s="63">
        <f>($B24*Q81+$B25*Q81^$B$26+$B$29*(Q81/$B$27)^$B$28)*Parameters!$B$116*0.01</f>
        <v>4.0144759305400816E-3</v>
      </c>
      <c r="R62" s="63">
        <f>($B24*R81+$B25*R81^$B$26+$B$29*(R81/$B$27)^$B$28)*Parameters!$B$116*0.01</f>
        <v>3.8430569521960413E-3</v>
      </c>
      <c r="S62" s="63">
        <f>($B24*S81+$B25*S81^$B$26+$B$29*(S81/$B$27)^$B$28)*Parameters!$B$116*0.01</f>
        <v>3.957019073977836E-3</v>
      </c>
      <c r="T62" s="63">
        <f>($B24*T81+$B25*T81^$B$26+$B$29*(T81/$B$27)^$B$28)*Parameters!$B$116*0.01</f>
        <v>3.2922781701410263E-3</v>
      </c>
      <c r="U62" s="63">
        <f>($B24*U81+$B25*U81^$B$26+$B$29*(U81/$B$27)^$B$28)*Parameters!$B$116*0.01</f>
        <v>3.8998794145298221E-3</v>
      </c>
      <c r="V62" s="63">
        <f>($B24*V81+$B25*V81^$B$26+$B$29*(V81/$B$27)^$B$28)*Parameters!$B$116*0.01</f>
        <v>4.3065181700648056E-3</v>
      </c>
      <c r="W62" s="63">
        <f>($B24*W81+$B25*W81^$B$26+$B$29*(W81/$B$27)^$B$28)*Parameters!$B$116*0.01</f>
        <v>3.674492747880093E-3</v>
      </c>
      <c r="X62" s="63">
        <f>($B24*X81+$B25*X81^$B$26+$B$29*(X81/$B$27)^$B$28)*Parameters!$B$116*0.01</f>
        <v>3.8998794145298221E-3</v>
      </c>
      <c r="Y62" s="63">
        <f>($B24*Y81+$B25*Y81^$B$26+$B$29*(Y81/$B$27)^$B$28)*Parameters!$B$116*0.01</f>
        <v>4.0722499842165607E-3</v>
      </c>
      <c r="Z62" s="63">
        <f>($B24*Z81+$B25*Z81^$B$26+$B$29*(Z81/$B$27)^$B$28)*Parameters!$B$116*0.01</f>
        <v>4.4255554456743233E-3</v>
      </c>
      <c r="AA62" s="63">
        <f>($B24*AA81+$B25*AA81^$B$26+$B$29*(AA81/$B$27)^$B$28)*Parameters!$B$116*0.01</f>
        <v>5.4235300349999762E-3</v>
      </c>
      <c r="AB62" s="63">
        <f>($B24*AB81+$B25*AB81^$B$26+$B$29*(AB81/$B$27)^$B$28)*Parameters!$B$116*0.01</f>
        <v>6.1567413366249183E-3</v>
      </c>
      <c r="AC62" s="63">
        <f>($B24*AC81+$B25*AC81^$B$26+$B$29*(AC81/$B$27)^$B$28)*Parameters!$B$116*0.01</f>
        <v>5.5539864067218718E-3</v>
      </c>
      <c r="AD62" s="63">
        <f>($B24*AD81+$B25*AD81^$B$26+$B$29*(AD81/$B$27)^$B$28)*Parameters!$B$116*0.01</f>
        <v>5.102940055194312E-3</v>
      </c>
      <c r="AE62" s="63">
        <f>($B24*AE81+$B25*AE81^$B$26+$B$29*(AE81/$B$27)^$B$28)*Parameters!$B$116*0.01</f>
        <v>5.9529682526291419E-3</v>
      </c>
      <c r="AF62" s="63">
        <f>($B24*AF81+$B25*AF81^$B$26+$B$29*(AF81/$B$27)^$B$28)*Parameters!$B$116*0.01</f>
        <v>6.1567413366249183E-3</v>
      </c>
      <c r="AG62" s="63">
        <f>($B24*AG81+$B25*AG81^$B$26+$B$29*(AG81/$B$27)^$B$28)*Parameters!$B$116*0.01</f>
        <v>5.102940055194312E-3</v>
      </c>
      <c r="AH62" s="63">
        <f>($B24*AH81+$B25*AH81^$B$26+$B$29*(AH81/$B$27)^$B$28)*Parameters!$B$116*0.01</f>
        <v>5.3587776448103773E-3</v>
      </c>
      <c r="AI62" s="63">
        <f>($B24*AI81+$B25*AI81^$B$26+$B$29*(AI81/$B$27)^$B$28)*Parameters!$B$116*0.01</f>
        <v>7.2917450792990939E-3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2.8236976195584085E-3</v>
      </c>
      <c r="C63" s="63">
        <f t="shared" si="13"/>
        <v>2.9069808459794722E-3</v>
      </c>
      <c r="D63" s="63">
        <f t="shared" si="13"/>
        <v>2.1343510646802842E-3</v>
      </c>
      <c r="E63" s="63">
        <f t="shared" si="13"/>
        <v>2.2503150166521091E-3</v>
      </c>
      <c r="F63" s="63">
        <f t="shared" si="13"/>
        <v>2.6764839167026165E-3</v>
      </c>
      <c r="G63" s="63">
        <f t="shared" si="13"/>
        <v>3.3753021041224639E-3</v>
      </c>
      <c r="H63" s="63">
        <f t="shared" si="13"/>
        <v>2.9345832182827141E-3</v>
      </c>
      <c r="I63" s="63">
        <f t="shared" si="13"/>
        <v>3.650190312494867E-3</v>
      </c>
      <c r="J63" s="63">
        <f t="shared" si="13"/>
        <v>4.481624216138261E-3</v>
      </c>
      <c r="K63" s="63">
        <f t="shared" si="13"/>
        <v>3.4383680094674167E-3</v>
      </c>
      <c r="L63" s="63">
        <f t="shared" si="13"/>
        <v>3.5638142397086715E-3</v>
      </c>
      <c r="M63" s="63">
        <f t="shared" si="13"/>
        <v>4.3766150322259653E-3</v>
      </c>
      <c r="N63" s="63">
        <f t="shared" si="13"/>
        <v>4.9946642706343754E-3</v>
      </c>
      <c r="O63" s="63">
        <f t="shared" si="13"/>
        <v>5.0161325040612575E-3</v>
      </c>
      <c r="P63" s="63">
        <f t="shared" si="13"/>
        <v>4.6140432378326268E-3</v>
      </c>
      <c r="Q63" s="63">
        <f t="shared" si="13"/>
        <v>5.486306996799333E-3</v>
      </c>
      <c r="R63" s="63">
        <f t="shared" si="13"/>
        <v>5.4081595890842268E-3</v>
      </c>
      <c r="S63" s="63">
        <f t="shared" si="13"/>
        <v>5.6178006419467519E-3</v>
      </c>
      <c r="T63" s="63">
        <f t="shared" si="13"/>
        <v>5.0492726596379871E-3</v>
      </c>
      <c r="U63" s="63">
        <f t="shared" si="13"/>
        <v>5.7423657825483813E-3</v>
      </c>
      <c r="V63" s="63">
        <f t="shared" si="13"/>
        <v>6.22142113375061E-3</v>
      </c>
      <c r="W63" s="63">
        <f t="shared" si="13"/>
        <v>5.6910998679020244E-3</v>
      </c>
      <c r="X63" s="63">
        <f t="shared" si="13"/>
        <v>6.0201062310279163E-3</v>
      </c>
      <c r="Y63" s="63">
        <f t="shared" si="13"/>
        <v>6.2799392065123359E-3</v>
      </c>
      <c r="Z63" s="63">
        <f t="shared" si="13"/>
        <v>6.7213611682802928E-3</v>
      </c>
      <c r="AA63" s="63">
        <f t="shared" si="13"/>
        <v>7.8183559340447312E-3</v>
      </c>
      <c r="AB63" s="63">
        <f t="shared" si="13"/>
        <v>8.6574502302120132E-3</v>
      </c>
      <c r="AC63" s="63">
        <f t="shared" si="13"/>
        <v>8.183191557559838E-3</v>
      </c>
      <c r="AD63" s="63">
        <f t="shared" si="13"/>
        <v>7.8248632825592725E-3</v>
      </c>
      <c r="AE63" s="63">
        <f t="shared" si="13"/>
        <v>8.7653904067774655E-3</v>
      </c>
      <c r="AF63" s="63">
        <f t="shared" si="13"/>
        <v>9.0606204438614668E-3</v>
      </c>
      <c r="AG63" s="63">
        <f t="shared" si="13"/>
        <v>8.0702008082308083E-3</v>
      </c>
      <c r="AH63" s="63">
        <f t="shared" si="13"/>
        <v>8.4333543914682577E-3</v>
      </c>
      <c r="AI63" s="63">
        <f t="shared" si="13"/>
        <v>1.0484662466728262E-2</v>
      </c>
      <c r="AJ63" s="63">
        <f t="shared" si="13"/>
        <v>6.2951461562349821E-3</v>
      </c>
      <c r="AK63" s="63">
        <f t="shared" si="13"/>
        <v>7.4918567056990694E-3</v>
      </c>
      <c r="AL63" s="63">
        <f t="shared" si="13"/>
        <v>8.0297834186640535E-3</v>
      </c>
      <c r="AM63" s="63">
        <f t="shared" si="13"/>
        <v>8.3241814947751618E-3</v>
      </c>
      <c r="AN63" s="63">
        <f t="shared" si="13"/>
        <v>8.5160888922507904E-3</v>
      </c>
      <c r="AO63" s="63">
        <f t="shared" si="13"/>
        <v>8.6600731816288308E-3</v>
      </c>
      <c r="AP63" s="63">
        <f t="shared" si="13"/>
        <v>8.7806357652644232E-3</v>
      </c>
      <c r="AQ63" s="63">
        <f t="shared" si="13"/>
        <v>8.8897757868494215E-3</v>
      </c>
      <c r="AR63" s="63">
        <f t="shared" si="13"/>
        <v>8.9936633841665638E-3</v>
      </c>
      <c r="AS63" s="63">
        <f t="shared" si="13"/>
        <v>9.0955648805412809E-3</v>
      </c>
      <c r="AT63" s="63">
        <f t="shared" si="13"/>
        <v>9.1972449099719886E-3</v>
      </c>
      <c r="AU63" s="63">
        <f t="shared" si="13"/>
        <v>9.2996748027624736E-3</v>
      </c>
      <c r="AV63" s="63">
        <f t="shared" si="13"/>
        <v>9.4034013719102097E-3</v>
      </c>
      <c r="AW63" s="63">
        <f t="shared" si="13"/>
        <v>9.5087421843778538E-3</v>
      </c>
      <c r="AX63" s="63">
        <f t="shared" si="13"/>
        <v>9.6158899763849389E-3</v>
      </c>
      <c r="AY63" s="63">
        <f t="shared" si="13"/>
        <v>9.7249688336988865E-3</v>
      </c>
      <c r="AZ63" s="63">
        <f t="shared" si="13"/>
        <v>9.8360645632082702E-3</v>
      </c>
      <c r="BA63" s="63">
        <f t="shared" si="13"/>
        <v>9.9492411912308586E-3</v>
      </c>
      <c r="BB63" s="63">
        <f t="shared" si="13"/>
        <v>1.0064549981528607E-2</v>
      </c>
      <c r="BC63" s="63">
        <f t="shared" si="13"/>
        <v>1.0182034409946356E-2</v>
      </c>
      <c r="BD63" s="63">
        <f t="shared" si="13"/>
        <v>1.0301732947579696E-2</v>
      </c>
      <c r="BE63" s="63">
        <f t="shared" si="13"/>
        <v>1.0423680651917044E-2</v>
      </c>
      <c r="BF63" s="63">
        <f t="shared" si="13"/>
        <v>1.0547910106090937E-2</v>
      </c>
      <c r="BG63" s="63">
        <f t="shared" si="13"/>
        <v>1.0674622042845187E-2</v>
      </c>
      <c r="BH63" s="63">
        <f t="shared" si="13"/>
        <v>1.0803676566770655E-2</v>
      </c>
      <c r="BI63" s="63">
        <f t="shared" si="13"/>
        <v>1.0935056351633769E-2</v>
      </c>
      <c r="BJ63" s="63">
        <f t="shared" si="13"/>
        <v>1.106878672214447E-2</v>
      </c>
      <c r="BK63" s="63">
        <f t="shared" si="13"/>
        <v>1.1111414773063315E-2</v>
      </c>
      <c r="BL63" s="63">
        <f t="shared" si="13"/>
        <v>1.115512085718522E-2</v>
      </c>
      <c r="BM63" s="63">
        <f t="shared" si="13"/>
        <v>1.1199877791658971E-2</v>
      </c>
      <c r="BN63" s="63">
        <f t="shared" ref="BN63:CV63" si="14">+BN62+BN50/100</f>
        <v>1.1245659049201964E-2</v>
      </c>
      <c r="BO63" s="63">
        <f t="shared" si="14"/>
        <v>1.1292438742307769E-2</v>
      </c>
      <c r="BP63" s="63">
        <f t="shared" si="14"/>
        <v>1.1340191607834399E-2</v>
      </c>
      <c r="BQ63" s="63">
        <f t="shared" si="14"/>
        <v>1.1388892991964036E-2</v>
      </c>
      <c r="BR63" s="63">
        <f t="shared" si="14"/>
        <v>1.1438518835525322E-2</v>
      </c>
      <c r="BS63" s="63">
        <f t="shared" si="14"/>
        <v>1.1489045659669336E-2</v>
      </c>
      <c r="BT63" s="63">
        <f t="shared" si="14"/>
        <v>1.154045055189094E-2</v>
      </c>
      <c r="BU63" s="63">
        <f t="shared" si="14"/>
        <v>1.1592711152386857E-2</v>
      </c>
      <c r="BV63" s="63">
        <f t="shared" si="14"/>
        <v>1.1645805640742669E-2</v>
      </c>
      <c r="BW63" s="63">
        <f t="shared" si="14"/>
        <v>1.1699712722940587E-2</v>
      </c>
      <c r="BX63" s="63">
        <f t="shared" si="14"/>
        <v>1.1754411618680315E-2</v>
      </c>
      <c r="BY63" s="63">
        <f t="shared" si="14"/>
        <v>1.1809882049005474E-2</v>
      </c>
      <c r="BZ63" s="63">
        <f t="shared" si="14"/>
        <v>1.1866104224228222E-2</v>
      </c>
      <c r="CA63" s="63">
        <f t="shared" si="14"/>
        <v>1.1923058832144813E-2</v>
      </c>
      <c r="CB63" s="63">
        <f t="shared" si="14"/>
        <v>1.1980727026535142E-2</v>
      </c>
      <c r="CC63" s="63">
        <f t="shared" si="14"/>
        <v>1.203909041593941E-2</v>
      </c>
      <c r="CD63" s="63">
        <f t="shared" si="14"/>
        <v>1.2098131052705206E-2</v>
      </c>
      <c r="CE63" s="63">
        <f t="shared" si="14"/>
        <v>1.2157831422298487E-2</v>
      </c>
      <c r="CF63" s="63">
        <f t="shared" si="14"/>
        <v>1.2218174432872122E-2</v>
      </c>
      <c r="CG63" s="63">
        <f t="shared" si="14"/>
        <v>1.2279143405085761E-2</v>
      </c>
      <c r="CH63" s="63">
        <f t="shared" si="14"/>
        <v>1.2340722062170966E-2</v>
      </c>
      <c r="CI63" s="63">
        <f t="shared" si="14"/>
        <v>1.2402894520235696E-2</v>
      </c>
      <c r="CJ63" s="63">
        <f t="shared" si="14"/>
        <v>1.2465645278802394E-2</v>
      </c>
      <c r="CK63" s="63">
        <f t="shared" si="14"/>
        <v>1.2528959211574016E-2</v>
      </c>
      <c r="CL63" s="63">
        <f t="shared" si="14"/>
        <v>1.2592821557422508E-2</v>
      </c>
      <c r="CM63" s="63">
        <f t="shared" si="14"/>
        <v>1.2657217911594396E-2</v>
      </c>
      <c r="CN63" s="63">
        <f t="shared" si="14"/>
        <v>1.2722134217128206E-2</v>
      </c>
      <c r="CO63" s="63">
        <f t="shared" si="14"/>
        <v>1.2787556756478675E-2</v>
      </c>
      <c r="CP63" s="63">
        <f t="shared" si="14"/>
        <v>1.285347214334269E-2</v>
      </c>
      <c r="CQ63" s="63">
        <f t="shared" si="14"/>
        <v>1.2919867314682143E-2</v>
      </c>
      <c r="CR63" s="63">
        <f t="shared" si="14"/>
        <v>1.2986729522938974E-2</v>
      </c>
      <c r="CS63" s="63">
        <f t="shared" si="14"/>
        <v>1.3054046328437683E-2</v>
      </c>
      <c r="CT63" s="63">
        <f t="shared" si="14"/>
        <v>1.3121805591970882E-2</v>
      </c>
      <c r="CU63" s="63">
        <f t="shared" si="14"/>
        <v>1.3189995467563449E-2</v>
      </c>
      <c r="CV63" s="63">
        <f t="shared" si="14"/>
        <v>1.3258604395410942E-2</v>
      </c>
    </row>
    <row r="64" spans="1:105" s="143" customFormat="1" ht="18" customHeight="1" x14ac:dyDescent="0.2">
      <c r="A64" s="559" t="s">
        <v>1133</v>
      </c>
      <c r="B64" s="143">
        <f>+B61-B65</f>
        <v>4.7296064301405316E-3</v>
      </c>
      <c r="C64" s="143">
        <f>+C63*C61/(1+C63^Parameters!$B$125)</f>
        <v>5.1801389214526415E-3</v>
      </c>
      <c r="D64" s="143">
        <f>+D63*D61/(1+D63^Parameters!$B$125)</f>
        <v>4.1387702354639885E-3</v>
      </c>
      <c r="E64" s="143">
        <f>+E63*E61/(1+E63^Parameters!$B$125)</f>
        <v>4.4464743448533782E-3</v>
      </c>
      <c r="F64" s="143">
        <f>+F63*F61/(1+F63^Parameters!$B$125)</f>
        <v>5.3650617395275277E-3</v>
      </c>
      <c r="G64" s="143">
        <f>+G63*G61/(1+G63^Parameters!$B$125)</f>
        <v>7.4352787056633195E-3</v>
      </c>
      <c r="H64" s="143">
        <f>+H63*H61/(1+H63^Parameters!$B$125)</f>
        <v>6.7666096077064622E-3</v>
      </c>
      <c r="I64" s="143">
        <f>+I63*I61/(1+I63^Parameters!$B$125)</f>
        <v>8.6950753861022786E-3</v>
      </c>
      <c r="J64" s="143">
        <f>+J63*J61/(1+J63^Parameters!$B$125)</f>
        <v>1.1113164355730612E-2</v>
      </c>
      <c r="K64" s="143">
        <f>+K63*K61/(1+K63^Parameters!$B$125)</f>
        <v>8.6108453826728836E-3</v>
      </c>
      <c r="L64" s="143">
        <f>+L63*L61/(1+L63^Parameters!$B$125)</f>
        <v>9.7526972593458168E-3</v>
      </c>
      <c r="M64" s="143">
        <f>+M63*M61/(1+M63^Parameters!$B$125)</f>
        <v>1.2100210228433885E-2</v>
      </c>
      <c r="N64" s="143">
        <f>+N63*N61/(1+N63^Parameters!$B$125)</f>
        <v>1.4000194329882221E-2</v>
      </c>
      <c r="O64" s="143">
        <f>+O63*O61/(1+O63^Parameters!$B$125)</f>
        <v>1.480455225664642E-2</v>
      </c>
      <c r="P64" s="143">
        <f>+P63*P61/(1+P63^Parameters!$B$125)</f>
        <v>1.4834381545625283E-2</v>
      </c>
      <c r="Q64" s="143">
        <f>+Q63*Q61/(1+Q63^Parameters!$B$125)</f>
        <v>1.846220080116738E-2</v>
      </c>
      <c r="R64" s="143">
        <f>+R63*R61/(1+R63^Parameters!$B$125)</f>
        <v>1.9219726508229389E-2</v>
      </c>
      <c r="S64" s="143">
        <f>+S63*S61/(1+S63^Parameters!$B$125)</f>
        <v>2.0986032609017841E-2</v>
      </c>
      <c r="T64" s="143">
        <f>+T63*T61/(1+T63^Parameters!$B$125)</f>
        <v>1.9679076512711335E-2</v>
      </c>
      <c r="U64" s="143">
        <f>+U63*U61/(1+U63^Parameters!$B$125)</f>
        <v>2.2334017157849422E-2</v>
      </c>
      <c r="V64" s="143">
        <f>+V63*V61/(1+V63^Parameters!$B$125)</f>
        <v>2.5418609167515822E-2</v>
      </c>
      <c r="W64" s="143">
        <f>+W63*W61/(1+W63^Parameters!$B$125)</f>
        <v>2.4820455211135184E-2</v>
      </c>
      <c r="X64" s="143">
        <f>+X63*X61/(1+X63^Parameters!$B$125)</f>
        <v>2.6993778274583519E-2</v>
      </c>
      <c r="Y64" s="143">
        <f>+Y63*Y61/(1+Y63^Parameters!$B$125)</f>
        <v>2.8876220718198876E-2</v>
      </c>
      <c r="Z64" s="143">
        <f>+Z63*Z61/(1+Z63^Parameters!$B$125)</f>
        <v>3.2058313011347907E-2</v>
      </c>
      <c r="AA64" s="143">
        <f>+AA63*AA61/(1+AA63^Parameters!$B$125)</f>
        <v>3.8397863128747461E-2</v>
      </c>
      <c r="AB64" s="143">
        <f>+AB63*AB61/(1+AB63^Parameters!$B$125)</f>
        <v>4.4806904894822176E-2</v>
      </c>
      <c r="AC64" s="143">
        <f>+AC63*AC61/(1+AC63^Parameters!$B$125)</f>
        <v>4.267408535012901E-2</v>
      </c>
      <c r="AD64" s="143">
        <f>+AD63*AD61/(1+AD63^Parameters!$B$125)</f>
        <v>4.1334166234347325E-2</v>
      </c>
      <c r="AE64" s="143">
        <f>+AE63*AE61/(1+AE63^Parameters!$B$125)</f>
        <v>4.644749115920959E-2</v>
      </c>
      <c r="AF64" s="143">
        <f>+AF63*AF61/(1+AF63^Parameters!$B$125)</f>
        <v>4.6346687307179404E-2</v>
      </c>
      <c r="AG64" s="143">
        <f>+AG63*AG61/(1+AG63^Parameters!$B$125)</f>
        <v>4.2963019629639179E-2</v>
      </c>
      <c r="AH64" s="143">
        <f>+AH63*AH61/(1+AH63^Parameters!$B$125)</f>
        <v>4.7181690949162483E-2</v>
      </c>
      <c r="AI64" s="143">
        <f>+AI63*AI61/(1+AI63^Parameters!$B$125)</f>
        <v>0.78613634194711679</v>
      </c>
      <c r="AJ64" s="143">
        <f>+AJ63*AJ61/(1+AJ63^Parameters!$B$125)</f>
        <v>0.94595947472368391</v>
      </c>
      <c r="AK64" s="143">
        <f>+AK63*AK61/(1+AK63^Parameters!$B$125)</f>
        <v>1.4830549131522646</v>
      </c>
      <c r="AL64" s="143">
        <f>+AL63*AL61/(1+AL63^Parameters!$B$125)</f>
        <v>1.8311749777114308</v>
      </c>
      <c r="AM64" s="143">
        <f>+AM63*AM61/(1+AM63^Parameters!$B$125)</f>
        <v>2.0727279753407899</v>
      </c>
      <c r="AN64" s="143">
        <f>+AN63*AN61/(1+AN63^Parameters!$B$125)</f>
        <v>2.2585426454558402</v>
      </c>
      <c r="AO64" s="143">
        <f>+AO63*AO61/(1+AO63^Parameters!$B$125)</f>
        <v>2.4159037013897926</v>
      </c>
      <c r="AP64" s="143">
        <f>+AP63*AP61/(1+AP63^Parameters!$B$125)</f>
        <v>2.5597352111569203</v>
      </c>
      <c r="AQ64" s="143">
        <f>+AQ63*AQ61/(1+AQ63^Parameters!$B$125)</f>
        <v>2.6983782279750024</v>
      </c>
      <c r="AR64" s="143">
        <f>+AR63*AR61/(1+AR63^Parameters!$B$125)</f>
        <v>2.8365936789404054</v>
      </c>
      <c r="AS64" s="143">
        <f>+AS63*AS61/(1+AS63^Parameters!$B$125)</f>
        <v>2.9771722722939988</v>
      </c>
      <c r="AT64" s="143">
        <f>+AT63*AT61/(1+AT63^Parameters!$B$125)</f>
        <v>3.1218153501655697</v>
      </c>
      <c r="AU64" s="143">
        <f>+AU63*AU61/(1+AU63^Parameters!$B$125)</f>
        <v>3.2716224916045662</v>
      </c>
      <c r="AV64" s="143">
        <f>+AV63*AV61/(1+AV63^Parameters!$B$125)</f>
        <v>3.4273632230930478</v>
      </c>
      <c r="AW64" s="143">
        <f>+AW63*AW61/(1+AW63^Parameters!$B$125)</f>
        <v>3.5896290562928406</v>
      </c>
      <c r="AX64" s="143">
        <f>+AX63*AX61/(1+AX63^Parameters!$B$125)</f>
        <v>3.7589188541038525</v>
      </c>
      <c r="AY64" s="143">
        <f>+AY63*AY61/(1+AY63^Parameters!$B$125)</f>
        <v>3.9356869618268346</v>
      </c>
      <c r="AZ64" s="143">
        <f>+AZ63*AZ61/(1+AZ63^Parameters!$B$125)</f>
        <v>4.120370523967841</v>
      </c>
      <c r="BA64" s="143">
        <f>+BA63*BA61/(1+BA63^Parameters!$B$125)</f>
        <v>4.3134051669785336</v>
      </c>
      <c r="BB64" s="143">
        <f>+BB63*BB61/(1+BB63^Parameters!$B$125)</f>
        <v>4.5152341861796588</v>
      </c>
      <c r="BC64" s="143">
        <f>+BC63*BC61/(1+BC63^Parameters!$B$125)</f>
        <v>4.7263141144221104</v>
      </c>
      <c r="BD64" s="143">
        <f>+BD63*BD61/(1+BD63^Parameters!$B$125)</f>
        <v>4.9471182845720412</v>
      </c>
      <c r="BE64" s="143">
        <f>+BE63*BE61/(1+BE63^Parameters!$B$125)</f>
        <v>5.1781392893036617</v>
      </c>
      <c r="BF64" s="143">
        <f>+BF63*BF61/(1+BF63^Parameters!$B$125)</f>
        <v>5.4202362090342273</v>
      </c>
      <c r="BG64" s="143">
        <f>+BG63*BG61/(1+BG63^Parameters!$B$125)</f>
        <v>5.6737161404436476</v>
      </c>
      <c r="BH64" s="143">
        <f>+BH63*BH61/(1+BH63^Parameters!$B$125)</f>
        <v>5.9389589472781159</v>
      </c>
      <c r="BI64" s="143">
        <f>+BI63*BI61/(1+BI63^Parameters!$B$125)</f>
        <v>6.2165130391700023</v>
      </c>
      <c r="BJ64" s="143">
        <f>+BJ63*BJ61/(1+BJ63^Parameters!$B$125)</f>
        <v>6.2925379415829283</v>
      </c>
      <c r="BK64" s="143">
        <f>+BK63*BK61/(1+BK63^Parameters!$B$125)</f>
        <v>6.3167717293065566</v>
      </c>
      <c r="BL64" s="143">
        <f>+BL63*BL61/(1+BL63^Parameters!$B$125)</f>
        <v>6.3416183723505393</v>
      </c>
      <c r="BM64" s="143">
        <f>+BM63*BM61/(1+BM63^Parameters!$B$125)</f>
        <v>6.3670624174292634</v>
      </c>
      <c r="BN64" s="143">
        <f>+BN63*BN61/(1+BN63^Parameters!$B$125)</f>
        <v>6.3930887839438801</v>
      </c>
      <c r="BO64" s="143">
        <f>+BO63*BO61/(1+BO63^Parameters!$B$125)</f>
        <v>6.41968275500441</v>
      </c>
      <c r="BP64" s="143">
        <f>+BP63*BP61/(1+BP63^Parameters!$B$125)</f>
        <v>6.4468299686682586</v>
      </c>
      <c r="BQ64" s="143">
        <f>+BQ63*BQ61/(1+BQ63^Parameters!$B$125)</f>
        <v>6.4745164093899188</v>
      </c>
      <c r="BR64" s="143">
        <f>+BR63*BR61/(1+BR63^Parameters!$B$125)</f>
        <v>6.5027283996767773</v>
      </c>
      <c r="BS64" s="143">
        <f>+BS63*BS61/(1+BS63^Parameters!$B$125)</f>
        <v>6.5314525919459996</v>
      </c>
      <c r="BT64" s="143">
        <f>+BT63*BT61/(1+BT63^Parameters!$B$125)</f>
        <v>6.5606759605777478</v>
      </c>
      <c r="BU64" s="143">
        <f>+BU63*BU61/(1+BU63^Parameters!$B$125)</f>
        <v>6.5903857941598289</v>
      </c>
      <c r="BV64" s="143">
        <f>+BV63*BV61/(1+BV63^Parameters!$B$125)</f>
        <v>6.620569687919339</v>
      </c>
      <c r="BW64" s="143">
        <f>+BW63*BW61/(1+BW63^Parameters!$B$125)</f>
        <v>6.6512155363366539</v>
      </c>
      <c r="BX64" s="143">
        <f>+BX63*BX61/(1+BX63^Parameters!$B$125)</f>
        <v>6.6823115259374219</v>
      </c>
      <c r="BY64" s="143">
        <f>+BY63*BY61/(1+BY63^Parameters!$B$125)</f>
        <v>6.7138461282582593</v>
      </c>
      <c r="BZ64" s="143">
        <f>+BZ63*BZ61/(1+BZ63^Parameters!$B$125)</f>
        <v>6.7458080929819708</v>
      </c>
      <c r="CA64" s="143">
        <f>+CA63*CA61/(1+CA63^Parameters!$B$125)</f>
        <v>6.7781864412381649</v>
      </c>
      <c r="CB64" s="143">
        <f>+CB63*CB61/(1+CB63^Parameters!$B$125)</f>
        <v>6.8109704590653166</v>
      </c>
      <c r="CC64" s="143">
        <f>+CC63*CC61/(1+CC63^Parameters!$B$125)</f>
        <v>6.8441496910303705</v>
      </c>
      <c r="CD64" s="143">
        <f>+CD63*CD61/(1+CD63^Parameters!$B$125)</f>
        <v>6.8777139340020703</v>
      </c>
      <c r="CE64" s="143">
        <f>+CE63*CE61/(1+CE63^Parameters!$B$125)</f>
        <v>6.9116532310743208</v>
      </c>
      <c r="CF64" s="143">
        <f>+CF63*CF61/(1+CF63^Parameters!$B$125)</f>
        <v>6.9459578656359646</v>
      </c>
      <c r="CG64" s="143">
        <f>+CG63*CG61/(1+CG63^Parameters!$B$125)</f>
        <v>6.9806183555834398</v>
      </c>
      <c r="CH64" s="143">
        <f>+CH63*CH61/(1+CH63^Parameters!$B$125)</f>
        <v>7.0156254476728712</v>
      </c>
      <c r="CI64" s="143">
        <f>+CI63*CI61/(1+CI63^Parameters!$B$125)</f>
        <v>7.0509701120082218</v>
      </c>
      <c r="CJ64" s="143">
        <f>+CJ63*CJ61/(1+CJ63^Parameters!$B$125)</f>
        <v>7.0866435366622609</v>
      </c>
      <c r="CK64" s="143">
        <f>+CK63*CK61/(1+CK63^Parameters!$B$125)</f>
        <v>7.122637122427105</v>
      </c>
      <c r="CL64" s="143">
        <f>+CL63*CL61/(1+CL63^Parameters!$B$125)</f>
        <v>7.1589424776912152</v>
      </c>
      <c r="CM64" s="143">
        <f>+CM63*CM61/(1+CM63^Parameters!$B$125)</f>
        <v>7.1955514134398397</v>
      </c>
      <c r="CN64" s="143">
        <f>+CN63*CN61/(1+CN63^Parameters!$B$125)</f>
        <v>7.2324559383758613</v>
      </c>
      <c r="CO64" s="143">
        <f>+CO63*CO61/(1+CO63^Parameters!$B$125)</f>
        <v>7.2696482541582164</v>
      </c>
      <c r="CP64" s="143">
        <f>+CP63*CP61/(1+CP63^Parameters!$B$125)</f>
        <v>7.3071207507549865</v>
      </c>
      <c r="CQ64" s="143">
        <f>+CQ63*CQ61/(1+CQ63^Parameters!$B$125)</f>
        <v>7.3448660019084446</v>
      </c>
      <c r="CR64" s="143">
        <f>+CR63*CR61/(1+CR63^Parameters!$B$125)</f>
        <v>7.3828767607093528</v>
      </c>
      <c r="CS64" s="143">
        <f>+CS63*CS61/(1+CS63^Parameters!$B$125)</f>
        <v>7.4211459552778356</v>
      </c>
      <c r="CT64" s="143">
        <f>+CT63*CT61/(1+CT63^Parameters!$B$125)</f>
        <v>7.4596666845483117</v>
      </c>
      <c r="CU64" s="143">
        <f>+CU63*CU61/(1+CU63^Parameters!$B$125)</f>
        <v>7.4984322141559616</v>
      </c>
      <c r="CV64" s="143">
        <f>+CV63*CV61/(1+CV63^Parameters!$B$125)</f>
        <v>7.5374359724222542</v>
      </c>
    </row>
    <row r="65" spans="1:237" s="45" customFormat="1" ht="18" customHeight="1" x14ac:dyDescent="0.2">
      <c r="A65" s="555" t="s">
        <v>21</v>
      </c>
      <c r="B65" s="45">
        <f>+B61/(1+B63)</f>
        <v>1.6749691600761134</v>
      </c>
      <c r="C65" s="45">
        <f t="shared" ref="C65:BN65" si="15">+C61-C64</f>
        <v>1.7767851356750697</v>
      </c>
      <c r="D65" s="45">
        <f t="shared" si="15"/>
        <v>1.9349846963550505</v>
      </c>
      <c r="E65" s="45">
        <f t="shared" si="15"/>
        <v>1.9714877001817825</v>
      </c>
      <c r="F65" s="45">
        <f t="shared" si="15"/>
        <v>1.9991535180459974</v>
      </c>
      <c r="G65" s="45">
        <f t="shared" si="15"/>
        <v>2.1954130816180411</v>
      </c>
      <c r="H65" s="45">
        <f t="shared" si="15"/>
        <v>2.2990496185877944</v>
      </c>
      <c r="I65" s="45">
        <f t="shared" si="15"/>
        <v>2.3733931561064869</v>
      </c>
      <c r="J65" s="45">
        <f t="shared" si="15"/>
        <v>2.4686048619152525</v>
      </c>
      <c r="K65" s="45">
        <f t="shared" si="15"/>
        <v>2.4957299811266611</v>
      </c>
      <c r="L65" s="45">
        <f t="shared" si="15"/>
        <v>2.7268369798005514</v>
      </c>
      <c r="M65" s="45">
        <f t="shared" si="15"/>
        <v>2.7526415226718584</v>
      </c>
      <c r="N65" s="45">
        <f t="shared" si="15"/>
        <v>2.7890299136585468</v>
      </c>
      <c r="O65" s="45">
        <f t="shared" si="15"/>
        <v>2.9365832439509045</v>
      </c>
      <c r="P65" s="45">
        <f t="shared" si="15"/>
        <v>3.2002160159000428</v>
      </c>
      <c r="Q65" s="45">
        <f t="shared" si="15"/>
        <v>3.3466795624902561</v>
      </c>
      <c r="R65" s="45">
        <f t="shared" si="15"/>
        <v>3.5346189115050213</v>
      </c>
      <c r="S65" s="45">
        <f t="shared" si="15"/>
        <v>3.7146453908915307</v>
      </c>
      <c r="T65" s="45">
        <f t="shared" si="15"/>
        <v>3.8777290927902803</v>
      </c>
      <c r="U65" s="45">
        <f t="shared" si="15"/>
        <v>3.867006718628212</v>
      </c>
      <c r="V65" s="45">
        <f t="shared" si="15"/>
        <v>4.0602410208521142</v>
      </c>
      <c r="W65" s="45">
        <f t="shared" si="15"/>
        <v>4.3364551834616814</v>
      </c>
      <c r="X65" s="45">
        <f t="shared" si="15"/>
        <v>4.4569434212811805</v>
      </c>
      <c r="Y65" s="45">
        <f t="shared" si="15"/>
        <v>4.5692926100013818</v>
      </c>
      <c r="Z65" s="45">
        <f t="shared" si="15"/>
        <v>4.7375578716743876</v>
      </c>
      <c r="AA65" s="45">
        <f t="shared" si="15"/>
        <v>4.8728473465636686</v>
      </c>
      <c r="AB65" s="45">
        <f t="shared" si="15"/>
        <v>5.1307244240014098</v>
      </c>
      <c r="AC65" s="45">
        <f t="shared" si="15"/>
        <v>5.1721721088228056</v>
      </c>
      <c r="AD65" s="45">
        <f t="shared" si="15"/>
        <v>5.2410796909478563</v>
      </c>
      <c r="AE65" s="45">
        <f t="shared" si="15"/>
        <v>5.2525168451350464</v>
      </c>
      <c r="AF65" s="45">
        <f t="shared" si="15"/>
        <v>5.0688314171436133</v>
      </c>
      <c r="AG65" s="45">
        <f t="shared" si="15"/>
        <v>5.2806987640797747</v>
      </c>
      <c r="AH65" s="45">
        <f t="shared" si="15"/>
        <v>5.5474712501029311</v>
      </c>
      <c r="AI65" s="45">
        <f t="shared" si="15"/>
        <v>74.193515548785669</v>
      </c>
      <c r="AJ65" s="45">
        <f t="shared" si="15"/>
        <v>149.32211234546196</v>
      </c>
      <c r="AK65" s="45">
        <f t="shared" si="15"/>
        <v>196.47253492402413</v>
      </c>
      <c r="AL65" s="45">
        <f t="shared" si="15"/>
        <v>226.21669160049953</v>
      </c>
      <c r="AM65" s="45">
        <f t="shared" si="15"/>
        <v>246.92808689658131</v>
      </c>
      <c r="AN65" s="45">
        <f t="shared" si="15"/>
        <v>262.95036651835051</v>
      </c>
      <c r="AO65" s="45">
        <f t="shared" si="15"/>
        <v>276.55445263633777</v>
      </c>
      <c r="AP65" s="45">
        <f t="shared" si="15"/>
        <v>288.960751412722</v>
      </c>
      <c r="AQ65" s="45">
        <f t="shared" si="15"/>
        <v>300.83888667882871</v>
      </c>
      <c r="AR65" s="45">
        <f t="shared" si="15"/>
        <v>312.56254433352484</v>
      </c>
      <c r="AS65" s="45">
        <f t="shared" si="15"/>
        <v>324.34414436888045</v>
      </c>
      <c r="AT65" s="45">
        <f t="shared" si="15"/>
        <v>336.3075877725874</v>
      </c>
      <c r="AU65" s="45">
        <f t="shared" si="15"/>
        <v>348.52804373250137</v>
      </c>
      <c r="AV65" s="45">
        <f t="shared" si="15"/>
        <v>361.05385878783261</v>
      </c>
      <c r="AW65" s="45">
        <f t="shared" si="15"/>
        <v>373.9186666455646</v>
      </c>
      <c r="AX65" s="45">
        <f t="shared" si="15"/>
        <v>387.14809686000535</v>
      </c>
      <c r="AY65" s="45">
        <f t="shared" si="15"/>
        <v>400.76349810794147</v>
      </c>
      <c r="AZ65" s="45">
        <f t="shared" si="15"/>
        <v>414.78400911787162</v>
      </c>
      <c r="BA65" s="45">
        <f t="shared" si="15"/>
        <v>429.22771461010723</v>
      </c>
      <c r="BB65" s="45">
        <f t="shared" si="15"/>
        <v>444.1122945623917</v>
      </c>
      <c r="BC65" s="45">
        <f t="shared" si="15"/>
        <v>459.45539301133601</v>
      </c>
      <c r="BD65" s="45">
        <f t="shared" si="15"/>
        <v>475.27483172572448</v>
      </c>
      <c r="BE65" s="45">
        <f t="shared" si="15"/>
        <v>491.58873819090178</v>
      </c>
      <c r="BF65" s="45">
        <f t="shared" si="15"/>
        <v>508.44802342889045</v>
      </c>
      <c r="BG65" s="45">
        <f t="shared" si="15"/>
        <v>525.84075975114399</v>
      </c>
      <c r="BH65" s="45">
        <f t="shared" si="15"/>
        <v>543.77751123518124</v>
      </c>
      <c r="BI65" s="45">
        <f t="shared" si="15"/>
        <v>562.2774059008284</v>
      </c>
      <c r="BJ65" s="45">
        <f t="shared" si="15"/>
        <v>562.2013809984154</v>
      </c>
      <c r="BK65" s="45">
        <f t="shared" si="15"/>
        <v>562.17714721069183</v>
      </c>
      <c r="BL65" s="45">
        <f t="shared" si="15"/>
        <v>562.15230056764779</v>
      </c>
      <c r="BM65" s="45">
        <f t="shared" si="15"/>
        <v>562.12685652256914</v>
      </c>
      <c r="BN65" s="45">
        <f t="shared" si="15"/>
        <v>562.10083015605449</v>
      </c>
      <c r="BO65" s="45">
        <f t="shared" ref="BO65:CV65" si="16">+BO61-BO64</f>
        <v>562.07423618499399</v>
      </c>
      <c r="BP65" s="45">
        <f t="shared" si="16"/>
        <v>562.04708897133014</v>
      </c>
      <c r="BQ65" s="45">
        <f t="shared" si="16"/>
        <v>562.01940253060843</v>
      </c>
      <c r="BR65" s="45">
        <f t="shared" si="16"/>
        <v>561.99119054032155</v>
      </c>
      <c r="BS65" s="45">
        <f t="shared" si="16"/>
        <v>561.96246634805232</v>
      </c>
      <c r="BT65" s="45">
        <f t="shared" si="16"/>
        <v>561.93324297942058</v>
      </c>
      <c r="BU65" s="45">
        <f t="shared" si="16"/>
        <v>561.90353314583854</v>
      </c>
      <c r="BV65" s="45">
        <f t="shared" si="16"/>
        <v>561.87334925207904</v>
      </c>
      <c r="BW65" s="45">
        <f t="shared" si="16"/>
        <v>561.84270340366174</v>
      </c>
      <c r="BX65" s="45">
        <f t="shared" si="16"/>
        <v>561.81160741406097</v>
      </c>
      <c r="BY65" s="45">
        <f t="shared" si="16"/>
        <v>561.78007281174007</v>
      </c>
      <c r="BZ65" s="45">
        <f t="shared" si="16"/>
        <v>561.74811084701639</v>
      </c>
      <c r="CA65" s="45">
        <f t="shared" si="16"/>
        <v>561.71573249876019</v>
      </c>
      <c r="CB65" s="45">
        <f t="shared" si="16"/>
        <v>561.68294848093308</v>
      </c>
      <c r="CC65" s="45">
        <f t="shared" si="16"/>
        <v>561.64976924896803</v>
      </c>
      <c r="CD65" s="45">
        <f t="shared" si="16"/>
        <v>561.61620500599633</v>
      </c>
      <c r="CE65" s="45">
        <f t="shared" si="16"/>
        <v>561.58226570892407</v>
      </c>
      <c r="CF65" s="45">
        <f t="shared" si="16"/>
        <v>561.54796107436243</v>
      </c>
      <c r="CG65" s="45">
        <f t="shared" si="16"/>
        <v>561.51330058441488</v>
      </c>
      <c r="CH65" s="45">
        <f t="shared" si="16"/>
        <v>561.47829349232552</v>
      </c>
      <c r="CI65" s="45">
        <f t="shared" si="16"/>
        <v>561.44294882799011</v>
      </c>
      <c r="CJ65" s="45">
        <f t="shared" si="16"/>
        <v>561.40727540333614</v>
      </c>
      <c r="CK65" s="45">
        <f t="shared" si="16"/>
        <v>561.37128181757123</v>
      </c>
      <c r="CL65" s="45">
        <f t="shared" si="16"/>
        <v>561.33497646230717</v>
      </c>
      <c r="CM65" s="45">
        <f t="shared" si="16"/>
        <v>561.29836752655854</v>
      </c>
      <c r="CN65" s="45">
        <f t="shared" si="16"/>
        <v>561.26146300162247</v>
      </c>
      <c r="CO65" s="45">
        <f t="shared" si="16"/>
        <v>561.22427068584011</v>
      </c>
      <c r="CP65" s="45">
        <f t="shared" si="16"/>
        <v>561.1867981892434</v>
      </c>
      <c r="CQ65" s="45">
        <f t="shared" si="16"/>
        <v>561.14905293808988</v>
      </c>
      <c r="CR65" s="45">
        <f t="shared" si="16"/>
        <v>561.11104217928903</v>
      </c>
      <c r="CS65" s="45">
        <f t="shared" si="16"/>
        <v>561.07277298472059</v>
      </c>
      <c r="CT65" s="45">
        <f t="shared" si="16"/>
        <v>561.03425225545004</v>
      </c>
      <c r="CU65" s="45">
        <f t="shared" si="16"/>
        <v>560.9954867258424</v>
      </c>
      <c r="CV65" s="45">
        <f t="shared" si="16"/>
        <v>560.95648296757611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1.8281288404861703E-11</v>
      </c>
      <c r="E66" s="33">
        <f t="shared" si="17"/>
        <v>1.6177566325436744E-11</v>
      </c>
      <c r="F66" s="33">
        <f t="shared" si="17"/>
        <v>1.4490304128078464E-11</v>
      </c>
      <c r="G66" s="33">
        <f t="shared" si="17"/>
        <v>1.3120938929951143E-11</v>
      </c>
      <c r="H66" s="33">
        <f t="shared" si="17"/>
        <v>1.1997583128020059E-11</v>
      </c>
      <c r="I66" s="33">
        <f t="shared" si="17"/>
        <v>1.1067008387436001E-11</v>
      </c>
      <c r="J66" s="33">
        <f t="shared" si="17"/>
        <v>1.0289246154374876E-11</v>
      </c>
      <c r="K66" s="33">
        <f t="shared" si="17"/>
        <v>9.6338902409025432E-12</v>
      </c>
      <c r="L66" s="33">
        <f t="shared" si="17"/>
        <v>9.077525725399756E-12</v>
      </c>
      <c r="M66" s="33">
        <f t="shared" si="17"/>
        <v>8.6019151992383704E-12</v>
      </c>
      <c r="N66" s="33">
        <f t="shared" si="17"/>
        <v>8.1927019570125451E-12</v>
      </c>
      <c r="O66" s="33">
        <f t="shared" si="17"/>
        <v>7.8384710401734482E-12</v>
      </c>
      <c r="P66" s="33">
        <f t="shared" si="17"/>
        <v>7.5300612991727066E-12</v>
      </c>
      <c r="Q66" s="33">
        <f t="shared" si="17"/>
        <v>7.2600557370158897E-12</v>
      </c>
      <c r="R66" s="33">
        <f t="shared" si="17"/>
        <v>7.0223999627886012E-12</v>
      </c>
      <c r="S66" s="33">
        <f t="shared" si="17"/>
        <v>6.8121137274985094E-12</v>
      </c>
      <c r="T66" s="33">
        <f t="shared" si="17"/>
        <v>6.6250707932515627E-12</v>
      </c>
      <c r="U66" s="33">
        <f t="shared" si="17"/>
        <v>6.4578294605110578E-12</v>
      </c>
      <c r="V66" s="33">
        <f t="shared" si="17"/>
        <v>6.3075010062768958E-12</v>
      </c>
      <c r="W66" s="33">
        <f t="shared" si="17"/>
        <v>6.1716467877892596E-12</v>
      </c>
      <c r="X66" s="33">
        <f t="shared" si="17"/>
        <v>6.0481970541471329E-12</v>
      </c>
      <c r="Y66" s="33">
        <f t="shared" si="17"/>
        <v>5.9353865273679138E-12</v>
      </c>
      <c r="Z66" s="33">
        <f t="shared" si="17"/>
        <v>5.831702896638741E-12</v>
      </c>
      <c r="AA66" s="33">
        <f t="shared" si="17"/>
        <v>5.7358453687100825E-12</v>
      </c>
      <c r="AB66" s="33">
        <f t="shared" si="17"/>
        <v>3.2121640949902652E-3</v>
      </c>
      <c r="AC66" s="33">
        <f t="shared" si="17"/>
        <v>2.9932665997645363E-3</v>
      </c>
      <c r="AD66" s="33">
        <f t="shared" si="17"/>
        <v>2.7935785136863791E-3</v>
      </c>
      <c r="AE66" s="33">
        <f t="shared" si="17"/>
        <v>2.6109973294333277E-3</v>
      </c>
      <c r="AF66" s="33">
        <f t="shared" si="17"/>
        <v>2.4437025594432663E-3</v>
      </c>
      <c r="AG66" s="33">
        <f t="shared" si="17"/>
        <v>2.2901110425327231E-3</v>
      </c>
      <c r="AH66" s="33">
        <f t="shared" ref="AH66:BI66" si="18">(AH31*(AH103)^$B38)</f>
        <v>2.148840266257781E-3</v>
      </c>
      <c r="AI66" s="33">
        <f t="shared" si="18"/>
        <v>2.0186781262647034E-3</v>
      </c>
      <c r="AJ66" s="33">
        <f t="shared" si="18"/>
        <v>1.898557880008912E-3</v>
      </c>
      <c r="AK66" s="33">
        <f t="shared" si="18"/>
        <v>1.7875373116278642E-3</v>
      </c>
      <c r="AL66" s="33">
        <f t="shared" si="18"/>
        <v>1.6847813260962522E-3</v>
      </c>
      <c r="AM66" s="33">
        <f t="shared" si="18"/>
        <v>1.5895473479242501E-3</v>
      </c>
      <c r="AN66" s="33">
        <f t="shared" si="18"/>
        <v>1.5011730229317994E-3</v>
      </c>
      <c r="AO66" s="33">
        <f t="shared" si="18"/>
        <v>1.4190658188249431E-3</v>
      </c>
      <c r="AP66" s="33">
        <f t="shared" si="18"/>
        <v>1.342694197297694E-3</v>
      </c>
      <c r="AQ66" s="33">
        <f t="shared" si="18"/>
        <v>1.2715800916597607E-3</v>
      </c>
      <c r="AR66" s="33">
        <f t="shared" si="18"/>
        <v>1.2052924729686997E-3</v>
      </c>
      <c r="AS66" s="33">
        <f t="shared" si="18"/>
        <v>1.1434418269557398E-3</v>
      </c>
      <c r="AT66" s="33">
        <f t="shared" si="18"/>
        <v>1.0856753957109518E-3</v>
      </c>
      <c r="AU66" s="33">
        <f t="shared" si="18"/>
        <v>1.031673063714691E-3</v>
      </c>
      <c r="AV66" s="33">
        <f t="shared" si="18"/>
        <v>9.8114378860069177E-4</v>
      </c>
      <c r="AW66" s="33">
        <f t="shared" si="18"/>
        <v>9.3382249397793815E-4</v>
      </c>
      <c r="AX66" s="33">
        <f t="shared" si="18"/>
        <v>8.8946735548423961E-4</v>
      </c>
      <c r="AY66" s="33">
        <f t="shared" si="18"/>
        <v>8.478574225959433E-4</v>
      </c>
      <c r="AZ66" s="33">
        <f t="shared" si="18"/>
        <v>8.0879052805313809E-4</v>
      </c>
      <c r="BA66" s="33">
        <f t="shared" si="18"/>
        <v>7.7208144445883365E-4</v>
      </c>
      <c r="BB66" s="33">
        <f t="shared" si="18"/>
        <v>7.3756025397867474E-4</v>
      </c>
      <c r="BC66" s="33">
        <f t="shared" si="18"/>
        <v>7.0507090234939076E-4</v>
      </c>
      <c r="BD66" s="33">
        <f t="shared" si="18"/>
        <v>6.7446991279656514E-4</v>
      </c>
      <c r="BE66" s="33">
        <f t="shared" si="18"/>
        <v>3.2874036781029947E-4</v>
      </c>
      <c r="BF66" s="33">
        <f t="shared" si="18"/>
        <v>1.6023807205166885E-4</v>
      </c>
      <c r="BG66" s="33">
        <f t="shared" si="18"/>
        <v>7.8108515174538993E-5</v>
      </c>
      <c r="BH66" s="33">
        <f t="shared" si="18"/>
        <v>3.8075801164372478E-5</v>
      </c>
      <c r="BI66" s="33">
        <f t="shared" si="18"/>
        <v>1.8561621642050648E-5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4.1495324943383262E-11</v>
      </c>
      <c r="C67" s="23">
        <f>+C61*C66</f>
        <v>3.7312252110239142E-11</v>
      </c>
      <c r="D67" s="23">
        <f t="shared" ref="D67:BI67" si="19">+D61*D66</f>
        <v>3.5449675345376402E-11</v>
      </c>
      <c r="E67" s="23">
        <f t="shared" si="19"/>
        <v>3.1965806163101757E-11</v>
      </c>
      <c r="F67" s="23">
        <f t="shared" si="19"/>
        <v>2.9046083851476174E-11</v>
      </c>
      <c r="G67" s="23">
        <f t="shared" si="19"/>
        <v>2.8903438807750339E-11</v>
      </c>
      <c r="H67" s="23">
        <f t="shared" si="19"/>
        <v>2.7664221875713191E-11</v>
      </c>
      <c r="I67" s="23">
        <f t="shared" si="19"/>
        <v>2.6362590437541074E-11</v>
      </c>
      <c r="J67" s="23">
        <f t="shared" si="19"/>
        <v>2.5514429165742772E-11</v>
      </c>
      <c r="K67" s="23">
        <f t="shared" si="19"/>
        <v>2.412654464840208E-11</v>
      </c>
      <c r="L67" s="23">
        <f t="shared" si="19"/>
        <v>2.4841463193374629E-11</v>
      </c>
      <c r="M67" s="23">
        <f t="shared" si="19"/>
        <v>2.3782073934203656E-11</v>
      </c>
      <c r="N67" s="23">
        <f t="shared" si="19"/>
        <v>2.2964390251281888E-11</v>
      </c>
      <c r="O67" s="23">
        <f t="shared" si="19"/>
        <v>2.3134367768894222E-11</v>
      </c>
      <c r="P67" s="23">
        <f t="shared" si="19"/>
        <v>2.4209526572695454E-11</v>
      </c>
      <c r="Q67" s="23">
        <f t="shared" si="19"/>
        <v>2.4431116764455666E-11</v>
      </c>
      <c r="R67" s="23">
        <f t="shared" si="19"/>
        <v>2.4956476319340945E-11</v>
      </c>
      <c r="S67" s="23">
        <f t="shared" si="19"/>
        <v>2.5447546100902886E-11</v>
      </c>
      <c r="T67" s="23">
        <f t="shared" si="19"/>
        <v>2.5820605031829291E-11</v>
      </c>
      <c r="U67" s="23">
        <f t="shared" si="19"/>
        <v>2.511669918552498E-11</v>
      </c>
      <c r="V67" s="23">
        <f t="shared" si="19"/>
        <v>2.5770302227653706E-11</v>
      </c>
      <c r="W67" s="23">
        <f t="shared" si="19"/>
        <v>2.6916252786078642E-11</v>
      </c>
      <c r="X67" s="23">
        <f t="shared" si="19"/>
        <v>2.7119735761333916E-11</v>
      </c>
      <c r="Y67" s="23">
        <f t="shared" si="19"/>
        <v>2.7291909328416072E-11</v>
      </c>
      <c r="Z67" s="23">
        <f t="shared" si="19"/>
        <v>2.7814984520086821E-11</v>
      </c>
      <c r="AA67" s="23">
        <f t="shared" si="19"/>
        <v>2.8170143090613823E-11</v>
      </c>
      <c r="AB67" s="23">
        <f t="shared" si="19"/>
        <v>1.6624655907177731E-2</v>
      </c>
      <c r="AC67" s="23">
        <f t="shared" si="19"/>
        <v>1.5609424935927051E-2</v>
      </c>
      <c r="AD67" s="23">
        <f t="shared" si="19"/>
        <v>1.4756837851823393E-2</v>
      </c>
      <c r="AE67" s="23">
        <f t="shared" si="19"/>
        <v>1.3835581730826749E-2</v>
      </c>
      <c r="AF67" s="23">
        <f t="shared" si="19"/>
        <v>1.2499973825854559E-2</v>
      </c>
      <c r="AG67" s="23">
        <f t="shared" si="19"/>
        <v>1.2191776637582382E-2</v>
      </c>
      <c r="AH67" s="23">
        <f t="shared" si="19"/>
        <v>1.2022015515470259E-2</v>
      </c>
      <c r="AI67" s="23">
        <f t="shared" si="19"/>
        <v>0.15135978318676419</v>
      </c>
      <c r="AJ67" s="23">
        <f t="shared" si="19"/>
        <v>0.28529263186795856</v>
      </c>
      <c r="AK67" s="23">
        <f t="shared" si="19"/>
        <v>0.35385300287925447</v>
      </c>
      <c r="AL67" s="23">
        <f t="shared" si="19"/>
        <v>0.38421078706705947</v>
      </c>
      <c r="AM67" s="23">
        <f t="shared" si="19"/>
        <v>0.39579858491064096</v>
      </c>
      <c r="AN67" s="23">
        <f t="shared" si="19"/>
        <v>0.3981244598778762</v>
      </c>
      <c r="AO67" s="23">
        <f t="shared" si="19"/>
        <v>0.39587729714428349</v>
      </c>
      <c r="AP67" s="23">
        <f t="shared" si="19"/>
        <v>0.39142286578328223</v>
      </c>
      <c r="AQ67" s="23">
        <f t="shared" si="19"/>
        <v>0.38597194313234656</v>
      </c>
      <c r="AR67" s="23">
        <f t="shared" si="19"/>
        <v>0.38014820702724045</v>
      </c>
      <c r="AS67" s="23">
        <f t="shared" si="19"/>
        <v>0.37427288430174271</v>
      </c>
      <c r="AT67" s="23">
        <f t="shared" si="19"/>
        <v>0.36851015155122696</v>
      </c>
      <c r="AU67" s="23">
        <f t="shared" si="19"/>
        <v>0.36294223946722903</v>
      </c>
      <c r="AV67" s="23">
        <f t="shared" si="19"/>
        <v>0.35760848703760945</v>
      </c>
      <c r="AW67" s="23">
        <f t="shared" si="19"/>
        <v>0.35252573818966948</v>
      </c>
      <c r="AX67" s="23">
        <f t="shared" si="19"/>
        <v>0.34769902950746479</v>
      </c>
      <c r="AY67" s="23">
        <f t="shared" si="19"/>
        <v>0.3431272079799324</v>
      </c>
      <c r="AZ67" s="23">
        <f t="shared" si="19"/>
        <v>0.33880589441429554</v>
      </c>
      <c r="BA67" s="23">
        <f t="shared" si="19"/>
        <v>0.33472905398979258</v>
      </c>
      <c r="BB67" s="23">
        <f t="shared" si="19"/>
        <v>0.3308898340456215</v>
      </c>
      <c r="BC67" s="23">
        <f t="shared" si="19"/>
        <v>0.32728101509723889</v>
      </c>
      <c r="BD67" s="23">
        <f t="shared" si="19"/>
        <v>0.32389525674644115</v>
      </c>
      <c r="BE67" s="23">
        <f t="shared" si="19"/>
        <v>0.1633073260188167</v>
      </c>
      <c r="BF67" s="23">
        <f t="shared" si="19"/>
        <v>8.2341259212927453E-2</v>
      </c>
      <c r="BG67" s="23">
        <f t="shared" si="19"/>
        <v>4.1515806505665213E-2</v>
      </c>
      <c r="BH67" s="23">
        <f t="shared" si="19"/>
        <v>2.0930895015448016E-2</v>
      </c>
      <c r="BI67" s="23">
        <f t="shared" si="19"/>
        <v>1.055216902917086E-2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1.6749691600346182</v>
      </c>
      <c r="C68" s="23">
        <f>+C65-C67</f>
        <v>1.7767851356377575</v>
      </c>
      <c r="D68" s="23">
        <f>+D65-D67</f>
        <v>1.9349846963196009</v>
      </c>
      <c r="E68" s="23">
        <f>+E65-E67</f>
        <v>1.9714877001498168</v>
      </c>
      <c r="F68" s="23">
        <f>+F65-F67</f>
        <v>1.9991535180169513</v>
      </c>
      <c r="G68" s="23">
        <f t="shared" ref="G68:BI68" si="20">+G65-G67</f>
        <v>2.1954130815891375</v>
      </c>
      <c r="H68" s="23">
        <f t="shared" si="20"/>
        <v>2.2990496185601303</v>
      </c>
      <c r="I68" s="23">
        <f t="shared" si="20"/>
        <v>2.3733931560801245</v>
      </c>
      <c r="J68" s="23">
        <f t="shared" si="20"/>
        <v>2.4686048618897383</v>
      </c>
      <c r="K68" s="23">
        <f t="shared" si="20"/>
        <v>2.4957299811025346</v>
      </c>
      <c r="L68" s="23">
        <f t="shared" si="20"/>
        <v>2.7268369797757099</v>
      </c>
      <c r="M68" s="23">
        <f t="shared" si="20"/>
        <v>2.7526415226480765</v>
      </c>
      <c r="N68" s="23">
        <f t="shared" si="20"/>
        <v>2.7890299136355825</v>
      </c>
      <c r="O68" s="23">
        <f t="shared" si="20"/>
        <v>2.9365832439277701</v>
      </c>
      <c r="P68" s="23">
        <f t="shared" si="20"/>
        <v>3.2002160158758333</v>
      </c>
      <c r="Q68" s="23">
        <f t="shared" si="20"/>
        <v>3.346679562465825</v>
      </c>
      <c r="R68" s="23">
        <f t="shared" si="20"/>
        <v>3.5346189114800648</v>
      </c>
      <c r="S68" s="23">
        <f t="shared" si="20"/>
        <v>3.714645390866083</v>
      </c>
      <c r="T68" s="23">
        <f t="shared" si="20"/>
        <v>3.8777290927644597</v>
      </c>
      <c r="U68" s="23">
        <f t="shared" si="20"/>
        <v>3.8670067186030952</v>
      </c>
      <c r="V68" s="23">
        <f t="shared" si="20"/>
        <v>4.0602410208263437</v>
      </c>
      <c r="W68" s="23">
        <f t="shared" si="20"/>
        <v>4.3364551834347651</v>
      </c>
      <c r="X68" s="23">
        <f t="shared" si="20"/>
        <v>4.4569434212540608</v>
      </c>
      <c r="Y68" s="23">
        <f t="shared" si="20"/>
        <v>4.5692926099740898</v>
      </c>
      <c r="Z68" s="23">
        <f t="shared" si="20"/>
        <v>4.7375578716465725</v>
      </c>
      <c r="AA68" s="23">
        <f t="shared" si="20"/>
        <v>4.8728473465354982</v>
      </c>
      <c r="AB68" s="23">
        <f t="shared" si="20"/>
        <v>5.1140997680942322</v>
      </c>
      <c r="AC68" s="23">
        <f t="shared" si="20"/>
        <v>5.1565626838868788</v>
      </c>
      <c r="AD68" s="23">
        <f t="shared" si="20"/>
        <v>5.2263228530960326</v>
      </c>
      <c r="AE68" s="23">
        <f t="shared" si="20"/>
        <v>5.2386812634042199</v>
      </c>
      <c r="AF68" s="23">
        <f t="shared" si="20"/>
        <v>5.0563314433177586</v>
      </c>
      <c r="AG68" s="23">
        <f t="shared" si="20"/>
        <v>5.2685069874421924</v>
      </c>
      <c r="AH68" s="23">
        <f t="shared" si="20"/>
        <v>5.5354492345874604</v>
      </c>
      <c r="AI68" s="23">
        <f t="shared" si="20"/>
        <v>74.042155765598906</v>
      </c>
      <c r="AJ68" s="23">
        <f t="shared" si="20"/>
        <v>149.03681971359401</v>
      </c>
      <c r="AK68" s="23">
        <f t="shared" si="20"/>
        <v>196.11868192114488</v>
      </c>
      <c r="AL68" s="23">
        <f t="shared" si="20"/>
        <v>225.83248081343248</v>
      </c>
      <c r="AM68" s="23">
        <f t="shared" si="20"/>
        <v>246.53228831167067</v>
      </c>
      <c r="AN68" s="23">
        <f t="shared" si="20"/>
        <v>262.55224205847264</v>
      </c>
      <c r="AO68" s="23">
        <f t="shared" si="20"/>
        <v>276.15857533919348</v>
      </c>
      <c r="AP68" s="23">
        <f t="shared" si="20"/>
        <v>288.56932854693872</v>
      </c>
      <c r="AQ68" s="23">
        <f t="shared" si="20"/>
        <v>300.45291473569637</v>
      </c>
      <c r="AR68" s="23">
        <f t="shared" si="20"/>
        <v>312.18239612649762</v>
      </c>
      <c r="AS68" s="23">
        <f t="shared" si="20"/>
        <v>323.96987148457873</v>
      </c>
      <c r="AT68" s="23">
        <f t="shared" si="20"/>
        <v>335.93907762103618</v>
      </c>
      <c r="AU68" s="23">
        <f t="shared" si="20"/>
        <v>348.16510149303417</v>
      </c>
      <c r="AV68" s="23">
        <f t="shared" si="20"/>
        <v>360.69625030079499</v>
      </c>
      <c r="AW68" s="23">
        <f t="shared" si="20"/>
        <v>373.56614090737492</v>
      </c>
      <c r="AX68" s="23">
        <f t="shared" si="20"/>
        <v>386.8003978304979</v>
      </c>
      <c r="AY68" s="23">
        <f t="shared" si="20"/>
        <v>400.42037089996154</v>
      </c>
      <c r="AZ68" s="23">
        <f t="shared" si="20"/>
        <v>414.44520322345733</v>
      </c>
      <c r="BA68" s="23">
        <f t="shared" si="20"/>
        <v>428.89298555611742</v>
      </c>
      <c r="BB68" s="23">
        <f t="shared" si="20"/>
        <v>443.78140472834605</v>
      </c>
      <c r="BC68" s="23">
        <f t="shared" si="20"/>
        <v>459.12811199623877</v>
      </c>
      <c r="BD68" s="23">
        <f t="shared" si="20"/>
        <v>474.95093646897806</v>
      </c>
      <c r="BE68" s="23">
        <f t="shared" si="20"/>
        <v>491.42543086488297</v>
      </c>
      <c r="BF68" s="23">
        <f t="shared" si="20"/>
        <v>508.36568216967754</v>
      </c>
      <c r="BG68" s="23">
        <f t="shared" si="20"/>
        <v>525.79924394463831</v>
      </c>
      <c r="BH68" s="23">
        <f t="shared" si="20"/>
        <v>543.75658034016578</v>
      </c>
      <c r="BI68" s="23">
        <f t="shared" si="20"/>
        <v>562.26685373179919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0.28449498821855751</v>
      </c>
      <c r="C70" s="45">
        <f t="shared" si="21"/>
        <v>0.24935212857970179</v>
      </c>
      <c r="D70" s="45">
        <f t="shared" si="21"/>
        <v>0.23095079835798871</v>
      </c>
      <c r="E70" s="45">
        <f t="shared" si="21"/>
        <v>0.20304875267350367</v>
      </c>
      <c r="F70" s="45">
        <f t="shared" si="21"/>
        <v>0.17991778440811218</v>
      </c>
      <c r="G70" s="45">
        <f t="shared" si="21"/>
        <v>0.17461230000933545</v>
      </c>
      <c r="H70" s="45">
        <f t="shared" si="21"/>
        <v>0.16302424458255019</v>
      </c>
      <c r="I70" s="45">
        <f t="shared" si="21"/>
        <v>0.15156626933925038</v>
      </c>
      <c r="J70" s="45">
        <f t="shared" si="21"/>
        <v>0.14313840215194143</v>
      </c>
      <c r="K70" s="45">
        <f t="shared" si="21"/>
        <v>0.13209889408985873</v>
      </c>
      <c r="L70" s="45">
        <f t="shared" si="21"/>
        <v>0.13276871991342631</v>
      </c>
      <c r="M70" s="45">
        <f t="shared" si="21"/>
        <v>0.12409851578824685</v>
      </c>
      <c r="N70" s="45">
        <f t="shared" si="21"/>
        <v>0.11701909919961498</v>
      </c>
      <c r="O70" s="45">
        <f t="shared" si="21"/>
        <v>0.11514210290582977</v>
      </c>
      <c r="P70" s="45">
        <f t="shared" si="21"/>
        <v>0.11771458644026501</v>
      </c>
      <c r="Q70" s="45">
        <f t="shared" si="21"/>
        <v>0.11607818880807422</v>
      </c>
      <c r="R70" s="45">
        <f t="shared" si="21"/>
        <v>0.11589183842136773</v>
      </c>
      <c r="S70" s="45">
        <f t="shared" si="21"/>
        <v>0.11552603420922242</v>
      </c>
      <c r="T70" s="45">
        <f t="shared" si="21"/>
        <v>0.11462252141187755</v>
      </c>
      <c r="U70" s="45">
        <f t="shared" si="21"/>
        <v>0.10905461472301488</v>
      </c>
      <c r="V70" s="45">
        <f t="shared" si="21"/>
        <v>0.10946881468045166</v>
      </c>
      <c r="W70" s="45">
        <f t="shared" si="21"/>
        <v>0.11188954582008</v>
      </c>
      <c r="X70" s="45">
        <f t="shared" si="21"/>
        <v>0.11035246737503759</v>
      </c>
      <c r="Y70" s="45">
        <f t="shared" si="21"/>
        <v>0.10873589088075898</v>
      </c>
      <c r="Z70" s="45">
        <f t="shared" si="21"/>
        <v>0.10853853273388961</v>
      </c>
      <c r="AA70" s="45">
        <f t="shared" si="21"/>
        <v>0.1076928752239858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0.28449498821855751</v>
      </c>
      <c r="C71" s="46">
        <f t="shared" si="23"/>
        <v>0.24935212857970179</v>
      </c>
      <c r="D71" s="46">
        <f t="shared" si="23"/>
        <v>0.23095079835798871</v>
      </c>
      <c r="E71" s="46">
        <f t="shared" si="23"/>
        <v>0.20304875267350367</v>
      </c>
      <c r="F71" s="46">
        <f t="shared" si="23"/>
        <v>0.17991778440811218</v>
      </c>
      <c r="G71" s="46">
        <f t="shared" si="23"/>
        <v>0.17461230000933545</v>
      </c>
      <c r="H71" s="46">
        <f t="shared" si="23"/>
        <v>0.16302424458255019</v>
      </c>
      <c r="I71" s="46">
        <f t="shared" si="23"/>
        <v>0.15156626933925038</v>
      </c>
      <c r="J71" s="46">
        <f t="shared" si="23"/>
        <v>0.14313840215194143</v>
      </c>
      <c r="K71" s="46">
        <f t="shared" si="23"/>
        <v>0.13209889408985873</v>
      </c>
      <c r="L71" s="46">
        <f t="shared" si="23"/>
        <v>0.13276871991342631</v>
      </c>
      <c r="M71" s="46">
        <f t="shared" si="23"/>
        <v>0.12409851578824685</v>
      </c>
      <c r="N71" s="46">
        <f t="shared" si="23"/>
        <v>0.11701909919961498</v>
      </c>
      <c r="O71" s="46">
        <f t="shared" si="23"/>
        <v>0.11514210290582977</v>
      </c>
      <c r="P71" s="46">
        <f t="shared" si="23"/>
        <v>0.11771458644026501</v>
      </c>
      <c r="Q71" s="46">
        <f t="shared" si="23"/>
        <v>0.11607818880807422</v>
      </c>
      <c r="R71" s="46">
        <f t="shared" si="23"/>
        <v>0.11589183842136773</v>
      </c>
      <c r="S71" s="46">
        <f t="shared" si="23"/>
        <v>0.11552603420922242</v>
      </c>
      <c r="T71" s="46">
        <f t="shared" si="23"/>
        <v>0.11462252141187755</v>
      </c>
      <c r="U71" s="46">
        <f t="shared" si="23"/>
        <v>0.10905461472301488</v>
      </c>
      <c r="V71" s="46">
        <f t="shared" si="23"/>
        <v>0.10946881468045166</v>
      </c>
      <c r="W71" s="46">
        <f t="shared" si="23"/>
        <v>0.11188954582008</v>
      </c>
      <c r="X71" s="46">
        <f t="shared" si="23"/>
        <v>0.11035246737503759</v>
      </c>
      <c r="Y71" s="46">
        <f t="shared" si="23"/>
        <v>0.10873589088075898</v>
      </c>
      <c r="Z71" s="46">
        <f t="shared" si="23"/>
        <v>0.10853853273388961</v>
      </c>
      <c r="AA71" s="46">
        <f t="shared" si="23"/>
        <v>0.1076928752239858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0.43047027464506671</v>
      </c>
      <c r="C73" s="45">
        <f>(C97)*C68</f>
        <v>0.44446694375687457</v>
      </c>
      <c r="D73" s="45">
        <f>(D97)*D68</f>
        <v>0.46269678618526011</v>
      </c>
      <c r="E73" s="45">
        <f>(E97)*E68</f>
        <v>0.45487530597463177</v>
      </c>
      <c r="F73" s="45">
        <f>(F97)*F68</f>
        <v>0.44177640264179163</v>
      </c>
      <c r="G73" s="45">
        <f t="shared" ref="G73:BI73" si="25">(G97)*G68</f>
        <v>0.47778520337409919</v>
      </c>
      <c r="H73" s="45">
        <f t="shared" si="25"/>
        <v>0.50223706094875398</v>
      </c>
      <c r="I73" s="45">
        <f t="shared" si="25"/>
        <v>0.52108876179795216</v>
      </c>
      <c r="J73" s="45">
        <f t="shared" si="25"/>
        <v>0.54559759712444611</v>
      </c>
      <c r="K73" s="45">
        <f t="shared" si="25"/>
        <v>0.53873399126799892</v>
      </c>
      <c r="L73" s="45">
        <f t="shared" si="25"/>
        <v>0.57107319307396731</v>
      </c>
      <c r="M73" s="45">
        <f t="shared" si="25"/>
        <v>0.60215461459546904</v>
      </c>
      <c r="N73" s="45">
        <f t="shared" si="25"/>
        <v>0.61011476391769237</v>
      </c>
      <c r="O73" s="45">
        <f t="shared" si="25"/>
        <v>0.64239282046931179</v>
      </c>
      <c r="P73" s="45">
        <f t="shared" si="25"/>
        <v>0.7000638571375386</v>
      </c>
      <c r="Q73" s="45">
        <f t="shared" si="25"/>
        <v>0.73210351785018335</v>
      </c>
      <c r="R73" s="45">
        <f t="shared" si="25"/>
        <v>0.77321622553182989</v>
      </c>
      <c r="S73" s="45">
        <f t="shared" si="25"/>
        <v>0.81259795192800122</v>
      </c>
      <c r="T73" s="45">
        <f t="shared" si="25"/>
        <v>0.84827335784462354</v>
      </c>
      <c r="U73" s="45">
        <f t="shared" si="25"/>
        <v>0.84592778286598491</v>
      </c>
      <c r="V73" s="45">
        <f t="shared" si="25"/>
        <v>0.88819878903388139</v>
      </c>
      <c r="W73" s="45">
        <f t="shared" si="25"/>
        <v>0.94862207018502764</v>
      </c>
      <c r="X73" s="45">
        <f t="shared" si="25"/>
        <v>0.97497949733651845</v>
      </c>
      <c r="Y73" s="45">
        <f t="shared" si="25"/>
        <v>0.99955646526975694</v>
      </c>
      <c r="Z73" s="45">
        <f t="shared" si="25"/>
        <v>1.0363653642704256</v>
      </c>
      <c r="AA73" s="45">
        <f t="shared" si="25"/>
        <v>1.0659606388240819</v>
      </c>
      <c r="AB73" s="45">
        <f t="shared" si="25"/>
        <v>1.1187358577287834</v>
      </c>
      <c r="AC73" s="45">
        <f t="shared" si="25"/>
        <v>1.1280248408685578</v>
      </c>
      <c r="AD73" s="45">
        <f t="shared" si="25"/>
        <v>1.143285239819396</v>
      </c>
      <c r="AE73" s="45">
        <f t="shared" si="25"/>
        <v>1.1459887061933902</v>
      </c>
      <c r="AF73" s="45">
        <f t="shared" si="25"/>
        <v>1.1060987369648201</v>
      </c>
      <c r="AG73" s="45">
        <f t="shared" si="25"/>
        <v>1.1525132380713512</v>
      </c>
      <c r="AH73" s="45">
        <f t="shared" si="25"/>
        <v>1.2109082396095001</v>
      </c>
      <c r="AI73" s="45">
        <f t="shared" si="25"/>
        <v>16.19710572627006</v>
      </c>
      <c r="AJ73" s="45">
        <f t="shared" si="25"/>
        <v>32.602577559332715</v>
      </c>
      <c r="AK73" s="45">
        <f t="shared" si="25"/>
        <v>42.901979191823955</v>
      </c>
      <c r="AL73" s="45">
        <f t="shared" si="25"/>
        <v>49.402026863465586</v>
      </c>
      <c r="AM73" s="45">
        <f t="shared" si="25"/>
        <v>53.930217150412588</v>
      </c>
      <c r="AN73" s="45">
        <f t="shared" si="25"/>
        <v>57.434665148771174</v>
      </c>
      <c r="AO73" s="45">
        <f t="shared" si="25"/>
        <v>60.411121147599559</v>
      </c>
      <c r="AP73" s="45">
        <f t="shared" si="25"/>
        <v>63.126037802442433</v>
      </c>
      <c r="AQ73" s="45">
        <f t="shared" si="25"/>
        <v>65.72563393678378</v>
      </c>
      <c r="AR73" s="45">
        <f t="shared" si="25"/>
        <v>68.291518847031</v>
      </c>
      <c r="AS73" s="45">
        <f t="shared" si="25"/>
        <v>70.870090238510514</v>
      </c>
      <c r="AT73" s="45">
        <f t="shared" si="25"/>
        <v>73.488416180632726</v>
      </c>
      <c r="AU73" s="45">
        <f t="shared" si="25"/>
        <v>76.162922334850606</v>
      </c>
      <c r="AV73" s="45">
        <f t="shared" si="25"/>
        <v>78.90417615184478</v>
      </c>
      <c r="AW73" s="45">
        <f t="shared" si="25"/>
        <v>81.719531494823002</v>
      </c>
      <c r="AX73" s="45">
        <f t="shared" si="25"/>
        <v>84.61459385998495</v>
      </c>
      <c r="AY73" s="45">
        <f t="shared" si="25"/>
        <v>87.59403363336807</v>
      </c>
      <c r="AZ73" s="45">
        <f t="shared" si="25"/>
        <v>90.662038469099954</v>
      </c>
      <c r="BA73" s="45">
        <f t="shared" si="25"/>
        <v>93.822565813725944</v>
      </c>
      <c r="BB73" s="45">
        <f t="shared" si="25"/>
        <v>97.079484753161466</v>
      </c>
      <c r="BC73" s="45">
        <f t="shared" si="25"/>
        <v>100.43665659125732</v>
      </c>
      <c r="BD73" s="45">
        <f t="shared" si="25"/>
        <v>103.89798153814986</v>
      </c>
      <c r="BE73" s="45">
        <f t="shared" si="25"/>
        <v>107.5018626617907</v>
      </c>
      <c r="BF73" s="45">
        <f t="shared" si="25"/>
        <v>111.20763052573537</v>
      </c>
      <c r="BG73" s="45">
        <f t="shared" si="25"/>
        <v>115.02131261446912</v>
      </c>
      <c r="BH73" s="45">
        <f t="shared" si="25"/>
        <v>118.94957311894909</v>
      </c>
      <c r="BI73" s="45">
        <f t="shared" si="25"/>
        <v>122.99879146012748</v>
      </c>
    </row>
    <row r="74" spans="1:237" s="45" customFormat="1" ht="18" customHeight="1" x14ac:dyDescent="0.2">
      <c r="A74" s="43" t="s">
        <v>35</v>
      </c>
      <c r="B74" s="44">
        <f>+B11</f>
        <v>5.4160684888199055</v>
      </c>
      <c r="C74" s="45">
        <f t="shared" ref="C74:BI74" si="26">+B74*(1-$B$8)^10+10*B73</f>
        <v>6.1931690586071575</v>
      </c>
      <c r="D74" s="45">
        <f t="shared" si="26"/>
        <v>6.6040939641994765</v>
      </c>
      <c r="E74" s="45">
        <f t="shared" si="26"/>
        <v>6.9296730435635006</v>
      </c>
      <c r="F74" s="45">
        <f t="shared" si="26"/>
        <v>6.9649806469790594</v>
      </c>
      <c r="G74" s="45">
        <f t="shared" si="26"/>
        <v>6.8463026137332648</v>
      </c>
      <c r="H74" s="45">
        <f t="shared" si="26"/>
        <v>7.16501014955006</v>
      </c>
      <c r="I74" s="45">
        <f t="shared" si="26"/>
        <v>7.5206551717333241</v>
      </c>
      <c r="J74" s="45">
        <f t="shared" si="26"/>
        <v>7.8331779317894954</v>
      </c>
      <c r="K74" s="45">
        <f t="shared" si="26"/>
        <v>8.1872362335265674</v>
      </c>
      <c r="L74" s="45">
        <f t="shared" si="26"/>
        <v>8.2420526713162339</v>
      </c>
      <c r="M74" s="45">
        <f t="shared" si="26"/>
        <v>8.5845579993962566</v>
      </c>
      <c r="N74" s="45">
        <f t="shared" si="26"/>
        <v>9.014796438132155</v>
      </c>
      <c r="O74" s="45">
        <f t="shared" si="26"/>
        <v>9.2444127990438822</v>
      </c>
      <c r="P74" s="45">
        <f t="shared" si="26"/>
        <v>9.6472556391042144</v>
      </c>
      <c r="Q74" s="45">
        <f t="shared" si="26"/>
        <v>10.364428618864174</v>
      </c>
      <c r="R74" s="45">
        <f t="shared" si="26"/>
        <v>10.934887981855194</v>
      </c>
      <c r="S74" s="45">
        <f t="shared" si="26"/>
        <v>11.544921939499806</v>
      </c>
      <c r="T74" s="45">
        <f t="shared" si="26"/>
        <v>12.151444892221072</v>
      </c>
      <c r="U74" s="45">
        <f t="shared" si="26"/>
        <v>12.719680428426994</v>
      </c>
      <c r="V74" s="45">
        <f t="shared" si="26"/>
        <v>12.894356159014274</v>
      </c>
      <c r="W74" s="45">
        <f t="shared" si="26"/>
        <v>13.377971881957739</v>
      </c>
      <c r="X74" s="45">
        <f t="shared" si="26"/>
        <v>14.150831069352964</v>
      </c>
      <c r="Y74" s="45">
        <f t="shared" si="26"/>
        <v>14.683884676745793</v>
      </c>
      <c r="Z74" s="45">
        <f t="shared" si="26"/>
        <v>15.115518656393586</v>
      </c>
      <c r="AA74" s="45">
        <f t="shared" si="26"/>
        <v>15.634109109118022</v>
      </c>
      <c r="AB74" s="45">
        <f t="shared" si="26"/>
        <v>16.110883164761294</v>
      </c>
      <c r="AC74" s="45">
        <f t="shared" si="26"/>
        <v>16.804876187810155</v>
      </c>
      <c r="AD74" s="45">
        <f t="shared" si="26"/>
        <v>17.139746423924862</v>
      </c>
      <c r="AE74" s="45">
        <f t="shared" si="26"/>
        <v>17.409112444997636</v>
      </c>
      <c r="AF74" s="45">
        <f t="shared" si="26"/>
        <v>17.530069232781177</v>
      </c>
      <c r="AG74" s="45">
        <f t="shared" si="26"/>
        <v>17.173344564579349</v>
      </c>
      <c r="AH74" s="45">
        <f t="shared" si="26"/>
        <v>17.513107374790856</v>
      </c>
      <c r="AI74" s="45">
        <f t="shared" si="26"/>
        <v>18.215525356840885</v>
      </c>
      <c r="AJ74" s="45">
        <f t="shared" si="26"/>
        <v>168.32241822972586</v>
      </c>
      <c r="AK74" s="45">
        <f t="shared" si="26"/>
        <v>384.71617381552778</v>
      </c>
      <c r="AL74" s="45">
        <f t="shared" si="26"/>
        <v>563.1620272854783</v>
      </c>
      <c r="AM74" s="45">
        <f t="shared" si="26"/>
        <v>690.38272583211017</v>
      </c>
      <c r="AN74" s="45">
        <f t="shared" si="26"/>
        <v>780.02374341925213</v>
      </c>
      <c r="AO74" s="45">
        <f t="shared" si="26"/>
        <v>846.32411358409922</v>
      </c>
      <c r="AP74" s="45">
        <f t="shared" si="26"/>
        <v>899.20618321951463</v>
      </c>
      <c r="AQ74" s="45">
        <f t="shared" si="26"/>
        <v>944.79418731767964</v>
      </c>
      <c r="AR74" s="45">
        <f t="shared" si="26"/>
        <v>986.68570281731365</v>
      </c>
      <c r="AS74" s="45">
        <f t="shared" si="26"/>
        <v>1026.9512201976231</v>
      </c>
      <c r="AT74" s="45">
        <f t="shared" si="26"/>
        <v>1066.7766519024042</v>
      </c>
      <c r="AU74" s="45">
        <f t="shared" si="26"/>
        <v>1106.8461807267583</v>
      </c>
      <c r="AV74" s="45">
        <f t="shared" si="26"/>
        <v>1147.5626230749549</v>
      </c>
      <c r="AW74" s="45">
        <f t="shared" si="26"/>
        <v>1189.1721068492875</v>
      </c>
      <c r="AX74" s="45">
        <f t="shared" si="26"/>
        <v>1231.8339901748702</v>
      </c>
      <c r="AY74" s="45">
        <f t="shared" si="26"/>
        <v>1275.6598927561822</v>
      </c>
      <c r="AZ74" s="45">
        <f t="shared" si="26"/>
        <v>1320.7354378380398</v>
      </c>
      <c r="BA74" s="45">
        <f t="shared" si="26"/>
        <v>1367.1323569411579</v>
      </c>
      <c r="BB74" s="45">
        <f t="shared" si="26"/>
        <v>1414.915235765739</v>
      </c>
      <c r="BC74" s="45">
        <f t="shared" si="26"/>
        <v>1464.1452848121364</v>
      </c>
      <c r="BD74" s="45">
        <f t="shared" si="26"/>
        <v>1514.8824599006393</v>
      </c>
      <c r="BE74" s="45">
        <f t="shared" si="26"/>
        <v>1567.1866684345046</v>
      </c>
      <c r="BF74" s="45">
        <f t="shared" si="26"/>
        <v>1621.4628295131661</v>
      </c>
      <c r="BG74" s="45">
        <f t="shared" si="26"/>
        <v>1677.4454353321369</v>
      </c>
      <c r="BH74" s="45">
        <f t="shared" si="26"/>
        <v>1735.1021838891663</v>
      </c>
      <c r="BI74" s="45">
        <f t="shared" si="26"/>
        <v>1794.488454082069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9.3039744787583339E-2</v>
      </c>
      <c r="C77" s="23">
        <f t="shared" si="28"/>
        <v>8.6319229673860354E-2</v>
      </c>
      <c r="D77" s="23">
        <f t="shared" si="28"/>
        <v>8.8087335390854074E-2</v>
      </c>
      <c r="E77" s="23">
        <f t="shared" si="28"/>
        <v>8.5542311827912831E-2</v>
      </c>
      <c r="F77" s="23">
        <f t="shared" si="28"/>
        <v>8.6339877225141332E-2</v>
      </c>
      <c r="G77" s="23">
        <f t="shared" si="28"/>
        <v>9.6527212625903733E-2</v>
      </c>
      <c r="H77" s="23">
        <f t="shared" si="28"/>
        <v>9.6544855348472833E-2</v>
      </c>
      <c r="I77" s="23">
        <f t="shared" si="28"/>
        <v>9.5021836944968338E-2</v>
      </c>
      <c r="J77" s="23">
        <f t="shared" si="28"/>
        <v>9.496980846844455E-2</v>
      </c>
      <c r="K77" s="23">
        <f t="shared" si="28"/>
        <v>9.1765062900742073E-2</v>
      </c>
      <c r="L77" s="23">
        <f t="shared" si="28"/>
        <v>9.9608305825939519E-2</v>
      </c>
      <c r="M77" s="23">
        <f t="shared" si="28"/>
        <v>9.6617964480922622E-2</v>
      </c>
      <c r="N77" s="23">
        <f t="shared" si="28"/>
        <v>9.3280978463309933E-2</v>
      </c>
      <c r="O77" s="23">
        <f t="shared" si="28"/>
        <v>9.5778537599904748E-2</v>
      </c>
      <c r="P77" s="23">
        <f t="shared" si="28"/>
        <v>9.9978186057818552E-2</v>
      </c>
      <c r="Q77" s="23">
        <f t="shared" si="28"/>
        <v>9.7404552253847407E-2</v>
      </c>
      <c r="R77" s="23">
        <f t="shared" si="28"/>
        <v>9.7500001204684841E-2</v>
      </c>
      <c r="S77" s="23">
        <f t="shared" si="28"/>
        <v>9.7072066222971751E-2</v>
      </c>
      <c r="T77" s="23">
        <f t="shared" si="28"/>
        <v>9.6220857779587401E-2</v>
      </c>
      <c r="U77" s="23">
        <f t="shared" si="28"/>
        <v>9.1732038969167207E-2</v>
      </c>
      <c r="V77" s="23">
        <f t="shared" si="28"/>
        <v>9.5056928309601538E-2</v>
      </c>
      <c r="W77" s="23">
        <f t="shared" si="28"/>
        <v>9.7801273851262999E-2</v>
      </c>
      <c r="X77" s="23">
        <f t="shared" si="28"/>
        <v>9.5060223196363577E-2</v>
      </c>
      <c r="Y77" s="23">
        <f t="shared" si="28"/>
        <v>9.3943168281650155E-2</v>
      </c>
      <c r="Z77" s="23">
        <f t="shared" si="28"/>
        <v>9.4663298556446326E-2</v>
      </c>
      <c r="AA77" s="23">
        <f t="shared" si="28"/>
        <v>9.4240967145894722E-2</v>
      </c>
      <c r="AB77" s="23">
        <f t="shared" si="28"/>
        <v>9.6373326203801235E-2</v>
      </c>
      <c r="AC77" s="23">
        <f t="shared" si="28"/>
        <v>9.3095232643647607E-2</v>
      </c>
      <c r="AD77" s="23">
        <f t="shared" si="28"/>
        <v>9.2459019985417737E-2</v>
      </c>
      <c r="AE77" s="23">
        <f t="shared" si="28"/>
        <v>9.1313632783448465E-2</v>
      </c>
      <c r="AF77" s="23">
        <f t="shared" si="28"/>
        <v>8.7538355437046855E-2</v>
      </c>
      <c r="AG77" s="23">
        <f t="shared" si="28"/>
        <v>9.2998689283093891E-2</v>
      </c>
      <c r="AH77" s="23">
        <f t="shared" si="28"/>
        <v>9.5836555238140414E-2</v>
      </c>
      <c r="AI77" s="23">
        <f t="shared" si="28"/>
        <v>1.2348749282036049</v>
      </c>
      <c r="AJ77" s="23">
        <f t="shared" si="28"/>
        <v>0.26782185058992014</v>
      </c>
      <c r="AK77" s="23">
        <f t="shared" si="28"/>
        <v>0.15436490845229958</v>
      </c>
      <c r="AL77" s="23">
        <f t="shared" si="28"/>
        <v>0.12148255148386036</v>
      </c>
      <c r="AM77" s="23">
        <f t="shared" si="28"/>
        <v>0.10820120733980026</v>
      </c>
      <c r="AN77" s="23">
        <f t="shared" si="28"/>
        <v>0.10200032168300044</v>
      </c>
      <c r="AO77" s="23">
        <f t="shared" si="28"/>
        <v>9.8887773086004452E-2</v>
      </c>
      <c r="AP77" s="23">
        <f t="shared" si="28"/>
        <v>9.7259280039685675E-2</v>
      </c>
      <c r="AQ77" s="23">
        <f t="shared" si="28"/>
        <v>9.6382027635636275E-2</v>
      </c>
      <c r="AR77" s="23">
        <f t="shared" si="28"/>
        <v>9.5896536387999692E-2</v>
      </c>
      <c r="AS77" s="23">
        <f t="shared" si="28"/>
        <v>9.561933718084073E-2</v>
      </c>
      <c r="AT77" s="23">
        <f t="shared" si="28"/>
        <v>9.5454677185924999E-2</v>
      </c>
      <c r="AU77" s="23">
        <f t="shared" si="28"/>
        <v>9.5351912221383797E-2</v>
      </c>
      <c r="AV77" s="23">
        <f t="shared" si="28"/>
        <v>9.5284008388390753E-2</v>
      </c>
      <c r="AW77" s="23">
        <f t="shared" si="28"/>
        <v>9.5236415366838523E-2</v>
      </c>
      <c r="AX77" s="23">
        <f t="shared" si="28"/>
        <v>9.5201224880622826E-2</v>
      </c>
      <c r="AY77" s="23">
        <f t="shared" si="28"/>
        <v>9.5174079086717531E-2</v>
      </c>
      <c r="AZ77" s="23">
        <f t="shared" si="28"/>
        <v>9.5152526609165428E-2</v>
      </c>
      <c r="BA77" s="23">
        <f t="shared" si="28"/>
        <v>9.5135145673919314E-2</v>
      </c>
      <c r="BB77" s="23">
        <f t="shared" si="28"/>
        <v>9.5121075257722759E-2</v>
      </c>
      <c r="BC77" s="23">
        <f t="shared" si="28"/>
        <v>9.5109763752437376E-2</v>
      </c>
      <c r="BD77" s="23">
        <f t="shared" si="28"/>
        <v>9.5100833771973453E-2</v>
      </c>
      <c r="BE77" s="23">
        <f t="shared" si="28"/>
        <v>9.5094009058238657E-2</v>
      </c>
      <c r="BF77" s="23">
        <f t="shared" si="28"/>
        <v>9.5074937942094595E-2</v>
      </c>
      <c r="BG77" s="23">
        <f t="shared" si="28"/>
        <v>9.5057841768727377E-2</v>
      </c>
      <c r="BH77" s="23">
        <f t="shared" si="28"/>
        <v>9.5046241417947583E-2</v>
      </c>
      <c r="BI77" s="23">
        <f t="shared" si="28"/>
        <v>9.5039996102532553E-2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6.0598791707746659E-2</v>
      </c>
      <c r="C78" s="23">
        <f t="shared" si="29"/>
        <v>5.6221575320545079E-2</v>
      </c>
      <c r="D78" s="23">
        <f t="shared" si="29"/>
        <v>5.7373180694205529E-2</v>
      </c>
      <c r="E78" s="23">
        <f t="shared" si="29"/>
        <v>5.5715551977208386E-2</v>
      </c>
      <c r="F78" s="23">
        <f t="shared" si="29"/>
        <v>5.6235023515853522E-2</v>
      </c>
      <c r="G78" s="23">
        <f t="shared" si="29"/>
        <v>6.287025470030258E-2</v>
      </c>
      <c r="H78" s="23">
        <f t="shared" si="29"/>
        <v>6.288174578588715E-2</v>
      </c>
      <c r="I78" s="23">
        <f t="shared" si="29"/>
        <v>6.1889771063560216E-2</v>
      </c>
      <c r="J78" s="23">
        <f t="shared" si="29"/>
        <v>6.1855883795071523E-2</v>
      </c>
      <c r="K78" s="23">
        <f t="shared" si="29"/>
        <v>5.9768563912832931E-2</v>
      </c>
      <c r="L78" s="23">
        <f t="shared" si="29"/>
        <v>6.4877037129547177E-2</v>
      </c>
      <c r="M78" s="23">
        <f t="shared" si="29"/>
        <v>6.2929363340077288E-2</v>
      </c>
      <c r="N78" s="23">
        <f t="shared" si="29"/>
        <v>6.0755912401721311E-2</v>
      </c>
      <c r="O78" s="23">
        <f t="shared" si="29"/>
        <v>6.2382626514510743E-2</v>
      </c>
      <c r="P78" s="23">
        <f t="shared" si="29"/>
        <v>6.5117948099150794E-2</v>
      </c>
      <c r="Q78" s="23">
        <f t="shared" si="29"/>
        <v>6.3441684915336943E-2</v>
      </c>
      <c r="R78" s="23">
        <f t="shared" si="29"/>
        <v>6.350385287488719E-2</v>
      </c>
      <c r="S78" s="23">
        <f t="shared" si="29"/>
        <v>6.3225129595062046E-2</v>
      </c>
      <c r="T78" s="23">
        <f t="shared" si="29"/>
        <v>6.2670719183916895E-2</v>
      </c>
      <c r="U78" s="23">
        <f t="shared" si="29"/>
        <v>5.974705471420555E-2</v>
      </c>
      <c r="V78" s="23">
        <f t="shared" si="29"/>
        <v>6.1912626825912122E-2</v>
      </c>
      <c r="W78" s="23">
        <f t="shared" si="29"/>
        <v>6.3700078245011685E-2</v>
      </c>
      <c r="X78" s="23">
        <f t="shared" si="29"/>
        <v>6.1914772856697678E-2</v>
      </c>
      <c r="Y78" s="23">
        <f t="shared" si="29"/>
        <v>6.1187210907152567E-2</v>
      </c>
      <c r="Z78" s="23">
        <f t="shared" si="29"/>
        <v>6.1656247281064024E-2</v>
      </c>
      <c r="AA78" s="23">
        <f t="shared" si="29"/>
        <v>6.1381173727948789E-2</v>
      </c>
      <c r="AB78" s="23">
        <f t="shared" si="29"/>
        <v>6.2770025155811343E-2</v>
      </c>
      <c r="AC78" s="23">
        <f t="shared" si="29"/>
        <v>6.0634932144713938E-2</v>
      </c>
      <c r="AD78" s="23">
        <f t="shared" si="29"/>
        <v>6.0220553123727538E-2</v>
      </c>
      <c r="AE78" s="23">
        <f t="shared" si="29"/>
        <v>5.9474537744651411E-2</v>
      </c>
      <c r="AF78" s="23">
        <f t="shared" si="29"/>
        <v>5.7015618214337982E-2</v>
      </c>
      <c r="AG78" s="23">
        <f t="shared" si="29"/>
        <v>6.0572051372520107E-2</v>
      </c>
      <c r="AH78" s="23">
        <f t="shared" si="29"/>
        <v>6.2420414653148105E-2</v>
      </c>
      <c r="AI78" s="23">
        <f t="shared" si="29"/>
        <v>0.8043006645189722</v>
      </c>
      <c r="AJ78" s="23">
        <f t="shared" si="29"/>
        <v>0.17443814550153147</v>
      </c>
      <c r="AK78" s="23">
        <f t="shared" si="29"/>
        <v>0.10054119296697243</v>
      </c>
      <c r="AL78" s="23">
        <f t="shared" si="29"/>
        <v>7.9124204933099976E-2</v>
      </c>
      <c r="AM78" s="23">
        <f t="shared" si="29"/>
        <v>7.0473779147622012E-2</v>
      </c>
      <c r="AN78" s="23">
        <f t="shared" si="29"/>
        <v>6.643500862887361E-2</v>
      </c>
      <c r="AO78" s="23">
        <f t="shared" si="29"/>
        <v>6.4407738621413635E-2</v>
      </c>
      <c r="AP78" s="23">
        <f t="shared" si="29"/>
        <v>6.3347065990198986E-2</v>
      </c>
      <c r="AQ78" s="23">
        <f t="shared" si="29"/>
        <v>6.2775692585967519E-2</v>
      </c>
      <c r="AR78" s="23">
        <f t="shared" si="29"/>
        <v>6.2459481669239057E-2</v>
      </c>
      <c r="AS78" s="23">
        <f t="shared" si="29"/>
        <v>6.2278935849229236E-2</v>
      </c>
      <c r="AT78" s="23">
        <f t="shared" si="29"/>
        <v>6.2171689244487592E-2</v>
      </c>
      <c r="AU78" s="23">
        <f t="shared" si="29"/>
        <v>6.2104756207479551E-2</v>
      </c>
      <c r="AV78" s="23">
        <f t="shared" si="29"/>
        <v>6.2060528977051332E-2</v>
      </c>
      <c r="AW78" s="23">
        <f t="shared" si="29"/>
        <v>6.2029530616013573E-2</v>
      </c>
      <c r="AX78" s="23">
        <f t="shared" si="29"/>
        <v>6.200661029363793E-2</v>
      </c>
      <c r="AY78" s="23">
        <f t="shared" si="29"/>
        <v>6.1988929652806814E-2</v>
      </c>
      <c r="AZ78" s="23">
        <f t="shared" si="29"/>
        <v>6.1974892059507868E-2</v>
      </c>
      <c r="BA78" s="23">
        <f t="shared" si="29"/>
        <v>6.1963571481650846E-2</v>
      </c>
      <c r="BB78" s="23">
        <f t="shared" si="29"/>
        <v>6.1954407116225262E-2</v>
      </c>
      <c r="BC78" s="23">
        <f t="shared" si="29"/>
        <v>6.1947039688957969E-2</v>
      </c>
      <c r="BD78" s="23">
        <f t="shared" si="29"/>
        <v>6.1941223400152332E-2</v>
      </c>
      <c r="BE78" s="23">
        <f t="shared" si="29"/>
        <v>6.1936778316956709E-2</v>
      </c>
      <c r="BF78" s="23">
        <f t="shared" si="29"/>
        <v>6.1924356887840724E-2</v>
      </c>
      <c r="BG78" s="23">
        <f t="shared" si="29"/>
        <v>6.1913221781534876E-2</v>
      </c>
      <c r="BH78" s="23">
        <f t="shared" si="29"/>
        <v>6.1905666222969592E-2</v>
      </c>
      <c r="BI78" s="23">
        <f t="shared" si="29"/>
        <v>6.19015985143914E-2</v>
      </c>
    </row>
    <row r="79" spans="1:237" s="37" customFormat="1" ht="18" customHeight="1" x14ac:dyDescent="0.2">
      <c r="A79" s="35" t="s">
        <v>70</v>
      </c>
      <c r="B79" s="29">
        <f>+C134</f>
        <v>-3.430187428640985E-3</v>
      </c>
      <c r="C79" s="23">
        <f t="shared" ref="C79:BI79" si="30">+D134</f>
        <v>6.7943439633835201E-3</v>
      </c>
      <c r="D79" s="23">
        <f t="shared" si="30"/>
        <v>1.5089454682550851E-3</v>
      </c>
      <c r="E79" s="23">
        <f t="shared" si="30"/>
        <v>5.1628883582255369E-3</v>
      </c>
      <c r="F79" s="23">
        <f t="shared" si="30"/>
        <v>2.200454272313479E-2</v>
      </c>
      <c r="G79" s="23">
        <f t="shared" si="30"/>
        <v>1.6583718112757051E-2</v>
      </c>
      <c r="H79" s="23">
        <f t="shared" si="30"/>
        <v>1.4351633699993815E-2</v>
      </c>
      <c r="I79" s="23">
        <f t="shared" si="30"/>
        <v>1.5423899058999213E-2</v>
      </c>
      <c r="J79" s="23">
        <f t="shared" si="30"/>
        <v>1.2391399795104618E-2</v>
      </c>
      <c r="K79" s="23">
        <f t="shared" si="30"/>
        <v>2.7964829621938581E-2</v>
      </c>
      <c r="L79" s="23">
        <f t="shared" si="30"/>
        <v>1.6216846825936715E-2</v>
      </c>
      <c r="M79" s="23">
        <f t="shared" si="30"/>
        <v>1.8595077548452021E-2</v>
      </c>
      <c r="N79" s="23">
        <f t="shared" si="30"/>
        <v>2.448220062726536E-2</v>
      </c>
      <c r="O79" s="23">
        <f t="shared" si="30"/>
        <v>2.9785073281954011E-2</v>
      </c>
      <c r="P79" s="23">
        <f t="shared" si="30"/>
        <v>2.3437371147447816E-2</v>
      </c>
      <c r="Q79" s="23">
        <f t="shared" si="30"/>
        <v>2.4956220479370517E-2</v>
      </c>
      <c r="R79" s="23">
        <f t="shared" si="30"/>
        <v>2.4194078133277674E-2</v>
      </c>
      <c r="S79" s="23">
        <f t="shared" si="30"/>
        <v>2.316355286254157E-2</v>
      </c>
      <c r="T79" s="23">
        <f t="shared" si="30"/>
        <v>1.6168352170498501E-2</v>
      </c>
      <c r="U79" s="23">
        <f t="shared" si="30"/>
        <v>2.289614413307306E-2</v>
      </c>
      <c r="V79" s="23">
        <f t="shared" si="30"/>
        <v>2.4357208737046498E-2</v>
      </c>
      <c r="W79" s="23">
        <f t="shared" si="30"/>
        <v>1.8472506239219921E-2</v>
      </c>
      <c r="X79" s="23">
        <f t="shared" si="30"/>
        <v>1.8089007498583998E-2</v>
      </c>
      <c r="Y79" s="23">
        <f t="shared" si="30"/>
        <v>1.9811264049808486E-2</v>
      </c>
      <c r="Z79" s="23">
        <f t="shared" si="30"/>
        <v>1.8587195933983613E-2</v>
      </c>
      <c r="AA79" s="23">
        <f t="shared" si="30"/>
        <v>2.1673030684951522E-2</v>
      </c>
      <c r="AB79" s="23">
        <f t="shared" si="30"/>
        <v>1.555310113674091E-2</v>
      </c>
      <c r="AC79" s="23">
        <f t="shared" si="30"/>
        <v>1.6340801387064952E-2</v>
      </c>
      <c r="AD79" s="23">
        <f t="shared" si="30"/>
        <v>1.4653673475450546E-2</v>
      </c>
      <c r="AE79" s="23">
        <f t="shared" si="30"/>
        <v>9.2692472902906609E-3</v>
      </c>
      <c r="AF79" s="23">
        <f t="shared" si="30"/>
        <v>2.1277693282772292E-2</v>
      </c>
      <c r="AG79" s="23">
        <f t="shared" si="30"/>
        <v>2.2553027835823025E-2</v>
      </c>
      <c r="AH79" s="23">
        <f t="shared" si="30"/>
        <v>0.49766599689722346</v>
      </c>
      <c r="AI79" s="23">
        <f t="shared" si="30"/>
        <v>0.12729665985713878</v>
      </c>
      <c r="AJ79" s="23">
        <f t="shared" si="30"/>
        <v>5.7669183725692852E-2</v>
      </c>
      <c r="AK79" s="23">
        <f t="shared" si="30"/>
        <v>3.670730369309938E-2</v>
      </c>
      <c r="AL79" s="23">
        <f t="shared" si="30"/>
        <v>2.8440456526919622E-2</v>
      </c>
      <c r="AM79" s="23">
        <f t="shared" si="30"/>
        <v>2.4630621770636907E-2</v>
      </c>
      <c r="AN79" s="23">
        <f t="shared" si="30"/>
        <v>2.2721680532197475E-2</v>
      </c>
      <c r="AO79" s="23">
        <f t="shared" si="30"/>
        <v>2.1715042722401323E-2</v>
      </c>
      <c r="AP79" s="23">
        <f t="shared" si="30"/>
        <v>2.1162787438693931E-2</v>
      </c>
      <c r="AQ79" s="23">
        <f t="shared" si="30"/>
        <v>2.0847431640047764E-2</v>
      </c>
      <c r="AR79" s="23">
        <f t="shared" si="30"/>
        <v>2.0658541442244882E-2</v>
      </c>
      <c r="AS79" s="23">
        <f t="shared" si="30"/>
        <v>2.0538580660705685E-2</v>
      </c>
      <c r="AT79" s="23">
        <f t="shared" si="30"/>
        <v>2.0457093688664774E-2</v>
      </c>
      <c r="AU79" s="23">
        <f t="shared" si="30"/>
        <v>2.039776993561615E-2</v>
      </c>
      <c r="AV79" s="23">
        <f t="shared" si="30"/>
        <v>2.0351774301209602E-2</v>
      </c>
      <c r="AW79" s="23">
        <f t="shared" si="30"/>
        <v>2.0314252324680648E-2</v>
      </c>
      <c r="AX79" s="23">
        <f t="shared" si="30"/>
        <v>2.0282481964967847E-2</v>
      </c>
      <c r="AY79" s="23">
        <f t="shared" si="30"/>
        <v>2.0254890816809645E-2</v>
      </c>
      <c r="AZ79" s="23">
        <f t="shared" si="30"/>
        <v>2.0230531574913169E-2</v>
      </c>
      <c r="BA79" s="23">
        <f t="shared" si="30"/>
        <v>2.020880117984647E-2</v>
      </c>
      <c r="BB79" s="23">
        <f t="shared" si="30"/>
        <v>2.0189289888784545E-2</v>
      </c>
      <c r="BC79" s="23">
        <f t="shared" si="30"/>
        <v>2.0171699751218908E-2</v>
      </c>
      <c r="BD79" s="23">
        <f t="shared" si="30"/>
        <v>2.0204827108341927E-2</v>
      </c>
      <c r="BE79" s="23">
        <f t="shared" si="30"/>
        <v>2.0173015767092961E-2</v>
      </c>
      <c r="BF79" s="23">
        <f t="shared" si="30"/>
        <v>2.0146636604279733E-2</v>
      </c>
      <c r="BG79" s="23">
        <f t="shared" si="30"/>
        <v>2.0125790745225025E-2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1.2444988853895516</v>
      </c>
      <c r="C84" s="381">
        <f t="shared" ref="C84:BH84" si="31">C68-C73</f>
        <v>1.3323181918808831</v>
      </c>
      <c r="D84" s="381">
        <f>D68-D73</f>
        <v>1.4722879101343409</v>
      </c>
      <c r="E84" s="381">
        <f>E68-E73</f>
        <v>1.516612394175185</v>
      </c>
      <c r="F84" s="381">
        <f t="shared" si="31"/>
        <v>1.5573771153751597</v>
      </c>
      <c r="G84" s="381">
        <f t="shared" si="31"/>
        <v>1.7176278782150383</v>
      </c>
      <c r="H84" s="381">
        <f t="shared" si="31"/>
        <v>1.7968125576113763</v>
      </c>
      <c r="I84" s="381">
        <f t="shared" si="31"/>
        <v>1.8523043942821724</v>
      </c>
      <c r="J84" s="381">
        <f>J68-J73</f>
        <v>1.923007264765292</v>
      </c>
      <c r="K84" s="381">
        <f t="shared" si="31"/>
        <v>1.9569959898345357</v>
      </c>
      <c r="L84" s="381">
        <f>L68-L73</f>
        <v>2.1557637867017427</v>
      </c>
      <c r="M84" s="381">
        <f t="shared" si="31"/>
        <v>2.1504869080526072</v>
      </c>
      <c r="N84" s="381">
        <f t="shared" si="31"/>
        <v>2.17891514971789</v>
      </c>
      <c r="O84" s="381">
        <f t="shared" si="31"/>
        <v>2.2941904234584585</v>
      </c>
      <c r="P84" s="381">
        <f t="shared" si="31"/>
        <v>2.5001521587382944</v>
      </c>
      <c r="Q84" s="381">
        <f t="shared" si="31"/>
        <v>2.6145760446156414</v>
      </c>
      <c r="R84" s="381">
        <f t="shared" si="31"/>
        <v>2.761402685948235</v>
      </c>
      <c r="S84" s="381">
        <f t="shared" si="31"/>
        <v>2.9020474389380819</v>
      </c>
      <c r="T84" s="381">
        <f t="shared" si="31"/>
        <v>3.0294557349198361</v>
      </c>
      <c r="U84" s="381">
        <f t="shared" si="31"/>
        <v>3.0210789357371102</v>
      </c>
      <c r="V84" s="381">
        <f t="shared" si="31"/>
        <v>3.1720422317924624</v>
      </c>
      <c r="W84" s="381">
        <f t="shared" si="31"/>
        <v>3.3878331132497372</v>
      </c>
      <c r="X84" s="381">
        <f t="shared" si="31"/>
        <v>3.4819639239175424</v>
      </c>
      <c r="Y84" s="381">
        <f t="shared" si="31"/>
        <v>3.5697361447043328</v>
      </c>
      <c r="Z84" s="381">
        <f t="shared" si="31"/>
        <v>3.7011925073761471</v>
      </c>
      <c r="AA84" s="381">
        <f t="shared" si="31"/>
        <v>3.8068867077114161</v>
      </c>
      <c r="AB84" s="381">
        <f t="shared" si="31"/>
        <v>3.995363910365449</v>
      </c>
      <c r="AC84" s="381">
        <f t="shared" si="31"/>
        <v>4.028537843018321</v>
      </c>
      <c r="AD84" s="381">
        <f t="shared" si="31"/>
        <v>4.0830376132766366</v>
      </c>
      <c r="AE84" s="381">
        <f t="shared" si="31"/>
        <v>4.0926925572108299</v>
      </c>
      <c r="AF84" s="381">
        <f t="shared" si="31"/>
        <v>3.9502327063529385</v>
      </c>
      <c r="AG84" s="381">
        <f t="shared" si="31"/>
        <v>4.1159937493708414</v>
      </c>
      <c r="AH84" s="381">
        <f t="shared" si="31"/>
        <v>4.3245409949779603</v>
      </c>
      <c r="AI84" s="381">
        <f t="shared" si="31"/>
        <v>57.845050039328846</v>
      </c>
      <c r="AJ84" s="381">
        <f t="shared" si="31"/>
        <v>116.4342421542613</v>
      </c>
      <c r="AK84" s="381">
        <f t="shared" si="31"/>
        <v>153.21670272932093</v>
      </c>
      <c r="AL84" s="381">
        <f t="shared" si="31"/>
        <v>176.4304539499669</v>
      </c>
      <c r="AM84" s="381">
        <f t="shared" si="31"/>
        <v>192.6020711612581</v>
      </c>
      <c r="AN84" s="381">
        <f t="shared" si="31"/>
        <v>205.11757690970148</v>
      </c>
      <c r="AO84" s="381">
        <f t="shared" si="31"/>
        <v>215.74745419159393</v>
      </c>
      <c r="AP84" s="381">
        <f t="shared" si="31"/>
        <v>225.4432907444963</v>
      </c>
      <c r="AQ84" s="381">
        <f t="shared" si="31"/>
        <v>234.7272807989126</v>
      </c>
      <c r="AR84" s="381">
        <f t="shared" si="31"/>
        <v>243.89087727946662</v>
      </c>
      <c r="AS84" s="381">
        <f t="shared" si="31"/>
        <v>253.09978124606823</v>
      </c>
      <c r="AT84" s="381">
        <f t="shared" si="31"/>
        <v>262.45066144040345</v>
      </c>
      <c r="AU84" s="381">
        <f t="shared" si="31"/>
        <v>272.00217915818359</v>
      </c>
      <c r="AV84" s="381">
        <f t="shared" si="31"/>
        <v>281.79207414895018</v>
      </c>
      <c r="AW84" s="381">
        <f t="shared" si="31"/>
        <v>291.84660941255191</v>
      </c>
      <c r="AX84" s="381">
        <f t="shared" si="31"/>
        <v>302.18580397051295</v>
      </c>
      <c r="AY84" s="381">
        <f t="shared" si="31"/>
        <v>312.82633726659344</v>
      </c>
      <c r="AZ84" s="381">
        <f t="shared" si="31"/>
        <v>323.78316475435736</v>
      </c>
      <c r="BA84" s="381">
        <f t="shared" si="31"/>
        <v>335.07041974239149</v>
      </c>
      <c r="BB84" s="381">
        <f t="shared" si="31"/>
        <v>346.70191997518458</v>
      </c>
      <c r="BC84" s="381">
        <f t="shared" si="31"/>
        <v>358.69145540498147</v>
      </c>
      <c r="BD84" s="381">
        <f t="shared" si="31"/>
        <v>371.05295493082821</v>
      </c>
      <c r="BE84" s="381">
        <f t="shared" si="31"/>
        <v>383.92356820309226</v>
      </c>
      <c r="BF84" s="381">
        <f t="shared" si="31"/>
        <v>397.15805164394214</v>
      </c>
      <c r="BG84" s="381">
        <f t="shared" si="31"/>
        <v>410.77793133016917</v>
      </c>
      <c r="BH84" s="381">
        <f t="shared" si="31"/>
        <v>424.80700722121668</v>
      </c>
      <c r="BI84" s="381">
        <f>+BH84</f>
        <v>424.80700722121668</v>
      </c>
    </row>
    <row r="85" spans="1:103" s="381" customFormat="1" ht="18" customHeight="1" x14ac:dyDescent="0.2">
      <c r="A85" s="411" t="s">
        <v>970</v>
      </c>
      <c r="B85" s="383">
        <f>+C85/C84*B84</f>
        <v>7.2587824652497496E-2</v>
      </c>
      <c r="C85" s="383">
        <f>+(C74-B74)/10</f>
        <v>7.7710056978725198E-2</v>
      </c>
      <c r="D85" s="383">
        <f t="shared" ref="D85:BI85" si="32">+(D74-C74)/10</f>
        <v>4.1092490559231899E-2</v>
      </c>
      <c r="E85" s="383">
        <f t="shared" si="32"/>
        <v>3.2557907936402411E-2</v>
      </c>
      <c r="F85" s="383">
        <f t="shared" si="32"/>
        <v>3.5307603415558829E-3</v>
      </c>
      <c r="G85" s="383">
        <f t="shared" si="32"/>
        <v>-1.1867803324579462E-2</v>
      </c>
      <c r="H85" s="383">
        <f t="shared" si="32"/>
        <v>3.1870753581679526E-2</v>
      </c>
      <c r="I85" s="383">
        <f t="shared" si="32"/>
        <v>3.556450221832641E-2</v>
      </c>
      <c r="J85" s="383">
        <f t="shared" si="32"/>
        <v>3.1252276005617127E-2</v>
      </c>
      <c r="K85" s="383">
        <f t="shared" si="32"/>
        <v>3.5405830173707201E-2</v>
      </c>
      <c r="L85" s="383">
        <f t="shared" si="32"/>
        <v>5.4816437789666494E-3</v>
      </c>
      <c r="M85" s="383">
        <f t="shared" si="32"/>
        <v>3.4250532808002276E-2</v>
      </c>
      <c r="N85" s="383">
        <f t="shared" si="32"/>
        <v>4.3023843873589838E-2</v>
      </c>
      <c r="O85" s="383">
        <f t="shared" si="32"/>
        <v>2.2961636091172723E-2</v>
      </c>
      <c r="P85" s="383">
        <f t="shared" si="32"/>
        <v>4.0284284006033212E-2</v>
      </c>
      <c r="Q85" s="383">
        <f t="shared" si="32"/>
        <v>7.1717297975995992E-2</v>
      </c>
      <c r="R85" s="383">
        <f t="shared" si="32"/>
        <v>5.7045936299101999E-2</v>
      </c>
      <c r="S85" s="383">
        <f t="shared" si="32"/>
        <v>6.1003395764461212E-2</v>
      </c>
      <c r="T85" s="383">
        <f t="shared" si="32"/>
        <v>6.0652295272126545E-2</v>
      </c>
      <c r="U85" s="383">
        <f t="shared" si="32"/>
        <v>5.6823553620592195E-2</v>
      </c>
      <c r="V85" s="383">
        <f t="shared" si="32"/>
        <v>1.7467573058728016E-2</v>
      </c>
      <c r="W85" s="383">
        <f t="shared" si="32"/>
        <v>4.8361572294346546E-2</v>
      </c>
      <c r="X85" s="383">
        <f t="shared" si="32"/>
        <v>7.7285918739522508E-2</v>
      </c>
      <c r="Y85" s="383">
        <f t="shared" si="32"/>
        <v>5.3305360739282825E-2</v>
      </c>
      <c r="Z85" s="383">
        <f t="shared" si="32"/>
        <v>4.3163397964779374E-2</v>
      </c>
      <c r="AA85" s="383">
        <f t="shared" si="32"/>
        <v>5.1859045272443539E-2</v>
      </c>
      <c r="AB85" s="383">
        <f t="shared" si="32"/>
        <v>4.7677405564327202E-2</v>
      </c>
      <c r="AC85" s="383">
        <f t="shared" si="32"/>
        <v>6.939930230488614E-2</v>
      </c>
      <c r="AD85" s="383">
        <f t="shared" si="32"/>
        <v>3.3487023611470691E-2</v>
      </c>
      <c r="AE85" s="383">
        <f t="shared" si="32"/>
        <v>2.6936602107277351E-2</v>
      </c>
      <c r="AF85" s="383">
        <f t="shared" si="32"/>
        <v>1.2095678778354112E-2</v>
      </c>
      <c r="AG85" s="383">
        <f t="shared" si="32"/>
        <v>-3.567246682018279E-2</v>
      </c>
      <c r="AH85" s="383">
        <f t="shared" si="32"/>
        <v>3.397628102115071E-2</v>
      </c>
      <c r="AI85" s="383">
        <f t="shared" si="32"/>
        <v>7.0241798205002939E-2</v>
      </c>
      <c r="AJ85" s="383">
        <f t="shared" si="32"/>
        <v>15.010689287288496</v>
      </c>
      <c r="AK85" s="383">
        <f t="shared" si="32"/>
        <v>21.639375558580191</v>
      </c>
      <c r="AL85" s="383">
        <f t="shared" si="32"/>
        <v>17.844585346995053</v>
      </c>
      <c r="AM85" s="383">
        <f t="shared" si="32"/>
        <v>12.722069854663186</v>
      </c>
      <c r="AN85" s="383">
        <f t="shared" si="32"/>
        <v>8.9641017587141967</v>
      </c>
      <c r="AO85" s="383">
        <f t="shared" si="32"/>
        <v>6.6300370164847093</v>
      </c>
      <c r="AP85" s="383">
        <f t="shared" si="32"/>
        <v>5.2882069635415405</v>
      </c>
      <c r="AQ85" s="383">
        <f t="shared" si="32"/>
        <v>4.5588004098165014</v>
      </c>
      <c r="AR85" s="383">
        <f t="shared" si="32"/>
        <v>4.1891515499634009</v>
      </c>
      <c r="AS85" s="383">
        <f t="shared" si="32"/>
        <v>4.0265517380309461</v>
      </c>
      <c r="AT85" s="383">
        <f t="shared" si="32"/>
        <v>3.9825431704781069</v>
      </c>
      <c r="AU85" s="383">
        <f t="shared" si="32"/>
        <v>4.0069528824354164</v>
      </c>
      <c r="AV85" s="383">
        <f t="shared" si="32"/>
        <v>4.0716442348196553</v>
      </c>
      <c r="AW85" s="383">
        <f t="shared" si="32"/>
        <v>4.1609483774332601</v>
      </c>
      <c r="AX85" s="383">
        <f t="shared" si="32"/>
        <v>4.2661883325582721</v>
      </c>
      <c r="AY85" s="383">
        <f t="shared" si="32"/>
        <v>4.3825902581311995</v>
      </c>
      <c r="AZ85" s="383">
        <f t="shared" si="32"/>
        <v>4.5075545081857626</v>
      </c>
      <c r="BA85" s="383">
        <f t="shared" si="32"/>
        <v>4.6396919103118082</v>
      </c>
      <c r="BB85" s="383">
        <f t="shared" si="32"/>
        <v>4.7782878824581072</v>
      </c>
      <c r="BC85" s="383">
        <f t="shared" si="32"/>
        <v>4.9230049046397424</v>
      </c>
      <c r="BD85" s="383">
        <f t="shared" si="32"/>
        <v>5.073717508850291</v>
      </c>
      <c r="BE85" s="383">
        <f t="shared" si="32"/>
        <v>5.230420853386522</v>
      </c>
      <c r="BF85" s="383">
        <f t="shared" si="32"/>
        <v>5.427616107866152</v>
      </c>
      <c r="BG85" s="383">
        <f t="shared" si="32"/>
        <v>5.5982605818970796</v>
      </c>
      <c r="BH85" s="383">
        <f t="shared" si="32"/>
        <v>5.7656748557029456</v>
      </c>
      <c r="BI85" s="383">
        <f t="shared" si="32"/>
        <v>5.9386270192902657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1.3170867100420491</v>
      </c>
      <c r="C87" s="383">
        <f>+SUM(C84:C86)</f>
        <v>1.4100282488596083</v>
      </c>
      <c r="D87" s="383">
        <f t="shared" ref="D87:BI87" si="35">+SUM(D84:D86)</f>
        <v>1.5133804006935727</v>
      </c>
      <c r="E87" s="383">
        <f t="shared" si="35"/>
        <v>1.5491703021115875</v>
      </c>
      <c r="F87" s="383">
        <f t="shared" si="35"/>
        <v>1.5609078757167156</v>
      </c>
      <c r="G87" s="383">
        <f t="shared" si="35"/>
        <v>1.7057600748904589</v>
      </c>
      <c r="H87" s="383">
        <f t="shared" si="35"/>
        <v>1.8286833111930558</v>
      </c>
      <c r="I87" s="383">
        <f t="shared" si="35"/>
        <v>1.8878688965004988</v>
      </c>
      <c r="J87" s="383">
        <f t="shared" si="35"/>
        <v>1.9542595407709091</v>
      </c>
      <c r="K87" s="383">
        <f t="shared" si="35"/>
        <v>1.992401820008243</v>
      </c>
      <c r="L87" s="383">
        <f t="shared" si="35"/>
        <v>2.1612454304807094</v>
      </c>
      <c r="M87" s="383">
        <f t="shared" si="35"/>
        <v>2.1847374408606095</v>
      </c>
      <c r="N87" s="383">
        <f t="shared" si="35"/>
        <v>2.2219389935914799</v>
      </c>
      <c r="O87" s="383">
        <f t="shared" si="35"/>
        <v>2.3171520595496311</v>
      </c>
      <c r="P87" s="383">
        <f t="shared" si="35"/>
        <v>2.5404364427443276</v>
      </c>
      <c r="Q87" s="383">
        <f t="shared" si="35"/>
        <v>2.6862933425916373</v>
      </c>
      <c r="R87" s="383">
        <f t="shared" si="35"/>
        <v>2.8184486222473368</v>
      </c>
      <c r="S87" s="383">
        <f t="shared" si="35"/>
        <v>2.963050834702543</v>
      </c>
      <c r="T87" s="383">
        <f t="shared" si="35"/>
        <v>3.0901080301919626</v>
      </c>
      <c r="U87" s="383">
        <f t="shared" si="35"/>
        <v>3.0779024893577023</v>
      </c>
      <c r="V87" s="383">
        <f t="shared" si="35"/>
        <v>3.1895098048511903</v>
      </c>
      <c r="W87" s="383">
        <f t="shared" si="35"/>
        <v>3.4361946855440837</v>
      </c>
      <c r="X87" s="383">
        <f t="shared" si="35"/>
        <v>3.5592498426570649</v>
      </c>
      <c r="Y87" s="383">
        <f t="shared" si="35"/>
        <v>3.6230415054436156</v>
      </c>
      <c r="Z87" s="383">
        <f t="shared" si="35"/>
        <v>3.7443559053409263</v>
      </c>
      <c r="AA87" s="383">
        <f t="shared" si="35"/>
        <v>3.8587457529838596</v>
      </c>
      <c r="AB87" s="383">
        <f t="shared" si="35"/>
        <v>4.0430413159297762</v>
      </c>
      <c r="AC87" s="383">
        <f t="shared" si="35"/>
        <v>4.0979371453232067</v>
      </c>
      <c r="AD87" s="383">
        <f t="shared" si="35"/>
        <v>4.1165246368881077</v>
      </c>
      <c r="AE87" s="383">
        <f t="shared" si="35"/>
        <v>4.1196291593181069</v>
      </c>
      <c r="AF87" s="383">
        <f t="shared" si="35"/>
        <v>3.9623283851312925</v>
      </c>
      <c r="AG87" s="383">
        <f t="shared" si="35"/>
        <v>4.080321282550659</v>
      </c>
      <c r="AH87" s="383">
        <f t="shared" si="35"/>
        <v>4.3585172759991107</v>
      </c>
      <c r="AI87" s="383">
        <f t="shared" si="35"/>
        <v>57.91529183753385</v>
      </c>
      <c r="AJ87" s="383">
        <f t="shared" si="35"/>
        <v>131.44493144154978</v>
      </c>
      <c r="AK87" s="383">
        <f t="shared" si="35"/>
        <v>174.85607828790111</v>
      </c>
      <c r="AL87" s="383">
        <f t="shared" si="35"/>
        <v>194.27503929696195</v>
      </c>
      <c r="AM87" s="383">
        <f t="shared" si="35"/>
        <v>205.32414101592127</v>
      </c>
      <c r="AN87" s="383">
        <f t="shared" si="35"/>
        <v>214.08167866841569</v>
      </c>
      <c r="AO87" s="383">
        <f t="shared" si="35"/>
        <v>222.37749120807865</v>
      </c>
      <c r="AP87" s="383">
        <f t="shared" si="35"/>
        <v>230.73149770803784</v>
      </c>
      <c r="AQ87" s="383">
        <f t="shared" si="35"/>
        <v>239.28608120872912</v>
      </c>
      <c r="AR87" s="383">
        <f t="shared" si="35"/>
        <v>248.08002882943003</v>
      </c>
      <c r="AS87" s="383">
        <f t="shared" si="35"/>
        <v>257.12633298409918</v>
      </c>
      <c r="AT87" s="383">
        <f t="shared" si="35"/>
        <v>266.43320461088155</v>
      </c>
      <c r="AU87" s="383">
        <f t="shared" si="35"/>
        <v>276.00913204061902</v>
      </c>
      <c r="AV87" s="383">
        <f t="shared" si="35"/>
        <v>285.86371838376982</v>
      </c>
      <c r="AW87" s="383">
        <f t="shared" si="35"/>
        <v>296.00755778998519</v>
      </c>
      <c r="AX87" s="383">
        <f t="shared" si="35"/>
        <v>306.45199230307122</v>
      </c>
      <c r="AY87" s="383">
        <f t="shared" si="35"/>
        <v>317.20892752472463</v>
      </c>
      <c r="AZ87" s="383">
        <f t="shared" si="35"/>
        <v>328.29071926254312</v>
      </c>
      <c r="BA87" s="383">
        <f t="shared" si="35"/>
        <v>339.71011165270329</v>
      </c>
      <c r="BB87" s="383">
        <f t="shared" si="35"/>
        <v>351.48020785764271</v>
      </c>
      <c r="BC87" s="383">
        <f t="shared" si="35"/>
        <v>363.61446030962122</v>
      </c>
      <c r="BD87" s="383">
        <f t="shared" si="35"/>
        <v>376.12667243967849</v>
      </c>
      <c r="BE87" s="383">
        <f t="shared" si="35"/>
        <v>389.15398905647879</v>
      </c>
      <c r="BF87" s="383">
        <f t="shared" si="35"/>
        <v>402.58566775180827</v>
      </c>
      <c r="BG87" s="383">
        <f t="shared" si="35"/>
        <v>416.37619191206625</v>
      </c>
      <c r="BH87" s="383">
        <f t="shared" si="35"/>
        <v>430.57268207691965</v>
      </c>
      <c r="BI87" s="383">
        <f t="shared" si="35"/>
        <v>430.74563424050694</v>
      </c>
    </row>
    <row r="88" spans="1:103" ht="18" customHeight="1" x14ac:dyDescent="0.2">
      <c r="A88" s="21" t="s">
        <v>153</v>
      </c>
      <c r="B88" s="29">
        <f t="shared" ref="B88:AG88" si="36">(B84/B56)*1000</f>
        <v>3.0150008392658547</v>
      </c>
      <c r="C88" s="23">
        <f t="shared" si="36"/>
        <v>2.6682837225561822</v>
      </c>
      <c r="D88" s="23">
        <f t="shared" si="36"/>
        <v>2.5277270289864187</v>
      </c>
      <c r="E88" s="23">
        <f t="shared" si="36"/>
        <v>2.3120050363254974</v>
      </c>
      <c r="F88" s="23">
        <f t="shared" si="36"/>
        <v>2.1666634887441822</v>
      </c>
      <c r="G88" s="23">
        <f t="shared" si="36"/>
        <v>2.2683149647770979</v>
      </c>
      <c r="H88" s="23">
        <f t="shared" si="36"/>
        <v>2.292014745198435</v>
      </c>
      <c r="I88" s="23">
        <f t="shared" si="36"/>
        <v>2.2822717029833548</v>
      </c>
      <c r="J88" s="23">
        <f t="shared" si="36"/>
        <v>2.2886335969481468</v>
      </c>
      <c r="K88" s="23">
        <f t="shared" si="36"/>
        <v>2.2497053202499471</v>
      </c>
      <c r="L88" s="23">
        <f t="shared" si="36"/>
        <v>2.4483512749406211</v>
      </c>
      <c r="M88" s="23">
        <f t="shared" si="36"/>
        <v>2.4679861340113405</v>
      </c>
      <c r="N88" s="23">
        <f t="shared" si="36"/>
        <v>2.5268507310456432</v>
      </c>
      <c r="O88" s="23">
        <f t="shared" si="36"/>
        <v>2.6884507704323561</v>
      </c>
      <c r="P88" s="23">
        <f t="shared" si="36"/>
        <v>2.9605501552238911</v>
      </c>
      <c r="Q88" s="23">
        <f t="shared" si="36"/>
        <v>3.1285321103615313</v>
      </c>
      <c r="R88" s="23">
        <f t="shared" si="36"/>
        <v>3.3388925158997962</v>
      </c>
      <c r="S88" s="23">
        <f t="shared" si="36"/>
        <v>3.5457699887220997</v>
      </c>
      <c r="T88" s="23">
        <f t="shared" si="36"/>
        <v>3.7402791836350833</v>
      </c>
      <c r="U88" s="23">
        <f t="shared" si="36"/>
        <v>3.7690755126411912</v>
      </c>
      <c r="V88" s="23">
        <f t="shared" si="36"/>
        <v>3.9689122796399983</v>
      </c>
      <c r="W88" s="23">
        <f t="shared" si="36"/>
        <v>4.2193032390704177</v>
      </c>
      <c r="X88" s="23">
        <f t="shared" si="36"/>
        <v>4.3164745884423636</v>
      </c>
      <c r="Y88" s="23">
        <f t="shared" si="36"/>
        <v>4.4048104961779861</v>
      </c>
      <c r="Z88" s="23">
        <f t="shared" si="36"/>
        <v>4.5458905750444938</v>
      </c>
      <c r="AA88" s="23">
        <f t="shared" si="36"/>
        <v>4.6540757393542247</v>
      </c>
      <c r="AB88" s="23">
        <f t="shared" si="36"/>
        <v>4.8619000608504015</v>
      </c>
      <c r="AC88" s="23">
        <f t="shared" si="36"/>
        <v>4.8795898990792619</v>
      </c>
      <c r="AD88" s="23">
        <f t="shared" si="36"/>
        <v>4.922723552615575</v>
      </c>
      <c r="AE88" s="23">
        <f t="shared" si="36"/>
        <v>4.9115365416542849</v>
      </c>
      <c r="AF88" s="23">
        <f t="shared" si="36"/>
        <v>4.7295958766991895</v>
      </c>
      <c r="AG88" s="23">
        <f t="shared" si="36"/>
        <v>4.9280608289826313</v>
      </c>
      <c r="AH88" s="23">
        <f t="shared" ref="AH88:BI88" si="37">(AH84/AH56)*1000</f>
        <v>5.177753509450322</v>
      </c>
      <c r="AI88" s="23">
        <f t="shared" si="37"/>
        <v>69.257618598893828</v>
      </c>
      <c r="AJ88" s="23">
        <f t="shared" si="37"/>
        <v>139.40619516256604</v>
      </c>
      <c r="AK88" s="23">
        <f t="shared" si="37"/>
        <v>183.44566999929464</v>
      </c>
      <c r="AL88" s="23">
        <f t="shared" si="37"/>
        <v>211.23939007034667</v>
      </c>
      <c r="AM88" s="23">
        <f t="shared" si="37"/>
        <v>230.60159472200519</v>
      </c>
      <c r="AN88" s="23">
        <f t="shared" si="37"/>
        <v>245.5863535407567</v>
      </c>
      <c r="AO88" s="23">
        <f t="shared" si="37"/>
        <v>258.31345786587718</v>
      </c>
      <c r="AP88" s="23">
        <f t="shared" si="37"/>
        <v>269.92223942145654</v>
      </c>
      <c r="AQ88" s="23">
        <f t="shared" si="37"/>
        <v>281.03791901422244</v>
      </c>
      <c r="AR88" s="23">
        <f t="shared" si="37"/>
        <v>292.00945192175521</v>
      </c>
      <c r="AS88" s="23">
        <f t="shared" si="37"/>
        <v>303.0352312788325</v>
      </c>
      <c r="AT88" s="23">
        <f t="shared" si="37"/>
        <v>314.23099813568371</v>
      </c>
      <c r="AU88" s="23">
        <f t="shared" si="37"/>
        <v>325.66698739818463</v>
      </c>
      <c r="AV88" s="23">
        <f t="shared" si="37"/>
        <v>337.38838469895182</v>
      </c>
      <c r="AW88" s="23">
        <f t="shared" si="37"/>
        <v>349.42663460974296</v>
      </c>
      <c r="AX88" s="23">
        <f t="shared" si="37"/>
        <v>361.80570581511262</v>
      </c>
      <c r="AY88" s="23">
        <f t="shared" si="37"/>
        <v>374.54556853815859</v>
      </c>
      <c r="AZ88" s="23">
        <f t="shared" si="37"/>
        <v>387.66412887625995</v>
      </c>
      <c r="BA88" s="23">
        <f t="shared" si="37"/>
        <v>401.17830857630747</v>
      </c>
      <c r="BB88" s="23">
        <f t="shared" si="37"/>
        <v>415.10465156171455</v>
      </c>
      <c r="BC88" s="23">
        <f t="shared" si="37"/>
        <v>429.45966848036585</v>
      </c>
      <c r="BD88" s="23">
        <f t="shared" si="37"/>
        <v>444.26003634052705</v>
      </c>
      <c r="BE88" s="23">
        <f t="shared" si="37"/>
        <v>459.66996380257041</v>
      </c>
      <c r="BF88" s="23">
        <f t="shared" si="37"/>
        <v>475.51555138312517</v>
      </c>
      <c r="BG88" s="23">
        <f t="shared" si="37"/>
        <v>491.82257215724837</v>
      </c>
      <c r="BH88" s="23">
        <f t="shared" si="37"/>
        <v>508.61952170948319</v>
      </c>
      <c r="BI88" s="23">
        <f t="shared" si="37"/>
        <v>508.61952170948319</v>
      </c>
    </row>
    <row r="89" spans="1:103" ht="18" customHeight="1" x14ac:dyDescent="0.2">
      <c r="A89" s="21" t="s">
        <v>166</v>
      </c>
      <c r="C89" s="23">
        <f>+LN(C88/B88)/10</f>
        <v>-1.2216464335601893E-2</v>
      </c>
      <c r="D89" s="23">
        <f>+LN(D88/C88)/10</f>
        <v>-5.4114973772286436E-3</v>
      </c>
      <c r="E89" s="23">
        <f>+LN(E88/D88)/10</f>
        <v>-8.9205362265035743E-3</v>
      </c>
      <c r="F89" s="23">
        <f>+LN(F88/E88)/10</f>
        <v>-6.4926707650284797E-3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-0.15182440712890655</v>
      </c>
      <c r="C90" s="33">
        <f t="shared" si="38"/>
        <v>-0.22437370002053125</v>
      </c>
      <c r="D90" s="33">
        <f t="shared" si="38"/>
        <v>-0.25795443175612087</v>
      </c>
      <c r="E90" s="33">
        <f t="shared" si="38"/>
        <v>-0.3153326717905629</v>
      </c>
      <c r="F90" s="33">
        <f t="shared" si="38"/>
        <v>-0.35873343742377428</v>
      </c>
      <c r="G90" s="33">
        <f t="shared" si="38"/>
        <v>-0.3279395836354646</v>
      </c>
      <c r="H90" s="33">
        <f t="shared" si="38"/>
        <v>-0.32105619513171191</v>
      </c>
      <c r="I90" s="33">
        <f t="shared" si="38"/>
        <v>-0.32387299358333932</v>
      </c>
      <c r="J90" s="33">
        <f t="shared" si="38"/>
        <v>-0.32203167638260632</v>
      </c>
      <c r="K90" s="33">
        <f t="shared" si="38"/>
        <v>-0.33342065442921398</v>
      </c>
      <c r="L90" s="33">
        <f t="shared" si="38"/>
        <v>-0.2781832784610283</v>
      </c>
      <c r="M90" s="33">
        <f t="shared" si="38"/>
        <v>-0.2730886256861822</v>
      </c>
      <c r="N90" s="33">
        <f t="shared" si="38"/>
        <v>-0.25817253868850742</v>
      </c>
      <c r="O90" s="33">
        <f t="shared" si="38"/>
        <v>-0.21977281914857105</v>
      </c>
      <c r="P90" s="33">
        <f t="shared" si="38"/>
        <v>-0.16236837167460738</v>
      </c>
      <c r="Q90" s="33">
        <f t="shared" si="38"/>
        <v>-0.13073201112300503</v>
      </c>
      <c r="R90" s="33">
        <f t="shared" si="38"/>
        <v>-9.4532789095906899E-2</v>
      </c>
      <c r="S90" s="33">
        <f t="shared" si="38"/>
        <v>-6.2122760981867531E-2</v>
      </c>
      <c r="T90" s="33">
        <f t="shared" si="38"/>
        <v>-3.4136782573146673E-2</v>
      </c>
      <c r="U90" s="33">
        <f t="shared" si="38"/>
        <v>-3.0178724294525727E-2</v>
      </c>
      <c r="V90" s="33">
        <f t="shared" si="38"/>
        <v>-3.9087638383816792E-3</v>
      </c>
      <c r="W90" s="33">
        <f t="shared" si="38"/>
        <v>2.6334849110116632E-2</v>
      </c>
      <c r="X90" s="33">
        <f t="shared" si="38"/>
        <v>3.7356680222964678E-2</v>
      </c>
      <c r="Y90" s="33">
        <f t="shared" si="38"/>
        <v>4.7058191511548109E-2</v>
      </c>
      <c r="Z90" s="33">
        <f t="shared" si="38"/>
        <v>6.1961838319848916E-2</v>
      </c>
      <c r="AA90" s="33">
        <f t="shared" si="38"/>
        <v>7.2928410045127956E-2</v>
      </c>
      <c r="AB90" s="33">
        <f t="shared" si="38"/>
        <v>9.295886737770831E-2</v>
      </c>
      <c r="AC90" s="33">
        <f t="shared" si="38"/>
        <v>9.4604495381042208E-2</v>
      </c>
      <c r="AD90" s="33">
        <f t="shared" si="38"/>
        <v>9.8579829315947443E-2</v>
      </c>
      <c r="AE90" s="33">
        <f t="shared" si="38"/>
        <v>9.7553830468265712E-2</v>
      </c>
      <c r="AF90" s="33">
        <f t="shared" si="38"/>
        <v>8.0359733153128832E-2</v>
      </c>
      <c r="AG90" s="33">
        <f t="shared" si="38"/>
        <v>9.9068097633370322E-2</v>
      </c>
      <c r="AH90" s="33">
        <f t="shared" si="38"/>
        <v>0.12105983723069791</v>
      </c>
      <c r="AI90" s="33">
        <f t="shared" si="38"/>
        <v>0.75967651208460429</v>
      </c>
      <c r="AJ90" s="33">
        <f t="shared" si="38"/>
        <v>0.83060953562316897</v>
      </c>
      <c r="AK90" s="33">
        <f t="shared" si="38"/>
        <v>0.85233544428908259</v>
      </c>
      <c r="AL90" s="33">
        <f t="shared" si="38"/>
        <v>0.86239236108711093</v>
      </c>
      <c r="AM90" s="33">
        <f t="shared" si="38"/>
        <v>0.86829603720319648</v>
      </c>
      <c r="AN90" s="33">
        <f t="shared" si="38"/>
        <v>0.8723773141301191</v>
      </c>
      <c r="AO90" s="33">
        <f t="shared" si="38"/>
        <v>0.87556100954071236</v>
      </c>
      <c r="AP90" s="33">
        <f t="shared" si="38"/>
        <v>0.87826634507089563</v>
      </c>
      <c r="AQ90" s="33">
        <f t="shared" si="38"/>
        <v>0.88069805196209883</v>
      </c>
      <c r="AR90" s="33">
        <f t="shared" si="38"/>
        <v>0.88296074704515226</v>
      </c>
      <c r="AS90" s="33">
        <f t="shared" si="38"/>
        <v>0.88510968130871381</v>
      </c>
      <c r="AT90" s="33">
        <f t="shared" si="38"/>
        <v>0.88717496336771573</v>
      </c>
      <c r="AU90" s="33">
        <f t="shared" si="38"/>
        <v>0.88917362522941734</v>
      </c>
      <c r="AV90" s="33">
        <f t="shared" si="38"/>
        <v>0.89111578306205608</v>
      </c>
      <c r="AW90" s="33">
        <f t="shared" si="38"/>
        <v>0.89300783073306256</v>
      </c>
      <c r="AX90" s="33">
        <f t="shared" si="38"/>
        <v>0.89485411279259197</v>
      </c>
      <c r="AY90" s="33">
        <f t="shared" si="38"/>
        <v>0.89665780919608651</v>
      </c>
      <c r="AZ90" s="33">
        <f t="shared" si="38"/>
        <v>0.89842140835479378</v>
      </c>
      <c r="BA90" s="33">
        <f t="shared" si="38"/>
        <v>0.90014696395994986</v>
      </c>
      <c r="BB90" s="33">
        <f t="shared" si="38"/>
        <v>0.90183623758268394</v>
      </c>
      <c r="BC90" s="33">
        <f t="shared" si="38"/>
        <v>0.903490780489973</v>
      </c>
      <c r="BD90" s="33">
        <f t="shared" si="38"/>
        <v>0.90511198276830873</v>
      </c>
      <c r="BE90" s="33">
        <f t="shared" si="38"/>
        <v>0.90671604895350333</v>
      </c>
      <c r="BF90" s="33">
        <f t="shared" si="38"/>
        <v>0.90828346620175404</v>
      </c>
      <c r="BG90" s="33">
        <f t="shared" si="38"/>
        <v>0.9098167738725671</v>
      </c>
      <c r="BH90" s="33">
        <f t="shared" si="38"/>
        <v>0.91131840755410531</v>
      </c>
      <c r="BI90" s="33">
        <f t="shared" si="38"/>
        <v>0.91131840755410531</v>
      </c>
    </row>
    <row r="91" spans="1:103" ht="18" customHeight="1" x14ac:dyDescent="0.2">
      <c r="A91" s="21" t="s">
        <v>115</v>
      </c>
      <c r="B91" s="29">
        <f t="shared" ref="B91:AG91" si="39">B17*B56*B90</f>
        <v>-62.668408905936296</v>
      </c>
      <c r="C91" s="23">
        <f t="shared" si="39"/>
        <v>-96.535595122468138</v>
      </c>
      <c r="D91" s="23">
        <f t="shared" si="39"/>
        <v>-111.55389074882547</v>
      </c>
      <c r="E91" s="23">
        <f t="shared" si="39"/>
        <v>-132.33463630422068</v>
      </c>
      <c r="F91" s="23">
        <f t="shared" si="39"/>
        <v>-142.14529621115585</v>
      </c>
      <c r="G91" s="23">
        <f t="shared" si="39"/>
        <v>-117.95529765737955</v>
      </c>
      <c r="H91" s="23">
        <f t="shared" si="39"/>
        <v>-103.01581113228987</v>
      </c>
      <c r="I91" s="23">
        <f t="shared" si="39"/>
        <v>-92.703640520142017</v>
      </c>
      <c r="J91" s="23">
        <f t="shared" si="39"/>
        <v>-82.228026798543141</v>
      </c>
      <c r="K91" s="23">
        <f t="shared" si="39"/>
        <v>-75.947415178941341</v>
      </c>
      <c r="L91" s="23">
        <f t="shared" si="39"/>
        <v>-55.265517420461649</v>
      </c>
      <c r="M91" s="23">
        <f t="shared" si="39"/>
        <v>-46.262921191161333</v>
      </c>
      <c r="N91" s="23">
        <f t="shared" si="39"/>
        <v>-37.29457877462962</v>
      </c>
      <c r="O91" s="23">
        <f t="shared" si="39"/>
        <v>-27.071720717171928</v>
      </c>
      <c r="P91" s="23">
        <f t="shared" si="39"/>
        <v>-17.054914166951725</v>
      </c>
      <c r="Q91" s="23">
        <f t="shared" si="39"/>
        <v>-11.709443779941022</v>
      </c>
      <c r="R91" s="23">
        <f t="shared" si="39"/>
        <v>-7.2200967285149895</v>
      </c>
      <c r="S91" s="23">
        <f t="shared" si="39"/>
        <v>-4.0459220800839786</v>
      </c>
      <c r="T91" s="23">
        <f t="shared" si="39"/>
        <v>-1.8958133277941545</v>
      </c>
      <c r="U91" s="23">
        <f t="shared" si="39"/>
        <v>-1.4291574724509566</v>
      </c>
      <c r="V91" s="23">
        <f t="shared" si="39"/>
        <v>-0.15903709800805663</v>
      </c>
      <c r="W91" s="23">
        <f t="shared" si="39"/>
        <v>0.92756260492536846</v>
      </c>
      <c r="X91" s="23">
        <f t="shared" si="39"/>
        <v>1.1390271041360234</v>
      </c>
      <c r="Y91" s="23">
        <f t="shared" si="39"/>
        <v>1.2420938264382326</v>
      </c>
      <c r="Z91" s="23">
        <f t="shared" si="39"/>
        <v>1.4157835147856039</v>
      </c>
      <c r="AA91" s="23">
        <f t="shared" si="39"/>
        <v>1.4425228090576525</v>
      </c>
      <c r="AB91" s="23">
        <f t="shared" si="39"/>
        <v>1.5917327562825112</v>
      </c>
      <c r="AC91" s="23">
        <f t="shared" si="39"/>
        <v>1.4023114827870344</v>
      </c>
      <c r="AD91" s="23">
        <f t="shared" si="39"/>
        <v>1.2649523469991375</v>
      </c>
      <c r="AE91" s="23">
        <f t="shared" si="39"/>
        <v>1.0836369783440438</v>
      </c>
      <c r="AF91" s="23">
        <f t="shared" si="39"/>
        <v>0.77094688474576456</v>
      </c>
      <c r="AG91" s="23">
        <f t="shared" si="39"/>
        <v>0.81895374441104374</v>
      </c>
      <c r="AH91" s="23">
        <f t="shared" ref="AH91:BI91" si="40">AH17*AH56*AH90</f>
        <v>0.86231355426123024</v>
      </c>
      <c r="AI91" s="23">
        <f t="shared" si="40"/>
        <v>4.6626563009134525</v>
      </c>
      <c r="AJ91" s="23">
        <f t="shared" si="40"/>
        <v>4.3927976117725649</v>
      </c>
      <c r="AK91" s="23">
        <f t="shared" si="40"/>
        <v>3.8841358247345159</v>
      </c>
      <c r="AL91" s="23">
        <f t="shared" si="40"/>
        <v>3.3863226692484032</v>
      </c>
      <c r="AM91" s="23">
        <f t="shared" si="40"/>
        <v>2.9378582226354624</v>
      </c>
      <c r="AN91" s="23">
        <f t="shared" si="40"/>
        <v>2.5433548383584559</v>
      </c>
      <c r="AO91" s="23">
        <f t="shared" si="40"/>
        <v>2.1995233807047936</v>
      </c>
      <c r="AP91" s="23">
        <f t="shared" si="40"/>
        <v>1.9011132470371788</v>
      </c>
      <c r="AQ91" s="23">
        <f t="shared" si="40"/>
        <v>1.6426625658248677</v>
      </c>
      <c r="AR91" s="23">
        <f t="shared" si="40"/>
        <v>1.4190650337421429</v>
      </c>
      <c r="AS91" s="23">
        <f t="shared" si="40"/>
        <v>1.2257377754155836</v>
      </c>
      <c r="AT91" s="23">
        <f t="shared" si="40"/>
        <v>1.0586425224570994</v>
      </c>
      <c r="AU91" s="23">
        <f t="shared" si="40"/>
        <v>0.91425260546467579</v>
      </c>
      <c r="AV91" s="23">
        <f t="shared" si="40"/>
        <v>0.78950220599570964</v>
      </c>
      <c r="AW91" s="23">
        <f t="shared" si="40"/>
        <v>0.68173259153449484</v>
      </c>
      <c r="AX91" s="23">
        <f t="shared" si="40"/>
        <v>0.58864113183939137</v>
      </c>
      <c r="AY91" s="23">
        <f t="shared" si="40"/>
        <v>0.50823512874613086</v>
      </c>
      <c r="AZ91" s="23">
        <f t="shared" si="40"/>
        <v>0.43879090198225135</v>
      </c>
      <c r="BA91" s="23">
        <f t="shared" si="40"/>
        <v>0.37881792478339249</v>
      </c>
      <c r="BB91" s="23">
        <f t="shared" si="40"/>
        <v>0.32702756392052734</v>
      </c>
      <c r="BC91" s="23">
        <f t="shared" si="40"/>
        <v>0.28230591635093394</v>
      </c>
      <c r="BD91" s="23">
        <f t="shared" si="40"/>
        <v>0.24369024617359808</v>
      </c>
      <c r="BE91" s="23">
        <f t="shared" si="40"/>
        <v>0.21035203239758521</v>
      </c>
      <c r="BF91" s="23">
        <f t="shared" si="40"/>
        <v>0.18156678173327023</v>
      </c>
      <c r="BG91" s="23">
        <f t="shared" si="40"/>
        <v>0.15671425559757982</v>
      </c>
      <c r="BH91" s="23">
        <f t="shared" si="40"/>
        <v>0.13525841214324202</v>
      </c>
      <c r="BI91" s="23">
        <f t="shared" si="40"/>
        <v>0.11654774155860567</v>
      </c>
    </row>
    <row r="92" spans="1:103" ht="18" customHeight="1" x14ac:dyDescent="0.2">
      <c r="A92" s="57" t="s">
        <v>62</v>
      </c>
      <c r="B92" s="194">
        <f>SUM(B91:AO91)*10*B52+B53</f>
        <v>-442.1102303199998</v>
      </c>
      <c r="C92" s="174">
        <v>72.44965055145849</v>
      </c>
      <c r="D92" s="195">
        <f>+B92-C92</f>
        <v>-514.55988087145829</v>
      </c>
      <c r="I92" s="33"/>
    </row>
    <row r="93" spans="1:103" s="33" customFormat="1" ht="18" customHeight="1" x14ac:dyDescent="0.2">
      <c r="A93" s="32" t="s">
        <v>270</v>
      </c>
      <c r="B93" s="33">
        <f>+B90*Data!B366</f>
        <v>-0.15182440712890655</v>
      </c>
      <c r="C93" s="33">
        <f>+C90*Data!C366</f>
        <v>-0.21862437307382429</v>
      </c>
      <c r="D93" s="33">
        <f>+D90*Data!D366</f>
        <v>-0.24871341209663911</v>
      </c>
      <c r="E93" s="33">
        <f>+E90*Data!E366</f>
        <v>-0.29717566189972905</v>
      </c>
      <c r="F93" s="33">
        <f>+F90*Data!F366</f>
        <v>-0.32957546447524133</v>
      </c>
      <c r="G93" s="33">
        <f>+G90*Data!G366</f>
        <v>-0.2908929511237846</v>
      </c>
      <c r="H93" s="33">
        <f>+H90*Data!H366</f>
        <v>-0.27349654595071626</v>
      </c>
      <c r="I93" s="33">
        <f>+I90*Data!I366</f>
        <v>-0.26476939838120134</v>
      </c>
      <c r="J93" s="33">
        <f>+J90*Data!J366</f>
        <v>-0.25271779073401412</v>
      </c>
      <c r="K93" s="33">
        <f>+K90*Data!K366</f>
        <v>-0.25496691103319896</v>
      </c>
      <c r="L93" s="33">
        <f>+L90*Data!L366</f>
        <v>-0.20867104756945934</v>
      </c>
      <c r="M93" s="33">
        <f>+M90*Data!M366</f>
        <v>-0.19610135530633457</v>
      </c>
      <c r="N93" s="33">
        <f>+N90*Data!N366</f>
        <v>-0.18389667877965279</v>
      </c>
      <c r="O93" s="33">
        <f>+O90*Data!O366</f>
        <v>-0.15415423351114158</v>
      </c>
      <c r="P93" s="33">
        <f>+P90*Data!P366</f>
        <v>-0.11190989872592531</v>
      </c>
      <c r="Q93" s="33">
        <f>+Q90*Data!Q366</f>
        <v>-8.8574195243121087E-2</v>
      </c>
      <c r="R93" s="33">
        <f>+R90*Data!R366</f>
        <v>-6.3063739652515258E-2</v>
      </c>
      <c r="S93" s="33">
        <f>+S90*Data!S366</f>
        <v>-4.0896549391972445E-2</v>
      </c>
      <c r="T93" s="33">
        <f>+T90*Data!T366</f>
        <v>-2.2231456311977503E-2</v>
      </c>
      <c r="U93" s="33">
        <f>+U90*Data!U366</f>
        <v>-1.9491887778779093E-2</v>
      </c>
      <c r="V93" s="33">
        <f>+V90*Data!V366</f>
        <v>-2.50614575648932E-3</v>
      </c>
      <c r="W93" s="33">
        <f>+W90*Data!W366</f>
        <v>1.6766659270087816E-2</v>
      </c>
      <c r="X93" s="33">
        <f>+X90*Data!X366</f>
        <v>2.3664707367447239E-2</v>
      </c>
      <c r="Y93" s="33">
        <f>+Y90*Data!Y366</f>
        <v>2.9693974510137298E-2</v>
      </c>
      <c r="Z93" s="33">
        <f>+Z90*Data!Z366</f>
        <v>3.9006657837820924E-2</v>
      </c>
      <c r="AA93" s="33">
        <f>+AA90*Data!AA366</f>
        <v>4.5884060378708361E-2</v>
      </c>
      <c r="AB93" s="33">
        <f>+AB90*Data!AB366</f>
        <v>5.8547417878258991E-2</v>
      </c>
      <c r="AC93" s="33">
        <f>+AC90*Data!AC366</f>
        <v>5.9769098474872183E-2</v>
      </c>
      <c r="AD93" s="33">
        <f>+AD90*Data!AD366</f>
        <v>6.2554954464734441E-2</v>
      </c>
      <c r="AE93" s="33">
        <f>+AE90*Data!AE366</f>
        <v>6.2245083485790866E-2</v>
      </c>
      <c r="AF93" s="33">
        <f>+AF90*Data!AF366</f>
        <v>5.1598241764555082E-2</v>
      </c>
      <c r="AG93" s="33">
        <f>+AG90*Data!AG366</f>
        <v>6.4057313351298814E-2</v>
      </c>
      <c r="AH93" s="33">
        <f>+AH90*Data!AH366</f>
        <v>7.8886240089031584E-2</v>
      </c>
      <c r="AI93" s="33">
        <f>+AI90*Data!AI366</f>
        <v>0.49921281298056419</v>
      </c>
      <c r="AJ93" s="33">
        <f>+AJ90*Data!AJ366</f>
        <v>0.55076758481644128</v>
      </c>
      <c r="AK93" s="33">
        <f>+AK90*Data!AK366</f>
        <v>0.57059650169781184</v>
      </c>
      <c r="AL93" s="33">
        <f>+AL90*Data!AL366</f>
        <v>0.58314972252746922</v>
      </c>
      <c r="AM93" s="33">
        <f>+AM90*Data!AM366</f>
        <v>0.59331818183256302</v>
      </c>
      <c r="AN93" s="33">
        <f>+AN90*Data!AN366</f>
        <v>0.60261033470976499</v>
      </c>
      <c r="AO93" s="33">
        <f>+AO90*Data!AO366</f>
        <v>0.61161653269536609</v>
      </c>
      <c r="AP93" s="33">
        <f>+AP90*Data!AP366</f>
        <v>0.6205961220528976</v>
      </c>
      <c r="AQ93" s="33">
        <f>+AQ90*Data!AQ366</f>
        <v>0.62966724801156537</v>
      </c>
      <c r="AR93" s="33">
        <f>+AR90*Data!AR366</f>
        <v>0.63888154078221515</v>
      </c>
      <c r="AS93" s="33">
        <f>+AS90*Data!AS366</f>
        <v>0.64825738493086571</v>
      </c>
      <c r="AT93" s="33">
        <f>+AT90*Data!AT366</f>
        <v>0.65779591509301527</v>
      </c>
      <c r="AU93" s="33">
        <f>+AU90*Data!AU366</f>
        <v>0.66748907944838121</v>
      </c>
      <c r="AV93" s="33">
        <f>+AV90*Data!AV366</f>
        <v>0.67732383676957553</v>
      </c>
      <c r="AW93" s="33">
        <f>+AW90*Data!AW366</f>
        <v>0.68728439539713437</v>
      </c>
      <c r="AX93" s="33">
        <f>+AX90*Data!AX366</f>
        <v>0.69735342454215821</v>
      </c>
      <c r="AY93" s="33">
        <f>+AY90*Data!AY366</f>
        <v>0.70751268827608393</v>
      </c>
      <c r="AZ93" s="33">
        <f>+AZ90*Data!AZ366</f>
        <v>0.71774329706065187</v>
      </c>
      <c r="BA93" s="33">
        <f>+BA90*Data!BA366</f>
        <v>0.72802561863816262</v>
      </c>
      <c r="BB93" s="33">
        <f>+BB90*Data!BB366</f>
        <v>0.73833878191988678</v>
      </c>
      <c r="BC93" s="33">
        <f>+BC90*Data!BC366</f>
        <v>0.74865962056959157</v>
      </c>
      <c r="BD93" s="33">
        <f>+BD90*Data!BD366</f>
        <v>0.75896083989502416</v>
      </c>
      <c r="BE93" s="33">
        <f>+BE90*Data!BE366</f>
        <v>0.76922086127228473</v>
      </c>
      <c r="BF93" s="33">
        <f>+BF90*Data!BF366</f>
        <v>0.77937722462587145</v>
      </c>
      <c r="BG93" s="33">
        <f>+BG90*Data!BG366</f>
        <v>0.78937012822534747</v>
      </c>
      <c r="BH93" s="33">
        <f>+BH90*Data!BH366</f>
        <v>0.79911912782942651</v>
      </c>
      <c r="BI93" s="33">
        <f>+BI90*Data!BI366</f>
        <v>0.79873038873777802</v>
      </c>
    </row>
    <row r="94" spans="1:103" ht="18" customHeight="1" x14ac:dyDescent="0.2">
      <c r="A94" s="21" t="s">
        <v>271</v>
      </c>
      <c r="B94" s="29">
        <f>B$17*B$56*B93</f>
        <v>-62.668408905936296</v>
      </c>
      <c r="C94" s="29">
        <f t="shared" ref="C94:BH94" si="41">C$17*C$56*C93</f>
        <v>-94.061977678430736</v>
      </c>
      <c r="D94" s="29">
        <f t="shared" si="41"/>
        <v>-107.55755817766732</v>
      </c>
      <c r="E94" s="29">
        <f t="shared" si="41"/>
        <v>-124.71474304472514</v>
      </c>
      <c r="F94" s="29">
        <f t="shared" si="41"/>
        <v>-130.59167932099135</v>
      </c>
      <c r="G94" s="29">
        <f t="shared" si="41"/>
        <v>-104.63014027114507</v>
      </c>
      <c r="H94" s="29">
        <f t="shared" si="41"/>
        <v>-87.755567250257144</v>
      </c>
      <c r="I94" s="29">
        <f t="shared" si="41"/>
        <v>-75.786149554174528</v>
      </c>
      <c r="J94" s="29">
        <f t="shared" si="41"/>
        <v>-64.529320538814957</v>
      </c>
      <c r="K94" s="29">
        <f t="shared" si="41"/>
        <v>-58.077019500426907</v>
      </c>
      <c r="L94" s="29">
        <f t="shared" si="41"/>
        <v>-41.455810997682015</v>
      </c>
      <c r="M94" s="29">
        <f t="shared" si="41"/>
        <v>-33.220796081203915</v>
      </c>
      <c r="N94" s="29">
        <f t="shared" si="41"/>
        <v>-26.564983278160796</v>
      </c>
      <c r="O94" s="29">
        <f t="shared" si="41"/>
        <v>-18.988792031475676</v>
      </c>
      <c r="P94" s="29">
        <f t="shared" si="41"/>
        <v>-11.75483684117898</v>
      </c>
      <c r="Q94" s="29">
        <f t="shared" si="41"/>
        <v>-7.9334399482081928</v>
      </c>
      <c r="R94" s="29">
        <f t="shared" si="41"/>
        <v>-4.81659649215577</v>
      </c>
      <c r="S94" s="29">
        <f t="shared" si="41"/>
        <v>-2.6635044799847556</v>
      </c>
      <c r="T94" s="29">
        <f t="shared" si="41"/>
        <v>-1.234641580008617</v>
      </c>
      <c r="U94" s="29">
        <f t="shared" si="41"/>
        <v>-0.92306675389425719</v>
      </c>
      <c r="V94" s="29">
        <f t="shared" si="41"/>
        <v>-0.1019683369927728</v>
      </c>
      <c r="W94" s="29">
        <f t="shared" si="41"/>
        <v>0.59055307601835938</v>
      </c>
      <c r="X94" s="29">
        <f t="shared" si="41"/>
        <v>0.7215508161348787</v>
      </c>
      <c r="Y94" s="29">
        <f t="shared" si="41"/>
        <v>0.78376795275706135</v>
      </c>
      <c r="Z94" s="29">
        <f t="shared" si="41"/>
        <v>0.8912741234144228</v>
      </c>
      <c r="AA94" s="29">
        <f t="shared" si="41"/>
        <v>0.90758599601318357</v>
      </c>
      <c r="AB94" s="29">
        <f t="shared" si="41"/>
        <v>1.0025062208850957</v>
      </c>
      <c r="AC94" s="29">
        <f t="shared" si="41"/>
        <v>0.8859504272979607</v>
      </c>
      <c r="AD94" s="29">
        <f t="shared" si="41"/>
        <v>0.80268993176060566</v>
      </c>
      <c r="AE94" s="29">
        <f t="shared" si="41"/>
        <v>0.69142414871404767</v>
      </c>
      <c r="AF94" s="29">
        <f t="shared" si="41"/>
        <v>0.49501786760467498</v>
      </c>
      <c r="AG94" s="29">
        <f t="shared" si="41"/>
        <v>0.52953451089876358</v>
      </c>
      <c r="AH94" s="29">
        <f t="shared" si="41"/>
        <v>0.56190951210223605</v>
      </c>
      <c r="AI94" s="29">
        <f t="shared" si="41"/>
        <v>3.0640117614710825</v>
      </c>
      <c r="AJ94" s="29">
        <f t="shared" si="41"/>
        <v>2.9128133346172485</v>
      </c>
      <c r="AK94" s="29">
        <f t="shared" si="41"/>
        <v>2.600237181924558</v>
      </c>
      <c r="AL94" s="29">
        <f t="shared" si="41"/>
        <v>2.2898314202034262</v>
      </c>
      <c r="AM94" s="29">
        <f t="shared" si="41"/>
        <v>2.0074774321790496</v>
      </c>
      <c r="AN94" s="29">
        <f t="shared" si="41"/>
        <v>1.7568681413467924</v>
      </c>
      <c r="AO94" s="29">
        <f t="shared" si="41"/>
        <v>1.5364604511052093</v>
      </c>
      <c r="AP94" s="29">
        <f t="shared" si="41"/>
        <v>1.3433550258599827</v>
      </c>
      <c r="AQ94" s="29">
        <f t="shared" si="41"/>
        <v>1.174444311452927</v>
      </c>
      <c r="AR94" s="29">
        <f t="shared" si="41"/>
        <v>1.0267890823701413</v>
      </c>
      <c r="AS94" s="29">
        <f t="shared" si="41"/>
        <v>0.89773457649565569</v>
      </c>
      <c r="AT94" s="29">
        <f t="shared" si="41"/>
        <v>0.78493054422165254</v>
      </c>
      <c r="AU94" s="29">
        <f t="shared" si="41"/>
        <v>0.68631548742513349</v>
      </c>
      <c r="AV94" s="29">
        <f t="shared" si="41"/>
        <v>0.600088870006939</v>
      </c>
      <c r="AW94" s="29">
        <f t="shared" si="41"/>
        <v>0.52468092201462879</v>
      </c>
      <c r="AX94" s="29">
        <f t="shared" si="41"/>
        <v>0.45872383357946817</v>
      </c>
      <c r="AY94" s="29">
        <f t="shared" si="41"/>
        <v>0.401025673927835</v>
      </c>
      <c r="AZ94" s="29">
        <f t="shared" si="41"/>
        <v>0.35054733311139707</v>
      </c>
      <c r="BA94" s="29">
        <f t="shared" si="41"/>
        <v>0.30638236319588913</v>
      </c>
      <c r="BB94" s="29">
        <f t="shared" si="41"/>
        <v>0.26773944441013031</v>
      </c>
      <c r="BC94" s="29">
        <f t="shared" si="41"/>
        <v>0.23392716869254945</v>
      </c>
      <c r="BD94" s="29">
        <f t="shared" si="41"/>
        <v>0.20434085221638612</v>
      </c>
      <c r="BE94" s="29">
        <f t="shared" si="41"/>
        <v>0.17845407249380621</v>
      </c>
      <c r="BF94" s="29">
        <f t="shared" si="41"/>
        <v>0.15579829392170683</v>
      </c>
      <c r="BG94" s="29">
        <f t="shared" si="41"/>
        <v>0.13596754378275311</v>
      </c>
      <c r="BH94" s="29">
        <f t="shared" si="41"/>
        <v>0.11860572929015864</v>
      </c>
      <c r="BI94" s="29">
        <f>BI$17*BI$56*BI93/(1-(BJ17/BI17))</f>
        <v>0.73842919636035453</v>
      </c>
    </row>
    <row r="95" spans="1:103" ht="39" customHeight="1" x14ac:dyDescent="0.2">
      <c r="A95" s="57" t="s">
        <v>62</v>
      </c>
      <c r="B95" s="191">
        <f>SUM(B94:BI94)*10*B52+B53-C53</f>
        <v>-337.35228568762284</v>
      </c>
      <c r="C95" s="84">
        <v>169.36057357271238</v>
      </c>
      <c r="D95" s="183">
        <f>+B95-C95</f>
        <v>-506.71285926033522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+Controls!B35</f>
        <v>0.25700191079110363</v>
      </c>
      <c r="C97" s="385">
        <f>+Controls!C35</f>
        <v>0.25015233122002567</v>
      </c>
      <c r="D97" s="385">
        <f>+Controls!D35</f>
        <v>0.23912167732660797</v>
      </c>
      <c r="E97" s="385">
        <f>+Controls!E35</f>
        <v>0.2307269307031766</v>
      </c>
      <c r="F97" s="385">
        <f>+Controls!F35</f>
        <v>0.22098172984734518</v>
      </c>
      <c r="G97" s="385">
        <f>+Controls!G35</f>
        <v>0.21762884050424672</v>
      </c>
      <c r="H97" s="385">
        <f>+Controls!H35</f>
        <v>0.21845420685757083</v>
      </c>
      <c r="I97" s="385">
        <f>+Controls!I35</f>
        <v>0.21955433741056951</v>
      </c>
      <c r="J97" s="385">
        <f>+Controls!J35</f>
        <v>0.22101455180104704</v>
      </c>
      <c r="K97" s="385">
        <f>+Controls!K35</f>
        <v>0.21586229093181117</v>
      </c>
      <c r="L97" s="385">
        <f>+Controls!L35</f>
        <v>0.20942696512827097</v>
      </c>
      <c r="M97" s="385">
        <f>+Controls!M35</f>
        <v>0.21875518829498314</v>
      </c>
      <c r="N97" s="385">
        <f>+Controls!N35</f>
        <v>0.21875518829498314</v>
      </c>
      <c r="O97" s="385">
        <f>+Controls!O35</f>
        <v>0.21875518829498314</v>
      </c>
      <c r="P97" s="385">
        <f>+Controls!P35</f>
        <v>0.21875518829498314</v>
      </c>
      <c r="Q97" s="385">
        <f>+Controls!Q35</f>
        <v>0.21875518829498314</v>
      </c>
      <c r="R97" s="385">
        <f>+Controls!R35</f>
        <v>0.21875518829498314</v>
      </c>
      <c r="S97" s="385">
        <f>+Controls!S35</f>
        <v>0.21875518829498314</v>
      </c>
      <c r="T97" s="385">
        <f>+Controls!T35</f>
        <v>0.21875518829498314</v>
      </c>
      <c r="U97" s="385">
        <f>+Controls!U35</f>
        <v>0.21875518829498314</v>
      </c>
      <c r="V97" s="385">
        <f>+Controls!V35</f>
        <v>0.21875518829498314</v>
      </c>
      <c r="W97" s="385">
        <f>+Controls!W35</f>
        <v>0.21875518829498314</v>
      </c>
      <c r="X97" s="385">
        <f>+Controls!X35</f>
        <v>0.21875518829498314</v>
      </c>
      <c r="Y97" s="385">
        <f>+Controls!Y35</f>
        <v>0.21875518829498314</v>
      </c>
      <c r="Z97" s="385">
        <f>+Controls!Z35</f>
        <v>0.21875518829498314</v>
      </c>
      <c r="AA97" s="385">
        <f>+Controls!AA35</f>
        <v>0.21875518829498314</v>
      </c>
      <c r="AB97" s="385">
        <f>+Controls!AB35</f>
        <v>0.21875518829498314</v>
      </c>
      <c r="AC97" s="385">
        <f>+Controls!AC35</f>
        <v>0.21875518829498314</v>
      </c>
      <c r="AD97" s="385">
        <f>+Controls!AD35</f>
        <v>0.21875518829498314</v>
      </c>
      <c r="AE97" s="385">
        <f>+Controls!AE35</f>
        <v>0.21875518829498314</v>
      </c>
      <c r="AF97" s="385">
        <f>+Controls!AF35</f>
        <v>0.21875518829498314</v>
      </c>
      <c r="AG97" s="385">
        <f>+Controls!AG35</f>
        <v>0.21875518829498314</v>
      </c>
      <c r="AH97" s="385">
        <f>+Controls!AH35</f>
        <v>0.21875518829498314</v>
      </c>
      <c r="AI97" s="385">
        <f>+Controls!AI35</f>
        <v>0.21875518829498314</v>
      </c>
      <c r="AJ97" s="385">
        <f>+Controls!AJ35</f>
        <v>0.21875518829498314</v>
      </c>
      <c r="AK97" s="385">
        <f>+Controls!AK35</f>
        <v>0.21875518829498314</v>
      </c>
      <c r="AL97" s="385">
        <f>+Controls!AL35</f>
        <v>0.21875518829498314</v>
      </c>
      <c r="AM97" s="385">
        <f>+Controls!AM35</f>
        <v>0.21875518829498314</v>
      </c>
      <c r="AN97" s="385">
        <f>+Controls!AN35</f>
        <v>0.21875518829498314</v>
      </c>
      <c r="AO97" s="385">
        <f>+Controls!AO35</f>
        <v>0.21875518829498314</v>
      </c>
      <c r="AP97" s="385">
        <f>+Controls!AP35</f>
        <v>0.21875518829498314</v>
      </c>
      <c r="AQ97" s="385">
        <f>+Controls!AQ35</f>
        <v>0.21875518829498314</v>
      </c>
      <c r="AR97" s="385">
        <f>+Controls!AR35</f>
        <v>0.21875518829498314</v>
      </c>
      <c r="AS97" s="385">
        <f>+Controls!AS35</f>
        <v>0.21875518829498314</v>
      </c>
      <c r="AT97" s="385">
        <f>+Controls!AT35</f>
        <v>0.21875518829498314</v>
      </c>
      <c r="AU97" s="385">
        <f>+Controls!AU35</f>
        <v>0.21875518829498314</v>
      </c>
      <c r="AV97" s="385">
        <f>+Controls!AV35</f>
        <v>0.21875518829498314</v>
      </c>
      <c r="AW97" s="385">
        <f>+Controls!AW35</f>
        <v>0.21875518829498314</v>
      </c>
      <c r="AX97" s="385">
        <f>+Controls!AX35</f>
        <v>0.21875518829498314</v>
      </c>
      <c r="AY97" s="385">
        <f>+Controls!AY35</f>
        <v>0.21875518829498314</v>
      </c>
      <c r="AZ97" s="385">
        <f>+Controls!AZ35</f>
        <v>0.21875518829498314</v>
      </c>
      <c r="BA97" s="385">
        <f>+Controls!BA35</f>
        <v>0.21875518829498314</v>
      </c>
      <c r="BB97" s="385">
        <f>+Controls!BB35</f>
        <v>0.21875518829498314</v>
      </c>
      <c r="BC97" s="385">
        <f>+Controls!BC35</f>
        <v>0.21875518829498314</v>
      </c>
      <c r="BD97" s="385">
        <f>+Controls!BD35</f>
        <v>0.21875518829498314</v>
      </c>
      <c r="BE97" s="385">
        <f>+Controls!BE35</f>
        <v>0.21875518829498314</v>
      </c>
      <c r="BF97" s="385">
        <f>+Controls!BF35</f>
        <v>0.21875518829498314</v>
      </c>
      <c r="BG97" s="385">
        <f>+Controls!BG35</f>
        <v>0.21875518829498314</v>
      </c>
      <c r="BH97" s="385">
        <f>+Controls!BH35</f>
        <v>0.21875518829498314</v>
      </c>
      <c r="BI97" s="385">
        <f>+Controls!BI35</f>
        <v>0.21875518829498314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2">+B$36*1000*B103^($B$38-1)</f>
        <v>1.000000000000002E-3</v>
      </c>
      <c r="C101" s="463">
        <f t="shared" si="42"/>
        <v>1.0000000000000005E-3</v>
      </c>
      <c r="D101" s="463">
        <f t="shared" si="42"/>
        <v>1.0000000000000009E-3</v>
      </c>
      <c r="E101" s="463">
        <f t="shared" si="42"/>
        <v>1.0000000000000232E-3</v>
      </c>
      <c r="F101" s="463">
        <f t="shared" si="42"/>
        <v>1.0000000000003003E-3</v>
      </c>
      <c r="G101" s="463">
        <f t="shared" si="42"/>
        <v>1.000000000002013E-3</v>
      </c>
      <c r="H101" s="463">
        <f t="shared" si="42"/>
        <v>1.0000000000091726E-3</v>
      </c>
      <c r="I101" s="463">
        <f t="shared" si="42"/>
        <v>1.0000000000319849E-3</v>
      </c>
      <c r="J101" s="463">
        <f t="shared" si="42"/>
        <v>1.0000000000922249E-3</v>
      </c>
      <c r="K101" s="463">
        <f t="shared" si="42"/>
        <v>1.0000000002275576E-3</v>
      </c>
      <c r="L101" s="463">
        <f t="shared" si="42"/>
        <v>1.0000000005053206E-3</v>
      </c>
      <c r="M101" s="463">
        <f t="shared" si="42"/>
        <v>1.0000000010417331E-3</v>
      </c>
      <c r="N101" s="463">
        <f t="shared" si="42"/>
        <v>1.0000000019921489E-3</v>
      </c>
      <c r="O101" s="463">
        <f t="shared" si="42"/>
        <v>1.0000000035927912E-3</v>
      </c>
      <c r="P101" s="463">
        <f t="shared" si="42"/>
        <v>1.0000000062096899E-3</v>
      </c>
      <c r="Q101" s="463">
        <f t="shared" si="42"/>
        <v>1.0000000104204646E-3</v>
      </c>
      <c r="R101" s="463">
        <f t="shared" si="42"/>
        <v>1.0000000170144591E-3</v>
      </c>
      <c r="S101" s="463">
        <f t="shared" si="42"/>
        <v>1.0000000272142198E-3</v>
      </c>
      <c r="T101" s="463">
        <f t="shared" si="42"/>
        <v>1.000000042781988E-3</v>
      </c>
      <c r="U101" s="463">
        <f t="shared" si="42"/>
        <v>1.0000000656043382E-3</v>
      </c>
      <c r="V101" s="463">
        <f t="shared" si="42"/>
        <v>1.0000000970886368E-3</v>
      </c>
      <c r="W101" s="463">
        <f t="shared" si="42"/>
        <v>1.0000001421883791E-3</v>
      </c>
      <c r="X101" s="463">
        <f t="shared" si="42"/>
        <v>1.0000002055977502E-3</v>
      </c>
      <c r="Y101" s="463">
        <f t="shared" si="42"/>
        <v>1.0000002932497474E-3</v>
      </c>
      <c r="Z101" s="463">
        <f t="shared" si="42"/>
        <v>1.0000004131003604E-3</v>
      </c>
      <c r="AA101" s="463">
        <f t="shared" si="42"/>
        <v>1.0000005755955615E-3</v>
      </c>
      <c r="AB101" s="463">
        <f t="shared" si="42"/>
        <v>424.83178712415156</v>
      </c>
      <c r="AC101" s="463">
        <f t="shared" si="42"/>
        <v>409.89019776794396</v>
      </c>
      <c r="AD101" s="463">
        <f t="shared" si="42"/>
        <v>395.69568787954671</v>
      </c>
      <c r="AE101" s="463">
        <f t="shared" si="42"/>
        <v>382.21090348556942</v>
      </c>
      <c r="AF101" s="463">
        <f t="shared" si="42"/>
        <v>369.40035831129092</v>
      </c>
      <c r="AG101" s="463">
        <f t="shared" si="42"/>
        <v>357.23034039572639</v>
      </c>
      <c r="AH101" s="463">
        <f t="shared" ref="AH101:BI101" si="43">+AH$36*1000*AH103^($B$38-1)</f>
        <v>345.66882337594006</v>
      </c>
      <c r="AI101" s="463">
        <f t="shared" si="43"/>
        <v>334.68538220714305</v>
      </c>
      <c r="AJ101" s="463">
        <f t="shared" si="43"/>
        <v>324.2511130967859</v>
      </c>
      <c r="AK101" s="463">
        <f t="shared" si="43"/>
        <v>314.33855744194659</v>
      </c>
      <c r="AL101" s="463">
        <f t="shared" si="43"/>
        <v>304.92162956984924</v>
      </c>
      <c r="AM101" s="463">
        <f t="shared" si="43"/>
        <v>295.97554809135681</v>
      </c>
      <c r="AN101" s="463">
        <f t="shared" si="43"/>
        <v>287.47677068678894</v>
      </c>
      <c r="AO101" s="463">
        <f t="shared" si="43"/>
        <v>279.40293215244947</v>
      </c>
      <c r="AP101" s="463">
        <f t="shared" si="43"/>
        <v>271.73278554482704</v>
      </c>
      <c r="AQ101" s="463">
        <f t="shared" si="43"/>
        <v>264.44614626758568</v>
      </c>
      <c r="AR101" s="463">
        <f t="shared" si="43"/>
        <v>257.52383895420638</v>
      </c>
      <c r="AS101" s="463">
        <f t="shared" si="43"/>
        <v>250.94764700649608</v>
      </c>
      <c r="AT101" s="463">
        <f t="shared" si="43"/>
        <v>244.70026465617127</v>
      </c>
      <c r="AU101" s="463">
        <f t="shared" si="43"/>
        <v>238.76525142336271</v>
      </c>
      <c r="AV101" s="463">
        <f t="shared" si="43"/>
        <v>233.12698885219459</v>
      </c>
      <c r="AW101" s="463">
        <f t="shared" si="43"/>
        <v>227.77063940958485</v>
      </c>
      <c r="AX101" s="463">
        <f t="shared" si="43"/>
        <v>222.68210743910561</v>
      </c>
      <c r="AY101" s="463">
        <f t="shared" si="43"/>
        <v>217.84800206715033</v>
      </c>
      <c r="AZ101" s="463">
        <f t="shared" si="43"/>
        <v>213.2556019637928</v>
      </c>
      <c r="BA101" s="463">
        <f t="shared" si="43"/>
        <v>208.89282186560314</v>
      </c>
      <c r="BB101" s="463">
        <f t="shared" si="43"/>
        <v>204.748180772323</v>
      </c>
      <c r="BC101" s="463">
        <f t="shared" si="43"/>
        <v>200.81077173370682</v>
      </c>
      <c r="BD101" s="463">
        <f t="shared" si="43"/>
        <v>197.0702331470215</v>
      </c>
      <c r="BE101" s="463">
        <f t="shared" si="43"/>
        <v>98.535116573510749</v>
      </c>
      <c r="BF101" s="463">
        <f t="shared" si="43"/>
        <v>49.267558286755374</v>
      </c>
      <c r="BG101" s="463">
        <f t="shared" si="43"/>
        <v>24.633779143377687</v>
      </c>
      <c r="BH101" s="463">
        <f t="shared" si="43"/>
        <v>12.316889571688844</v>
      </c>
      <c r="BI101" s="463">
        <f t="shared" si="43"/>
        <v>6.1584447858444218</v>
      </c>
    </row>
    <row r="102" spans="1:61" s="467" customFormat="1" ht="18" customHeight="1" x14ac:dyDescent="0.2">
      <c r="A102" s="612" t="s">
        <v>955</v>
      </c>
      <c r="B102" s="465">
        <f>+B119*(1-MIN(B103,1))</f>
        <v>0.28449498821855751</v>
      </c>
      <c r="C102" s="465">
        <f>+C119*(1-MIN(C103,1))</f>
        <v>0.24935212857970179</v>
      </c>
      <c r="D102" s="465">
        <f t="shared" ref="D102:BI102" si="44">+D119*(1-MIN(D103,1))</f>
        <v>0.23095079835798871</v>
      </c>
      <c r="E102" s="465">
        <f t="shared" si="44"/>
        <v>0.20304875267350367</v>
      </c>
      <c r="F102" s="465">
        <f t="shared" si="44"/>
        <v>0.17991778440811218</v>
      </c>
      <c r="G102" s="465">
        <f t="shared" si="44"/>
        <v>0.17461230000933545</v>
      </c>
      <c r="H102" s="465">
        <f t="shared" si="44"/>
        <v>0.16302424458255019</v>
      </c>
      <c r="I102" s="465">
        <f t="shared" si="44"/>
        <v>0.15156626933925038</v>
      </c>
      <c r="J102" s="465">
        <f t="shared" si="44"/>
        <v>0.14313840215194143</v>
      </c>
      <c r="K102" s="465">
        <f t="shared" si="44"/>
        <v>0.13209889408985873</v>
      </c>
      <c r="L102" s="465">
        <f t="shared" si="44"/>
        <v>0.13276871991342631</v>
      </c>
      <c r="M102" s="465">
        <f t="shared" si="44"/>
        <v>0.12409851578824685</v>
      </c>
      <c r="N102" s="465">
        <f t="shared" si="44"/>
        <v>0.11701909919961498</v>
      </c>
      <c r="O102" s="465">
        <f t="shared" si="44"/>
        <v>0.11514210290582977</v>
      </c>
      <c r="P102" s="465">
        <f t="shared" si="44"/>
        <v>0.11771458644026501</v>
      </c>
      <c r="Q102" s="465">
        <f t="shared" si="44"/>
        <v>0.11607818880807422</v>
      </c>
      <c r="R102" s="465">
        <f t="shared" si="44"/>
        <v>0.11589183842136773</v>
      </c>
      <c r="S102" s="465">
        <f t="shared" si="44"/>
        <v>0.11552603420922242</v>
      </c>
      <c r="T102" s="465">
        <f t="shared" si="44"/>
        <v>0.11462252141187755</v>
      </c>
      <c r="U102" s="465">
        <f t="shared" si="44"/>
        <v>0.10905461472301488</v>
      </c>
      <c r="V102" s="465">
        <f t="shared" si="44"/>
        <v>0.10946881468045166</v>
      </c>
      <c r="W102" s="465">
        <f t="shared" si="44"/>
        <v>0.11188954582008</v>
      </c>
      <c r="X102" s="465">
        <f t="shared" si="44"/>
        <v>0.11035246737503759</v>
      </c>
      <c r="Y102" s="465">
        <f t="shared" si="44"/>
        <v>0.10873589088075898</v>
      </c>
      <c r="Z102" s="465">
        <f t="shared" si="44"/>
        <v>0.10853853273388961</v>
      </c>
      <c r="AA102" s="465">
        <f t="shared" si="44"/>
        <v>0.1076928752239858</v>
      </c>
      <c r="AB102" s="465">
        <f t="shared" si="44"/>
        <v>0</v>
      </c>
      <c r="AC102" s="465">
        <f t="shared" si="44"/>
        <v>0</v>
      </c>
      <c r="AD102" s="465">
        <f t="shared" si="44"/>
        <v>0</v>
      </c>
      <c r="AE102" s="465">
        <f t="shared" si="44"/>
        <v>0</v>
      </c>
      <c r="AF102" s="465">
        <f t="shared" si="44"/>
        <v>0</v>
      </c>
      <c r="AG102" s="465">
        <f t="shared" si="44"/>
        <v>0</v>
      </c>
      <c r="AH102" s="465">
        <f t="shared" si="44"/>
        <v>0</v>
      </c>
      <c r="AI102" s="465">
        <f t="shared" si="44"/>
        <v>0</v>
      </c>
      <c r="AJ102" s="465">
        <f t="shared" si="44"/>
        <v>0</v>
      </c>
      <c r="AK102" s="465">
        <f t="shared" si="44"/>
        <v>0</v>
      </c>
      <c r="AL102" s="465">
        <f t="shared" si="44"/>
        <v>0</v>
      </c>
      <c r="AM102" s="465">
        <f t="shared" si="44"/>
        <v>0</v>
      </c>
      <c r="AN102" s="465">
        <f t="shared" si="44"/>
        <v>0</v>
      </c>
      <c r="AO102" s="465">
        <f t="shared" si="44"/>
        <v>0</v>
      </c>
      <c r="AP102" s="465">
        <f t="shared" si="44"/>
        <v>0</v>
      </c>
      <c r="AQ102" s="465">
        <f t="shared" si="44"/>
        <v>0</v>
      </c>
      <c r="AR102" s="465">
        <f t="shared" si="44"/>
        <v>0</v>
      </c>
      <c r="AS102" s="465">
        <f t="shared" si="44"/>
        <v>0</v>
      </c>
      <c r="AT102" s="465">
        <f t="shared" si="44"/>
        <v>0</v>
      </c>
      <c r="AU102" s="465">
        <f t="shared" si="44"/>
        <v>0</v>
      </c>
      <c r="AV102" s="465">
        <f t="shared" si="44"/>
        <v>0</v>
      </c>
      <c r="AW102" s="465">
        <f t="shared" si="44"/>
        <v>0</v>
      </c>
      <c r="AX102" s="465">
        <f t="shared" si="44"/>
        <v>0</v>
      </c>
      <c r="AY102" s="465">
        <f t="shared" si="44"/>
        <v>0</v>
      </c>
      <c r="AZ102" s="465">
        <f t="shared" si="44"/>
        <v>0</v>
      </c>
      <c r="BA102" s="465">
        <f t="shared" si="44"/>
        <v>0</v>
      </c>
      <c r="BB102" s="465">
        <f t="shared" si="44"/>
        <v>0</v>
      </c>
      <c r="BC102" s="465">
        <f t="shared" si="44"/>
        <v>0</v>
      </c>
      <c r="BD102" s="465">
        <f t="shared" si="44"/>
        <v>0</v>
      </c>
      <c r="BE102" s="465">
        <f t="shared" si="44"/>
        <v>0</v>
      </c>
      <c r="BF102" s="465">
        <f t="shared" si="44"/>
        <v>0</v>
      </c>
      <c r="BG102" s="465">
        <f t="shared" si="44"/>
        <v>0</v>
      </c>
      <c r="BH102" s="465">
        <f t="shared" si="44"/>
        <v>0</v>
      </c>
      <c r="BI102" s="465">
        <f t="shared" si="44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4.0823031558425869E-4</v>
      </c>
      <c r="C103" s="468">
        <f>+IF($B$98&gt;0,C109,IF($B$99&gt;0,C114,C122))</f>
        <v>4.1880753886709785E-4</v>
      </c>
      <c r="D103" s="468">
        <f t="shared" ref="D103:BI103" si="45">+IF($B$98&gt;0,D109,IF($B$99&gt;0,D114,D122))</f>
        <v>4.295999406491493E-4</v>
      </c>
      <c r="E103" s="468">
        <f t="shared" si="45"/>
        <v>4.4060758721184748E-4</v>
      </c>
      <c r="F103" s="468">
        <f t="shared" si="45"/>
        <v>4.5183019642988382E-4</v>
      </c>
      <c r="G103" s="468">
        <f t="shared" si="45"/>
        <v>4.6326711589935138E-4</v>
      </c>
      <c r="H103" s="468">
        <f t="shared" si="45"/>
        <v>4.7491730104496141E-4</v>
      </c>
      <c r="I103" s="468">
        <f t="shared" si="45"/>
        <v>4.8677929335854509E-4</v>
      </c>
      <c r="J103" s="468">
        <f t="shared" si="45"/>
        <v>4.9885119893734503E-4</v>
      </c>
      <c r="K103" s="468">
        <f t="shared" si="45"/>
        <v>5.1113066750576653E-4</v>
      </c>
      <c r="L103" s="468">
        <f t="shared" si="45"/>
        <v>5.2361487212383468E-4</v>
      </c>
      <c r="M103" s="468">
        <f t="shared" si="45"/>
        <v>5.3630048979702518E-4</v>
      </c>
      <c r="N103" s="468">
        <f t="shared" si="45"/>
        <v>5.4918368320679351E-4</v>
      </c>
      <c r="O103" s="468">
        <f t="shared" si="45"/>
        <v>5.6226008382775894E-4</v>
      </c>
      <c r="P103" s="468">
        <f t="shared" si="45"/>
        <v>5.7552477667316784E-4</v>
      </c>
      <c r="Q103" s="468">
        <f t="shared" si="45"/>
        <v>5.889722869393102E-4</v>
      </c>
      <c r="R103" s="468">
        <f t="shared" si="45"/>
        <v>6.0259656878011486E-4</v>
      </c>
      <c r="S103" s="468">
        <f t="shared" si="45"/>
        <v>6.163909965819272E-4</v>
      </c>
      <c r="T103" s="468">
        <f t="shared" si="45"/>
        <v>6.3034835890221662E-4</v>
      </c>
      <c r="U103" s="468">
        <f t="shared" si="45"/>
        <v>6.44460855185147E-4</v>
      </c>
      <c r="V103" s="468">
        <f t="shared" si="45"/>
        <v>6.5872009560235905E-4</v>
      </c>
      <c r="W103" s="468">
        <f t="shared" si="45"/>
        <v>6.7311710604970926E-4</v>
      </c>
      <c r="X103" s="468">
        <f t="shared" si="45"/>
        <v>6.8764233402187431E-4</v>
      </c>
      <c r="Y103" s="468">
        <f t="shared" si="45"/>
        <v>7.0228566024542439E-4</v>
      </c>
      <c r="Z103" s="468">
        <f t="shared" si="45"/>
        <v>7.1703641413824138E-4</v>
      </c>
      <c r="AA103" s="468">
        <f t="shared" si="45"/>
        <v>7.3188339334770121E-4</v>
      </c>
      <c r="AB103" s="468">
        <f t="shared" si="45"/>
        <v>1</v>
      </c>
      <c r="AC103" s="468">
        <f t="shared" si="45"/>
        <v>1</v>
      </c>
      <c r="AD103" s="468">
        <f t="shared" si="45"/>
        <v>1</v>
      </c>
      <c r="AE103" s="468">
        <f t="shared" si="45"/>
        <v>1</v>
      </c>
      <c r="AF103" s="468">
        <f t="shared" si="45"/>
        <v>1</v>
      </c>
      <c r="AG103" s="468">
        <f t="shared" si="45"/>
        <v>1</v>
      </c>
      <c r="AH103" s="468">
        <f t="shared" si="45"/>
        <v>1</v>
      </c>
      <c r="AI103" s="468">
        <f t="shared" si="45"/>
        <v>1</v>
      </c>
      <c r="AJ103" s="468">
        <f t="shared" si="45"/>
        <v>1</v>
      </c>
      <c r="AK103" s="468">
        <f t="shared" si="45"/>
        <v>1</v>
      </c>
      <c r="AL103" s="468">
        <f t="shared" si="45"/>
        <v>1</v>
      </c>
      <c r="AM103" s="468">
        <f t="shared" si="45"/>
        <v>1</v>
      </c>
      <c r="AN103" s="468">
        <f t="shared" si="45"/>
        <v>1</v>
      </c>
      <c r="AO103" s="468">
        <f t="shared" si="45"/>
        <v>1</v>
      </c>
      <c r="AP103" s="468">
        <f t="shared" si="45"/>
        <v>1</v>
      </c>
      <c r="AQ103" s="468">
        <f t="shared" si="45"/>
        <v>1</v>
      </c>
      <c r="AR103" s="468">
        <f t="shared" si="45"/>
        <v>1</v>
      </c>
      <c r="AS103" s="468">
        <f t="shared" si="45"/>
        <v>1</v>
      </c>
      <c r="AT103" s="468">
        <f t="shared" si="45"/>
        <v>1</v>
      </c>
      <c r="AU103" s="468">
        <f t="shared" si="45"/>
        <v>1</v>
      </c>
      <c r="AV103" s="468">
        <f t="shared" si="45"/>
        <v>1</v>
      </c>
      <c r="AW103" s="468">
        <f t="shared" si="45"/>
        <v>1</v>
      </c>
      <c r="AX103" s="468">
        <f t="shared" si="45"/>
        <v>1</v>
      </c>
      <c r="AY103" s="468">
        <f t="shared" si="45"/>
        <v>1</v>
      </c>
      <c r="AZ103" s="468">
        <f t="shared" si="45"/>
        <v>1</v>
      </c>
      <c r="BA103" s="468">
        <f t="shared" si="45"/>
        <v>1</v>
      </c>
      <c r="BB103" s="468">
        <f t="shared" si="45"/>
        <v>1</v>
      </c>
      <c r="BC103" s="468">
        <f t="shared" si="45"/>
        <v>1</v>
      </c>
      <c r="BD103" s="468">
        <f t="shared" si="45"/>
        <v>1</v>
      </c>
      <c r="BE103" s="468">
        <f t="shared" si="45"/>
        <v>1</v>
      </c>
      <c r="BF103" s="468">
        <f t="shared" si="45"/>
        <v>1</v>
      </c>
      <c r="BG103" s="468">
        <f t="shared" si="45"/>
        <v>1</v>
      </c>
      <c r="BH103" s="468">
        <f t="shared" si="45"/>
        <v>1</v>
      </c>
      <c r="BI103" s="468">
        <f t="shared" si="45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6">+MIN(B107+B108,B36*1000)</f>
        <v>1E-3</v>
      </c>
      <c r="C106" s="373">
        <f t="shared" si="46"/>
        <v>1E-3</v>
      </c>
      <c r="D106" s="373">
        <f t="shared" si="46"/>
        <v>1.0000000000000005E-3</v>
      </c>
      <c r="E106" s="373">
        <f t="shared" si="46"/>
        <v>1.000000000000023E-3</v>
      </c>
      <c r="F106" s="373">
        <f t="shared" si="46"/>
        <v>1.0000000000003001E-3</v>
      </c>
      <c r="G106" s="373">
        <f t="shared" si="46"/>
        <v>1.0000000000020112E-3</v>
      </c>
      <c r="H106" s="373">
        <f t="shared" si="46"/>
        <v>1.0000000000091702E-3</v>
      </c>
      <c r="I106" s="373">
        <f t="shared" si="46"/>
        <v>1.0000000000319844E-3</v>
      </c>
      <c r="J106" s="373">
        <f t="shared" si="46"/>
        <v>1.0000000000922251E-3</v>
      </c>
      <c r="K106" s="373">
        <f t="shared" si="46"/>
        <v>1.0000000002275561E-3</v>
      </c>
      <c r="L106" s="373">
        <f t="shared" si="46"/>
        <v>1.0000000005053185E-3</v>
      </c>
      <c r="M106" s="450">
        <f t="shared" si="46"/>
        <v>1.0000000010417327E-3</v>
      </c>
      <c r="N106" s="373">
        <f t="shared" si="46"/>
        <v>1.0000000019921491E-3</v>
      </c>
      <c r="O106" s="373">
        <f t="shared" si="46"/>
        <v>1.0000000035927906E-3</v>
      </c>
      <c r="P106" s="373">
        <f t="shared" si="46"/>
        <v>1.0000000062096877E-3</v>
      </c>
      <c r="Q106" s="373">
        <f t="shared" si="46"/>
        <v>1.0000000104204644E-3</v>
      </c>
      <c r="R106" s="373">
        <f t="shared" si="46"/>
        <v>1.0000000170144582E-3</v>
      </c>
      <c r="S106" s="373">
        <f t="shared" si="46"/>
        <v>1.0000000272142174E-3</v>
      </c>
      <c r="T106" s="373">
        <f t="shared" si="46"/>
        <v>1.0000000427819878E-3</v>
      </c>
      <c r="U106" s="373">
        <f t="shared" si="46"/>
        <v>1.0000000656043364E-3</v>
      </c>
      <c r="V106" s="373">
        <f t="shared" si="46"/>
        <v>1.0000000970886349E-3</v>
      </c>
      <c r="W106" s="373">
        <f t="shared" si="46"/>
        <v>1.0000001421883765E-3</v>
      </c>
      <c r="X106" s="373">
        <f t="shared" si="46"/>
        <v>1.0000002055977509E-3</v>
      </c>
      <c r="Y106" s="373">
        <f t="shared" si="46"/>
        <v>1.0000002932497453E-3</v>
      </c>
      <c r="Z106" s="373">
        <f t="shared" si="46"/>
        <v>1.0000004131003601E-3</v>
      </c>
      <c r="AA106" s="373">
        <f t="shared" si="46"/>
        <v>1.0000005755955613E-3</v>
      </c>
      <c r="AB106" s="373">
        <f t="shared" si="46"/>
        <v>424.83178712415156</v>
      </c>
      <c r="AC106" s="373">
        <f t="shared" si="46"/>
        <v>409.89019776794396</v>
      </c>
      <c r="AD106" s="373">
        <f t="shared" si="46"/>
        <v>395.69568787954671</v>
      </c>
      <c r="AE106" s="373">
        <f t="shared" si="46"/>
        <v>382.21090348556942</v>
      </c>
      <c r="AF106" s="373">
        <f t="shared" si="46"/>
        <v>369.40035831129092</v>
      </c>
      <c r="AG106" s="373">
        <f t="shared" si="46"/>
        <v>357.23034039572639</v>
      </c>
      <c r="AH106" s="373">
        <f t="shared" si="46"/>
        <v>345.66882337594006</v>
      </c>
      <c r="AI106" s="373">
        <f t="shared" si="46"/>
        <v>334.68538220714305</v>
      </c>
      <c r="AJ106" s="373">
        <f t="shared" si="46"/>
        <v>324.2511130967859</v>
      </c>
      <c r="AK106" s="373">
        <f t="shared" si="46"/>
        <v>314.33855744194659</v>
      </c>
      <c r="AL106" s="373">
        <f t="shared" si="46"/>
        <v>304.92162956984924</v>
      </c>
      <c r="AM106" s="373">
        <f t="shared" si="46"/>
        <v>295.97554809135681</v>
      </c>
      <c r="AN106" s="373">
        <f t="shared" si="46"/>
        <v>287.47677068678894</v>
      </c>
      <c r="AO106" s="373">
        <f t="shared" si="46"/>
        <v>279.40293215244947</v>
      </c>
      <c r="AP106" s="373">
        <f t="shared" si="46"/>
        <v>271.73278554482704</v>
      </c>
      <c r="AQ106" s="373">
        <f t="shared" si="46"/>
        <v>264.44614626758568</v>
      </c>
      <c r="AR106" s="373">
        <f t="shared" si="46"/>
        <v>257.52383895420638</v>
      </c>
      <c r="AS106" s="373">
        <f t="shared" si="46"/>
        <v>250.94764700649608</v>
      </c>
      <c r="AT106" s="373">
        <f t="shared" si="46"/>
        <v>244.70026465617127</v>
      </c>
      <c r="AU106" s="373">
        <f t="shared" si="46"/>
        <v>238.76525142336271</v>
      </c>
      <c r="AV106" s="373">
        <f t="shared" si="46"/>
        <v>233.12698885219459</v>
      </c>
      <c r="AW106" s="373">
        <f t="shared" si="46"/>
        <v>227.77063940958485</v>
      </c>
      <c r="AX106" s="373">
        <f t="shared" si="46"/>
        <v>222.68210743910561</v>
      </c>
      <c r="AY106" s="373">
        <f t="shared" si="46"/>
        <v>217.84800206715033</v>
      </c>
      <c r="AZ106" s="373">
        <f t="shared" si="46"/>
        <v>213.2556019637928</v>
      </c>
      <c r="BA106" s="373">
        <f t="shared" si="46"/>
        <v>208.89282186560314</v>
      </c>
      <c r="BB106" s="373">
        <f t="shared" si="46"/>
        <v>204.748180772323</v>
      </c>
      <c r="BC106" s="373">
        <f t="shared" si="46"/>
        <v>200.81077173370682</v>
      </c>
      <c r="BD106" s="373">
        <f t="shared" si="46"/>
        <v>197.0702331470215</v>
      </c>
      <c r="BE106" s="373">
        <f t="shared" si="46"/>
        <v>98.535116573510749</v>
      </c>
      <c r="BF106" s="373">
        <f t="shared" si="46"/>
        <v>49.267558286755374</v>
      </c>
      <c r="BG106" s="373">
        <f t="shared" si="46"/>
        <v>24.633779143377687</v>
      </c>
      <c r="BH106" s="373">
        <f t="shared" si="46"/>
        <v>12.316889571688844</v>
      </c>
      <c r="BI106" s="373">
        <f t="shared" si="46"/>
        <v>6.1584447858444218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+Controls!B18</f>
        <v>1E-3</v>
      </c>
      <c r="C108" s="373">
        <f>+Controls!C18</f>
        <v>1E-3</v>
      </c>
      <c r="D108" s="373">
        <f>+Controls!D18</f>
        <v>1E-3</v>
      </c>
      <c r="E108" s="373">
        <f>+Controls!E18</f>
        <v>1E-3</v>
      </c>
      <c r="F108" s="373">
        <f>+Controls!F18</f>
        <v>1E-3</v>
      </c>
      <c r="G108" s="373">
        <f>+Controls!G18</f>
        <v>1E-3</v>
      </c>
      <c r="H108" s="373">
        <f>+Controls!H18</f>
        <v>1E-3</v>
      </c>
      <c r="I108" s="373">
        <f>+Controls!I18</f>
        <v>1E-3</v>
      </c>
      <c r="J108" s="373">
        <f>+Controls!J18</f>
        <v>1E-3</v>
      </c>
      <c r="K108" s="373">
        <f>+Controls!K18</f>
        <v>1E-3</v>
      </c>
      <c r="L108" s="373">
        <f>+Controls!L18</f>
        <v>1E-3</v>
      </c>
      <c r="M108" s="373">
        <f>+Controls!M18</f>
        <v>1E-3</v>
      </c>
      <c r="N108" s="373">
        <f>+Controls!N18</f>
        <v>1E-3</v>
      </c>
      <c r="O108" s="373">
        <f>+Controls!O18</f>
        <v>1E-3</v>
      </c>
      <c r="P108" s="373">
        <f>+Controls!P18</f>
        <v>1E-3</v>
      </c>
      <c r="Q108" s="373">
        <f>+Controls!Q18</f>
        <v>1E-3</v>
      </c>
      <c r="R108" s="373">
        <f>+Controls!R18</f>
        <v>1E-3</v>
      </c>
      <c r="S108" s="373">
        <f>+Controls!S18</f>
        <v>1E-3</v>
      </c>
      <c r="T108" s="373">
        <f>+Controls!T18</f>
        <v>1E-3</v>
      </c>
      <c r="U108" s="373">
        <f>+Controls!U18</f>
        <v>1E-3</v>
      </c>
      <c r="V108" s="373">
        <f>+Controls!V18</f>
        <v>1E-3</v>
      </c>
      <c r="W108" s="373">
        <f>+Controls!W18</f>
        <v>1E-3</v>
      </c>
      <c r="X108" s="373">
        <f>+Controls!X18</f>
        <v>1E-3</v>
      </c>
      <c r="Y108" s="373">
        <f>+Controls!Y18</f>
        <v>1E-3</v>
      </c>
      <c r="Z108" s="373">
        <f>+Controls!Z18</f>
        <v>1E-3</v>
      </c>
      <c r="AA108" s="373">
        <f>+Controls!AA18</f>
        <v>1E-3</v>
      </c>
      <c r="AB108" s="373">
        <f>+Controls!AB18</f>
        <v>1200</v>
      </c>
      <c r="AC108" s="373">
        <f>+Controls!AC18</f>
        <v>1200</v>
      </c>
      <c r="AD108" s="373">
        <f>+Controls!AD18</f>
        <v>1200</v>
      </c>
      <c r="AE108" s="373">
        <f>+Controls!AE18</f>
        <v>1200</v>
      </c>
      <c r="AF108" s="373">
        <f>+Controls!AF18</f>
        <v>1200</v>
      </c>
      <c r="AG108" s="373">
        <f>+Controls!AG18</f>
        <v>1200</v>
      </c>
      <c r="AH108" s="373">
        <f>+Controls!AH18</f>
        <v>1200</v>
      </c>
      <c r="AI108" s="373">
        <f>+Controls!AI18</f>
        <v>1200</v>
      </c>
      <c r="AJ108" s="373">
        <f>+Controls!AJ18</f>
        <v>1200</v>
      </c>
      <c r="AK108" s="373">
        <f>+Controls!AK18</f>
        <v>1200</v>
      </c>
      <c r="AL108" s="373">
        <f>+Controls!AL18</f>
        <v>1200</v>
      </c>
      <c r="AM108" s="373">
        <f>+Controls!AM18</f>
        <v>1200</v>
      </c>
      <c r="AN108" s="373">
        <f>+Controls!AN18</f>
        <v>1200</v>
      </c>
      <c r="AO108" s="373">
        <f>+Controls!AO18</f>
        <v>1200</v>
      </c>
      <c r="AP108" s="373">
        <f>+Controls!AP18</f>
        <v>1200</v>
      </c>
      <c r="AQ108" s="373">
        <f>+Controls!AQ18</f>
        <v>1200</v>
      </c>
      <c r="AR108" s="373">
        <f>+Controls!AR18</f>
        <v>1200</v>
      </c>
      <c r="AS108" s="373">
        <f>+Controls!AS18</f>
        <v>1200</v>
      </c>
      <c r="AT108" s="373">
        <f>+Controls!AT18</f>
        <v>1200</v>
      </c>
      <c r="AU108" s="373">
        <f>+Controls!AU18</f>
        <v>1200</v>
      </c>
      <c r="AV108" s="373">
        <f>+Controls!AV18</f>
        <v>1200</v>
      </c>
      <c r="AW108" s="373">
        <f>+Controls!AW18</f>
        <v>1200</v>
      </c>
      <c r="AX108" s="373">
        <f>+Controls!AX18</f>
        <v>1200</v>
      </c>
      <c r="AY108" s="373">
        <f>+Controls!AY18</f>
        <v>1200</v>
      </c>
      <c r="AZ108" s="373">
        <f>+Controls!AZ18</f>
        <v>1200</v>
      </c>
      <c r="BA108" s="373">
        <f>+Controls!BA18</f>
        <v>1200</v>
      </c>
      <c r="BB108" s="373">
        <f>+Controls!BB18</f>
        <v>1200</v>
      </c>
      <c r="BC108" s="373">
        <f>+Controls!BC18</f>
        <v>1200</v>
      </c>
      <c r="BD108" s="373">
        <f>+Controls!BD18</f>
        <v>1200</v>
      </c>
      <c r="BE108" s="373">
        <f>+Controls!BE18</f>
        <v>1200</v>
      </c>
      <c r="BF108" s="373">
        <f>+Controls!BF18</f>
        <v>1200</v>
      </c>
      <c r="BG108" s="373">
        <f>+Controls!BG18</f>
        <v>1200</v>
      </c>
      <c r="BH108" s="373">
        <f>+Controls!BH18</f>
        <v>1200</v>
      </c>
      <c r="BI108" s="373">
        <f>+Controls!BI18</f>
        <v>1200</v>
      </c>
    </row>
    <row r="109" spans="1:61" ht="18" customHeight="1" x14ac:dyDescent="0.2">
      <c r="A109" s="372" t="s">
        <v>193</v>
      </c>
      <c r="B109" s="375">
        <f>+(B106/(1000*B$36))^(1/($B$38-1))</f>
        <v>4.0823031558425869E-4</v>
      </c>
      <c r="C109" s="375">
        <f t="shared" ref="C109:BI109" si="47">+(C106/(1000*C$36))^(1/($B$38-1))</f>
        <v>4.1880753886709785E-4</v>
      </c>
      <c r="D109" s="375">
        <f t="shared" si="47"/>
        <v>4.295999406491493E-4</v>
      </c>
      <c r="E109" s="375">
        <f t="shared" si="47"/>
        <v>4.4060758721184748E-4</v>
      </c>
      <c r="F109" s="375">
        <f t="shared" si="47"/>
        <v>4.5183019642988382E-4</v>
      </c>
      <c r="G109" s="375">
        <f t="shared" si="47"/>
        <v>4.6326711589935138E-4</v>
      </c>
      <c r="H109" s="375">
        <f t="shared" si="47"/>
        <v>4.7491730104496141E-4</v>
      </c>
      <c r="I109" s="375">
        <f t="shared" si="47"/>
        <v>4.8677929335854509E-4</v>
      </c>
      <c r="J109" s="375">
        <f t="shared" si="47"/>
        <v>4.9885119893734503E-4</v>
      </c>
      <c r="K109" s="375">
        <f t="shared" si="47"/>
        <v>5.1113066750576653E-4</v>
      </c>
      <c r="L109" s="375">
        <f t="shared" si="47"/>
        <v>5.2361487212383468E-4</v>
      </c>
      <c r="M109" s="375">
        <f t="shared" si="47"/>
        <v>5.3630048979702518E-4</v>
      </c>
      <c r="N109" s="375">
        <f t="shared" si="47"/>
        <v>5.4918368320679351E-4</v>
      </c>
      <c r="O109" s="375">
        <f t="shared" si="47"/>
        <v>5.6226008382775894E-4</v>
      </c>
      <c r="P109" s="375">
        <f t="shared" si="47"/>
        <v>5.7552477667316784E-4</v>
      </c>
      <c r="Q109" s="375">
        <f t="shared" si="47"/>
        <v>5.889722869393102E-4</v>
      </c>
      <c r="R109" s="375">
        <f t="shared" si="47"/>
        <v>6.0259656878011486E-4</v>
      </c>
      <c r="S109" s="375">
        <f t="shared" si="47"/>
        <v>6.163909965819272E-4</v>
      </c>
      <c r="T109" s="375">
        <f t="shared" si="47"/>
        <v>6.3034835890221662E-4</v>
      </c>
      <c r="U109" s="375">
        <f t="shared" si="47"/>
        <v>6.44460855185147E-4</v>
      </c>
      <c r="V109" s="375">
        <f t="shared" si="47"/>
        <v>6.5872009560235905E-4</v>
      </c>
      <c r="W109" s="375">
        <f t="shared" si="47"/>
        <v>6.7311710604970926E-4</v>
      </c>
      <c r="X109" s="375">
        <f t="shared" si="47"/>
        <v>6.8764233402187431E-4</v>
      </c>
      <c r="Y109" s="375">
        <f t="shared" si="47"/>
        <v>7.0228566024542439E-4</v>
      </c>
      <c r="Z109" s="375">
        <f t="shared" si="47"/>
        <v>7.1703641413824138E-4</v>
      </c>
      <c r="AA109" s="375">
        <f t="shared" si="47"/>
        <v>7.3188339334770121E-4</v>
      </c>
      <c r="AB109" s="375">
        <f t="shared" si="47"/>
        <v>1</v>
      </c>
      <c r="AC109" s="375">
        <f t="shared" si="47"/>
        <v>1</v>
      </c>
      <c r="AD109" s="375">
        <f t="shared" si="47"/>
        <v>1</v>
      </c>
      <c r="AE109" s="375">
        <f t="shared" si="47"/>
        <v>1</v>
      </c>
      <c r="AF109" s="375">
        <f t="shared" si="47"/>
        <v>1</v>
      </c>
      <c r="AG109" s="375">
        <f t="shared" si="47"/>
        <v>1</v>
      </c>
      <c r="AH109" s="375">
        <f t="shared" si="47"/>
        <v>1</v>
      </c>
      <c r="AI109" s="375">
        <f t="shared" si="47"/>
        <v>1</v>
      </c>
      <c r="AJ109" s="375">
        <f t="shared" si="47"/>
        <v>1</v>
      </c>
      <c r="AK109" s="375">
        <f t="shared" si="47"/>
        <v>1</v>
      </c>
      <c r="AL109" s="375">
        <f t="shared" si="47"/>
        <v>1</v>
      </c>
      <c r="AM109" s="375">
        <f t="shared" si="47"/>
        <v>1</v>
      </c>
      <c r="AN109" s="375">
        <f t="shared" si="47"/>
        <v>1</v>
      </c>
      <c r="AO109" s="375">
        <f t="shared" si="47"/>
        <v>1</v>
      </c>
      <c r="AP109" s="375">
        <f t="shared" si="47"/>
        <v>1</v>
      </c>
      <c r="AQ109" s="375">
        <f t="shared" si="47"/>
        <v>1</v>
      </c>
      <c r="AR109" s="375">
        <f t="shared" si="47"/>
        <v>1</v>
      </c>
      <c r="AS109" s="375">
        <f t="shared" si="47"/>
        <v>1</v>
      </c>
      <c r="AT109" s="375">
        <f t="shared" si="47"/>
        <v>1</v>
      </c>
      <c r="AU109" s="375">
        <f t="shared" si="47"/>
        <v>1</v>
      </c>
      <c r="AV109" s="375">
        <f t="shared" si="47"/>
        <v>1</v>
      </c>
      <c r="AW109" s="375">
        <f t="shared" si="47"/>
        <v>1</v>
      </c>
      <c r="AX109" s="375">
        <f t="shared" si="47"/>
        <v>1</v>
      </c>
      <c r="AY109" s="375">
        <f t="shared" si="47"/>
        <v>1</v>
      </c>
      <c r="AZ109" s="375">
        <f t="shared" si="47"/>
        <v>1</v>
      </c>
      <c r="BA109" s="375">
        <f t="shared" si="47"/>
        <v>1</v>
      </c>
      <c r="BB109" s="375">
        <f t="shared" si="47"/>
        <v>1</v>
      </c>
      <c r="BC109" s="375">
        <f t="shared" si="47"/>
        <v>1</v>
      </c>
      <c r="BD109" s="375">
        <f t="shared" si="47"/>
        <v>1</v>
      </c>
      <c r="BE109" s="375">
        <f t="shared" si="47"/>
        <v>1</v>
      </c>
      <c r="BF109" s="375">
        <f t="shared" si="47"/>
        <v>1</v>
      </c>
      <c r="BG109" s="375">
        <f t="shared" si="47"/>
        <v>1</v>
      </c>
      <c r="BH109" s="375">
        <f t="shared" si="47"/>
        <v>1</v>
      </c>
      <c r="BI109" s="375">
        <f t="shared" si="47"/>
        <v>1</v>
      </c>
    </row>
    <row r="110" spans="1:61" s="40" customFormat="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0.28461117512839895</v>
      </c>
      <c r="C112" s="455">
        <f>+C40*C61</f>
        <v>0.24945660288561047</v>
      </c>
      <c r="D112" s="455">
        <f t="shared" ref="D112:BI112" si="48">+D40*D61</f>
        <v>0.23105005744895576</v>
      </c>
      <c r="E112" s="455">
        <f t="shared" si="48"/>
        <v>0.20313825693076035</v>
      </c>
      <c r="F112" s="455">
        <f t="shared" si="48"/>
        <v>0.17999911344289629</v>
      </c>
      <c r="G112" s="455">
        <f t="shared" si="48"/>
        <v>0.17469322963799699</v>
      </c>
      <c r="H112" s="455">
        <f t="shared" si="48"/>
        <v>0.16310170440380148</v>
      </c>
      <c r="I112" s="455">
        <f t="shared" si="48"/>
        <v>0.15164008459247313</v>
      </c>
      <c r="J112" s="455">
        <f t="shared" si="48"/>
        <v>0.14320984255359892</v>
      </c>
      <c r="K112" s="455">
        <f t="shared" si="48"/>
        <v>0.13216644841485889</v>
      </c>
      <c r="L112" s="455">
        <f t="shared" si="48"/>
        <v>0.1328382760103326</v>
      </c>
      <c r="M112" s="455">
        <f t="shared" si="48"/>
        <v>0.12416510559519325</v>
      </c>
      <c r="N112" s="455">
        <f t="shared" si="48"/>
        <v>0.11708339949219047</v>
      </c>
      <c r="O112" s="455">
        <f t="shared" si="48"/>
        <v>0.11520687913534995</v>
      </c>
      <c r="P112" s="455">
        <f t="shared" si="48"/>
        <v>0.11778237311424763</v>
      </c>
      <c r="Q112" s="455">
        <f t="shared" si="48"/>
        <v>0.11614659593430186</v>
      </c>
      <c r="R112" s="455">
        <f t="shared" si="48"/>
        <v>0.11596171655387295</v>
      </c>
      <c r="S112" s="455">
        <f t="shared" si="48"/>
        <v>0.11559728733636584</v>
      </c>
      <c r="T112" s="455">
        <f t="shared" si="48"/>
        <v>0.11469481910287363</v>
      </c>
      <c r="U112" s="455">
        <f t="shared" si="48"/>
        <v>0.1091249414761206</v>
      </c>
      <c r="V112" s="455">
        <f t="shared" si="48"/>
        <v>0.10954097151968348</v>
      </c>
      <c r="W112" s="455">
        <f t="shared" si="48"/>
        <v>0.11196491131716492</v>
      </c>
      <c r="X112" s="455">
        <f t="shared" si="48"/>
        <v>0.11042840261955721</v>
      </c>
      <c r="Y112" s="455">
        <f t="shared" si="48"/>
        <v>0.10881230820446919</v>
      </c>
      <c r="Z112" s="455">
        <f t="shared" si="48"/>
        <v>0.1086164146583728</v>
      </c>
      <c r="AA112" s="455">
        <f t="shared" si="48"/>
        <v>0.10777175157923864</v>
      </c>
      <c r="AB112" s="455">
        <f t="shared" si="48"/>
        <v>0.10957051226134898</v>
      </c>
      <c r="AC112" s="455">
        <f t="shared" si="48"/>
        <v>0.10662950726462544</v>
      </c>
      <c r="AD112" s="455">
        <f t="shared" si="48"/>
        <v>0.10442152201993016</v>
      </c>
      <c r="AE112" s="455">
        <f t="shared" si="48"/>
        <v>0.10135668159392928</v>
      </c>
      <c r="AF112" s="455">
        <f t="shared" si="48"/>
        <v>9.4747950089692612E-2</v>
      </c>
      <c r="AG112" s="455">
        <f t="shared" si="48"/>
        <v>9.5560121089980798E-2</v>
      </c>
      <c r="AH112" s="455">
        <f t="shared" si="48"/>
        <v>9.7381196008837698E-2</v>
      </c>
      <c r="AI112" s="455">
        <f t="shared" si="48"/>
        <v>1.2662859373423048</v>
      </c>
      <c r="AJ112" s="455">
        <f t="shared" si="48"/>
        <v>2.4635825043161654</v>
      </c>
      <c r="AK112" s="455">
        <f t="shared" si="48"/>
        <v>3.1519786058854566</v>
      </c>
      <c r="AL112" s="455">
        <f t="shared" si="48"/>
        <v>3.5280875459880496</v>
      </c>
      <c r="AM112" s="455">
        <f t="shared" si="48"/>
        <v>3.7443499805859735</v>
      </c>
      <c r="AN112" s="455">
        <f t="shared" si="48"/>
        <v>3.877699352872555</v>
      </c>
      <c r="AO112" s="455">
        <f t="shared" si="48"/>
        <v>3.9672326394885187</v>
      </c>
      <c r="AP112" s="455">
        <f t="shared" si="48"/>
        <v>4.0333153836984774</v>
      </c>
      <c r="AQ112" s="455">
        <f t="shared" si="48"/>
        <v>4.0867354507674261</v>
      </c>
      <c r="AR112" s="455">
        <f t="shared" si="48"/>
        <v>4.1332677549341383</v>
      </c>
      <c r="AS112" s="455">
        <f t="shared" si="48"/>
        <v>4.1760267073464599</v>
      </c>
      <c r="AT112" s="455">
        <f t="shared" si="48"/>
        <v>4.2167033443680957</v>
      </c>
      <c r="AU112" s="455">
        <f t="shared" si="48"/>
        <v>4.2562234849924412</v>
      </c>
      <c r="AV112" s="455">
        <f t="shared" si="48"/>
        <v>4.2951001453553088</v>
      </c>
      <c r="AW112" s="455">
        <f t="shared" si="48"/>
        <v>4.333622935290129</v>
      </c>
      <c r="AX112" s="455">
        <f t="shared" si="48"/>
        <v>4.3719600726660506</v>
      </c>
      <c r="AY112" s="455">
        <f t="shared" si="48"/>
        <v>4.4102134204915195</v>
      </c>
      <c r="AZ112" s="455">
        <f t="shared" si="48"/>
        <v>4.4484482265609762</v>
      </c>
      <c r="BA112" s="455">
        <f t="shared" si="48"/>
        <v>4.4867092262960515</v>
      </c>
      <c r="BB112" s="455">
        <f t="shared" si="48"/>
        <v>4.5250293889447804</v>
      </c>
      <c r="BC112" s="455">
        <f t="shared" si="48"/>
        <v>4.56343469207658</v>
      </c>
      <c r="BD112" s="455">
        <f t="shared" si="48"/>
        <v>4.6019467496821296</v>
      </c>
      <c r="BE112" s="455">
        <f t="shared" si="48"/>
        <v>4.6405842785151004</v>
      </c>
      <c r="BF112" s="455">
        <f t="shared" si="48"/>
        <v>4.6796621105977803</v>
      </c>
      <c r="BG112" s="455">
        <f t="shared" si="48"/>
        <v>4.7188966637753023</v>
      </c>
      <c r="BH112" s="455">
        <f t="shared" si="48"/>
        <v>4.7582229021493578</v>
      </c>
      <c r="BI112" s="455">
        <f t="shared" si="48"/>
        <v>4.7976517301238042</v>
      </c>
    </row>
    <row r="113" spans="1:61" s="40" customFormat="1" ht="18" customHeight="1" x14ac:dyDescent="0.2">
      <c r="A113" s="382" t="s">
        <v>949</v>
      </c>
      <c r="B113" s="383">
        <f>+Controls!B77</f>
        <v>0.58967496043455159</v>
      </c>
      <c r="C113" s="383">
        <f>+Controls!C77</f>
        <v>0.80742718953750414</v>
      </c>
      <c r="D113" s="383">
        <f>+Controls!D77</f>
        <v>1.0442826029982819</v>
      </c>
      <c r="E113" s="383">
        <f>+Controls!E77</f>
        <v>1.2745456100982464</v>
      </c>
      <c r="F113" s="383">
        <f>+Controls!F77</f>
        <v>1.4943414327878348</v>
      </c>
      <c r="G113" s="383">
        <f>+Controls!G77</f>
        <v>1.0522028275201363</v>
      </c>
      <c r="H113" s="383">
        <f>+Controls!H77</f>
        <v>0.8547810782215628</v>
      </c>
      <c r="I113" s="383">
        <f>+Controls!I77</f>
        <v>0.70857269234046549</v>
      </c>
      <c r="J113" s="383">
        <f>+Controls!J77</f>
        <v>0.60043854360226578</v>
      </c>
      <c r="K113" s="383">
        <f>+Controls!K77</f>
        <v>0.52038518620209528</v>
      </c>
      <c r="L113" s="383">
        <f>+Controls!L77</f>
        <v>0.46348311213832144</v>
      </c>
      <c r="M113" s="383">
        <f>+Controls!M77</f>
        <v>0.41829350870483506</v>
      </c>
      <c r="N113" s="383">
        <f>+Controls!N77</f>
        <v>0.37750989160611359</v>
      </c>
      <c r="O113" s="383">
        <f>+Controls!O77</f>
        <v>0.34070267717451752</v>
      </c>
      <c r="P113" s="383">
        <f>+Controls!P77</f>
        <v>0.30748416615000201</v>
      </c>
      <c r="Q113" s="383">
        <f>+Controls!Q77</f>
        <v>0.27750445995037676</v>
      </c>
      <c r="R113" s="383">
        <f>+Controls!R77</f>
        <v>0.25044777510521499</v>
      </c>
      <c r="S113" s="383">
        <f>+Controls!S77</f>
        <v>0.22602911703245651</v>
      </c>
      <c r="T113" s="383">
        <f>+Controls!T77</f>
        <v>0.20399127812179196</v>
      </c>
      <c r="U113" s="383">
        <f>+Controls!U77</f>
        <v>0.18410212850491722</v>
      </c>
      <c r="V113" s="383">
        <f>+Controls!V77</f>
        <v>0.1661521709756878</v>
      </c>
      <c r="W113" s="383">
        <f>+Controls!W77</f>
        <v>0.1578445624269034</v>
      </c>
      <c r="X113" s="383">
        <f>+Controls!X77</f>
        <v>0.14995233430555821</v>
      </c>
      <c r="Y113" s="383">
        <f>+Controls!Y77</f>
        <v>0.14245471759028031</v>
      </c>
      <c r="Z113" s="383">
        <f>+Controls!Z77</f>
        <v>0.1353319817107663</v>
      </c>
      <c r="AA113" s="383">
        <f>+Controls!AA77</f>
        <v>0.12856538262522799</v>
      </c>
      <c r="AB113" s="383">
        <f>+Controls!AB77</f>
        <v>0.12213711349396658</v>
      </c>
      <c r="AC113" s="383">
        <f>+Controls!AC77</f>
        <v>0.11603025781926825</v>
      </c>
      <c r="AD113" s="383">
        <f>+Controls!AD77</f>
        <v>0.11022874492830483</v>
      </c>
      <c r="AE113" s="383">
        <f>+Controls!AE77</f>
        <v>0.10471730768188958</v>
      </c>
      <c r="AF113" s="383">
        <f>+Controls!AF77</f>
        <v>9.9481442297795097E-2</v>
      </c>
      <c r="AG113" s="383">
        <f>+Controls!AG77</f>
        <v>9.4507370182905337E-2</v>
      </c>
      <c r="AH113" s="383">
        <f>+Controls!AH77</f>
        <v>8.9782001673760062E-2</v>
      </c>
      <c r="AI113" s="383">
        <f>+Controls!AI77</f>
        <v>8.5292901590072051E-2</v>
      </c>
      <c r="AJ113" s="383">
        <f>+Controls!AJ77</f>
        <v>8.1028256510568442E-2</v>
      </c>
      <c r="AK113" s="383">
        <f>+Controls!AK77</f>
        <v>7.6976843685040014E-2</v>
      </c>
      <c r="AL113" s="383">
        <f>+Controls!AL77</f>
        <v>7.3128001500788006E-2</v>
      </c>
      <c r="AM113" s="383">
        <f>+Controls!AM77</f>
        <v>6.9471601425748597E-2</v>
      </c>
      <c r="AN113" s="383">
        <f>+Controls!AN77</f>
        <v>6.5998021354461159E-2</v>
      </c>
      <c r="AO113" s="383">
        <f>+Controls!AO77</f>
        <v>6.2698120286738102E-2</v>
      </c>
      <c r="AP113" s="383">
        <f>+Controls!AP77</f>
        <v>5.9563214272401195E-2</v>
      </c>
      <c r="AQ113" s="383">
        <f>+Controls!AQ77</f>
        <v>5.6585053558781136E-2</v>
      </c>
      <c r="AR113" s="383">
        <f>+Controls!AR77</f>
        <v>5.3755800880842079E-2</v>
      </c>
      <c r="AS113" s="383">
        <f>+Controls!AS77</f>
        <v>5.1068010836799974E-2</v>
      </c>
      <c r="AT113" s="383">
        <f>+Controls!AT77</f>
        <v>4.8514610294959973E-2</v>
      </c>
      <c r="AU113" s="383">
        <f>+Controls!AU77</f>
        <v>4.6088879780211971E-2</v>
      </c>
      <c r="AV113" s="383">
        <f>+Controls!AV77</f>
        <v>4.3784435791201372E-2</v>
      </c>
      <c r="AW113" s="383">
        <f>+Controls!AW77</f>
        <v>4.1595214001641304E-2</v>
      </c>
      <c r="AX113" s="383">
        <f>+Controls!AX77</f>
        <v>3.9515453301559235E-2</v>
      </c>
      <c r="AY113" s="383">
        <f>+Controls!AY77</f>
        <v>3.7539680636481269E-2</v>
      </c>
      <c r="AZ113" s="383">
        <f>+Controls!AZ77</f>
        <v>3.5662696604657207E-2</v>
      </c>
      <c r="BA113" s="383">
        <f>+Controls!BA77</f>
        <v>3.3879561774424347E-2</v>
      </c>
      <c r="BB113" s="383">
        <f>+Controls!BB77</f>
        <v>3.218558368570313E-2</v>
      </c>
      <c r="BC113" s="383">
        <f>+Controls!BC77</f>
        <v>3.0576304501417972E-2</v>
      </c>
      <c r="BD113" s="383">
        <f>+Controls!BD77</f>
        <v>2.9047489276347073E-2</v>
      </c>
      <c r="BE113" s="383">
        <f>+Controls!BE77</f>
        <v>2.7595114812529718E-2</v>
      </c>
      <c r="BF113" s="383">
        <f>+Controls!BF77</f>
        <v>2.621535907190323E-2</v>
      </c>
      <c r="BG113" s="383">
        <f>+Controls!BG77</f>
        <v>2.4904591118308068E-2</v>
      </c>
      <c r="BH113" s="383">
        <f>+Controls!BH77</f>
        <v>2.3659361562392664E-2</v>
      </c>
      <c r="BI113" s="383">
        <f>+Controls!BI77</f>
        <v>2.2476393484273029E-2</v>
      </c>
    </row>
    <row r="114" spans="1:61" ht="18" customHeight="1" x14ac:dyDescent="0.2">
      <c r="A114" s="382" t="s">
        <v>951</v>
      </c>
      <c r="B114" s="383">
        <f>IF(1-(B113/B112)&lt;0,0,1-(B113/B112))</f>
        <v>0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9">IF(1-(F113/F112)&lt;0,0,1-(F113/F112))</f>
        <v>0</v>
      </c>
      <c r="G114" s="383">
        <f t="shared" si="49"/>
        <v>0</v>
      </c>
      <c r="H114" s="383">
        <f t="shared" si="49"/>
        <v>0</v>
      </c>
      <c r="I114" s="383">
        <f t="shared" si="49"/>
        <v>0</v>
      </c>
      <c r="J114" s="383">
        <f t="shared" si="49"/>
        <v>0</v>
      </c>
      <c r="K114" s="383">
        <f t="shared" si="49"/>
        <v>0</v>
      </c>
      <c r="L114" s="383">
        <f t="shared" si="49"/>
        <v>0</v>
      </c>
      <c r="M114" s="383">
        <f t="shared" si="49"/>
        <v>0</v>
      </c>
      <c r="N114" s="383">
        <f t="shared" si="49"/>
        <v>0</v>
      </c>
      <c r="O114" s="383">
        <f t="shared" si="49"/>
        <v>0</v>
      </c>
      <c r="P114" s="383">
        <f t="shared" si="49"/>
        <v>0</v>
      </c>
      <c r="Q114" s="383">
        <f t="shared" si="49"/>
        <v>0</v>
      </c>
      <c r="R114" s="383">
        <f t="shared" si="49"/>
        <v>0</v>
      </c>
      <c r="S114" s="383">
        <f t="shared" si="49"/>
        <v>0</v>
      </c>
      <c r="T114" s="383">
        <f t="shared" si="49"/>
        <v>0</v>
      </c>
      <c r="U114" s="383">
        <f t="shared" si="49"/>
        <v>0</v>
      </c>
      <c r="V114" s="383">
        <f t="shared" si="49"/>
        <v>0</v>
      </c>
      <c r="W114" s="383">
        <f t="shared" si="49"/>
        <v>0</v>
      </c>
      <c r="X114" s="383">
        <f t="shared" si="49"/>
        <v>0</v>
      </c>
      <c r="Y114" s="383">
        <f t="shared" si="49"/>
        <v>0</v>
      </c>
      <c r="Z114" s="383">
        <f t="shared" si="49"/>
        <v>0</v>
      </c>
      <c r="AA114" s="383">
        <f t="shared" si="49"/>
        <v>0</v>
      </c>
      <c r="AB114" s="383">
        <f t="shared" si="49"/>
        <v>0</v>
      </c>
      <c r="AC114" s="383">
        <f t="shared" si="49"/>
        <v>0</v>
      </c>
      <c r="AD114" s="383">
        <f t="shared" si="49"/>
        <v>0</v>
      </c>
      <c r="AE114" s="383">
        <f t="shared" si="49"/>
        <v>0</v>
      </c>
      <c r="AF114" s="383">
        <f t="shared" si="49"/>
        <v>0</v>
      </c>
      <c r="AG114" s="383">
        <f t="shared" si="49"/>
        <v>1.1016634293338545E-2</v>
      </c>
      <c r="AH114" s="383">
        <f t="shared" si="49"/>
        <v>7.8035541218737792E-2</v>
      </c>
      <c r="AI114" s="383">
        <f t="shared" si="49"/>
        <v>0.93264325293773243</v>
      </c>
      <c r="AJ114" s="383">
        <f t="shared" si="49"/>
        <v>0.9671095827443944</v>
      </c>
      <c r="AK114" s="383">
        <f t="shared" si="49"/>
        <v>0.97557824677448413</v>
      </c>
      <c r="AL114" s="383">
        <f t="shared" si="49"/>
        <v>0.9792726227601849</v>
      </c>
      <c r="AM114" s="383">
        <f t="shared" si="49"/>
        <v>0.98144628526020516</v>
      </c>
      <c r="AN114" s="383">
        <f t="shared" si="49"/>
        <v>0.98298010873236719</v>
      </c>
      <c r="AO114" s="383">
        <f t="shared" si="49"/>
        <v>0.9841960061372097</v>
      </c>
      <c r="AP114" s="383">
        <f t="shared" si="49"/>
        <v>0.98523219520270122</v>
      </c>
      <c r="AQ114" s="383">
        <f t="shared" si="49"/>
        <v>0.98615397198070276</v>
      </c>
      <c r="AR114" s="383">
        <f t="shared" si="49"/>
        <v>0.98699435795886425</v>
      </c>
      <c r="AS114" s="383">
        <f t="shared" si="49"/>
        <v>0.98777114841077018</v>
      </c>
      <c r="AT114" s="383">
        <f t="shared" si="49"/>
        <v>0.98849465889988275</v>
      </c>
      <c r="AU114" s="383">
        <f t="shared" si="49"/>
        <v>0.98917141453151536</v>
      </c>
      <c r="AV114" s="383">
        <f t="shared" si="49"/>
        <v>0.98980595694874551</v>
      </c>
      <c r="AW114" s="383">
        <f t="shared" si="49"/>
        <v>0.99040174592419716</v>
      </c>
      <c r="AX114" s="383">
        <f t="shared" si="49"/>
        <v>0.9909616161527609</v>
      </c>
      <c r="AY114" s="383">
        <f t="shared" si="49"/>
        <v>0.99148801269751308</v>
      </c>
      <c r="AZ114" s="383">
        <f t="shared" si="49"/>
        <v>0.99198311528237626</v>
      </c>
      <c r="BA114" s="383">
        <f t="shared" si="49"/>
        <v>0.9924489062995524</v>
      </c>
      <c r="BB114" s="383">
        <f t="shared" si="49"/>
        <v>0.9928872100224726</v>
      </c>
      <c r="BC114" s="383">
        <f t="shared" si="49"/>
        <v>0.99329971686578378</v>
      </c>
      <c r="BD114" s="383">
        <f t="shared" si="49"/>
        <v>0.99368799969744248</v>
      </c>
      <c r="BE114" s="383">
        <f t="shared" si="49"/>
        <v>0.99405352577254358</v>
      </c>
      <c r="BF114" s="383">
        <f t="shared" si="49"/>
        <v>0.99439802309390357</v>
      </c>
      <c r="BG114" s="383">
        <f t="shared" si="49"/>
        <v>0.99472236989008711</v>
      </c>
      <c r="BH114" s="383">
        <f t="shared" si="49"/>
        <v>0.99502768952843601</v>
      </c>
      <c r="BI114" s="383">
        <f t="shared" si="49"/>
        <v>0.9953151260765456</v>
      </c>
    </row>
    <row r="115" spans="1:61" s="40" customFormat="1" ht="18" customHeight="1" x14ac:dyDescent="0.2">
      <c r="A115" s="382" t="s">
        <v>952</v>
      </c>
      <c r="B115" s="384">
        <f t="shared" ref="B115:BI115" si="50">+B$36*1000*B114^($B$38-1)</f>
        <v>0</v>
      </c>
      <c r="C115" s="384">
        <f t="shared" si="50"/>
        <v>0</v>
      </c>
      <c r="D115" s="384">
        <f t="shared" si="50"/>
        <v>0</v>
      </c>
      <c r="E115" s="384">
        <f t="shared" si="50"/>
        <v>0</v>
      </c>
      <c r="F115" s="384">
        <f t="shared" si="50"/>
        <v>0</v>
      </c>
      <c r="G115" s="384">
        <f t="shared" si="50"/>
        <v>0</v>
      </c>
      <c r="H115" s="384">
        <f t="shared" si="50"/>
        <v>0</v>
      </c>
      <c r="I115" s="384">
        <f t="shared" si="50"/>
        <v>0</v>
      </c>
      <c r="J115" s="384">
        <f t="shared" si="50"/>
        <v>0</v>
      </c>
      <c r="K115" s="384">
        <f t="shared" si="50"/>
        <v>0</v>
      </c>
      <c r="L115" s="384">
        <f t="shared" si="50"/>
        <v>0</v>
      </c>
      <c r="M115" s="384">
        <f t="shared" si="50"/>
        <v>0</v>
      </c>
      <c r="N115" s="384">
        <f t="shared" si="50"/>
        <v>0</v>
      </c>
      <c r="O115" s="384">
        <f t="shared" si="50"/>
        <v>0</v>
      </c>
      <c r="P115" s="384">
        <f t="shared" si="50"/>
        <v>0</v>
      </c>
      <c r="Q115" s="384">
        <f t="shared" si="50"/>
        <v>0</v>
      </c>
      <c r="R115" s="384">
        <f t="shared" si="50"/>
        <v>0</v>
      </c>
      <c r="S115" s="384">
        <f t="shared" si="50"/>
        <v>0</v>
      </c>
      <c r="T115" s="384">
        <f t="shared" si="50"/>
        <v>0</v>
      </c>
      <c r="U115" s="384">
        <f t="shared" si="50"/>
        <v>0</v>
      </c>
      <c r="V115" s="384">
        <f t="shared" si="50"/>
        <v>0</v>
      </c>
      <c r="W115" s="384">
        <f t="shared" si="50"/>
        <v>0</v>
      </c>
      <c r="X115" s="384">
        <f t="shared" si="50"/>
        <v>0</v>
      </c>
      <c r="Y115" s="384">
        <f t="shared" si="50"/>
        <v>0</v>
      </c>
      <c r="Z115" s="384">
        <f t="shared" si="50"/>
        <v>0</v>
      </c>
      <c r="AA115" s="384">
        <f t="shared" si="50"/>
        <v>0</v>
      </c>
      <c r="AB115" s="384">
        <f t="shared" si="50"/>
        <v>0</v>
      </c>
      <c r="AC115" s="384">
        <f t="shared" si="50"/>
        <v>0</v>
      </c>
      <c r="AD115" s="384">
        <f t="shared" si="50"/>
        <v>0</v>
      </c>
      <c r="AE115" s="384">
        <f t="shared" si="50"/>
        <v>0</v>
      </c>
      <c r="AF115" s="384">
        <f t="shared" si="50"/>
        <v>0</v>
      </c>
      <c r="AG115" s="384">
        <f t="shared" si="50"/>
        <v>0.10681602606032048</v>
      </c>
      <c r="AH115" s="384">
        <f t="shared" si="50"/>
        <v>3.5057957932201003</v>
      </c>
      <c r="AI115" s="384">
        <f t="shared" si="50"/>
        <v>295.20570035703832</v>
      </c>
      <c r="AJ115" s="384">
        <f t="shared" si="50"/>
        <v>305.30766760369056</v>
      </c>
      <c r="AK115" s="384">
        <f t="shared" si="50"/>
        <v>300.6557056950607</v>
      </c>
      <c r="AL115" s="384">
        <f t="shared" si="50"/>
        <v>293.6396757876534</v>
      </c>
      <c r="AM115" s="384">
        <f t="shared" si="50"/>
        <v>286.16439517683568</v>
      </c>
      <c r="AN115" s="384">
        <f t="shared" si="50"/>
        <v>278.7297152184201</v>
      </c>
      <c r="AO115" s="384">
        <f t="shared" si="50"/>
        <v>271.50500283751398</v>
      </c>
      <c r="AP115" s="384">
        <f t="shared" si="50"/>
        <v>264.55228202541434</v>
      </c>
      <c r="AQ115" s="384">
        <f t="shared" si="50"/>
        <v>257.8919306444206</v>
      </c>
      <c r="AR115" s="384">
        <f t="shared" si="50"/>
        <v>251.526555800068</v>
      </c>
      <c r="AS115" s="384">
        <f t="shared" si="50"/>
        <v>245.45084645994589</v>
      </c>
      <c r="AT115" s="384">
        <f t="shared" si="50"/>
        <v>239.65595659248206</v>
      </c>
      <c r="AU115" s="384">
        <f t="shared" si="50"/>
        <v>234.13154212859837</v>
      </c>
      <c r="AV115" s="384">
        <f t="shared" si="50"/>
        <v>228.86673180479107</v>
      </c>
      <c r="AW115" s="384">
        <f t="shared" si="50"/>
        <v>223.8505965320023</v>
      </c>
      <c r="AX115" s="384">
        <f t="shared" si="50"/>
        <v>219.07237773047868</v>
      </c>
      <c r="AY115" s="384">
        <f t="shared" si="50"/>
        <v>214.52159800243257</v>
      </c>
      <c r="AZ115" s="384">
        <f t="shared" si="50"/>
        <v>210.18811355602611</v>
      </c>
      <c r="BA115" s="384">
        <f t="shared" si="50"/>
        <v>206.06213732575361</v>
      </c>
      <c r="BB115" s="384">
        <f t="shared" si="50"/>
        <v>202.13424703597573</v>
      </c>
      <c r="BC115" s="384">
        <f t="shared" si="50"/>
        <v>198.39538530367309</v>
      </c>
      <c r="BD115" s="384">
        <f t="shared" si="50"/>
        <v>194.83685537358633</v>
      </c>
      <c r="BE115" s="384">
        <f t="shared" si="50"/>
        <v>97.482940478303561</v>
      </c>
      <c r="BF115" s="384">
        <f t="shared" si="50"/>
        <v>48.771879608066946</v>
      </c>
      <c r="BG115" s="384">
        <f t="shared" si="50"/>
        <v>24.400258979799464</v>
      </c>
      <c r="BH115" s="384">
        <f t="shared" si="50"/>
        <v>12.206870781547693</v>
      </c>
      <c r="BI115" s="384">
        <f t="shared" si="50"/>
        <v>6.1066093683741842</v>
      </c>
    </row>
    <row r="116" spans="1:61" s="379" customFormat="1" ht="18" customHeight="1" x14ac:dyDescent="0.2">
      <c r="A116" s="382" t="s">
        <v>969</v>
      </c>
      <c r="B116" s="383">
        <f t="shared" ref="B116:AG116" si="51">+B112*(1-B103)</f>
        <v>0.28449498821855751</v>
      </c>
      <c r="C116" s="383">
        <f t="shared" si="51"/>
        <v>0.24935212857970179</v>
      </c>
      <c r="D116" s="383">
        <f t="shared" si="51"/>
        <v>0.23095079835798871</v>
      </c>
      <c r="E116" s="383">
        <f t="shared" si="51"/>
        <v>0.20304875267350367</v>
      </c>
      <c r="F116" s="383">
        <f t="shared" si="51"/>
        <v>0.17991778440811218</v>
      </c>
      <c r="G116" s="383">
        <f t="shared" si="51"/>
        <v>0.17461230000933545</v>
      </c>
      <c r="H116" s="383">
        <f t="shared" si="51"/>
        <v>0.16302424458255019</v>
      </c>
      <c r="I116" s="383">
        <f t="shared" si="51"/>
        <v>0.15156626933925038</v>
      </c>
      <c r="J116" s="383">
        <f t="shared" si="51"/>
        <v>0.14313840215194143</v>
      </c>
      <c r="K116" s="383">
        <f t="shared" si="51"/>
        <v>0.13209889408985873</v>
      </c>
      <c r="L116" s="383">
        <f t="shared" si="51"/>
        <v>0.13276871991342631</v>
      </c>
      <c r="M116" s="383">
        <f t="shared" si="51"/>
        <v>0.12409851578824685</v>
      </c>
      <c r="N116" s="383">
        <f t="shared" si="51"/>
        <v>0.11701909919961498</v>
      </c>
      <c r="O116" s="383">
        <f t="shared" si="51"/>
        <v>0.11514210290582977</v>
      </c>
      <c r="P116" s="383">
        <f t="shared" si="51"/>
        <v>0.11771458644026501</v>
      </c>
      <c r="Q116" s="383">
        <f t="shared" si="51"/>
        <v>0.11607818880807422</v>
      </c>
      <c r="R116" s="383">
        <f t="shared" si="51"/>
        <v>0.11589183842136773</v>
      </c>
      <c r="S116" s="383">
        <f t="shared" si="51"/>
        <v>0.11552603420922242</v>
      </c>
      <c r="T116" s="383">
        <f t="shared" si="51"/>
        <v>0.11462252141187755</v>
      </c>
      <c r="U116" s="383">
        <f t="shared" si="51"/>
        <v>0.10905461472301488</v>
      </c>
      <c r="V116" s="383">
        <f t="shared" si="51"/>
        <v>0.10946881468045166</v>
      </c>
      <c r="W116" s="383">
        <f t="shared" si="51"/>
        <v>0.11188954582008</v>
      </c>
      <c r="X116" s="383">
        <f t="shared" si="51"/>
        <v>0.11035246737503759</v>
      </c>
      <c r="Y116" s="383">
        <f t="shared" si="51"/>
        <v>0.10873589088075898</v>
      </c>
      <c r="Z116" s="383">
        <f t="shared" si="51"/>
        <v>0.10853853273388961</v>
      </c>
      <c r="AA116" s="383">
        <f t="shared" si="51"/>
        <v>0.1076928752239858</v>
      </c>
      <c r="AB116" s="383">
        <f t="shared" si="51"/>
        <v>0</v>
      </c>
      <c r="AC116" s="383">
        <f t="shared" si="51"/>
        <v>0</v>
      </c>
      <c r="AD116" s="383">
        <f t="shared" si="51"/>
        <v>0</v>
      </c>
      <c r="AE116" s="383">
        <f t="shared" si="51"/>
        <v>0</v>
      </c>
      <c r="AF116" s="383">
        <f t="shared" si="51"/>
        <v>0</v>
      </c>
      <c r="AG116" s="383">
        <f t="shared" si="51"/>
        <v>0</v>
      </c>
      <c r="AH116" s="383">
        <f t="shared" ref="AH116:BI116" si="52">+AH112*(1-AH103)</f>
        <v>0</v>
      </c>
      <c r="AI116" s="383">
        <f t="shared" si="52"/>
        <v>0</v>
      </c>
      <c r="AJ116" s="383">
        <f t="shared" si="52"/>
        <v>0</v>
      </c>
      <c r="AK116" s="383">
        <f t="shared" si="52"/>
        <v>0</v>
      </c>
      <c r="AL116" s="383">
        <f t="shared" si="52"/>
        <v>0</v>
      </c>
      <c r="AM116" s="383">
        <f t="shared" si="52"/>
        <v>0</v>
      </c>
      <c r="AN116" s="383">
        <f t="shared" si="52"/>
        <v>0</v>
      </c>
      <c r="AO116" s="383">
        <f t="shared" si="52"/>
        <v>0</v>
      </c>
      <c r="AP116" s="383">
        <f t="shared" si="52"/>
        <v>0</v>
      </c>
      <c r="AQ116" s="383">
        <f t="shared" si="52"/>
        <v>0</v>
      </c>
      <c r="AR116" s="383">
        <f t="shared" si="52"/>
        <v>0</v>
      </c>
      <c r="AS116" s="383">
        <f t="shared" si="52"/>
        <v>0</v>
      </c>
      <c r="AT116" s="383">
        <f t="shared" si="52"/>
        <v>0</v>
      </c>
      <c r="AU116" s="383">
        <f t="shared" si="52"/>
        <v>0</v>
      </c>
      <c r="AV116" s="383">
        <f t="shared" si="52"/>
        <v>0</v>
      </c>
      <c r="AW116" s="383">
        <f t="shared" si="52"/>
        <v>0</v>
      </c>
      <c r="AX116" s="383">
        <f t="shared" si="52"/>
        <v>0</v>
      </c>
      <c r="AY116" s="383">
        <f t="shared" si="52"/>
        <v>0</v>
      </c>
      <c r="AZ116" s="383">
        <f t="shared" si="52"/>
        <v>0</v>
      </c>
      <c r="BA116" s="383">
        <f t="shared" si="52"/>
        <v>0</v>
      </c>
      <c r="BB116" s="383">
        <f t="shared" si="52"/>
        <v>0</v>
      </c>
      <c r="BC116" s="383">
        <f t="shared" si="52"/>
        <v>0</v>
      </c>
      <c r="BD116" s="383">
        <f t="shared" si="52"/>
        <v>0</v>
      </c>
      <c r="BE116" s="383">
        <f t="shared" si="52"/>
        <v>0</v>
      </c>
      <c r="BF116" s="383">
        <f t="shared" si="52"/>
        <v>0</v>
      </c>
      <c r="BG116" s="383">
        <f t="shared" si="52"/>
        <v>0</v>
      </c>
      <c r="BH116" s="383">
        <f t="shared" si="52"/>
        <v>0</v>
      </c>
      <c r="BI116" s="383">
        <f t="shared" si="52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0.28461117512839895</v>
      </c>
      <c r="C119" s="405">
        <f t="shared" ref="C119:BI120" si="53">+C112</f>
        <v>0.24945660288561047</v>
      </c>
      <c r="D119" s="405">
        <f t="shared" si="53"/>
        <v>0.23105005744895576</v>
      </c>
      <c r="E119" s="405">
        <f t="shared" si="53"/>
        <v>0.20313825693076035</v>
      </c>
      <c r="F119" s="405">
        <f t="shared" si="53"/>
        <v>0.17999911344289629</v>
      </c>
      <c r="G119" s="405">
        <f t="shared" si="53"/>
        <v>0.17469322963799699</v>
      </c>
      <c r="H119" s="405">
        <f t="shared" si="53"/>
        <v>0.16310170440380148</v>
      </c>
      <c r="I119" s="405">
        <f t="shared" si="53"/>
        <v>0.15164008459247313</v>
      </c>
      <c r="J119" s="405">
        <f t="shared" si="53"/>
        <v>0.14320984255359892</v>
      </c>
      <c r="K119" s="405">
        <f t="shared" si="53"/>
        <v>0.13216644841485889</v>
      </c>
      <c r="L119" s="405">
        <f t="shared" si="53"/>
        <v>0.1328382760103326</v>
      </c>
      <c r="M119" s="405">
        <f t="shared" si="53"/>
        <v>0.12416510559519325</v>
      </c>
      <c r="N119" s="405">
        <f t="shared" si="53"/>
        <v>0.11708339949219047</v>
      </c>
      <c r="O119" s="405">
        <f t="shared" si="53"/>
        <v>0.11520687913534995</v>
      </c>
      <c r="P119" s="405">
        <f t="shared" si="53"/>
        <v>0.11778237311424763</v>
      </c>
      <c r="Q119" s="405">
        <f t="shared" si="53"/>
        <v>0.11614659593430186</v>
      </c>
      <c r="R119" s="405">
        <f t="shared" si="53"/>
        <v>0.11596171655387295</v>
      </c>
      <c r="S119" s="405">
        <f t="shared" si="53"/>
        <v>0.11559728733636584</v>
      </c>
      <c r="T119" s="405">
        <f t="shared" si="53"/>
        <v>0.11469481910287363</v>
      </c>
      <c r="U119" s="405">
        <f t="shared" si="53"/>
        <v>0.1091249414761206</v>
      </c>
      <c r="V119" s="405">
        <f t="shared" si="53"/>
        <v>0.10954097151968348</v>
      </c>
      <c r="W119" s="405">
        <f t="shared" si="53"/>
        <v>0.11196491131716492</v>
      </c>
      <c r="X119" s="405">
        <f t="shared" si="53"/>
        <v>0.11042840261955721</v>
      </c>
      <c r="Y119" s="405">
        <f t="shared" si="53"/>
        <v>0.10881230820446919</v>
      </c>
      <c r="Z119" s="405">
        <f t="shared" si="53"/>
        <v>0.1086164146583728</v>
      </c>
      <c r="AA119" s="405">
        <f t="shared" si="53"/>
        <v>0.10777175157923864</v>
      </c>
      <c r="AB119" s="405">
        <f t="shared" si="53"/>
        <v>0.10957051226134898</v>
      </c>
      <c r="AC119" s="405">
        <f t="shared" si="53"/>
        <v>0.10662950726462544</v>
      </c>
      <c r="AD119" s="405">
        <f t="shared" si="53"/>
        <v>0.10442152201993016</v>
      </c>
      <c r="AE119" s="405">
        <f t="shared" si="53"/>
        <v>0.10135668159392928</v>
      </c>
      <c r="AF119" s="405">
        <f t="shared" si="53"/>
        <v>9.4747950089692612E-2</v>
      </c>
      <c r="AG119" s="405">
        <f t="shared" si="53"/>
        <v>9.5560121089980798E-2</v>
      </c>
      <c r="AH119" s="405">
        <f t="shared" si="53"/>
        <v>9.7381196008837698E-2</v>
      </c>
      <c r="AI119" s="405">
        <f t="shared" si="53"/>
        <v>1.2662859373423048</v>
      </c>
      <c r="AJ119" s="405">
        <f t="shared" si="53"/>
        <v>2.4635825043161654</v>
      </c>
      <c r="AK119" s="405">
        <f t="shared" si="53"/>
        <v>3.1519786058854566</v>
      </c>
      <c r="AL119" s="405">
        <f t="shared" si="53"/>
        <v>3.5280875459880496</v>
      </c>
      <c r="AM119" s="405">
        <f t="shared" si="53"/>
        <v>3.7443499805859735</v>
      </c>
      <c r="AN119" s="405">
        <f t="shared" si="53"/>
        <v>3.877699352872555</v>
      </c>
      <c r="AO119" s="405">
        <f t="shared" si="53"/>
        <v>3.9672326394885187</v>
      </c>
      <c r="AP119" s="405">
        <f t="shared" si="53"/>
        <v>4.0333153836984774</v>
      </c>
      <c r="AQ119" s="405">
        <f t="shared" si="53"/>
        <v>4.0867354507674261</v>
      </c>
      <c r="AR119" s="405">
        <f t="shared" si="53"/>
        <v>4.1332677549341383</v>
      </c>
      <c r="AS119" s="405">
        <f t="shared" si="53"/>
        <v>4.1760267073464599</v>
      </c>
      <c r="AT119" s="405">
        <f t="shared" si="53"/>
        <v>4.2167033443680957</v>
      </c>
      <c r="AU119" s="405">
        <f t="shared" si="53"/>
        <v>4.2562234849924412</v>
      </c>
      <c r="AV119" s="405">
        <f t="shared" si="53"/>
        <v>4.2951001453553088</v>
      </c>
      <c r="AW119" s="405">
        <f t="shared" si="53"/>
        <v>4.333622935290129</v>
      </c>
      <c r="AX119" s="405">
        <f t="shared" si="53"/>
        <v>4.3719600726660506</v>
      </c>
      <c r="AY119" s="405">
        <f t="shared" si="53"/>
        <v>4.4102134204915195</v>
      </c>
      <c r="AZ119" s="405">
        <f t="shared" si="53"/>
        <v>4.4484482265609762</v>
      </c>
      <c r="BA119" s="405">
        <f t="shared" si="53"/>
        <v>4.4867092262960515</v>
      </c>
      <c r="BB119" s="405">
        <f t="shared" si="53"/>
        <v>4.5250293889447804</v>
      </c>
      <c r="BC119" s="405">
        <f t="shared" si="53"/>
        <v>4.56343469207658</v>
      </c>
      <c r="BD119" s="405">
        <f t="shared" si="53"/>
        <v>4.6019467496821296</v>
      </c>
      <c r="BE119" s="405">
        <f t="shared" si="53"/>
        <v>4.6405842785151004</v>
      </c>
      <c r="BF119" s="405">
        <f t="shared" si="53"/>
        <v>4.6796621105977803</v>
      </c>
      <c r="BG119" s="405">
        <f t="shared" si="53"/>
        <v>4.7188966637753023</v>
      </c>
      <c r="BH119" s="405">
        <f t="shared" si="53"/>
        <v>4.7582229021493578</v>
      </c>
      <c r="BI119" s="405">
        <f t="shared" si="53"/>
        <v>4.7976517301238042</v>
      </c>
    </row>
    <row r="120" spans="1:61" s="401" customFormat="1" ht="18" customHeight="1" x14ac:dyDescent="0.2">
      <c r="A120" s="403" t="s">
        <v>949</v>
      </c>
      <c r="B120" s="405">
        <f>+B113</f>
        <v>0.58967496043455159</v>
      </c>
      <c r="C120" s="405">
        <f t="shared" si="53"/>
        <v>0.80742718953750414</v>
      </c>
      <c r="D120" s="405">
        <f t="shared" si="53"/>
        <v>1.0442826029982819</v>
      </c>
      <c r="E120" s="405">
        <f t="shared" si="53"/>
        <v>1.2745456100982464</v>
      </c>
      <c r="F120" s="405">
        <f t="shared" si="53"/>
        <v>1.4943414327878348</v>
      </c>
      <c r="G120" s="405">
        <f t="shared" si="53"/>
        <v>1.0522028275201363</v>
      </c>
      <c r="H120" s="405">
        <f t="shared" si="53"/>
        <v>0.8547810782215628</v>
      </c>
      <c r="I120" s="405">
        <f t="shared" si="53"/>
        <v>0.70857269234046549</v>
      </c>
      <c r="J120" s="405">
        <f t="shared" si="53"/>
        <v>0.60043854360226578</v>
      </c>
      <c r="K120" s="405">
        <f t="shared" si="53"/>
        <v>0.52038518620209528</v>
      </c>
      <c r="L120" s="405">
        <f t="shared" si="53"/>
        <v>0.46348311213832144</v>
      </c>
      <c r="M120" s="405">
        <f t="shared" si="53"/>
        <v>0.41829350870483506</v>
      </c>
      <c r="N120" s="405">
        <f t="shared" si="53"/>
        <v>0.37750989160611359</v>
      </c>
      <c r="O120" s="405">
        <f t="shared" si="53"/>
        <v>0.34070267717451752</v>
      </c>
      <c r="P120" s="405">
        <f t="shared" si="53"/>
        <v>0.30748416615000201</v>
      </c>
      <c r="Q120" s="405">
        <f t="shared" si="53"/>
        <v>0.27750445995037676</v>
      </c>
      <c r="R120" s="405">
        <f t="shared" si="53"/>
        <v>0.25044777510521499</v>
      </c>
      <c r="S120" s="405">
        <f t="shared" si="53"/>
        <v>0.22602911703245651</v>
      </c>
      <c r="T120" s="405">
        <f t="shared" si="53"/>
        <v>0.20399127812179196</v>
      </c>
      <c r="U120" s="405">
        <f t="shared" si="53"/>
        <v>0.18410212850491722</v>
      </c>
      <c r="V120" s="405">
        <f t="shared" si="53"/>
        <v>0.1661521709756878</v>
      </c>
      <c r="W120" s="405">
        <f t="shared" si="53"/>
        <v>0.1578445624269034</v>
      </c>
      <c r="X120" s="405">
        <f t="shared" si="53"/>
        <v>0.14995233430555821</v>
      </c>
      <c r="Y120" s="405">
        <f t="shared" si="53"/>
        <v>0.14245471759028031</v>
      </c>
      <c r="Z120" s="405">
        <f t="shared" si="53"/>
        <v>0.1353319817107663</v>
      </c>
      <c r="AA120" s="405">
        <f t="shared" si="53"/>
        <v>0.12856538262522799</v>
      </c>
      <c r="AB120" s="405">
        <f t="shared" si="53"/>
        <v>0.12213711349396658</v>
      </c>
      <c r="AC120" s="405">
        <f t="shared" si="53"/>
        <v>0.11603025781926825</v>
      </c>
      <c r="AD120" s="405">
        <f t="shared" si="53"/>
        <v>0.11022874492830483</v>
      </c>
      <c r="AE120" s="405">
        <f t="shared" si="53"/>
        <v>0.10471730768188958</v>
      </c>
      <c r="AF120" s="405">
        <f t="shared" si="53"/>
        <v>9.9481442297795097E-2</v>
      </c>
      <c r="AG120" s="405">
        <f t="shared" si="53"/>
        <v>9.4507370182905337E-2</v>
      </c>
      <c r="AH120" s="405">
        <f t="shared" si="53"/>
        <v>8.9782001673760062E-2</v>
      </c>
      <c r="AI120" s="405">
        <f t="shared" si="53"/>
        <v>8.5292901590072051E-2</v>
      </c>
      <c r="AJ120" s="405">
        <f t="shared" si="53"/>
        <v>8.1028256510568442E-2</v>
      </c>
      <c r="AK120" s="405">
        <f t="shared" si="53"/>
        <v>7.6976843685040014E-2</v>
      </c>
      <c r="AL120" s="405">
        <f t="shared" si="53"/>
        <v>7.3128001500788006E-2</v>
      </c>
      <c r="AM120" s="405">
        <f t="shared" si="53"/>
        <v>6.9471601425748597E-2</v>
      </c>
      <c r="AN120" s="405">
        <f t="shared" si="53"/>
        <v>6.5998021354461159E-2</v>
      </c>
      <c r="AO120" s="405">
        <f t="shared" si="53"/>
        <v>6.2698120286738102E-2</v>
      </c>
      <c r="AP120" s="405">
        <f t="shared" si="53"/>
        <v>5.9563214272401195E-2</v>
      </c>
      <c r="AQ120" s="405">
        <f t="shared" si="53"/>
        <v>5.6585053558781136E-2</v>
      </c>
      <c r="AR120" s="405">
        <f t="shared" si="53"/>
        <v>5.3755800880842079E-2</v>
      </c>
      <c r="AS120" s="405">
        <f t="shared" si="53"/>
        <v>5.1068010836799974E-2</v>
      </c>
      <c r="AT120" s="405">
        <f t="shared" si="53"/>
        <v>4.8514610294959973E-2</v>
      </c>
      <c r="AU120" s="405">
        <f t="shared" si="53"/>
        <v>4.6088879780211971E-2</v>
      </c>
      <c r="AV120" s="405">
        <f t="shared" si="53"/>
        <v>4.3784435791201372E-2</v>
      </c>
      <c r="AW120" s="405">
        <f t="shared" si="53"/>
        <v>4.1595214001641304E-2</v>
      </c>
      <c r="AX120" s="405">
        <f t="shared" si="53"/>
        <v>3.9515453301559235E-2</v>
      </c>
      <c r="AY120" s="405">
        <f t="shared" si="53"/>
        <v>3.7539680636481269E-2</v>
      </c>
      <c r="AZ120" s="405">
        <f t="shared" si="53"/>
        <v>3.5662696604657207E-2</v>
      </c>
      <c r="BA120" s="405">
        <f t="shared" si="53"/>
        <v>3.3879561774424347E-2</v>
      </c>
      <c r="BB120" s="405">
        <f t="shared" si="53"/>
        <v>3.218558368570313E-2</v>
      </c>
      <c r="BC120" s="405">
        <f t="shared" si="53"/>
        <v>3.0576304501417972E-2</v>
      </c>
      <c r="BD120" s="405">
        <f t="shared" si="53"/>
        <v>2.9047489276347073E-2</v>
      </c>
      <c r="BE120" s="405">
        <f t="shared" si="53"/>
        <v>2.7595114812529718E-2</v>
      </c>
      <c r="BF120" s="405">
        <f t="shared" si="53"/>
        <v>2.621535907190323E-2</v>
      </c>
      <c r="BG120" s="405">
        <f t="shared" si="53"/>
        <v>2.4904591118308068E-2</v>
      </c>
      <c r="BH120" s="405">
        <f t="shared" si="53"/>
        <v>2.3659361562392664E-2</v>
      </c>
      <c r="BI120" s="405">
        <f t="shared" si="53"/>
        <v>2.2476393484273029E-2</v>
      </c>
    </row>
    <row r="121" spans="1:61" s="402" customFormat="1" ht="18" customHeight="1" x14ac:dyDescent="0.2">
      <c r="A121" s="404" t="s">
        <v>965</v>
      </c>
      <c r="B121" s="405">
        <f>+B119*(1-B122)</f>
        <v>0.28461117512839895</v>
      </c>
      <c r="C121" s="405">
        <f t="shared" ref="C121:BI121" si="54">+C119*(1-C122)</f>
        <v>0.24945660288561047</v>
      </c>
      <c r="D121" s="405">
        <f t="shared" si="54"/>
        <v>0.23105005744895576</v>
      </c>
      <c r="E121" s="405">
        <f t="shared" si="54"/>
        <v>0.20313825693076035</v>
      </c>
      <c r="F121" s="405">
        <f t="shared" si="54"/>
        <v>0.17999911344289629</v>
      </c>
      <c r="G121" s="405">
        <f t="shared" si="54"/>
        <v>7.897674554352685E-2</v>
      </c>
      <c r="H121" s="405">
        <f t="shared" si="54"/>
        <v>6.3382173775644285E-2</v>
      </c>
      <c r="I121" s="405">
        <f t="shared" si="54"/>
        <v>5.9458403426002698E-2</v>
      </c>
      <c r="J121" s="405">
        <f t="shared" si="54"/>
        <v>5.0240715291917364E-2</v>
      </c>
      <c r="K121" s="405">
        <f t="shared" si="54"/>
        <v>4.2300060075849917E-2</v>
      </c>
      <c r="L121" s="405">
        <f t="shared" si="54"/>
        <v>3.9582828422075569E-2</v>
      </c>
      <c r="M121" s="405">
        <f t="shared" si="54"/>
        <v>3.4886306509471443E-2</v>
      </c>
      <c r="N121" s="405">
        <f t="shared" si="54"/>
        <v>3.1192754550478256E-2</v>
      </c>
      <c r="O121" s="405">
        <f t="shared" si="54"/>
        <v>2.9198483173808111E-2</v>
      </c>
      <c r="P121" s="405">
        <f t="shared" si="54"/>
        <v>2.8563784040229964E-2</v>
      </c>
      <c r="Q121" s="405">
        <f t="shared" si="54"/>
        <v>2.7071221296984083E-2</v>
      </c>
      <c r="R121" s="405">
        <f t="shared" si="54"/>
        <v>2.6102651730859981E-2</v>
      </c>
      <c r="S121" s="405">
        <f t="shared" si="54"/>
        <v>2.5266111932222515E-2</v>
      </c>
      <c r="T121" s="405">
        <f t="shared" si="54"/>
        <v>2.4369718373085849E-2</v>
      </c>
      <c r="U121" s="405">
        <f t="shared" si="54"/>
        <v>2.2571716624621048E-2</v>
      </c>
      <c r="V121" s="405">
        <f t="shared" si="54"/>
        <v>2.2095429548737833E-2</v>
      </c>
      <c r="W121" s="405">
        <f t="shared" si="54"/>
        <v>2.5823516095811162E-2</v>
      </c>
      <c r="X121" s="405">
        <f t="shared" si="54"/>
        <v>2.8570260011399576E-2</v>
      </c>
      <c r="Y121" s="405">
        <f t="shared" si="54"/>
        <v>3.1117953341330981E-2</v>
      </c>
      <c r="Z121" s="405">
        <f t="shared" si="54"/>
        <v>3.3934841346451701E-2</v>
      </c>
      <c r="AA121" s="405">
        <f t="shared" si="54"/>
        <v>3.6436737518900773E-2</v>
      </c>
      <c r="AB121" s="405">
        <f t="shared" si="54"/>
        <v>3.9772718540230165E-2</v>
      </c>
      <c r="AC121" s="405">
        <f t="shared" si="54"/>
        <v>4.1279871302982225E-2</v>
      </c>
      <c r="AD121" s="405">
        <f t="shared" si="54"/>
        <v>4.2870054189878735E-2</v>
      </c>
      <c r="AE121" s="405">
        <f t="shared" si="54"/>
        <v>4.3912553475337096E-2</v>
      </c>
      <c r="AF121" s="405">
        <f t="shared" si="54"/>
        <v>4.3133931318126796E-2</v>
      </c>
      <c r="AG121" s="405">
        <f t="shared" si="54"/>
        <v>4.5540951197482006E-2</v>
      </c>
      <c r="AH121" s="405">
        <f t="shared" si="54"/>
        <v>4.8420011908010416E-2</v>
      </c>
      <c r="AI121" s="405">
        <f t="shared" si="54"/>
        <v>0.65495189674523469</v>
      </c>
      <c r="AJ121" s="405">
        <f t="shared" si="54"/>
        <v>1.3219274747291416</v>
      </c>
      <c r="AK121" s="405">
        <f t="shared" si="54"/>
        <v>1.7503878415622469</v>
      </c>
      <c r="AL121" s="405">
        <f t="shared" si="54"/>
        <v>2.0232311451870597</v>
      </c>
      <c r="AM121" s="405">
        <f t="shared" si="54"/>
        <v>2.2129241096900198</v>
      </c>
      <c r="AN121" s="405">
        <f t="shared" si="54"/>
        <v>2.3574937209712141</v>
      </c>
      <c r="AO121" s="405">
        <f t="shared" si="54"/>
        <v>2.4769512966953595</v>
      </c>
      <c r="AP121" s="405">
        <f t="shared" si="54"/>
        <v>2.5820794718693523</v>
      </c>
      <c r="AQ121" s="405">
        <f t="shared" si="54"/>
        <v>2.6787772806980263</v>
      </c>
      <c r="AR121" s="405">
        <f t="shared" si="54"/>
        <v>2.7702992183876631</v>
      </c>
      <c r="AS121" s="405">
        <f t="shared" si="54"/>
        <v>2.8584496826928802</v>
      </c>
      <c r="AT121" s="405">
        <f t="shared" si="54"/>
        <v>2.9442332893231882</v>
      </c>
      <c r="AU121" s="405">
        <f t="shared" si="54"/>
        <v>3.0282126941576668</v>
      </c>
      <c r="AV121" s="405">
        <f t="shared" si="54"/>
        <v>3.1107064232448711</v>
      </c>
      <c r="AW121" s="405">
        <f t="shared" si="54"/>
        <v>3.1918984239127535</v>
      </c>
      <c r="AX121" s="405">
        <f t="shared" si="54"/>
        <v>3.2718987226533964</v>
      </c>
      <c r="AY121" s="405">
        <f t="shared" si="54"/>
        <v>3.3507769734977533</v>
      </c>
      <c r="AZ121" s="405">
        <f t="shared" si="54"/>
        <v>3.4285809793475952</v>
      </c>
      <c r="BA121" s="405">
        <f t="shared" si="54"/>
        <v>3.5053468919077244</v>
      </c>
      <c r="BB121" s="405">
        <f t="shared" si="54"/>
        <v>3.5811048097384246</v>
      </c>
      <c r="BC121" s="405">
        <f t="shared" si="54"/>
        <v>3.6558818352606806</v>
      </c>
      <c r="BD121" s="405">
        <f t="shared" si="54"/>
        <v>3.7297037309125707</v>
      </c>
      <c r="BE121" s="405">
        <f t="shared" si="54"/>
        <v>3.4213514833617928</v>
      </c>
      <c r="BF121" s="405">
        <f t="shared" si="54"/>
        <v>2.9753602175496305</v>
      </c>
      <c r="BG121" s="405">
        <f t="shared" si="54"/>
        <v>2.3366290022262861</v>
      </c>
      <c r="BH121" s="405">
        <f t="shared" si="54"/>
        <v>1.4284629190428375</v>
      </c>
      <c r="BI121" s="405">
        <f t="shared" si="54"/>
        <v>0.14377448612469501</v>
      </c>
    </row>
    <row r="122" spans="1:61" s="401" customFormat="1" ht="18" customHeight="1" x14ac:dyDescent="0.2">
      <c r="A122" s="403" t="s">
        <v>951</v>
      </c>
      <c r="B122" s="406">
        <f t="shared" ref="B122:L122" si="55">+(B123/(1000*B$36))^(1/($B$38-1))</f>
        <v>0</v>
      </c>
      <c r="C122" s="406">
        <f t="shared" si="55"/>
        <v>0</v>
      </c>
      <c r="D122" s="406">
        <f t="shared" si="55"/>
        <v>0</v>
      </c>
      <c r="E122" s="406">
        <f t="shared" si="55"/>
        <v>0</v>
      </c>
      <c r="F122" s="406">
        <f t="shared" si="55"/>
        <v>0</v>
      </c>
      <c r="G122" s="406">
        <f t="shared" si="55"/>
        <v>0.54791181256890076</v>
      </c>
      <c r="H122" s="406">
        <f t="shared" si="55"/>
        <v>0.61139477967241274</v>
      </c>
      <c r="I122" s="406">
        <f t="shared" si="55"/>
        <v>0.60789784847591677</v>
      </c>
      <c r="J122" s="406">
        <f t="shared" si="55"/>
        <v>0.64918112892196045</v>
      </c>
      <c r="K122" s="406">
        <f t="shared" si="55"/>
        <v>0.67994857557892652</v>
      </c>
      <c r="L122" s="406">
        <f t="shared" si="55"/>
        <v>0.70202241695009138</v>
      </c>
      <c r="M122" s="406">
        <f t="shared" ref="M122:BI122" si="56">+(M123/(1000*M$36))^(1/($B$38-1))</f>
        <v>0.71903292521484408</v>
      </c>
      <c r="N122" s="406">
        <f t="shared" si="56"/>
        <v>0.73358516505528326</v>
      </c>
      <c r="O122" s="406">
        <f t="shared" si="56"/>
        <v>0.74655607900371568</v>
      </c>
      <c r="P122" s="406">
        <f t="shared" si="56"/>
        <v>0.75748676745947885</v>
      </c>
      <c r="Q122" s="406">
        <f t="shared" si="56"/>
        <v>0.76692195686650277</v>
      </c>
      <c r="R122" s="406">
        <f t="shared" si="56"/>
        <v>0.77490285150501947</v>
      </c>
      <c r="S122" s="406">
        <f t="shared" si="56"/>
        <v>0.78142988893240206</v>
      </c>
      <c r="T122" s="406">
        <f t="shared" si="56"/>
        <v>0.78752555203711661</v>
      </c>
      <c r="U122" s="406">
        <f t="shared" si="56"/>
        <v>0.79315712504129654</v>
      </c>
      <c r="V122" s="406">
        <f t="shared" si="56"/>
        <v>0.79829072864514905</v>
      </c>
      <c r="W122" s="406">
        <f t="shared" si="56"/>
        <v>0.7693606345771985</v>
      </c>
      <c r="X122" s="406">
        <f t="shared" si="56"/>
        <v>0.74127797438283605</v>
      </c>
      <c r="Y122" s="406">
        <f t="shared" si="56"/>
        <v>0.71402175126312695</v>
      </c>
      <c r="Z122" s="406">
        <f t="shared" si="56"/>
        <v>0.68757170402663625</v>
      </c>
      <c r="AA122" s="406">
        <f t="shared" si="56"/>
        <v>0.66190827387535922</v>
      </c>
      <c r="AB122" s="406">
        <f t="shared" si="56"/>
        <v>0.63701257099753472</v>
      </c>
      <c r="AC122" s="406">
        <f t="shared" si="56"/>
        <v>0.61286634101631166</v>
      </c>
      <c r="AD122" s="406">
        <f t="shared" si="56"/>
        <v>0.58945193135859053</v>
      </c>
      <c r="AE122" s="406">
        <f t="shared" si="56"/>
        <v>0.56675225762356429</v>
      </c>
      <c r="AF122" s="406">
        <f t="shared" si="56"/>
        <v>0.54475077004521677</v>
      </c>
      <c r="AG122" s="406">
        <f t="shared" si="56"/>
        <v>0.52343142015695032</v>
      </c>
      <c r="AH122" s="406">
        <f t="shared" si="56"/>
        <v>0.5027786277792673</v>
      </c>
      <c r="AI122" s="406">
        <f t="shared" si="56"/>
        <v>0.48277724846265357</v>
      </c>
      <c r="AJ122" s="406">
        <f t="shared" si="56"/>
        <v>0.46341254152716976</v>
      </c>
      <c r="AK122" s="406">
        <f t="shared" si="56"/>
        <v>0.44467013884742829</v>
      </c>
      <c r="AL122" s="406">
        <f t="shared" si="56"/>
        <v>0.42653601453632622</v>
      </c>
      <c r="AM122" s="406">
        <f t="shared" si="56"/>
        <v>0.40899645568288795</v>
      </c>
      <c r="AN122" s="406">
        <f t="shared" si="56"/>
        <v>0.39203803429865963</v>
      </c>
      <c r="AO122" s="406">
        <f t="shared" si="56"/>
        <v>0.37564758062317616</v>
      </c>
      <c r="AP122" s="406">
        <f t="shared" si="56"/>
        <v>0.35981215793206028</v>
      </c>
      <c r="AQ122" s="406">
        <f t="shared" si="56"/>
        <v>0.34451903898134806</v>
      </c>
      <c r="AR122" s="406">
        <f t="shared" si="56"/>
        <v>0.32975568420879936</v>
      </c>
      <c r="AS122" s="406">
        <f t="shared" si="56"/>
        <v>0.31550972179744458</v>
      </c>
      <c r="AT122" s="406">
        <f t="shared" si="56"/>
        <v>0.30176892968874408</v>
      </c>
      <c r="AU122" s="406">
        <f t="shared" si="56"/>
        <v>0.28852121961282667</v>
      </c>
      <c r="AV122" s="406">
        <f t="shared" si="56"/>
        <v>0.27575462318177452</v>
      </c>
      <c r="AW122" s="406">
        <f t="shared" si="56"/>
        <v>0.26345728006927732</v>
      </c>
      <c r="AX122" s="406">
        <f t="shared" si="56"/>
        <v>0.25161742827670192</v>
      </c>
      <c r="AY122" s="406">
        <f t="shared" si="56"/>
        <v>0.24022339646222643</v>
      </c>
      <c r="AZ122" s="406">
        <f t="shared" si="56"/>
        <v>0.22926359828668255</v>
      </c>
      <c r="BA122" s="406">
        <f t="shared" si="56"/>
        <v>0.21872652870765133</v>
      </c>
      <c r="BB122" s="406">
        <f t="shared" si="56"/>
        <v>0.20860076213261353</v>
      </c>
      <c r="BC122" s="406">
        <f t="shared" si="56"/>
        <v>0.19887495232300995</v>
      </c>
      <c r="BD122" s="406">
        <f t="shared" si="56"/>
        <v>0.18953783392426418</v>
      </c>
      <c r="BE122" s="406">
        <f t="shared" si="56"/>
        <v>0.26273260477093174</v>
      </c>
      <c r="BF122" s="406">
        <f t="shared" si="56"/>
        <v>0.36419336541168396</v>
      </c>
      <c r="BG122" s="406">
        <f t="shared" si="56"/>
        <v>0.50483573413178084</v>
      </c>
      <c r="BH122" s="406">
        <f t="shared" si="56"/>
        <v>0.69979066798287648</v>
      </c>
      <c r="BI122" s="406">
        <f t="shared" si="56"/>
        <v>0.97003232118289151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0</v>
      </c>
      <c r="D123" s="400">
        <f>+Global!D118*D46</f>
        <v>0</v>
      </c>
      <c r="E123" s="400">
        <f>+Global!E118*E46</f>
        <v>0</v>
      </c>
      <c r="F123" s="400">
        <f>+Global!F118*F46</f>
        <v>0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0.28461117512839895</v>
      </c>
      <c r="C124" s="405">
        <f t="shared" ref="C124:BI124" si="57">+C119*(1-C122)</f>
        <v>0.24945660288561047</v>
      </c>
      <c r="D124" s="405">
        <f t="shared" si="57"/>
        <v>0.23105005744895576</v>
      </c>
      <c r="E124" s="405">
        <f t="shared" si="57"/>
        <v>0.20313825693076035</v>
      </c>
      <c r="F124" s="405">
        <f t="shared" si="57"/>
        <v>0.17999911344289629</v>
      </c>
      <c r="G124" s="405">
        <f t="shared" si="57"/>
        <v>7.897674554352685E-2</v>
      </c>
      <c r="H124" s="405">
        <f t="shared" si="57"/>
        <v>6.3382173775644285E-2</v>
      </c>
      <c r="I124" s="405">
        <f t="shared" si="57"/>
        <v>5.9458403426002698E-2</v>
      </c>
      <c r="J124" s="405">
        <f t="shared" si="57"/>
        <v>5.0240715291917364E-2</v>
      </c>
      <c r="K124" s="405">
        <f t="shared" si="57"/>
        <v>4.2300060075849917E-2</v>
      </c>
      <c r="L124" s="405">
        <f t="shared" si="57"/>
        <v>3.9582828422075569E-2</v>
      </c>
      <c r="M124" s="405">
        <f t="shared" si="57"/>
        <v>3.4886306509471443E-2</v>
      </c>
      <c r="N124" s="405">
        <f t="shared" si="57"/>
        <v>3.1192754550478256E-2</v>
      </c>
      <c r="O124" s="405">
        <f t="shared" si="57"/>
        <v>2.9198483173808111E-2</v>
      </c>
      <c r="P124" s="405">
        <f t="shared" si="57"/>
        <v>2.8563784040229964E-2</v>
      </c>
      <c r="Q124" s="405">
        <f t="shared" si="57"/>
        <v>2.7071221296984083E-2</v>
      </c>
      <c r="R124" s="405">
        <f t="shared" si="57"/>
        <v>2.6102651730859981E-2</v>
      </c>
      <c r="S124" s="405">
        <f t="shared" si="57"/>
        <v>2.5266111932222515E-2</v>
      </c>
      <c r="T124" s="405">
        <f t="shared" si="57"/>
        <v>2.4369718373085849E-2</v>
      </c>
      <c r="U124" s="405">
        <f t="shared" si="57"/>
        <v>2.2571716624621048E-2</v>
      </c>
      <c r="V124" s="405">
        <f t="shared" si="57"/>
        <v>2.2095429548737833E-2</v>
      </c>
      <c r="W124" s="405">
        <f t="shared" si="57"/>
        <v>2.5823516095811162E-2</v>
      </c>
      <c r="X124" s="405">
        <f t="shared" si="57"/>
        <v>2.8570260011399576E-2</v>
      </c>
      <c r="Y124" s="405">
        <f t="shared" si="57"/>
        <v>3.1117953341330981E-2</v>
      </c>
      <c r="Z124" s="405">
        <f t="shared" si="57"/>
        <v>3.3934841346451701E-2</v>
      </c>
      <c r="AA124" s="405">
        <f t="shared" si="57"/>
        <v>3.6436737518900773E-2</v>
      </c>
      <c r="AB124" s="405">
        <f t="shared" si="57"/>
        <v>3.9772718540230165E-2</v>
      </c>
      <c r="AC124" s="405">
        <f t="shared" si="57"/>
        <v>4.1279871302982225E-2</v>
      </c>
      <c r="AD124" s="405">
        <f t="shared" si="57"/>
        <v>4.2870054189878735E-2</v>
      </c>
      <c r="AE124" s="405">
        <f t="shared" si="57"/>
        <v>4.3912553475337096E-2</v>
      </c>
      <c r="AF124" s="405">
        <f t="shared" si="57"/>
        <v>4.3133931318126796E-2</v>
      </c>
      <c r="AG124" s="405">
        <f t="shared" si="57"/>
        <v>4.5540951197482006E-2</v>
      </c>
      <c r="AH124" s="405">
        <f t="shared" si="57"/>
        <v>4.8420011908010416E-2</v>
      </c>
      <c r="AI124" s="405">
        <f t="shared" si="57"/>
        <v>0.65495189674523469</v>
      </c>
      <c r="AJ124" s="405">
        <f t="shared" si="57"/>
        <v>1.3219274747291416</v>
      </c>
      <c r="AK124" s="405">
        <f t="shared" si="57"/>
        <v>1.7503878415622469</v>
      </c>
      <c r="AL124" s="405">
        <f t="shared" si="57"/>
        <v>2.0232311451870597</v>
      </c>
      <c r="AM124" s="405">
        <f t="shared" si="57"/>
        <v>2.2129241096900198</v>
      </c>
      <c r="AN124" s="405">
        <f t="shared" si="57"/>
        <v>2.3574937209712141</v>
      </c>
      <c r="AO124" s="405">
        <f t="shared" si="57"/>
        <v>2.4769512966953595</v>
      </c>
      <c r="AP124" s="405">
        <f t="shared" si="57"/>
        <v>2.5820794718693523</v>
      </c>
      <c r="AQ124" s="405">
        <f t="shared" si="57"/>
        <v>2.6787772806980263</v>
      </c>
      <c r="AR124" s="405">
        <f t="shared" si="57"/>
        <v>2.7702992183876631</v>
      </c>
      <c r="AS124" s="405">
        <f t="shared" si="57"/>
        <v>2.8584496826928802</v>
      </c>
      <c r="AT124" s="405">
        <f t="shared" si="57"/>
        <v>2.9442332893231882</v>
      </c>
      <c r="AU124" s="405">
        <f t="shared" si="57"/>
        <v>3.0282126941576668</v>
      </c>
      <c r="AV124" s="405">
        <f t="shared" si="57"/>
        <v>3.1107064232448711</v>
      </c>
      <c r="AW124" s="405">
        <f t="shared" si="57"/>
        <v>3.1918984239127535</v>
      </c>
      <c r="AX124" s="405">
        <f t="shared" si="57"/>
        <v>3.2718987226533964</v>
      </c>
      <c r="AY124" s="405">
        <f t="shared" si="57"/>
        <v>3.3507769734977533</v>
      </c>
      <c r="AZ124" s="405">
        <f t="shared" si="57"/>
        <v>3.4285809793475952</v>
      </c>
      <c r="BA124" s="405">
        <f t="shared" si="57"/>
        <v>3.5053468919077244</v>
      </c>
      <c r="BB124" s="405">
        <f t="shared" si="57"/>
        <v>3.5811048097384246</v>
      </c>
      <c r="BC124" s="405">
        <f t="shared" si="57"/>
        <v>3.6558818352606806</v>
      </c>
      <c r="BD124" s="405">
        <f t="shared" si="57"/>
        <v>3.7297037309125707</v>
      </c>
      <c r="BE124" s="405">
        <f t="shared" si="57"/>
        <v>3.4213514833617928</v>
      </c>
      <c r="BF124" s="405">
        <f t="shared" si="57"/>
        <v>2.9753602175496305</v>
      </c>
      <c r="BG124" s="405">
        <f t="shared" si="57"/>
        <v>2.3366290022262861</v>
      </c>
      <c r="BH124" s="405">
        <f t="shared" si="57"/>
        <v>1.4284629190428375</v>
      </c>
      <c r="BI124" s="405">
        <f t="shared" si="57"/>
        <v>0.14377448612469501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8">+$B$7*C61/C74</f>
        <v>8.6319229673860354E-2</v>
      </c>
      <c r="D128" s="23">
        <f t="shared" si="58"/>
        <v>8.8087335390854074E-2</v>
      </c>
      <c r="E128" s="23">
        <f t="shared" si="58"/>
        <v>8.5542311827912831E-2</v>
      </c>
      <c r="F128" s="23">
        <f t="shared" si="58"/>
        <v>8.6339877225141332E-2</v>
      </c>
      <c r="G128" s="23">
        <f t="shared" si="58"/>
        <v>9.6527212625903733E-2</v>
      </c>
      <c r="H128" s="23">
        <f t="shared" si="58"/>
        <v>9.6544855348472833E-2</v>
      </c>
      <c r="I128" s="23">
        <f t="shared" si="58"/>
        <v>9.5021836944968338E-2</v>
      </c>
      <c r="J128" s="23">
        <f t="shared" si="58"/>
        <v>9.496980846844455E-2</v>
      </c>
      <c r="K128" s="23">
        <f t="shared" si="58"/>
        <v>9.1765062900742073E-2</v>
      </c>
      <c r="L128" s="23">
        <f t="shared" si="58"/>
        <v>9.9608305825939519E-2</v>
      </c>
      <c r="M128" s="23">
        <f t="shared" si="58"/>
        <v>9.6617964480922622E-2</v>
      </c>
      <c r="N128" s="23">
        <f t="shared" si="58"/>
        <v>9.3280978463309933E-2</v>
      </c>
      <c r="O128" s="23">
        <f t="shared" si="58"/>
        <v>9.5778537599904748E-2</v>
      </c>
      <c r="P128" s="23">
        <f t="shared" si="58"/>
        <v>9.9978186057818552E-2</v>
      </c>
      <c r="Q128" s="23">
        <f t="shared" si="58"/>
        <v>9.7404552253847407E-2</v>
      </c>
      <c r="R128" s="23">
        <f t="shared" si="58"/>
        <v>9.7500001204684841E-2</v>
      </c>
      <c r="S128" s="23">
        <f t="shared" si="58"/>
        <v>9.7072066222971751E-2</v>
      </c>
      <c r="T128" s="23">
        <f t="shared" si="58"/>
        <v>9.6220857779587401E-2</v>
      </c>
      <c r="U128" s="23">
        <f t="shared" si="58"/>
        <v>9.1732038969167207E-2</v>
      </c>
      <c r="V128" s="23">
        <f t="shared" si="58"/>
        <v>9.5056928309601538E-2</v>
      </c>
      <c r="W128" s="23">
        <f t="shared" si="58"/>
        <v>9.7801273851262999E-2</v>
      </c>
      <c r="X128" s="23">
        <f t="shared" si="58"/>
        <v>9.5060223196363577E-2</v>
      </c>
      <c r="Y128" s="23">
        <f t="shared" si="58"/>
        <v>9.3943168281650155E-2</v>
      </c>
      <c r="Z128" s="23">
        <f t="shared" si="58"/>
        <v>9.4663298556446326E-2</v>
      </c>
      <c r="AA128" s="23">
        <f t="shared" si="58"/>
        <v>9.4240967145894722E-2</v>
      </c>
      <c r="AB128" s="23">
        <f t="shared" si="58"/>
        <v>9.6373326203801235E-2</v>
      </c>
      <c r="AC128" s="23">
        <f t="shared" si="58"/>
        <v>9.3095232643647607E-2</v>
      </c>
      <c r="AD128" s="23">
        <f t="shared" si="58"/>
        <v>9.2459019985417737E-2</v>
      </c>
      <c r="AE128" s="23">
        <f t="shared" si="58"/>
        <v>9.1313632783448465E-2</v>
      </c>
      <c r="AF128" s="23">
        <f t="shared" si="58"/>
        <v>8.7538355437046855E-2</v>
      </c>
      <c r="AG128" s="23">
        <f t="shared" si="58"/>
        <v>9.2998689283093891E-2</v>
      </c>
      <c r="AH128" s="23">
        <f t="shared" si="58"/>
        <v>9.5836555238140414E-2</v>
      </c>
      <c r="AI128" s="23">
        <f t="shared" si="58"/>
        <v>1.2348749282036049</v>
      </c>
      <c r="AJ128" s="23">
        <f t="shared" si="58"/>
        <v>0.26782185058992014</v>
      </c>
      <c r="AK128" s="23">
        <f t="shared" si="58"/>
        <v>0.15436490845229958</v>
      </c>
      <c r="AL128" s="23">
        <f t="shared" si="58"/>
        <v>0.12148255148386036</v>
      </c>
      <c r="AM128" s="23">
        <f t="shared" si="58"/>
        <v>0.10820120733980026</v>
      </c>
      <c r="AN128" s="23">
        <f t="shared" si="58"/>
        <v>0.10200032168300044</v>
      </c>
      <c r="AO128" s="23">
        <f t="shared" si="58"/>
        <v>9.8887773086004452E-2</v>
      </c>
      <c r="AP128" s="23">
        <f t="shared" si="58"/>
        <v>9.7259280039685675E-2</v>
      </c>
      <c r="AQ128" s="23">
        <f t="shared" si="58"/>
        <v>9.6382027635636275E-2</v>
      </c>
      <c r="AR128" s="23">
        <f t="shared" si="58"/>
        <v>9.5896536387999692E-2</v>
      </c>
      <c r="AS128" s="23">
        <f t="shared" si="58"/>
        <v>9.561933718084073E-2</v>
      </c>
      <c r="AT128" s="23">
        <f t="shared" si="58"/>
        <v>9.5454677185924999E-2</v>
      </c>
      <c r="AU128" s="23">
        <f t="shared" si="58"/>
        <v>9.5351912221383797E-2</v>
      </c>
      <c r="AV128" s="23">
        <f t="shared" si="58"/>
        <v>9.5284008388390753E-2</v>
      </c>
      <c r="AW128" s="23">
        <f t="shared" si="58"/>
        <v>9.5236415366838523E-2</v>
      </c>
      <c r="AX128" s="23">
        <f t="shared" si="58"/>
        <v>9.5201224880622826E-2</v>
      </c>
      <c r="AY128" s="23">
        <f t="shared" si="58"/>
        <v>9.5174079086717531E-2</v>
      </c>
      <c r="AZ128" s="23">
        <f t="shared" si="58"/>
        <v>9.5152526609165428E-2</v>
      </c>
      <c r="BA128" s="23">
        <f t="shared" si="58"/>
        <v>9.5135145673919314E-2</v>
      </c>
      <c r="BB128" s="23">
        <f t="shared" si="58"/>
        <v>9.5121075257722759E-2</v>
      </c>
      <c r="BC128" s="23">
        <f t="shared" si="58"/>
        <v>9.5109763752437376E-2</v>
      </c>
      <c r="BD128" s="23">
        <f t="shared" si="58"/>
        <v>9.5100833771973453E-2</v>
      </c>
      <c r="BE128" s="23">
        <f t="shared" si="58"/>
        <v>9.5094009058238657E-2</v>
      </c>
      <c r="BF128" s="23">
        <f t="shared" si="58"/>
        <v>9.5074937942094595E-2</v>
      </c>
      <c r="BG128" s="23">
        <f t="shared" si="58"/>
        <v>9.5057841768727377E-2</v>
      </c>
      <c r="BH128" s="23">
        <f t="shared" si="58"/>
        <v>9.5046241417947583E-2</v>
      </c>
      <c r="BI128" s="23">
        <f t="shared" si="58"/>
        <v>9.5039996102532553E-2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2.2283967903526221E-2</v>
      </c>
      <c r="D129" s="23">
        <f t="shared" ref="D129:BH129" si="59">+$B$14+LN(E56/D56)/10+$B$18*LN(E88/D88)/10</f>
        <v>1.3505888615654174E-2</v>
      </c>
      <c r="E129" s="23">
        <f t="shared" si="59"/>
        <v>1.4406055651196906E-2</v>
      </c>
      <c r="F129" s="23">
        <f t="shared" si="59"/>
        <v>2.7086554247330284E-2</v>
      </c>
      <c r="G129" s="23">
        <f t="shared" si="59"/>
        <v>2.0026708678121952E-2</v>
      </c>
      <c r="H129" s="23">
        <f t="shared" si="59"/>
        <v>1.7828622648963864E-2</v>
      </c>
      <c r="I129" s="23">
        <f t="shared" si="59"/>
        <v>1.8885158646609352E-2</v>
      </c>
      <c r="J129" s="23">
        <f t="shared" si="59"/>
        <v>1.5894253581228934E-2</v>
      </c>
      <c r="K129" s="23">
        <f t="shared" si="59"/>
        <v>2.8904225195270847E-2</v>
      </c>
      <c r="L129" s="23">
        <f t="shared" si="59"/>
        <v>1.5154301856380548E-2</v>
      </c>
      <c r="M129" s="23">
        <f t="shared" si="59"/>
        <v>1.7491846449016035E-2</v>
      </c>
      <c r="N129" s="23">
        <f t="shared" si="59"/>
        <v>2.3254858387365889E-2</v>
      </c>
      <c r="O129" s="23">
        <f t="shared" si="59"/>
        <v>2.8417657309215881E-2</v>
      </c>
      <c r="P129" s="23">
        <f t="shared" si="59"/>
        <v>2.2234476937945485E-2</v>
      </c>
      <c r="Q129" s="23">
        <f t="shared" si="59"/>
        <v>2.3717443508905627E-2</v>
      </c>
      <c r="R129" s="23">
        <f t="shared" si="59"/>
        <v>2.297358164406172E-2</v>
      </c>
      <c r="S129" s="23">
        <f t="shared" si="59"/>
        <v>2.1966893469837281E-2</v>
      </c>
      <c r="T129" s="23">
        <f t="shared" si="59"/>
        <v>1.5106579942767722E-2</v>
      </c>
      <c r="U129" s="23">
        <f t="shared" si="59"/>
        <v>2.2459274799556665E-2</v>
      </c>
      <c r="V129" s="23">
        <f t="shared" si="59"/>
        <v>2.464038662747333E-2</v>
      </c>
      <c r="W129" s="23">
        <f t="shared" si="59"/>
        <v>1.8879046137588118E-2</v>
      </c>
      <c r="X129" s="23">
        <f t="shared" si="59"/>
        <v>1.8502432180600444E-2</v>
      </c>
      <c r="Y129" s="23">
        <f t="shared" si="59"/>
        <v>2.0192659112007037E-2</v>
      </c>
      <c r="Z129" s="23">
        <f t="shared" si="59"/>
        <v>1.8991649312411551E-2</v>
      </c>
      <c r="AA129" s="23">
        <f t="shared" si="59"/>
        <v>2.20165939383281E-2</v>
      </c>
      <c r="AB129" s="23">
        <f t="shared" si="59"/>
        <v>1.6008475485386815E-2</v>
      </c>
      <c r="AC129" s="23">
        <f t="shared" si="59"/>
        <v>1.6783811529070863E-2</v>
      </c>
      <c r="AD129" s="23">
        <f t="shared" si="59"/>
        <v>1.5122430052595257E-2</v>
      </c>
      <c r="AE129" s="23">
        <f t="shared" si="59"/>
        <v>9.5697872979220028E-3</v>
      </c>
      <c r="AF129" s="23">
        <f t="shared" si="59"/>
        <v>2.1165871376218896E-2</v>
      </c>
      <c r="AG129" s="23">
        <f t="shared" si="59"/>
        <v>2.2413856060465989E-2</v>
      </c>
      <c r="AH129" s="23">
        <f t="shared" si="59"/>
        <v>0.40401928171744267</v>
      </c>
      <c r="AI129" s="23">
        <f t="shared" si="59"/>
        <v>0.11993381761193539</v>
      </c>
      <c r="AJ129" s="23">
        <f t="shared" si="59"/>
        <v>5.6178991258956673E-2</v>
      </c>
      <c r="AK129" s="23">
        <f t="shared" si="59"/>
        <v>3.6161023964948739E-2</v>
      </c>
      <c r="AL129" s="23">
        <f t="shared" si="59"/>
        <v>2.8154922433130877E-2</v>
      </c>
      <c r="AM129" s="23">
        <f t="shared" si="59"/>
        <v>2.4443566143850581E-2</v>
      </c>
      <c r="AN129" s="23">
        <f t="shared" si="59"/>
        <v>2.2578775419285407E-2</v>
      </c>
      <c r="AO129" s="23">
        <f t="shared" si="59"/>
        <v>2.1594017241450925E-2</v>
      </c>
      <c r="AP129" s="23">
        <f t="shared" si="59"/>
        <v>2.1053353194872323E-2</v>
      </c>
      <c r="AQ129" s="23">
        <f t="shared" si="59"/>
        <v>2.0744485199789199E-2</v>
      </c>
      <c r="AR129" s="23">
        <f t="shared" si="59"/>
        <v>2.055943533872329E-2</v>
      </c>
      <c r="AS129" s="23">
        <f t="shared" si="59"/>
        <v>2.044189570438024E-2</v>
      </c>
      <c r="AT129" s="23">
        <f t="shared" si="59"/>
        <v>2.0362045489009051E-2</v>
      </c>
      <c r="AU129" s="23">
        <f t="shared" si="59"/>
        <v>2.0303909308800657E-2</v>
      </c>
      <c r="AV129" s="23">
        <f t="shared" si="59"/>
        <v>2.0258832111998824E-2</v>
      </c>
      <c r="AW129" s="23">
        <f t="shared" si="59"/>
        <v>2.0222057866685069E-2</v>
      </c>
      <c r="AX129" s="23">
        <f t="shared" si="59"/>
        <v>2.0190919563676576E-2</v>
      </c>
      <c r="AY129" s="23">
        <f t="shared" si="59"/>
        <v>2.0163876542041236E-2</v>
      </c>
      <c r="AZ129" s="23">
        <f t="shared" si="59"/>
        <v>2.0140000613666314E-2</v>
      </c>
      <c r="BA129" s="23">
        <f t="shared" si="59"/>
        <v>2.0118700891867285E-2</v>
      </c>
      <c r="BB129" s="23">
        <f t="shared" si="59"/>
        <v>2.0099575907240309E-2</v>
      </c>
      <c r="BC129" s="23">
        <f t="shared" si="59"/>
        <v>2.0082333725434637E-2</v>
      </c>
      <c r="BD129" s="23">
        <f t="shared" si="59"/>
        <v>2.0114805533152605E-2</v>
      </c>
      <c r="BE129" s="23">
        <f t="shared" si="59"/>
        <v>2.0083623719095202E-2</v>
      </c>
      <c r="BF129" s="23">
        <f t="shared" si="59"/>
        <v>2.0057765846497447E-2</v>
      </c>
      <c r="BG129" s="23">
        <f t="shared" si="59"/>
        <v>2.0037331458642248E-2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1.5710515750971068E-2</v>
      </c>
      <c r="D130" s="23">
        <f t="shared" ref="D130:BH130" si="60">+$B$14+LN(D56/C56)/10+$B$18*LN(D88/C88)/10</f>
        <v>2.2283967903526221E-2</v>
      </c>
      <c r="E130" s="23">
        <f t="shared" si="60"/>
        <v>1.3505888615654174E-2</v>
      </c>
      <c r="F130" s="23">
        <f t="shared" si="60"/>
        <v>1.4406055651196906E-2</v>
      </c>
      <c r="G130" s="23">
        <f t="shared" si="60"/>
        <v>2.7086554247330284E-2</v>
      </c>
      <c r="H130" s="23">
        <f t="shared" si="60"/>
        <v>2.0026708678121952E-2</v>
      </c>
      <c r="I130" s="23">
        <f t="shared" si="60"/>
        <v>1.7828622648963864E-2</v>
      </c>
      <c r="J130" s="23">
        <f t="shared" si="60"/>
        <v>1.8885158646609352E-2</v>
      </c>
      <c r="K130" s="23">
        <f t="shared" si="60"/>
        <v>1.5894253581228934E-2</v>
      </c>
      <c r="L130" s="23">
        <f t="shared" si="60"/>
        <v>2.8904225195270847E-2</v>
      </c>
      <c r="M130" s="23">
        <f t="shared" si="60"/>
        <v>1.5154301856380548E-2</v>
      </c>
      <c r="N130" s="23">
        <f t="shared" si="60"/>
        <v>1.7491846449016035E-2</v>
      </c>
      <c r="O130" s="23">
        <f t="shared" si="60"/>
        <v>2.3254858387365889E-2</v>
      </c>
      <c r="P130" s="23">
        <f t="shared" si="60"/>
        <v>2.8417657309215881E-2</v>
      </c>
      <c r="Q130" s="23">
        <f t="shared" si="60"/>
        <v>2.2234476937945485E-2</v>
      </c>
      <c r="R130" s="23">
        <f t="shared" si="60"/>
        <v>2.3717443508905627E-2</v>
      </c>
      <c r="S130" s="23">
        <f t="shared" si="60"/>
        <v>2.297358164406172E-2</v>
      </c>
      <c r="T130" s="23">
        <f t="shared" si="60"/>
        <v>2.1966893469837281E-2</v>
      </c>
      <c r="U130" s="23">
        <f t="shared" si="60"/>
        <v>1.5106579942767722E-2</v>
      </c>
      <c r="V130" s="23">
        <f t="shared" si="60"/>
        <v>2.2459274799556665E-2</v>
      </c>
      <c r="W130" s="23">
        <f t="shared" si="60"/>
        <v>2.464038662747333E-2</v>
      </c>
      <c r="X130" s="23">
        <f t="shared" si="60"/>
        <v>1.8879046137588118E-2</v>
      </c>
      <c r="Y130" s="23">
        <f t="shared" si="60"/>
        <v>1.8502432180600444E-2</v>
      </c>
      <c r="Z130" s="23">
        <f t="shared" si="60"/>
        <v>2.0192659112007037E-2</v>
      </c>
      <c r="AA130" s="23">
        <f t="shared" si="60"/>
        <v>1.8991649312411551E-2</v>
      </c>
      <c r="AB130" s="23">
        <f t="shared" si="60"/>
        <v>2.20165939383281E-2</v>
      </c>
      <c r="AC130" s="23">
        <f t="shared" si="60"/>
        <v>1.6008475485386815E-2</v>
      </c>
      <c r="AD130" s="23">
        <f t="shared" si="60"/>
        <v>1.6783811529070863E-2</v>
      </c>
      <c r="AE130" s="23">
        <f t="shared" si="60"/>
        <v>1.5122430052595257E-2</v>
      </c>
      <c r="AF130" s="23">
        <f t="shared" si="60"/>
        <v>9.5697872979220028E-3</v>
      </c>
      <c r="AG130" s="23">
        <f t="shared" si="60"/>
        <v>2.1165871376218896E-2</v>
      </c>
      <c r="AH130" s="23">
        <f t="shared" si="60"/>
        <v>2.2413856060465989E-2</v>
      </c>
      <c r="AI130" s="23">
        <f t="shared" si="60"/>
        <v>0.40401928171744267</v>
      </c>
      <c r="AJ130" s="23">
        <f t="shared" si="60"/>
        <v>0.11993381761193539</v>
      </c>
      <c r="AK130" s="23">
        <f t="shared" si="60"/>
        <v>5.6178991258956673E-2</v>
      </c>
      <c r="AL130" s="23">
        <f t="shared" si="60"/>
        <v>3.6161023964948739E-2</v>
      </c>
      <c r="AM130" s="23">
        <f t="shared" si="60"/>
        <v>2.8154922433130877E-2</v>
      </c>
      <c r="AN130" s="23">
        <f t="shared" si="60"/>
        <v>2.4443566143850581E-2</v>
      </c>
      <c r="AO130" s="23">
        <f t="shared" si="60"/>
        <v>2.2578775419285407E-2</v>
      </c>
      <c r="AP130" s="23">
        <f t="shared" si="60"/>
        <v>2.1594017241450925E-2</v>
      </c>
      <c r="AQ130" s="23">
        <f t="shared" si="60"/>
        <v>2.1053353194872323E-2</v>
      </c>
      <c r="AR130" s="23">
        <f t="shared" si="60"/>
        <v>2.0744485199789199E-2</v>
      </c>
      <c r="AS130" s="23">
        <f t="shared" si="60"/>
        <v>2.055943533872329E-2</v>
      </c>
      <c r="AT130" s="23">
        <f t="shared" si="60"/>
        <v>2.044189570438024E-2</v>
      </c>
      <c r="AU130" s="23">
        <f t="shared" si="60"/>
        <v>2.0362045489009051E-2</v>
      </c>
      <c r="AV130" s="23">
        <f t="shared" si="60"/>
        <v>2.0303909308800657E-2</v>
      </c>
      <c r="AW130" s="23">
        <f t="shared" si="60"/>
        <v>2.0258832111998824E-2</v>
      </c>
      <c r="AX130" s="23">
        <f t="shared" si="60"/>
        <v>2.0222057866685069E-2</v>
      </c>
      <c r="AY130" s="23">
        <f t="shared" si="60"/>
        <v>2.0190919563676576E-2</v>
      </c>
      <c r="AZ130" s="23">
        <f t="shared" si="60"/>
        <v>2.0163876542041236E-2</v>
      </c>
      <c r="BA130" s="23">
        <f t="shared" si="60"/>
        <v>2.0140000613666314E-2</v>
      </c>
      <c r="BB130" s="23">
        <f t="shared" si="60"/>
        <v>2.0118700891867285E-2</v>
      </c>
      <c r="BC130" s="23">
        <f t="shared" si="60"/>
        <v>2.0099575907240309E-2</v>
      </c>
      <c r="BD130" s="23">
        <f t="shared" si="60"/>
        <v>2.0082333725434637E-2</v>
      </c>
      <c r="BE130" s="23">
        <f t="shared" si="60"/>
        <v>2.0114805533152605E-2</v>
      </c>
      <c r="BF130" s="23">
        <f t="shared" si="60"/>
        <v>2.0083623719095202E-2</v>
      </c>
      <c r="BG130" s="23">
        <f t="shared" si="60"/>
        <v>2.0057765846497447E-2</v>
      </c>
      <c r="BH130" s="23">
        <f t="shared" si="60"/>
        <v>2.0037331458642248E-2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1">+AVERAGE(C129:C130)</f>
        <v>1.8997241827248643E-2</v>
      </c>
      <c r="D131" s="23">
        <f t="shared" si="61"/>
        <v>1.7894928259590197E-2</v>
      </c>
      <c r="E131" s="23">
        <f t="shared" si="61"/>
        <v>1.395597213342554E-2</v>
      </c>
      <c r="F131" s="23">
        <f t="shared" si="61"/>
        <v>2.0746304949263595E-2</v>
      </c>
      <c r="G131" s="23">
        <f t="shared" si="61"/>
        <v>2.3556631462726116E-2</v>
      </c>
      <c r="H131" s="23">
        <f t="shared" si="61"/>
        <v>1.8927665663542908E-2</v>
      </c>
      <c r="I131" s="23">
        <f t="shared" si="61"/>
        <v>1.835689064778661E-2</v>
      </c>
      <c r="J131" s="23">
        <f t="shared" si="61"/>
        <v>1.7389706113919143E-2</v>
      </c>
      <c r="K131" s="23">
        <f t="shared" si="61"/>
        <v>2.2399239388249892E-2</v>
      </c>
      <c r="L131" s="23">
        <f t="shared" si="61"/>
        <v>2.2029263525825696E-2</v>
      </c>
      <c r="M131" s="23">
        <f t="shared" si="61"/>
        <v>1.6323074152698291E-2</v>
      </c>
      <c r="N131" s="23">
        <f t="shared" si="61"/>
        <v>2.0373352418190962E-2</v>
      </c>
      <c r="O131" s="23">
        <f t="shared" si="61"/>
        <v>2.5836257848290883E-2</v>
      </c>
      <c r="P131" s="23">
        <f t="shared" si="61"/>
        <v>2.5326067123580681E-2</v>
      </c>
      <c r="Q131" s="23">
        <f t="shared" si="61"/>
        <v>2.2975960223425556E-2</v>
      </c>
      <c r="R131" s="23">
        <f t="shared" si="61"/>
        <v>2.3345512576483672E-2</v>
      </c>
      <c r="S131" s="23">
        <f t="shared" si="61"/>
        <v>2.2470237556949501E-2</v>
      </c>
      <c r="T131" s="23">
        <f t="shared" si="61"/>
        <v>1.8536736706302501E-2</v>
      </c>
      <c r="U131" s="23">
        <f t="shared" si="61"/>
        <v>1.8782927371162193E-2</v>
      </c>
      <c r="V131" s="23">
        <f t="shared" si="61"/>
        <v>2.3549830713514998E-2</v>
      </c>
      <c r="W131" s="23">
        <f t="shared" si="61"/>
        <v>2.1759716382530724E-2</v>
      </c>
      <c r="X131" s="23">
        <f t="shared" si="61"/>
        <v>1.8690739159094281E-2</v>
      </c>
      <c r="Y131" s="23">
        <f t="shared" si="61"/>
        <v>1.934754564630374E-2</v>
      </c>
      <c r="Z131" s="23">
        <f t="shared" si="61"/>
        <v>1.9592154212209292E-2</v>
      </c>
      <c r="AA131" s="23">
        <f t="shared" si="61"/>
        <v>2.0504121625369826E-2</v>
      </c>
      <c r="AB131" s="23">
        <f t="shared" si="61"/>
        <v>1.9012534711857459E-2</v>
      </c>
      <c r="AC131" s="23">
        <f t="shared" si="61"/>
        <v>1.6396143507228837E-2</v>
      </c>
      <c r="AD131" s="23">
        <f t="shared" si="61"/>
        <v>1.595312079083306E-2</v>
      </c>
      <c r="AE131" s="23">
        <f t="shared" si="61"/>
        <v>1.234610867525863E-2</v>
      </c>
      <c r="AF131" s="23">
        <f t="shared" si="61"/>
        <v>1.5367829337070449E-2</v>
      </c>
      <c r="AG131" s="23">
        <f t="shared" si="61"/>
        <v>2.1789863718342441E-2</v>
      </c>
      <c r="AH131" s="23">
        <f t="shared" si="61"/>
        <v>0.21321656888895432</v>
      </c>
      <c r="AI131" s="23">
        <f t="shared" si="61"/>
        <v>0.26197654966468903</v>
      </c>
      <c r="AJ131" s="23">
        <f t="shared" si="61"/>
        <v>8.8056404435446031E-2</v>
      </c>
      <c r="AK131" s="23">
        <f t="shared" si="61"/>
        <v>4.617000761195271E-2</v>
      </c>
      <c r="AL131" s="23">
        <f t="shared" si="61"/>
        <v>3.2157973199039805E-2</v>
      </c>
      <c r="AM131" s="23">
        <f t="shared" si="61"/>
        <v>2.6299244288490731E-2</v>
      </c>
      <c r="AN131" s="23">
        <f t="shared" si="61"/>
        <v>2.3511170781567996E-2</v>
      </c>
      <c r="AO131" s="23">
        <f t="shared" si="61"/>
        <v>2.2086396330368165E-2</v>
      </c>
      <c r="AP131" s="23">
        <f t="shared" si="61"/>
        <v>2.1323685218161623E-2</v>
      </c>
      <c r="AQ131" s="23">
        <f t="shared" si="61"/>
        <v>2.0898919197330761E-2</v>
      </c>
      <c r="AR131" s="23">
        <f t="shared" si="61"/>
        <v>2.0651960269256246E-2</v>
      </c>
      <c r="AS131" s="23">
        <f t="shared" si="61"/>
        <v>2.0500665521551765E-2</v>
      </c>
      <c r="AT131" s="23">
        <f t="shared" si="61"/>
        <v>2.0401970596694644E-2</v>
      </c>
      <c r="AU131" s="23">
        <f t="shared" si="61"/>
        <v>2.0332977398904856E-2</v>
      </c>
      <c r="AV131" s="23">
        <f t="shared" si="61"/>
        <v>2.0281370710399739E-2</v>
      </c>
      <c r="AW131" s="23">
        <f t="shared" si="61"/>
        <v>2.0240444989341945E-2</v>
      </c>
      <c r="AX131" s="23">
        <f t="shared" si="61"/>
        <v>2.0206488715180822E-2</v>
      </c>
      <c r="AY131" s="23">
        <f t="shared" si="61"/>
        <v>2.0177398052858904E-2</v>
      </c>
      <c r="AZ131" s="23">
        <f t="shared" si="61"/>
        <v>2.0151938577853773E-2</v>
      </c>
      <c r="BA131" s="23">
        <f t="shared" si="61"/>
        <v>2.0129350752766798E-2</v>
      </c>
      <c r="BB131" s="23">
        <f t="shared" si="61"/>
        <v>2.0109138399553798E-2</v>
      </c>
      <c r="BC131" s="23">
        <f>+AVERAGE(BC129:BC130)</f>
        <v>2.0090954816337471E-2</v>
      </c>
      <c r="BD131" s="23">
        <f>+AVERAGE(BD129:BD130)</f>
        <v>2.0098569629293621E-2</v>
      </c>
      <c r="BE131" s="23">
        <f>+AVERAGE(BE129:BE130)</f>
        <v>2.0099214626123903E-2</v>
      </c>
      <c r="BF131" s="23">
        <f>+AVERAGE(BF129:BF130)</f>
        <v>2.0070694782796324E-2</v>
      </c>
      <c r="BG131" s="23">
        <f>+AVERAGE(BG129:BG130)</f>
        <v>2.0047548652569847E-2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2">+B88^-$B$18</f>
        <v>0.19101560306851742</v>
      </c>
      <c r="C132" s="23">
        <f t="shared" si="62"/>
        <v>0.22943094275739104</v>
      </c>
      <c r="D132" s="23">
        <f t="shared" si="62"/>
        <v>0.24883114698119563</v>
      </c>
      <c r="E132" s="23">
        <f t="shared" si="62"/>
        <v>0.28445713809539097</v>
      </c>
      <c r="F132" s="23">
        <f t="shared" si="62"/>
        <v>0.31355433007534284</v>
      </c>
      <c r="G132" s="23">
        <f t="shared" si="62"/>
        <v>0.29271498981755345</v>
      </c>
      <c r="H132" s="23">
        <f t="shared" si="62"/>
        <v>0.28818667024267763</v>
      </c>
      <c r="I132" s="23">
        <f t="shared" si="62"/>
        <v>0.2900340463085071</v>
      </c>
      <c r="J132" s="23">
        <f t="shared" si="62"/>
        <v>0.28882554161258328</v>
      </c>
      <c r="K132" s="23">
        <f t="shared" si="62"/>
        <v>0.29635451417278691</v>
      </c>
      <c r="L132" s="23">
        <f t="shared" si="62"/>
        <v>0.261029389765982</v>
      </c>
      <c r="M132" s="23">
        <f t="shared" si="62"/>
        <v>0.25792053856011093</v>
      </c>
      <c r="N132" s="23">
        <f t="shared" si="62"/>
        <v>0.24896059811334001</v>
      </c>
      <c r="O132" s="23">
        <f t="shared" si="62"/>
        <v>0.22685422261840552</v>
      </c>
      <c r="P132" s="23">
        <f t="shared" si="62"/>
        <v>0.19630952200279544</v>
      </c>
      <c r="Q132" s="23">
        <f t="shared" si="62"/>
        <v>0.18071286648746246</v>
      </c>
      <c r="R132" s="23">
        <f t="shared" si="62"/>
        <v>0.16390656241309728</v>
      </c>
      <c r="S132" s="23">
        <f t="shared" si="62"/>
        <v>0.14977321771577434</v>
      </c>
      <c r="T132" s="23">
        <f t="shared" si="62"/>
        <v>0.13824326097070846</v>
      </c>
      <c r="U132" s="23">
        <f t="shared" si="62"/>
        <v>0.13666199056497871</v>
      </c>
      <c r="V132" s="23">
        <f t="shared" si="62"/>
        <v>0.12647152331739636</v>
      </c>
      <c r="W132" s="23">
        <f t="shared" si="62"/>
        <v>0.11538222020567519</v>
      </c>
      <c r="X132" s="23">
        <f t="shared" si="62"/>
        <v>0.11150804899379857</v>
      </c>
      <c r="Y132" s="23">
        <f t="shared" si="62"/>
        <v>0.10817057956469531</v>
      </c>
      <c r="Z132" s="23">
        <f t="shared" si="62"/>
        <v>0.10317430063425687</v>
      </c>
      <c r="AA132" s="23">
        <f t="shared" si="62"/>
        <v>9.9597819403290114E-2</v>
      </c>
      <c r="AB132" s="23">
        <f t="shared" si="62"/>
        <v>9.3280520091937047E-2</v>
      </c>
      <c r="AC132" s="23">
        <f t="shared" si="62"/>
        <v>9.2773729283048806E-2</v>
      </c>
      <c r="AD132" s="23">
        <f t="shared" si="62"/>
        <v>9.1557057901931554E-2</v>
      </c>
      <c r="AE132" s="23">
        <f t="shared" si="62"/>
        <v>9.1870045338986295E-2</v>
      </c>
      <c r="AF132" s="23">
        <f t="shared" si="62"/>
        <v>9.7221865337117658E-2</v>
      </c>
      <c r="AG132" s="23">
        <f t="shared" si="62"/>
        <v>9.1408358544208729E-2</v>
      </c>
      <c r="AH132" s="23">
        <f t="shared" si="62"/>
        <v>8.4876593793532254E-2</v>
      </c>
      <c r="AI132" s="23">
        <f t="shared" si="62"/>
        <v>1.7349967612027739E-3</v>
      </c>
      <c r="AJ132" s="23">
        <f t="shared" si="62"/>
        <v>6.0754281464786878E-4</v>
      </c>
      <c r="AK132" s="23">
        <f t="shared" si="62"/>
        <v>4.0247490091067619E-4</v>
      </c>
      <c r="AL132" s="23">
        <f t="shared" si="62"/>
        <v>3.2571491251480905E-4</v>
      </c>
      <c r="AM132" s="23">
        <f t="shared" si="62"/>
        <v>2.8556602775357061E-4</v>
      </c>
      <c r="AN132" s="23">
        <f t="shared" si="62"/>
        <v>2.598326088356962E-4</v>
      </c>
      <c r="AO132" s="23">
        <f t="shared" si="62"/>
        <v>2.4086819070011335E-4</v>
      </c>
      <c r="AP132" s="23">
        <f t="shared" si="62"/>
        <v>2.2549763811611974E-4</v>
      </c>
      <c r="AQ132" s="23">
        <f t="shared" si="62"/>
        <v>2.1225240433100337E-4</v>
      </c>
      <c r="AR132" s="23">
        <f t="shared" si="62"/>
        <v>2.0040319274700866E-4</v>
      </c>
      <c r="AS132" s="23">
        <f t="shared" si="62"/>
        <v>1.8956594288796046E-4</v>
      </c>
      <c r="AT132" s="23">
        <f t="shared" si="62"/>
        <v>1.7952563130574248E-4</v>
      </c>
      <c r="AU132" s="23">
        <f t="shared" si="62"/>
        <v>1.7015291549198121E-4</v>
      </c>
      <c r="AV132" s="23">
        <f t="shared" si="62"/>
        <v>1.6136331580457385E-4</v>
      </c>
      <c r="AW132" s="23">
        <f t="shared" si="62"/>
        <v>1.5309675718685789E-4</v>
      </c>
      <c r="AX132" s="23">
        <f t="shared" si="62"/>
        <v>1.4530711583241144E-4</v>
      </c>
      <c r="AY132" s="23">
        <f t="shared" si="62"/>
        <v>1.3795676612495412E-4</v>
      </c>
      <c r="AZ132" s="23">
        <f t="shared" si="62"/>
        <v>1.310136585756035E-4</v>
      </c>
      <c r="BA132" s="23">
        <f t="shared" si="62"/>
        <v>1.2444969469362191E-4</v>
      </c>
      <c r="BB132" s="23">
        <f t="shared" si="62"/>
        <v>1.1823977646119167E-4</v>
      </c>
      <c r="BC132" s="23">
        <f t="shared" si="62"/>
        <v>1.1236121409435598E-4</v>
      </c>
      <c r="BD132" s="23">
        <f t="shared" si="62"/>
        <v>1.0679332988547189E-4</v>
      </c>
      <c r="BE132" s="23">
        <f t="shared" si="62"/>
        <v>1.0146839949560256E-4</v>
      </c>
      <c r="BF132" s="23">
        <f t="shared" si="62"/>
        <v>9.6439047609979899E-5</v>
      </c>
      <c r="BG132" s="23">
        <f t="shared" si="62"/>
        <v>9.1682683179696579E-5</v>
      </c>
      <c r="BH132" s="23">
        <f t="shared" si="62"/>
        <v>8.7178714796311345E-5</v>
      </c>
      <c r="BI132" s="23">
        <f t="shared" si="62"/>
        <v>8.7178714796311345E-5</v>
      </c>
    </row>
    <row r="133" spans="1:61" ht="18" customHeight="1" x14ac:dyDescent="0.2">
      <c r="A133" s="23" t="s">
        <v>14</v>
      </c>
      <c r="B133" s="23">
        <f t="shared" ref="B133:AG133" si="63">+B17*B132/$B132</f>
        <v>1</v>
      </c>
      <c r="C133" s="23">
        <f t="shared" si="63"/>
        <v>1.0349579936999151</v>
      </c>
      <c r="D133" s="23">
        <f t="shared" si="63"/>
        <v>0.9671972488025472</v>
      </c>
      <c r="E133" s="23">
        <f t="shared" si="63"/>
        <v>0.95272316475044982</v>
      </c>
      <c r="F133" s="23">
        <f t="shared" si="63"/>
        <v>0.904903501463453</v>
      </c>
      <c r="G133" s="23">
        <f t="shared" si="63"/>
        <v>0.72790383357643218</v>
      </c>
      <c r="H133" s="23">
        <f t="shared" si="63"/>
        <v>0.61750788887357866</v>
      </c>
      <c r="I133" s="23">
        <f t="shared" si="63"/>
        <v>0.53549717016677589</v>
      </c>
      <c r="J133" s="23">
        <f t="shared" si="63"/>
        <v>0.45949773242497666</v>
      </c>
      <c r="K133" s="23">
        <f t="shared" si="63"/>
        <v>0.40625516973576647</v>
      </c>
      <c r="L133" s="23">
        <f t="shared" si="63"/>
        <v>0.30833039494458886</v>
      </c>
      <c r="M133" s="23">
        <f t="shared" si="63"/>
        <v>0.2625139795145402</v>
      </c>
      <c r="N133" s="23">
        <f t="shared" si="63"/>
        <v>0.21834170876748338</v>
      </c>
      <c r="O133" s="23">
        <f t="shared" si="63"/>
        <v>0.17143225237989723</v>
      </c>
      <c r="P133" s="23">
        <f t="shared" si="63"/>
        <v>0.12782818035491156</v>
      </c>
      <c r="Q133" s="23">
        <f t="shared" si="63"/>
        <v>0.10139438221442276</v>
      </c>
      <c r="R133" s="23">
        <f t="shared" si="63"/>
        <v>7.9242968866192656E-2</v>
      </c>
      <c r="S133" s="23">
        <f t="shared" si="63"/>
        <v>6.239332553229586E-2</v>
      </c>
      <c r="T133" s="23">
        <f t="shared" si="63"/>
        <v>4.9623514691727294E-2</v>
      </c>
      <c r="U133" s="23">
        <f t="shared" si="63"/>
        <v>4.2269865982722962E-2</v>
      </c>
      <c r="V133" s="23">
        <f t="shared" si="63"/>
        <v>3.3706639466878026E-2</v>
      </c>
      <c r="W133" s="23">
        <f t="shared" si="63"/>
        <v>2.6497272689596008E-2</v>
      </c>
      <c r="X133" s="23">
        <f t="shared" si="63"/>
        <v>2.2065210678666243E-2</v>
      </c>
      <c r="Y133" s="23">
        <f t="shared" si="63"/>
        <v>1.8443808117749701E-2</v>
      </c>
      <c r="Z133" s="23">
        <f t="shared" si="63"/>
        <v>1.5158371619563859E-2</v>
      </c>
      <c r="AA133" s="23">
        <f t="shared" si="63"/>
        <v>1.2608703256915392E-2</v>
      </c>
      <c r="AB133" s="23">
        <f t="shared" si="63"/>
        <v>1.017539155472437E-2</v>
      </c>
      <c r="AC133" s="23">
        <f t="shared" si="63"/>
        <v>8.7201662193705145E-3</v>
      </c>
      <c r="AD133" s="23">
        <f t="shared" si="63"/>
        <v>7.4153414725830775E-3</v>
      </c>
      <c r="AE133" s="23">
        <f t="shared" si="63"/>
        <v>6.4113994332366166E-3</v>
      </c>
      <c r="AF133" s="23">
        <f t="shared" si="63"/>
        <v>5.8463179503483462E-3</v>
      </c>
      <c r="AG133" s="23">
        <f t="shared" si="63"/>
        <v>4.7363519765140482E-3</v>
      </c>
      <c r="AH133" s="23">
        <f t="shared" ref="AH133:BI133" si="64">+AH17*AH132/$B132</f>
        <v>3.7895320000878928E-3</v>
      </c>
      <c r="AI133" s="23">
        <f t="shared" si="64"/>
        <v>6.6747634971460587E-5</v>
      </c>
      <c r="AJ133" s="23">
        <f t="shared" si="64"/>
        <v>2.0139731679915052E-5</v>
      </c>
      <c r="AK133" s="23">
        <f t="shared" si="64"/>
        <v>1.1496222773403509E-5</v>
      </c>
      <c r="AL133" s="23">
        <f t="shared" si="64"/>
        <v>8.0166622932467959E-6</v>
      </c>
      <c r="AM133" s="23">
        <f t="shared" si="64"/>
        <v>6.0562258744724083E-6</v>
      </c>
      <c r="AN133" s="23">
        <f t="shared" si="64"/>
        <v>4.7481972832626659E-6</v>
      </c>
      <c r="AO133" s="23">
        <f t="shared" si="64"/>
        <v>3.7927492335661698E-6</v>
      </c>
      <c r="AP133" s="23">
        <f t="shared" si="64"/>
        <v>3.0595408332617771E-6</v>
      </c>
      <c r="AQ133" s="23">
        <f t="shared" si="64"/>
        <v>2.481455277032727E-6</v>
      </c>
      <c r="AR133" s="23">
        <f t="shared" si="64"/>
        <v>2.0188220876294859E-6</v>
      </c>
      <c r="AS133" s="23">
        <f t="shared" si="64"/>
        <v>1.6454826378743802E-6</v>
      </c>
      <c r="AT133" s="23">
        <f t="shared" si="64"/>
        <v>1.3427619589664586E-6</v>
      </c>
      <c r="AU133" s="23">
        <f t="shared" si="64"/>
        <v>1.0966083257174043E-6</v>
      </c>
      <c r="AV133" s="23">
        <f t="shared" si="64"/>
        <v>8.9610011051293505E-7</v>
      </c>
      <c r="AW133" s="23">
        <f t="shared" si="64"/>
        <v>7.3258376636058231E-7</v>
      </c>
      <c r="AX133" s="23">
        <f t="shared" si="64"/>
        <v>5.9912543740639493E-7</v>
      </c>
      <c r="AY133" s="23">
        <f t="shared" si="64"/>
        <v>4.9013245307783869E-7</v>
      </c>
      <c r="AZ133" s="23">
        <f t="shared" si="64"/>
        <v>4.0107593626477839E-7</v>
      </c>
      <c r="BA133" s="23">
        <f t="shared" si="64"/>
        <v>3.2827925900295729E-7</v>
      </c>
      <c r="BB133" s="23">
        <f t="shared" si="64"/>
        <v>2.6875266930557059E-7</v>
      </c>
      <c r="BC133" s="23">
        <f t="shared" si="64"/>
        <v>2.2006206664612637E-7</v>
      </c>
      <c r="BD133" s="23">
        <f t="shared" si="64"/>
        <v>1.8022393581055186E-7</v>
      </c>
      <c r="BE133" s="23">
        <f t="shared" si="64"/>
        <v>1.4754983530959314E-7</v>
      </c>
      <c r="BF133" s="23">
        <f t="shared" si="64"/>
        <v>1.2083713208691084E-7</v>
      </c>
      <c r="BG133" s="23">
        <f t="shared" si="64"/>
        <v>9.898613993634627E-8</v>
      </c>
      <c r="BH133" s="23">
        <f t="shared" si="64"/>
        <v>8.1103036363414582E-8</v>
      </c>
      <c r="BI133" s="23">
        <f t="shared" si="64"/>
        <v>6.9883828827527119E-8</v>
      </c>
    </row>
    <row r="134" spans="1:61" ht="18" customHeight="1" x14ac:dyDescent="0.2">
      <c r="A134" s="23" t="s">
        <v>15</v>
      </c>
      <c r="B134" s="23"/>
      <c r="C134" s="23">
        <f>+(C133/B133)^-0.1-1</f>
        <v>-3.430187428640985E-3</v>
      </c>
      <c r="D134" s="23">
        <f t="shared" ref="D134:BI134" si="65">+(D133/C133)^-0.1-1</f>
        <v>6.7943439633835201E-3</v>
      </c>
      <c r="E134" s="23">
        <f t="shared" si="65"/>
        <v>1.5089454682550851E-3</v>
      </c>
      <c r="F134" s="23">
        <f t="shared" si="65"/>
        <v>5.1628883582255369E-3</v>
      </c>
      <c r="G134" s="23">
        <f t="shared" si="65"/>
        <v>2.200454272313479E-2</v>
      </c>
      <c r="H134" s="23">
        <f t="shared" si="65"/>
        <v>1.6583718112757051E-2</v>
      </c>
      <c r="I134" s="23">
        <f t="shared" si="65"/>
        <v>1.4351633699993815E-2</v>
      </c>
      <c r="J134" s="23">
        <f t="shared" si="65"/>
        <v>1.5423899058999213E-2</v>
      </c>
      <c r="K134" s="23">
        <f t="shared" si="65"/>
        <v>1.2391399795104618E-2</v>
      </c>
      <c r="L134" s="23">
        <f t="shared" si="65"/>
        <v>2.7964829621938581E-2</v>
      </c>
      <c r="M134" s="23">
        <f t="shared" si="65"/>
        <v>1.6216846825936715E-2</v>
      </c>
      <c r="N134" s="23">
        <f t="shared" si="65"/>
        <v>1.8595077548452021E-2</v>
      </c>
      <c r="O134" s="23">
        <f t="shared" si="65"/>
        <v>2.448220062726536E-2</v>
      </c>
      <c r="P134" s="23">
        <f t="shared" si="65"/>
        <v>2.9785073281954011E-2</v>
      </c>
      <c r="Q134" s="23">
        <f t="shared" si="65"/>
        <v>2.3437371147447816E-2</v>
      </c>
      <c r="R134" s="23">
        <f t="shared" si="65"/>
        <v>2.4956220479370517E-2</v>
      </c>
      <c r="S134" s="23">
        <f t="shared" si="65"/>
        <v>2.4194078133277674E-2</v>
      </c>
      <c r="T134" s="23">
        <f t="shared" si="65"/>
        <v>2.316355286254157E-2</v>
      </c>
      <c r="U134" s="23">
        <f t="shared" si="65"/>
        <v>1.6168352170498501E-2</v>
      </c>
      <c r="V134" s="23">
        <f t="shared" si="65"/>
        <v>2.289614413307306E-2</v>
      </c>
      <c r="W134" s="23">
        <f t="shared" si="65"/>
        <v>2.4357208737046498E-2</v>
      </c>
      <c r="X134" s="23">
        <f t="shared" si="65"/>
        <v>1.8472506239219921E-2</v>
      </c>
      <c r="Y134" s="23">
        <f t="shared" si="65"/>
        <v>1.8089007498583998E-2</v>
      </c>
      <c r="Z134" s="23">
        <f t="shared" si="65"/>
        <v>1.9811264049808486E-2</v>
      </c>
      <c r="AA134" s="23">
        <f t="shared" si="65"/>
        <v>1.8587195933983613E-2</v>
      </c>
      <c r="AB134" s="23">
        <f t="shared" si="65"/>
        <v>2.1673030684951522E-2</v>
      </c>
      <c r="AC134" s="23">
        <f t="shared" si="65"/>
        <v>1.555310113674091E-2</v>
      </c>
      <c r="AD134" s="23">
        <f t="shared" si="65"/>
        <v>1.6340801387064952E-2</v>
      </c>
      <c r="AE134" s="23">
        <f t="shared" si="65"/>
        <v>1.4653673475450546E-2</v>
      </c>
      <c r="AF134" s="23">
        <f t="shared" si="65"/>
        <v>9.2692472902906609E-3</v>
      </c>
      <c r="AG134" s="23">
        <f t="shared" si="65"/>
        <v>2.1277693282772292E-2</v>
      </c>
      <c r="AH134" s="23">
        <f t="shared" si="65"/>
        <v>2.2553027835823025E-2</v>
      </c>
      <c r="AI134" s="23">
        <f t="shared" si="65"/>
        <v>0.49766599689722346</v>
      </c>
      <c r="AJ134" s="23">
        <f t="shared" si="65"/>
        <v>0.12729665985713878</v>
      </c>
      <c r="AK134" s="23">
        <f t="shared" si="65"/>
        <v>5.7669183725692852E-2</v>
      </c>
      <c r="AL134" s="23">
        <f t="shared" si="65"/>
        <v>3.670730369309938E-2</v>
      </c>
      <c r="AM134" s="23">
        <f t="shared" si="65"/>
        <v>2.8440456526919622E-2</v>
      </c>
      <c r="AN134" s="23">
        <f t="shared" si="65"/>
        <v>2.4630621770636907E-2</v>
      </c>
      <c r="AO134" s="23">
        <f t="shared" si="65"/>
        <v>2.2721680532197475E-2</v>
      </c>
      <c r="AP134" s="23">
        <f t="shared" si="65"/>
        <v>2.1715042722401323E-2</v>
      </c>
      <c r="AQ134" s="23">
        <f t="shared" si="65"/>
        <v>2.1162787438693931E-2</v>
      </c>
      <c r="AR134" s="23">
        <f t="shared" si="65"/>
        <v>2.0847431640047764E-2</v>
      </c>
      <c r="AS134" s="23">
        <f t="shared" si="65"/>
        <v>2.0658541442244882E-2</v>
      </c>
      <c r="AT134" s="23">
        <f t="shared" si="65"/>
        <v>2.0538580660705685E-2</v>
      </c>
      <c r="AU134" s="23">
        <f t="shared" si="65"/>
        <v>2.0457093688664774E-2</v>
      </c>
      <c r="AV134" s="23">
        <f t="shared" si="65"/>
        <v>2.039776993561615E-2</v>
      </c>
      <c r="AW134" s="23">
        <f t="shared" si="65"/>
        <v>2.0351774301209602E-2</v>
      </c>
      <c r="AX134" s="23">
        <f t="shared" si="65"/>
        <v>2.0314252324680648E-2</v>
      </c>
      <c r="AY134" s="23">
        <f t="shared" si="65"/>
        <v>2.0282481964967847E-2</v>
      </c>
      <c r="AZ134" s="23">
        <f t="shared" si="65"/>
        <v>2.0254890816809645E-2</v>
      </c>
      <c r="BA134" s="23">
        <f t="shared" si="65"/>
        <v>2.0230531574913169E-2</v>
      </c>
      <c r="BB134" s="23">
        <f t="shared" si="65"/>
        <v>2.020880117984647E-2</v>
      </c>
      <c r="BC134" s="23">
        <f t="shared" si="65"/>
        <v>2.0189289888784545E-2</v>
      </c>
      <c r="BD134" s="23">
        <f t="shared" si="65"/>
        <v>2.0171699751218908E-2</v>
      </c>
      <c r="BE134" s="23">
        <f t="shared" si="65"/>
        <v>2.0204827108341927E-2</v>
      </c>
      <c r="BF134" s="23">
        <f t="shared" si="65"/>
        <v>2.0173015767092961E-2</v>
      </c>
      <c r="BG134" s="23">
        <f t="shared" si="65"/>
        <v>2.0146636604279733E-2</v>
      </c>
      <c r="BH134" s="23">
        <f t="shared" si="65"/>
        <v>2.0125790745225025E-2</v>
      </c>
      <c r="BI134" s="23">
        <f t="shared" si="65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 x14ac:dyDescent="0.2">
      <c r="A136" s="23" t="s">
        <v>207</v>
      </c>
      <c r="B136" s="23"/>
      <c r="C136" s="23">
        <f>+C134+C135</f>
        <v>1.5605024825732918E-2</v>
      </c>
      <c r="D136" s="23">
        <f t="shared" ref="D136:K136" si="67">+D134+D135</f>
        <v>2.2195557932752706E-2</v>
      </c>
      <c r="E136" s="23">
        <f t="shared" si="67"/>
        <v>1.3395638423664622E-2</v>
      </c>
      <c r="F136" s="23">
        <f t="shared" si="67"/>
        <v>1.4307950156965165E-2</v>
      </c>
      <c r="G136" s="23">
        <f t="shared" si="67"/>
        <v>2.7213772758007505E-2</v>
      </c>
      <c r="H136" s="23">
        <f t="shared" si="67"/>
        <v>2.0051329403511852E-2</v>
      </c>
      <c r="I136" s="23">
        <f t="shared" si="67"/>
        <v>1.7819244990748617E-2</v>
      </c>
      <c r="J136" s="23">
        <f t="shared" si="67"/>
        <v>1.8891510349754014E-2</v>
      </c>
      <c r="K136" s="23">
        <f t="shared" si="67"/>
        <v>1.585901108585942E-2</v>
      </c>
    </row>
    <row r="137" spans="1:61" ht="18" customHeight="1" x14ac:dyDescent="0.2">
      <c r="A137" s="23" t="s">
        <v>208</v>
      </c>
      <c r="B137" s="23"/>
      <c r="C137" s="23">
        <f>+C136-C129</f>
        <v>-6.6789430777933027E-3</v>
      </c>
      <c r="D137" s="23">
        <f t="shared" ref="D137:K137" si="68">+D136-D129</f>
        <v>8.689669317098532E-3</v>
      </c>
      <c r="E137" s="23">
        <f t="shared" si="68"/>
        <v>-1.0104172275322842E-3</v>
      </c>
      <c r="F137" s="23">
        <f t="shared" si="68"/>
        <v>-1.2778604090365119E-2</v>
      </c>
      <c r="G137" s="23">
        <f t="shared" si="68"/>
        <v>7.187064079885553E-3</v>
      </c>
      <c r="H137" s="23">
        <f t="shared" si="68"/>
        <v>2.222706754547988E-3</v>
      </c>
      <c r="I137" s="23">
        <f t="shared" si="68"/>
        <v>-1.0659136558607354E-3</v>
      </c>
      <c r="J137" s="23">
        <f t="shared" si="68"/>
        <v>2.9972567685250806E-3</v>
      </c>
      <c r="K137" s="23">
        <f t="shared" si="68"/>
        <v>-1.3045214109411427E-2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69">+$B$7*B68/B74-(1-(1-0.1)^10)/10</f>
        <v>2.7645612431438857E-2</v>
      </c>
      <c r="C139" s="23">
        <f t="shared" si="69"/>
        <v>2.0936145334751327E-2</v>
      </c>
      <c r="D139" s="23">
        <f t="shared" si="69"/>
        <v>2.2767170101167425E-2</v>
      </c>
      <c r="E139" s="23">
        <f t="shared" si="69"/>
        <v>2.0217658687663495E-2</v>
      </c>
      <c r="F139" s="23">
        <f t="shared" si="69"/>
        <v>2.0976633941127101E-2</v>
      </c>
      <c r="G139" s="23">
        <f t="shared" si="69"/>
        <v>3.1069248130755928E-2</v>
      </c>
      <c r="H139" s="23">
        <f t="shared" si="69"/>
        <v>3.1129380444997384E-2</v>
      </c>
      <c r="I139" s="23">
        <f t="shared" si="69"/>
        <v>2.9542833165224755E-2</v>
      </c>
      <c r="J139" s="23">
        <f t="shared" si="69"/>
        <v>2.9412033484033206E-2</v>
      </c>
      <c r="K139" s="23">
        <f t="shared" si="69"/>
        <v>2.6317384853193376E-2</v>
      </c>
      <c r="L139" s="23">
        <f t="shared" si="69"/>
        <v>3.4121164336339591E-2</v>
      </c>
      <c r="M139" s="23">
        <f t="shared" si="69"/>
        <v>3.1062948854361269E-2</v>
      </c>
      <c r="N139" s="23">
        <f t="shared" si="69"/>
        <v>2.7682915302285227E-2</v>
      </c>
      <c r="O139" s="23">
        <f t="shared" si="69"/>
        <v>3.0165943773507689E-2</v>
      </c>
      <c r="P139" s="23">
        <f t="shared" si="69"/>
        <v>3.438472639375488E-2</v>
      </c>
      <c r="Q139" s="23">
        <f t="shared" si="69"/>
        <v>3.1738004986589879E-2</v>
      </c>
      <c r="R139" s="23">
        <f t="shared" si="69"/>
        <v>3.1840549647549329E-2</v>
      </c>
      <c r="S139" s="23">
        <f t="shared" si="69"/>
        <v>3.1394578716367971E-2</v>
      </c>
      <c r="T139" s="23">
        <f t="shared" si="69"/>
        <v>3.0602856442476553E-2</v>
      </c>
      <c r="U139" s="23">
        <f t="shared" si="69"/>
        <v>2.6073124056834887E-2</v>
      </c>
      <c r="V139" s="23">
        <f t="shared" si="69"/>
        <v>2.933338313630722E-2</v>
      </c>
      <c r="W139" s="23">
        <f t="shared" si="69"/>
        <v>3.2112521043963838E-2</v>
      </c>
      <c r="X139" s="23">
        <f t="shared" si="69"/>
        <v>2.9355794563801316E-2</v>
      </c>
      <c r="Y139" s="23">
        <f t="shared" si="69"/>
        <v>2.8221054905416654E-2</v>
      </c>
      <c r="Z139" s="23">
        <f t="shared" si="69"/>
        <v>2.8894876346915677E-2</v>
      </c>
      <c r="AA139" s="23">
        <f t="shared" si="69"/>
        <v>2.837200173063896E-2</v>
      </c>
      <c r="AB139" s="23">
        <f t="shared" si="69"/>
        <v>3.0097256000525208E-2</v>
      </c>
      <c r="AC139" s="23">
        <f t="shared" si="69"/>
        <v>2.6922601681359515E-2</v>
      </c>
      <c r="AD139" s="23">
        <f t="shared" si="69"/>
        <v>2.6345093273164685E-2</v>
      </c>
      <c r="AE139" s="23">
        <f t="shared" si="69"/>
        <v>2.5142657501302013E-2</v>
      </c>
      <c r="AF139" s="23">
        <f t="shared" si="69"/>
        <v>2.1399129930920982E-2</v>
      </c>
      <c r="AG139" s="23">
        <f t="shared" si="69"/>
        <v>2.6903037870408791E-2</v>
      </c>
      <c r="AH139" s="23">
        <f t="shared" si="69"/>
        <v>2.9690238165284502E-2</v>
      </c>
      <c r="AI139" s="23">
        <f t="shared" si="69"/>
        <v>1.1543027103965278</v>
      </c>
      <c r="AJ139" s="23">
        <f t="shared" si="69"/>
        <v>0.20049524162174726</v>
      </c>
      <c r="AK139" s="23">
        <f t="shared" si="69"/>
        <v>8.7800339654322115E-2</v>
      </c>
      <c r="AL139" s="23">
        <f t="shared" si="69"/>
        <v>5.5170245382111738E-2</v>
      </c>
      <c r="AM139" s="23">
        <f t="shared" si="69"/>
        <v>4.1996373919780797E-2</v>
      </c>
      <c r="AN139" s="23">
        <f t="shared" si="69"/>
        <v>3.5846401755268958E-2</v>
      </c>
      <c r="AO139" s="23">
        <f t="shared" si="69"/>
        <v>3.2758913485625304E-2</v>
      </c>
      <c r="AP139" s="23">
        <f t="shared" si="69"/>
        <v>3.1142536265922713E-2</v>
      </c>
      <c r="AQ139" s="23">
        <f t="shared" si="69"/>
        <v>3.0270499562538272E-2</v>
      </c>
      <c r="AR139" s="23">
        <f t="shared" si="69"/>
        <v>2.9786335856526347E-2</v>
      </c>
      <c r="AS139" s="23">
        <f t="shared" si="69"/>
        <v>2.9508134156079696E-2</v>
      </c>
      <c r="AT139" s="23">
        <f t="shared" si="69"/>
        <v>2.9340968357617472E-2</v>
      </c>
      <c r="AU139" s="23">
        <f t="shared" si="69"/>
        <v>2.923464245649092E-2</v>
      </c>
      <c r="AV139" s="23">
        <f t="shared" si="69"/>
        <v>2.9162371310207019E-2</v>
      </c>
      <c r="AW139" s="23">
        <f t="shared" si="69"/>
        <v>2.910974694963557E-2</v>
      </c>
      <c r="AX139" s="23">
        <f t="shared" si="69"/>
        <v>2.9068946004820281E-2</v>
      </c>
      <c r="AY139" s="23">
        <f t="shared" si="69"/>
        <v>2.9035664094430813E-2</v>
      </c>
      <c r="AZ139" s="23">
        <f t="shared" si="69"/>
        <v>2.9007485761843477E-2</v>
      </c>
      <c r="BA139" s="23">
        <f t="shared" si="69"/>
        <v>2.8983015093155901E-2</v>
      </c>
      <c r="BB139" s="23">
        <f t="shared" si="69"/>
        <v>2.8961410927068873E-2</v>
      </c>
      <c r="BC139" s="23">
        <f t="shared" si="69"/>
        <v>2.8942137748237048E-2</v>
      </c>
      <c r="BD139" s="23">
        <f t="shared" si="69"/>
        <v>2.8924831738301376E-2</v>
      </c>
      <c r="BE139" s="23">
        <f t="shared" si="69"/>
        <v>2.8939362246390724E-2</v>
      </c>
      <c r="BF139" s="23">
        <f t="shared" si="69"/>
        <v>2.892470542858297E-2</v>
      </c>
      <c r="BG139" s="23">
        <f t="shared" si="69"/>
        <v>2.8903554418761399E-2</v>
      </c>
      <c r="BH139" s="23">
        <f t="shared" si="69"/>
        <v>2.8883617614991253E-2</v>
      </c>
      <c r="BI139" s="23">
        <f t="shared" si="69"/>
        <v>2.8866808303043806E-2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70">+B140/(1+C131)^10</f>
        <v>0.82845689194035854</v>
      </c>
      <c r="D140" s="23">
        <f t="shared" si="70"/>
        <v>0.69380976905931724</v>
      </c>
      <c r="E140" s="23">
        <f t="shared" si="70"/>
        <v>0.60401738011948747</v>
      </c>
      <c r="F140" s="23">
        <f t="shared" si="70"/>
        <v>0.49189371159662532</v>
      </c>
      <c r="G140" s="23">
        <f t="shared" si="70"/>
        <v>0.38971983225344559</v>
      </c>
      <c r="H140" s="23">
        <f t="shared" si="70"/>
        <v>0.32308661365852992</v>
      </c>
      <c r="I140" s="23">
        <f t="shared" si="70"/>
        <v>0.26935119132563767</v>
      </c>
      <c r="J140" s="23">
        <f t="shared" si="70"/>
        <v>0.22669686235141467</v>
      </c>
      <c r="K140" s="23">
        <f t="shared" si="70"/>
        <v>0.18165206197231595</v>
      </c>
      <c r="L140" s="23">
        <f t="shared" si="70"/>
        <v>0.14608546985165005</v>
      </c>
      <c r="M140" s="23">
        <f t="shared" si="70"/>
        <v>0.12424793070651531</v>
      </c>
      <c r="N140" s="23">
        <f t="shared" si="70"/>
        <v>0.10155424502940838</v>
      </c>
      <c r="O140" s="23">
        <f t="shared" si="70"/>
        <v>7.8689653311895577E-2</v>
      </c>
      <c r="P140" s="23">
        <f t="shared" si="70"/>
        <v>6.1277021169660807E-2</v>
      </c>
      <c r="Q140" s="23">
        <f t="shared" si="70"/>
        <v>4.8825125154603112E-2</v>
      </c>
      <c r="R140" s="23">
        <f t="shared" si="70"/>
        <v>3.8763275709581338E-2</v>
      </c>
      <c r="S140" s="23">
        <f t="shared" si="70"/>
        <v>3.103942858659188E-2</v>
      </c>
      <c r="T140" s="23">
        <f t="shared" si="70"/>
        <v>2.5831328329980283E-2</v>
      </c>
      <c r="U140" s="23">
        <f t="shared" si="70"/>
        <v>2.1445202650029159E-2</v>
      </c>
      <c r="V140" s="23">
        <f t="shared" si="70"/>
        <v>1.6991833606511422E-2</v>
      </c>
      <c r="W140" s="23">
        <f t="shared" si="70"/>
        <v>1.3701006850660115E-2</v>
      </c>
      <c r="X140" s="23">
        <f t="shared" si="70"/>
        <v>1.1384891684340091E-2</v>
      </c>
      <c r="Y140" s="23">
        <f t="shared" si="70"/>
        <v>9.3995288965533566E-3</v>
      </c>
      <c r="Z140" s="23">
        <f t="shared" si="70"/>
        <v>7.7417873552563469E-3</v>
      </c>
      <c r="AA140" s="23">
        <f t="shared" si="70"/>
        <v>6.3196584533354193E-3</v>
      </c>
      <c r="AB140" s="23">
        <f t="shared" si="70"/>
        <v>5.2347789233046773E-3</v>
      </c>
      <c r="AC140" s="23">
        <f t="shared" si="70"/>
        <v>4.4490599693772816E-3</v>
      </c>
      <c r="AD140" s="23">
        <f t="shared" si="70"/>
        <v>3.7977954727930604E-3</v>
      </c>
      <c r="AE140" s="23">
        <f t="shared" si="70"/>
        <v>3.3592427934968664E-3</v>
      </c>
      <c r="AF140" s="23">
        <f t="shared" si="70"/>
        <v>2.884080658735886E-3</v>
      </c>
      <c r="AG140" s="23">
        <f t="shared" si="70"/>
        <v>2.3248316046080124E-3</v>
      </c>
      <c r="AH140" s="23">
        <f t="shared" si="70"/>
        <v>3.3651790194397073E-4</v>
      </c>
      <c r="AI140" s="23">
        <f t="shared" ref="AI140:BG140" si="71">+AH140/(1+AI131)^10</f>
        <v>3.2846970795619711E-5</v>
      </c>
      <c r="AJ140" s="23">
        <f t="shared" si="71"/>
        <v>1.4124764911153203E-5</v>
      </c>
      <c r="AK140" s="23">
        <f t="shared" si="71"/>
        <v>8.9941179026677592E-6</v>
      </c>
      <c r="AL140" s="23">
        <f t="shared" si="71"/>
        <v>6.5538554565506775E-6</v>
      </c>
      <c r="AM140" s="23">
        <f t="shared" si="71"/>
        <v>5.0554144768993926E-6</v>
      </c>
      <c r="AN140" s="23">
        <f t="shared" si="71"/>
        <v>4.0071066170954063E-6</v>
      </c>
      <c r="AO140" s="23">
        <f t="shared" si="71"/>
        <v>3.2207337029434291E-6</v>
      </c>
      <c r="AP140" s="23">
        <f t="shared" si="71"/>
        <v>2.6080792369814517E-6</v>
      </c>
      <c r="AQ140" s="23">
        <f t="shared" si="71"/>
        <v>2.1207688769135816E-6</v>
      </c>
      <c r="AR140" s="23">
        <f t="shared" si="71"/>
        <v>1.7286879360188356E-6</v>
      </c>
      <c r="AS140" s="23">
        <f t="shared" si="71"/>
        <v>1.4111841125296024E-6</v>
      </c>
      <c r="AT140" s="23">
        <f t="shared" si="71"/>
        <v>1.1531101420725973E-6</v>
      </c>
      <c r="AU140" s="23">
        <f t="shared" si="71"/>
        <v>9.4286943659262024E-7</v>
      </c>
      <c r="AV140" s="23">
        <f t="shared" si="71"/>
        <v>7.7135089653640807E-7</v>
      </c>
      <c r="AW140" s="23">
        <f t="shared" si="71"/>
        <v>6.3128668248846523E-7</v>
      </c>
      <c r="AX140" s="23">
        <f t="shared" si="71"/>
        <v>5.1682773742995932E-7</v>
      </c>
      <c r="AY140" s="23">
        <f t="shared" si="71"/>
        <v>4.2324207817868932E-7</v>
      </c>
      <c r="AZ140" s="23">
        <f t="shared" si="71"/>
        <v>3.4668914692405102E-7</v>
      </c>
      <c r="BA140" s="23">
        <f t="shared" si="71"/>
        <v>2.8404543593944145E-7</v>
      </c>
      <c r="BB140" s="23">
        <f t="shared" si="71"/>
        <v>2.327670134546523E-7</v>
      </c>
      <c r="BC140" s="23">
        <f t="shared" si="71"/>
        <v>1.907798344461493E-7</v>
      </c>
      <c r="BD140" s="23">
        <f t="shared" si="71"/>
        <v>1.5635475074397473E-7</v>
      </c>
      <c r="BE140" s="23">
        <f t="shared" si="71"/>
        <v>1.2814065793329895E-7</v>
      </c>
      <c r="BF140" s="23">
        <f t="shared" si="71"/>
        <v>1.0504714145447247E-7</v>
      </c>
      <c r="BG140" s="23">
        <f t="shared" si="71"/>
        <v>8.6135082463954174E-8</v>
      </c>
      <c r="BH140" s="23">
        <f>+BG140</f>
        <v>8.6135082463954174E-8</v>
      </c>
      <c r="BI140" s="23">
        <f>+BH140</f>
        <v>8.6135082463954174E-8</v>
      </c>
    </row>
    <row r="141" spans="1:61" ht="18" customHeight="1" x14ac:dyDescent="0.2">
      <c r="A141" s="23" t="s">
        <v>208</v>
      </c>
      <c r="B141" s="23">
        <f t="shared" ref="B141:K141" si="72">+B139-C131</f>
        <v>8.6483706041902142E-3</v>
      </c>
      <c r="C141" s="23">
        <f t="shared" si="72"/>
        <v>3.0412170751611296E-3</v>
      </c>
      <c r="D141" s="23">
        <f t="shared" si="72"/>
        <v>8.8111979677418847E-3</v>
      </c>
      <c r="E141" s="23">
        <f t="shared" si="72"/>
        <v>-5.2864626160009989E-4</v>
      </c>
      <c r="F141" s="23">
        <f t="shared" si="72"/>
        <v>-2.5799975215990145E-3</v>
      </c>
      <c r="G141" s="23">
        <f t="shared" si="72"/>
        <v>1.214158246721302E-2</v>
      </c>
      <c r="H141" s="23">
        <f t="shared" si="72"/>
        <v>1.2772489797210775E-2</v>
      </c>
      <c r="I141" s="23">
        <f t="shared" si="72"/>
        <v>1.2153127051305612E-2</v>
      </c>
      <c r="J141" s="23">
        <f t="shared" si="72"/>
        <v>7.0127940957833146E-3</v>
      </c>
      <c r="K141" s="23">
        <f t="shared" si="72"/>
        <v>4.2881213273676805E-3</v>
      </c>
    </row>
    <row r="142" spans="1:61" ht="18" customHeight="1" x14ac:dyDescent="0.2">
      <c r="A142" s="23" t="s">
        <v>13</v>
      </c>
      <c r="B142" s="23"/>
      <c r="C142" s="23">
        <f>+EXP(C128-0.1)</f>
        <v>0.98641238611106796</v>
      </c>
      <c r="D142" s="23">
        <f>+EXP(D128-0.1)</f>
        <v>0.98815801025951877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91.970980108478528</v>
      </c>
    </row>
    <row r="145" spans="1:74" ht="18" customHeight="1" x14ac:dyDescent="0.2">
      <c r="A145" s="23" t="s">
        <v>150</v>
      </c>
      <c r="B145" s="23">
        <f>+SUMPRODUCT(B140:AE140*B84:AE84)*10</f>
        <v>94.914141816040399</v>
      </c>
    </row>
    <row r="146" spans="1:74" ht="18" customHeight="1" x14ac:dyDescent="0.2">
      <c r="A146" s="23" t="s">
        <v>151</v>
      </c>
      <c r="B146" s="23">
        <f>+SUMPRODUCT(B140:BI140*B84:BI84)*10</f>
        <v>95.261286045703741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3">+B148/(1+B79)^10</f>
        <v>1.0349579936999156</v>
      </c>
      <c r="D148" s="23">
        <f t="shared" si="73"/>
        <v>0.9671972488025492</v>
      </c>
      <c r="E148" s="23">
        <f t="shared" si="73"/>
        <v>0.95272316475045316</v>
      </c>
      <c r="F148" s="23">
        <f t="shared" si="73"/>
        <v>0.90490350146345644</v>
      </c>
      <c r="G148" s="23">
        <f t="shared" si="73"/>
        <v>0.72790383357643418</v>
      </c>
      <c r="H148" s="23">
        <f t="shared" si="73"/>
        <v>0.61750788887357988</v>
      </c>
      <c r="I148" s="23">
        <f t="shared" si="73"/>
        <v>0.53549717016677678</v>
      </c>
      <c r="J148" s="23">
        <f t="shared" si="73"/>
        <v>0.45949773242497716</v>
      </c>
      <c r="K148" s="23">
        <f t="shared" si="73"/>
        <v>0.40625516973576697</v>
      </c>
      <c r="L148" s="23">
        <f t="shared" si="73"/>
        <v>0.30833039494458914</v>
      </c>
      <c r="M148" s="23">
        <f t="shared" si="73"/>
        <v>0.2625139795145402</v>
      </c>
      <c r="N148" s="23">
        <f t="shared" si="73"/>
        <v>0.21834170876748327</v>
      </c>
      <c r="O148" s="23">
        <f t="shared" si="73"/>
        <v>0.17143225237989712</v>
      </c>
      <c r="P148" s="23">
        <f t="shared" si="73"/>
        <v>0.12782818035491139</v>
      </c>
      <c r="Q148" s="23">
        <f t="shared" si="73"/>
        <v>0.10139438221442264</v>
      </c>
      <c r="R148" s="23">
        <f t="shared" si="73"/>
        <v>7.9242968866192545E-2</v>
      </c>
      <c r="S148" s="23">
        <f t="shared" si="73"/>
        <v>6.239332553229588E-2</v>
      </c>
      <c r="T148" s="23">
        <f t="shared" si="73"/>
        <v>4.9623514691727329E-2</v>
      </c>
      <c r="U148" s="23">
        <f t="shared" si="73"/>
        <v>4.2269865982723046E-2</v>
      </c>
      <c r="V148" s="23">
        <f t="shared" si="73"/>
        <v>3.3706639466878144E-2</v>
      </c>
      <c r="W148" s="23">
        <f t="shared" si="73"/>
        <v>2.6497272689596108E-2</v>
      </c>
      <c r="X148" s="23">
        <f t="shared" si="73"/>
        <v>2.2065210678666326E-2</v>
      </c>
      <c r="Y148" s="23">
        <f t="shared" si="73"/>
        <v>1.8443808117749778E-2</v>
      </c>
      <c r="Z148" s="23">
        <f t="shared" si="73"/>
        <v>1.5158371619563939E-2</v>
      </c>
      <c r="AA148" s="23">
        <f t="shared" si="73"/>
        <v>1.2608703256915453E-2</v>
      </c>
      <c r="AB148" s="23">
        <f t="shared" si="73"/>
        <v>1.0175391554724416E-2</v>
      </c>
      <c r="AC148" s="23">
        <f t="shared" si="73"/>
        <v>8.7201662193705561E-3</v>
      </c>
      <c r="AD148" s="23">
        <f t="shared" si="73"/>
        <v>7.4153414725831191E-3</v>
      </c>
      <c r="AE148" s="23">
        <f t="shared" si="73"/>
        <v>6.4113994332366513E-3</v>
      </c>
      <c r="AF148" s="23">
        <f t="shared" si="73"/>
        <v>5.8463179503483792E-3</v>
      </c>
      <c r="AG148" s="23">
        <f t="shared" si="73"/>
        <v>4.7363519765140716E-3</v>
      </c>
      <c r="AH148" s="23">
        <f t="shared" si="73"/>
        <v>3.7895320000879093E-3</v>
      </c>
      <c r="AI148" s="23">
        <f t="shared" ref="AI148:BI148" si="74">+AH148/(1+AH79)^10</f>
        <v>6.6747634971460939E-5</v>
      </c>
      <c r="AJ148" s="23">
        <f t="shared" si="74"/>
        <v>2.0139731679915137E-5</v>
      </c>
      <c r="AK148" s="23">
        <f t="shared" si="74"/>
        <v>1.1496222773403548E-5</v>
      </c>
      <c r="AL148" s="23">
        <f t="shared" si="74"/>
        <v>8.0166622932468264E-6</v>
      </c>
      <c r="AM148" s="23">
        <f t="shared" si="74"/>
        <v>6.0562258744724286E-6</v>
      </c>
      <c r="AN148" s="23">
        <f t="shared" si="74"/>
        <v>4.7481972832626862E-6</v>
      </c>
      <c r="AO148" s="23">
        <f t="shared" si="74"/>
        <v>3.7927492335661868E-6</v>
      </c>
      <c r="AP148" s="23">
        <f t="shared" si="74"/>
        <v>3.0595408332617894E-6</v>
      </c>
      <c r="AQ148" s="23">
        <f t="shared" si="74"/>
        <v>2.4814552770327376E-6</v>
      </c>
      <c r="AR148" s="23">
        <f t="shared" si="74"/>
        <v>2.0188220876294939E-6</v>
      </c>
      <c r="AS148" s="23">
        <f t="shared" si="74"/>
        <v>1.6454826378743872E-6</v>
      </c>
      <c r="AT148" s="23">
        <f t="shared" si="74"/>
        <v>1.3427619589664647E-6</v>
      </c>
      <c r="AU148" s="23">
        <f t="shared" si="74"/>
        <v>1.0966083257174111E-6</v>
      </c>
      <c r="AV148" s="23">
        <f t="shared" si="74"/>
        <v>8.961001105129413E-7</v>
      </c>
      <c r="AW148" s="23">
        <f t="shared" si="74"/>
        <v>7.3258376636058813E-7</v>
      </c>
      <c r="AX148" s="23">
        <f t="shared" si="74"/>
        <v>5.9912543740639959E-7</v>
      </c>
      <c r="AY148" s="23">
        <f t="shared" si="74"/>
        <v>4.9013245307784292E-7</v>
      </c>
      <c r="AZ148" s="23">
        <f t="shared" si="74"/>
        <v>4.0107593626478172E-7</v>
      </c>
      <c r="BA148" s="23">
        <f t="shared" si="74"/>
        <v>3.2827925900296005E-7</v>
      </c>
      <c r="BB148" s="23">
        <f t="shared" si="74"/>
        <v>2.6875266930557292E-7</v>
      </c>
      <c r="BC148" s="23">
        <f t="shared" si="74"/>
        <v>2.2006206664612814E-7</v>
      </c>
      <c r="BD148" s="23">
        <f t="shared" si="74"/>
        <v>1.8022393581055313E-7</v>
      </c>
      <c r="BE148" s="23">
        <f t="shared" si="74"/>
        <v>1.4754983530959431E-7</v>
      </c>
      <c r="BF148" s="23">
        <f t="shared" si="74"/>
        <v>1.2083713208691182E-7</v>
      </c>
      <c r="BG148" s="23">
        <f t="shared" si="74"/>
        <v>9.8986139936347011E-8</v>
      </c>
      <c r="BH148" s="23">
        <f t="shared" si="74"/>
        <v>8.1103036363415231E-8</v>
      </c>
      <c r="BI148" s="23">
        <f t="shared" si="74"/>
        <v>6.9883828827527675E-8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152.92830521463924</v>
      </c>
    </row>
    <row r="152" spans="1:74" ht="18" customHeight="1" x14ac:dyDescent="0.2">
      <c r="A152" s="23" t="s">
        <v>150</v>
      </c>
      <c r="B152" s="23">
        <f>+SUMPRODUCT(B148:AE148*B84:AE84)*10</f>
        <v>158.68592412199834</v>
      </c>
    </row>
    <row r="153" spans="1:74" ht="18" customHeight="1" x14ac:dyDescent="0.2">
      <c r="A153" s="23" t="s">
        <v>151</v>
      </c>
      <c r="B153" s="23">
        <f>+SUMPRODUCT(B148:BI148*B84:BI84)*10</f>
        <v>159.44230661174564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4.7429614085589041E-3</v>
      </c>
      <c r="C155" s="29">
        <f t="shared" ref="C155:BI155" si="75">+C63*C61</f>
        <v>5.1801389214526415E-3</v>
      </c>
      <c r="D155" s="29">
        <f t="shared" si="75"/>
        <v>4.1387702354639885E-3</v>
      </c>
      <c r="E155" s="29">
        <f t="shared" si="75"/>
        <v>4.4464743448533782E-3</v>
      </c>
      <c r="F155" s="29">
        <f t="shared" si="75"/>
        <v>5.3650617395275277E-3</v>
      </c>
      <c r="G155" s="29">
        <f t="shared" si="75"/>
        <v>7.4352787056633195E-3</v>
      </c>
      <c r="H155" s="29">
        <f t="shared" si="75"/>
        <v>6.7666096077064622E-3</v>
      </c>
      <c r="I155" s="29">
        <f t="shared" si="75"/>
        <v>8.6950753861022786E-3</v>
      </c>
      <c r="J155" s="29">
        <f t="shared" si="75"/>
        <v>1.1113164355730612E-2</v>
      </c>
      <c r="K155" s="29">
        <f t="shared" si="75"/>
        <v>8.6108453826728836E-3</v>
      </c>
      <c r="L155" s="29">
        <f t="shared" si="75"/>
        <v>9.7526972593458168E-3</v>
      </c>
      <c r="M155" s="29">
        <f t="shared" si="75"/>
        <v>1.2100210228433885E-2</v>
      </c>
      <c r="N155" s="29">
        <f t="shared" si="75"/>
        <v>1.4000194329882221E-2</v>
      </c>
      <c r="O155" s="29">
        <f t="shared" si="75"/>
        <v>1.480455225664642E-2</v>
      </c>
      <c r="P155" s="29">
        <f t="shared" si="75"/>
        <v>1.4834381545625283E-2</v>
      </c>
      <c r="Q155" s="29">
        <f t="shared" si="75"/>
        <v>1.846220080116738E-2</v>
      </c>
      <c r="R155" s="29">
        <f t="shared" si="75"/>
        <v>1.9219726508229389E-2</v>
      </c>
      <c r="S155" s="29">
        <f t="shared" si="75"/>
        <v>2.0986032609017841E-2</v>
      </c>
      <c r="T155" s="29">
        <f t="shared" si="75"/>
        <v>1.9679076512711335E-2</v>
      </c>
      <c r="U155" s="29">
        <f t="shared" si="75"/>
        <v>2.2334017157849422E-2</v>
      </c>
      <c r="V155" s="29">
        <f t="shared" si="75"/>
        <v>2.5418609167515822E-2</v>
      </c>
      <c r="W155" s="29">
        <f t="shared" si="75"/>
        <v>2.4820455211135184E-2</v>
      </c>
      <c r="X155" s="29">
        <f t="shared" si="75"/>
        <v>2.6993778274583519E-2</v>
      </c>
      <c r="Y155" s="29">
        <f t="shared" si="75"/>
        <v>2.8876220718198876E-2</v>
      </c>
      <c r="Z155" s="29">
        <f t="shared" si="75"/>
        <v>3.2058313011347907E-2</v>
      </c>
      <c r="AA155" s="29">
        <f t="shared" si="75"/>
        <v>3.8397863128747461E-2</v>
      </c>
      <c r="AB155" s="29">
        <f t="shared" si="75"/>
        <v>4.4806904894822176E-2</v>
      </c>
      <c r="AC155" s="29">
        <f t="shared" si="75"/>
        <v>4.267408535012901E-2</v>
      </c>
      <c r="AD155" s="29">
        <f t="shared" si="75"/>
        <v>4.1334166234347325E-2</v>
      </c>
      <c r="AE155" s="29">
        <f t="shared" si="75"/>
        <v>4.644749115920959E-2</v>
      </c>
      <c r="AF155" s="29">
        <f t="shared" si="75"/>
        <v>4.6346687307179404E-2</v>
      </c>
      <c r="AG155" s="29">
        <f t="shared" si="75"/>
        <v>4.2963019629639179E-2</v>
      </c>
      <c r="AH155" s="29">
        <f t="shared" si="75"/>
        <v>4.7181690949162483E-2</v>
      </c>
      <c r="AI155" s="29">
        <f t="shared" si="75"/>
        <v>0.78613634194711679</v>
      </c>
      <c r="AJ155" s="29">
        <f t="shared" si="75"/>
        <v>0.94595947472368391</v>
      </c>
      <c r="AK155" s="29">
        <f t="shared" si="75"/>
        <v>1.4830549131522646</v>
      </c>
      <c r="AL155" s="29">
        <f t="shared" si="75"/>
        <v>1.8311749777114308</v>
      </c>
      <c r="AM155" s="29">
        <f t="shared" si="75"/>
        <v>2.0727279753407899</v>
      </c>
      <c r="AN155" s="29">
        <f t="shared" si="75"/>
        <v>2.2585426454558402</v>
      </c>
      <c r="AO155" s="29">
        <f t="shared" si="75"/>
        <v>2.4159037013897926</v>
      </c>
      <c r="AP155" s="29">
        <f t="shared" si="75"/>
        <v>2.5597352111569203</v>
      </c>
      <c r="AQ155" s="29">
        <f t="shared" si="75"/>
        <v>2.6983782279750024</v>
      </c>
      <c r="AR155" s="29">
        <f t="shared" si="75"/>
        <v>2.8365936789404054</v>
      </c>
      <c r="AS155" s="29">
        <f t="shared" si="75"/>
        <v>2.9771722722939988</v>
      </c>
      <c r="AT155" s="29">
        <f t="shared" si="75"/>
        <v>3.1218153501655697</v>
      </c>
      <c r="AU155" s="29">
        <f t="shared" si="75"/>
        <v>3.2716224916045662</v>
      </c>
      <c r="AV155" s="29">
        <f t="shared" si="75"/>
        <v>3.4273632230930478</v>
      </c>
      <c r="AW155" s="29">
        <f t="shared" si="75"/>
        <v>3.5896290562928406</v>
      </c>
      <c r="AX155" s="29">
        <f t="shared" si="75"/>
        <v>3.7589188541038525</v>
      </c>
      <c r="AY155" s="29">
        <f t="shared" si="75"/>
        <v>3.9356869618268346</v>
      </c>
      <c r="AZ155" s="29">
        <f t="shared" si="75"/>
        <v>4.120370523967841</v>
      </c>
      <c r="BA155" s="29">
        <f t="shared" si="75"/>
        <v>4.3134051669785336</v>
      </c>
      <c r="BB155" s="29">
        <f t="shared" si="75"/>
        <v>4.5152341861796588</v>
      </c>
      <c r="BC155" s="29">
        <f t="shared" si="75"/>
        <v>4.7263141144221104</v>
      </c>
      <c r="BD155" s="29">
        <f t="shared" si="75"/>
        <v>4.9471182845720412</v>
      </c>
      <c r="BE155" s="29">
        <f t="shared" si="75"/>
        <v>5.1781392893036617</v>
      </c>
      <c r="BF155" s="29">
        <f t="shared" si="75"/>
        <v>5.4202362090342273</v>
      </c>
      <c r="BG155" s="29">
        <f t="shared" si="75"/>
        <v>5.6737161404436476</v>
      </c>
      <c r="BH155" s="29">
        <f t="shared" si="75"/>
        <v>5.9389589472781159</v>
      </c>
      <c r="BI155" s="29">
        <f t="shared" si="75"/>
        <v>6.2165130391700023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CE58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11.6640625" defaultRowHeight="18" customHeight="1" x14ac:dyDescent="0.2"/>
  <cols>
    <col min="1" max="1" width="68.5" style="21" customWidth="1"/>
    <col min="2" max="2" width="11.6640625" style="29" customWidth="1"/>
    <col min="3" max="16384" width="11.6640625" style="23"/>
  </cols>
  <sheetData>
    <row r="1" spans="1:61" ht="18" customHeight="1" x14ac:dyDescent="0.2">
      <c r="A1" s="21" t="s">
        <v>57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+Parameters!N35</f>
        <v>0.3</v>
      </c>
    </row>
    <row r="8" spans="1:61" ht="18" customHeight="1" x14ac:dyDescent="0.2">
      <c r="A8" s="21" t="s">
        <v>108</v>
      </c>
      <c r="B8" s="31">
        <f>+Parameters!N36</f>
        <v>0.1</v>
      </c>
    </row>
    <row r="9" spans="1:61" ht="18" customHeight="1" x14ac:dyDescent="0.2">
      <c r="A9" s="23" t="s">
        <v>49</v>
      </c>
      <c r="B9" s="29">
        <f>Parameters!N37</f>
        <v>1.3005301355519889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 x14ac:dyDescent="0.2">
      <c r="A11" s="23" t="s">
        <v>38</v>
      </c>
      <c r="B11" s="29">
        <f>+Parameters!N39</f>
        <v>2.1347524454330222</v>
      </c>
    </row>
    <row r="12" spans="1:61" ht="18" customHeight="1" x14ac:dyDescent="0.2">
      <c r="A12" s="23" t="s">
        <v>162</v>
      </c>
      <c r="B12" s="29">
        <f>+Parameters!N40</f>
        <v>1.2512595399070259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+Parameters!N43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+Parameters!N45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 x14ac:dyDescent="0.2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 x14ac:dyDescent="0.2">
      <c r="A21" s="21" t="s">
        <v>190</v>
      </c>
      <c r="B21" s="29">
        <f>+Parameters!N40</f>
        <v>1.2512595399070259</v>
      </c>
    </row>
    <row r="22" spans="1:103" ht="18" customHeight="1" x14ac:dyDescent="0.2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+Parameters!N51</f>
        <v>0.34097373142773563</v>
      </c>
    </row>
    <row r="25" spans="1:103" ht="18" customHeight="1" x14ac:dyDescent="0.2">
      <c r="A25" s="21" t="s">
        <v>182</v>
      </c>
      <c r="B25" s="29">
        <f>+Parameters!N52</f>
        <v>0.19832036751008103</v>
      </c>
    </row>
    <row r="26" spans="1:103" ht="18" customHeight="1" x14ac:dyDescent="0.2">
      <c r="A26" s="21" t="s">
        <v>47</v>
      </c>
      <c r="B26" s="29">
        <f>+Parameters!N53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+Parameters!N54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+Parameters!N55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2.3606316693236293E-3</v>
      </c>
      <c r="Y31" s="23">
        <f t="shared" si="7"/>
        <v>2.1742407337958388E-3</v>
      </c>
      <c r="Z31" s="23">
        <f t="shared" si="7"/>
        <v>2.0074695427057055E-3</v>
      </c>
      <c r="AA31" s="23">
        <f t="shared" si="7"/>
        <v>1.8576916735226091E-3</v>
      </c>
      <c r="AB31" s="23">
        <f t="shared" si="7"/>
        <v>1.7227065433575689E-3</v>
      </c>
      <c r="AC31" s="23">
        <f t="shared" si="7"/>
        <v>1.6006598499609078E-3</v>
      </c>
      <c r="AD31" s="23">
        <f t="shared" si="7"/>
        <v>1.4899805465997482E-3</v>
      </c>
      <c r="AE31" s="23">
        <f t="shared" si="7"/>
        <v>1.3893306037316918E-3</v>
      </c>
      <c r="AF31" s="23">
        <f t="shared" si="7"/>
        <v>1.2975647258215907E-3</v>
      </c>
      <c r="AG31" s="23">
        <f t="shared" si="7"/>
        <v>1.2136978680534157E-3</v>
      </c>
      <c r="AH31" s="23">
        <f t="shared" si="7"/>
        <v>1.1368789012761887E-3</v>
      </c>
      <c r="AI31" s="23">
        <f t="shared" si="7"/>
        <v>1.0663691511714785E-3</v>
      </c>
      <c r="AJ31" s="23">
        <f t="shared" si="7"/>
        <v>1.0015248228062604E-3</v>
      </c>
      <c r="AK31" s="23">
        <f t="shared" si="7"/>
        <v>9.4178253851738211E-4</v>
      </c>
      <c r="AL31" s="23">
        <f t="shared" si="7"/>
        <v>8.8664738291731272E-4</v>
      </c>
      <c r="AM31" s="23">
        <f t="shared" si="7"/>
        <v>8.3568297646022922E-4</v>
      </c>
      <c r="AN31" s="23">
        <f t="shared" si="7"/>
        <v>7.885031978338672E-4</v>
      </c>
      <c r="AO31" s="23">
        <f t="shared" si="7"/>
        <v>7.4476525238249217E-4</v>
      </c>
      <c r="AP31" s="23">
        <f t="shared" si="7"/>
        <v>7.0416384398763656E-4</v>
      </c>
      <c r="AQ31" s="23">
        <f t="shared" si="7"/>
        <v>6.6642625521003997E-4</v>
      </c>
      <c r="AR31" s="23">
        <f t="shared" si="7"/>
        <v>6.3130817795038611E-4</v>
      </c>
      <c r="AS31" s="23">
        <f t="shared" si="7"/>
        <v>5.9859016663442888E-4</v>
      </c>
      <c r="AT31" s="23">
        <f t="shared" si="7"/>
        <v>5.6807460966077261E-4</v>
      </c>
      <c r="AU31" s="23">
        <f t="shared" si="7"/>
        <v>5.3958313386383273E-4</v>
      </c>
      <c r="AV31" s="23">
        <f t="shared" si="7"/>
        <v>5.1295437204024663E-4</v>
      </c>
      <c r="AW31" s="23">
        <f t="shared" si="7"/>
        <v>4.8804203593911838E-4</v>
      </c>
      <c r="AX31" s="23">
        <f t="shared" si="7"/>
        <v>4.6471324712834525E-4</v>
      </c>
      <c r="AY31" s="23">
        <f t="shared" si="7"/>
        <v>4.4284708629296725E-4</v>
      </c>
      <c r="AZ31" s="23">
        <f t="shared" si="7"/>
        <v>4.2233332816799646E-4</v>
      </c>
      <c r="BA31" s="23">
        <f t="shared" si="7"/>
        <v>4.030713347503627E-4</v>
      </c>
      <c r="BB31" s="23">
        <f t="shared" si="7"/>
        <v>3.8496908390455787E-4</v>
      </c>
      <c r="BC31" s="23">
        <f t="shared" si="7"/>
        <v>3.6794231415896849E-4</v>
      </c>
      <c r="BD31" s="23">
        <f t="shared" si="7"/>
        <v>3.5191376953229631E-4</v>
      </c>
      <c r="BE31" s="23">
        <f t="shared" si="7"/>
        <v>1.7149867838505697E-4</v>
      </c>
      <c r="BF31" s="23">
        <f t="shared" si="7"/>
        <v>8.3582259550655139E-5</v>
      </c>
      <c r="BG31" s="23">
        <f t="shared" si="7"/>
        <v>4.0737405766366531E-5</v>
      </c>
      <c r="BH31" s="23">
        <f t="shared" si="7"/>
        <v>1.9856192211144554E-5</v>
      </c>
      <c r="BI31" s="23">
        <f t="shared" si="7"/>
        <v>9.6787566766597382E-6</v>
      </c>
    </row>
    <row r="32" spans="1:103" s="33" customFormat="1" ht="18" customHeight="1" x14ac:dyDescent="0.2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0.48461575351217545</v>
      </c>
      <c r="AB36" s="23">
        <f>+IF(AB4&gt;$B$37,AA36*Parameters!$B$105,$B$33*$B$32+(AA36-$B$33*$B$32)*(1-$B$34))</f>
        <v>0.46731496583656662</v>
      </c>
      <c r="AC36" s="23">
        <f>+IF(AC4&gt;$B$37,AB36*Parameters!$B$105,$B$33*$B$32+(AB36-$B$33*$B$32)*(1-$B$34))</f>
        <v>0.45087921754473825</v>
      </c>
      <c r="AD36" s="23">
        <f>+IF(AD4&gt;$B$37,AC36*Parameters!$B$105,$B$33*$B$32+(AC36-$B$33*$B$32)*(1-$B$34))</f>
        <v>0.43526525666750127</v>
      </c>
      <c r="AE36" s="23">
        <f>+IF(AE4&gt;$B$37,AD36*Parameters!$B$105,$B$33*$B$32+(AD36-$B$33*$B$32)*(1-$B$34))</f>
        <v>0.42043199383412622</v>
      </c>
      <c r="AF36" s="23">
        <f>+IF(AF4&gt;$B$37,AE36*Parameters!$B$105,$B$33*$B$32+(AE36-$B$33*$B$32)*(1-$B$34))</f>
        <v>0.40634039414241985</v>
      </c>
      <c r="AG36" s="23">
        <f>+IF(AG4&gt;$B$37,AF36*Parameters!$B$105,$B$33*$B$32+(AF36-$B$33*$B$32)*(1-$B$34))</f>
        <v>0.39295337443529876</v>
      </c>
      <c r="AH36" s="23">
        <f>+IF(AH4&gt;$B$37,AG36*Parameters!$B$105,$B$33*$B$32+(AG36-$B$33*$B$32)*(1-$B$34))</f>
        <v>0.38023570571353382</v>
      </c>
      <c r="AI36" s="23">
        <f>+IF(AI4&gt;$B$37,AH36*Parameters!$B$105,$B$33*$B$32+(AH36-$B$33*$B$32)*(1-$B$34))</f>
        <v>0.36815392042785711</v>
      </c>
      <c r="AJ36" s="23">
        <f>+IF(AJ4&gt;$B$37,AI36*Parameters!$B$105,$B$33*$B$32+(AI36-$B$33*$B$32)*(1-$B$34))</f>
        <v>0.35667622440646424</v>
      </c>
      <c r="AK36" s="23">
        <f>+IF(AK4&gt;$B$37,AJ36*Parameters!$B$105,$B$33*$B$32+(AJ36-$B$33*$B$32)*(1-$B$34))</f>
        <v>0.34577241318614105</v>
      </c>
      <c r="AL36" s="23">
        <f>+IF(AL4&gt;$B$37,AK36*Parameters!$B$105,$B$33*$B$32+(AK36-$B$33*$B$32)*(1-$B$34))</f>
        <v>0.33541379252683401</v>
      </c>
      <c r="AM36" s="23">
        <f>+IF(AM4&gt;$B$37,AL36*Parameters!$B$105,$B$33*$B$32+(AL36-$B$33*$B$32)*(1-$B$34))</f>
        <v>0.32557310290049229</v>
      </c>
      <c r="AN36" s="23">
        <f>+IF(AN4&gt;$B$37,AM36*Parameters!$B$105,$B$33*$B$32+(AM36-$B$33*$B$32)*(1-$B$34))</f>
        <v>0.31622444775546765</v>
      </c>
      <c r="AO36" s="23">
        <f>+IF(AO4&gt;$B$37,AN36*Parameters!$B$105,$B$33*$B$32+(AN36-$B$33*$B$32)*(1-$B$34))</f>
        <v>0.30734322536769426</v>
      </c>
      <c r="AP36" s="23">
        <f>+IF(AP4&gt;$B$37,AO36*Parameters!$B$105,$B$33*$B$32+(AO36-$B$33*$B$32)*(1-$B$34))</f>
        <v>0.29890606409930953</v>
      </c>
      <c r="AQ36" s="23">
        <f>+IF(AQ4&gt;$B$37,AP36*Parameters!$B$105,$B$33*$B$32+(AP36-$B$33*$B$32)*(1-$B$34))</f>
        <v>0.29089076089434407</v>
      </c>
      <c r="AR36" s="23">
        <f>+IF(AR4&gt;$B$37,AQ36*Parameters!$B$105,$B$33*$B$32+(AQ36-$B$33*$B$32)*(1-$B$34))</f>
        <v>0.28327622284962684</v>
      </c>
      <c r="AS36" s="23">
        <f>+IF(AS4&gt;$B$37,AR36*Parameters!$B$105,$B$33*$B$32+(AR36-$B$33*$B$32)*(1-$B$34))</f>
        <v>0.2760424117071455</v>
      </c>
      <c r="AT36" s="23">
        <f>+IF(AT4&gt;$B$37,AS36*Parameters!$B$105,$B$33*$B$32+(AS36-$B$33*$B$32)*(1-$B$34))</f>
        <v>0.26917029112178825</v>
      </c>
      <c r="AU36" s="23">
        <f>+IF(AU4&gt;$B$37,AT36*Parameters!$B$105,$B$33*$B$32+(AT36-$B$33*$B$32)*(1-$B$34))</f>
        <v>0.26264177656569881</v>
      </c>
      <c r="AV36" s="23">
        <f>+IF(AV4&gt;$B$37,AU36*Parameters!$B$105,$B$33*$B$32+(AU36-$B$33*$B$32)*(1-$B$34))</f>
        <v>0.25643968773741388</v>
      </c>
      <c r="AW36" s="23">
        <f>+IF(AW4&gt;$B$37,AV36*Parameters!$B$105,$B$33*$B$32+(AV36-$B$33*$B$32)*(1-$B$34))</f>
        <v>0.25054770335054322</v>
      </c>
      <c r="AX36" s="23">
        <f>+IF(AX4&gt;$B$37,AW36*Parameters!$B$105,$B$33*$B$32+(AW36-$B$33*$B$32)*(1-$B$34))</f>
        <v>0.24495031818301605</v>
      </c>
      <c r="AY36" s="23">
        <f>+IF(AY4&gt;$B$37,AX36*Parameters!$B$105,$B$33*$B$32+(AX36-$B$33*$B$32)*(1-$B$34))</f>
        <v>0.23963280227386524</v>
      </c>
      <c r="AZ36" s="23">
        <f>+IF(AZ4&gt;$B$37,AY36*Parameters!$B$105,$B$33*$B$32+(AY36-$B$33*$B$32)*(1-$B$34))</f>
        <v>0.234581162160172</v>
      </c>
      <c r="BA36" s="23">
        <f>+IF(BA4&gt;$B$37,AZ36*Parameters!$B$105,$B$33*$B$32+(AZ36-$B$33*$B$32)*(1-$B$34))</f>
        <v>0.2297821040521634</v>
      </c>
      <c r="BB36" s="23">
        <f>+IF(BB4&gt;$B$37,BA36*Parameters!$B$105,$B$33*$B$32+(BA36-$B$33*$B$32)*(1-$B$34))</f>
        <v>0.22522299884955521</v>
      </c>
      <c r="BC36" s="23">
        <f>+IF(BC4&gt;$B$37,BB36*Parameters!$B$105,$B$33*$B$32+(BB36-$B$33*$B$32)*(1-$B$34))</f>
        <v>0.22089184890707744</v>
      </c>
      <c r="BD36" s="23">
        <f>+IF(BD4&gt;$B$37,BC36*Parameters!$B$105,$B$33*$B$32+(BC36-$B$33*$B$32)*(1-$B$34))</f>
        <v>0.21677725646172358</v>
      </c>
      <c r="BE36" s="23">
        <f>+IF(BE4&gt;$B$37,BD36*Parameters!$B$105,$B$33*$B$32+(BD36-$B$33*$B$32)*(1-$B$34))</f>
        <v>0.10838862823086179</v>
      </c>
      <c r="BF36" s="23">
        <f>+IF(BF4&gt;$B$37,BE36*Parameters!$B$105,$B$33*$B$32+(BE36-$B$33*$B$32)*(1-$B$34))</f>
        <v>5.4194314115430894E-2</v>
      </c>
      <c r="BG36" s="23">
        <f>+IF(BG4&gt;$B$37,BF36*Parameters!$B$105,$B$33*$B$32+(BF36-$B$33*$B$32)*(1-$B$34))</f>
        <v>2.7097157057715447E-2</v>
      </c>
      <c r="BH36" s="23">
        <f>+IF(BH4&gt;$B$37,BG36*Parameters!$B$105,$B$33*$B$32+(BG36-$B$33*$B$32)*(1-$B$34))</f>
        <v>1.3548578528857724E-2</v>
      </c>
      <c r="BI36" s="23">
        <f>+IF(BI4&gt;$B$37,BH36*Parameters!$B$105,$B$33*$B$32+(BH36-$B$33*$B$32)*(1-$B$34))</f>
        <v>6.7742892644288618E-3</v>
      </c>
    </row>
    <row r="37" spans="1:61 16384:16384" s="33" customFormat="1" ht="18" customHeight="1" x14ac:dyDescent="0.2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1.2191192149871731E-2</v>
      </c>
      <c r="Y40" s="33">
        <f t="shared" si="9"/>
        <v>1.1662661966358194E-2</v>
      </c>
      <c r="Z40" s="33">
        <f t="shared" si="9"/>
        <v>1.1178623068274258E-2</v>
      </c>
      <c r="AA40" s="33">
        <f t="shared" si="9"/>
        <v>1.0733321498869974E-2</v>
      </c>
      <c r="AB40" s="33">
        <f t="shared" si="9"/>
        <v>1.0321899947642882E-2</v>
      </c>
      <c r="AC40" s="33">
        <f t="shared" si="9"/>
        <v>9.940239881306644E-3</v>
      </c>
      <c r="AD40" s="33">
        <f t="shared" si="9"/>
        <v>9.5848346877505097E-3</v>
      </c>
      <c r="AE40" s="33">
        <f t="shared" si="9"/>
        <v>9.2526871111134213E-3</v>
      </c>
      <c r="AF40" s="33">
        <f t="shared" si="9"/>
        <v>8.9412258408821787E-3</v>
      </c>
      <c r="AG40" s="33">
        <f t="shared" si="9"/>
        <v>8.648237301520147E-3</v>
      </c>
      <c r="AH40" s="33">
        <f t="shared" si="9"/>
        <v>8.3718095795337222E-3</v>
      </c>
      <c r="AI40" s="33">
        <f t="shared" si="9"/>
        <v>8.1102860993849963E-3</v>
      </c>
      <c r="AJ40" s="33">
        <f t="shared" si="9"/>
        <v>7.8622271740260846E-3</v>
      </c>
      <c r="AK40" s="33">
        <f t="shared" si="9"/>
        <v>7.6263779506003781E-3</v>
      </c>
      <c r="AL40" s="33">
        <f t="shared" si="9"/>
        <v>7.4016415767096388E-3</v>
      </c>
      <c r="AM40" s="33">
        <f t="shared" si="9"/>
        <v>7.1870566494671682E-3</v>
      </c>
      <c r="AN40" s="33">
        <f t="shared" si="9"/>
        <v>6.9817781945882267E-3</v>
      </c>
      <c r="AO40" s="33">
        <f t="shared" si="9"/>
        <v>6.7850615681414473E-3</v>
      </c>
      <c r="AP40" s="33">
        <f t="shared" si="9"/>
        <v>6.5962487884163902E-3</v>
      </c>
      <c r="AQ40" s="33">
        <f t="shared" si="9"/>
        <v>6.4147568965446412E-3</v>
      </c>
      <c r="AR40" s="33">
        <f t="shared" si="9"/>
        <v>6.2400680172843871E-3</v>
      </c>
      <c r="AS40" s="33">
        <f t="shared" si="9"/>
        <v>6.0717208497458415E-3</v>
      </c>
      <c r="AT40" s="33">
        <f t="shared" si="9"/>
        <v>5.9093033648742448E-3</v>
      </c>
      <c r="AU40" s="33">
        <f t="shared" si="9"/>
        <v>5.7524465245946989E-3</v>
      </c>
      <c r="AV40" s="33">
        <f t="shared" si="9"/>
        <v>5.6008188685028656E-3</v>
      </c>
      <c r="AW40" s="33">
        <f t="shared" si="9"/>
        <v>5.4541218392955134E-3</v>
      </c>
      <c r="AX40" s="33">
        <f t="shared" si="9"/>
        <v>5.3120857389014273E-3</v>
      </c>
      <c r="AY40" s="33">
        <f t="shared" si="9"/>
        <v>5.1744662243827615E-3</v>
      </c>
      <c r="AZ40" s="33">
        <f t="shared" si="9"/>
        <v>5.0410412668300984E-3</v>
      </c>
      <c r="BA40" s="33">
        <f t="shared" si="9"/>
        <v>4.9116085082274693E-3</v>
      </c>
      <c r="BB40" s="33">
        <f t="shared" si="9"/>
        <v>4.7859829610597988E-3</v>
      </c>
      <c r="BC40" s="33">
        <f t="shared" si="9"/>
        <v>4.6639950036295912E-3</v>
      </c>
      <c r="BD40" s="33">
        <f t="shared" si="9"/>
        <v>4.5454886309275466E-3</v>
      </c>
      <c r="BE40" s="33">
        <f t="shared" si="9"/>
        <v>4.4303199266934896E-3</v>
      </c>
      <c r="BF40" s="33">
        <f t="shared" si="9"/>
        <v>4.3183557271960805E-3</v>
      </c>
      <c r="BG40" s="33">
        <f t="shared" si="9"/>
        <v>4.209472451404208E-3</v>
      </c>
      <c r="BH40" s="33">
        <f t="shared" si="9"/>
        <v>4.1035550757435911E-3</v>
      </c>
      <c r="BI40" s="33">
        <f t="shared" si="9"/>
        <v>4.0004962346307628E-3</v>
      </c>
    </row>
    <row r="41" spans="1:61 16384:16384" ht="18" customHeight="1" x14ac:dyDescent="0.2">
      <c r="A41" s="21" t="s">
        <v>92</v>
      </c>
      <c r="B41" s="29">
        <f>+Parameters!N69</f>
        <v>0.14715313300736829</v>
      </c>
    </row>
    <row r="42" spans="1:61 16384:16384" s="45" customFormat="1" ht="18" customHeight="1" x14ac:dyDescent="0.2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 x14ac:dyDescent="0.2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 x14ac:dyDescent="0.2">
      <c r="A44" s="21" t="s">
        <v>23</v>
      </c>
      <c r="B44" s="29">
        <f>+Parameters!N70</f>
        <v>0.3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+Parameters!D139</f>
        <v>3.508949502502255E-3</v>
      </c>
      <c r="C48" s="219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8.4468141516955308E-2</v>
      </c>
      <c r="D50" s="44">
        <f>100*$B$49*(Global!C135*$B$48+Global!C135^2*$C$48)*(C61/$B61)^(1/$C$49)</f>
        <v>9.8235067968875683E-2</v>
      </c>
      <c r="E50" s="44">
        <f>100*$B$49*(Global!D135*$B$48+Global!D135^2*$C$48)*(D61/$B61)^(1/$C$49)</f>
        <v>0.11430038513001932</v>
      </c>
      <c r="F50" s="44">
        <f>100*$B$49*(Global!E135*$B$48+Global!E135^2*$C$48)*(E61/$B61)^(1/$C$49)</f>
        <v>0.13017726297137613</v>
      </c>
      <c r="G50" s="44">
        <f>100*$B$49*(Global!F135*$B$48+Global!F135^2*$C$48)*(F61/$B61)^(1/$C$49)</f>
        <v>0.14790016503257394</v>
      </c>
      <c r="H50" s="44">
        <f>100*$B$49*(Global!G135*$B$48+Global!G135^2*$C$48)*(G61/$B61)^(1/$C$49)</f>
        <v>0.16828856282981419</v>
      </c>
      <c r="I50" s="44">
        <f>100*$B$49*(Global!H135*$B$48+Global!H135^2*$C$48)*(H61/$B61)^(1/$C$49)</f>
        <v>0.18802730315193297</v>
      </c>
      <c r="J50" s="44">
        <f>100*$B$49*(Global!I135*$B$48+Global!I135^2*$C$48)*(I61/$B61)^(1/$C$49)</f>
        <v>0.20952737102404295</v>
      </c>
      <c r="K50" s="44">
        <f>100*$B$49*(Global!J135*$B$48+Global!J135^2*$C$48)*(J61/$B61)^(1/$C$49)</f>
        <v>0.23325112783425289</v>
      </c>
      <c r="L50" s="44">
        <f>100*$B$49*(Global!K135*$B$48+Global!K135^2*$C$48)*(K61/$B61)^(1/$C$49)</f>
        <v>0.25637004397296126</v>
      </c>
      <c r="M50" s="44">
        <f>100*$B$49*(Global!L135*$B$48+Global!L135^2*$C$48)*(L61/$B61)^(1/$C$49)</f>
        <v>0.27770934280479215</v>
      </c>
      <c r="N50" s="44">
        <f>100*$B$49*(Global!M135*$B$48+Global!M135^2*$C$48)*(M61/$B61)^(1/$C$49)</f>
        <v>0.29703475034715138</v>
      </c>
      <c r="O50" s="44">
        <f>100*$B$49*(Global!N135*$B$48+Global!N135^2*$C$48)*(N61/$B61)^(1/$C$49)</f>
        <v>0.31877745429826926</v>
      </c>
      <c r="P50" s="44">
        <f>100*$B$49*(Global!O135*$B$48+Global!O135^2*$C$48)*(O61/$B61)^(1/$C$49)</f>
        <v>0.34046391356849171</v>
      </c>
      <c r="Q50" s="44">
        <f>100*$B$49*(Global!P135*$B$48+Global!P135^2*$C$48)*(P61/$B61)^(1/$C$49)</f>
        <v>0.36170863437250933</v>
      </c>
      <c r="R50" s="44">
        <f>100*$B$49*(Global!Q135*$B$48+Global!Q135^2*$C$48)*(Q61/$B61)^(1/$C$49)</f>
        <v>0.38570906322037213</v>
      </c>
      <c r="S50" s="44">
        <f>100*$B$49*(Global!R135*$B$48+Global!R135^2*$C$48)*(R61/$B61)^(1/$C$49)</f>
        <v>0.40962859171740063</v>
      </c>
      <c r="T50" s="44">
        <f>100*$B$49*(Global!S135*$B$48+Global!S135^2*$C$48)*(S61/$B61)^(1/$C$49)</f>
        <v>0.43427945839433874</v>
      </c>
      <c r="U50" s="44">
        <f>100*$B$49*(Global!T135*$B$48+Global!T135^2*$C$48)*(T61/$B61)^(1/$C$49)</f>
        <v>0.45622979939378833</v>
      </c>
      <c r="V50" s="44">
        <f>100*$B$49*(Global!U135*$B$48+Global!U135^2*$C$48)*(U61/$B61)^(1/$C$49)</f>
        <v>0.47769902016936544</v>
      </c>
      <c r="W50" s="44">
        <f>100*$B$49*(Global!V135*$B$48+Global!V135^2*$C$48)*(V61/$B61)^(1/$C$49)</f>
        <v>0.50341087743491697</v>
      </c>
      <c r="X50" s="44">
        <f>100*$B$49*(Global!W135*$B$48+Global!W135^2*$C$48)*(W61/$B61)^(1/$C$49)</f>
        <v>0.52252264073372934</v>
      </c>
      <c r="Y50" s="44">
        <f>100*$B$49*(Global!X135*$B$48+Global!X135^2*$C$48)*(X61/$B61)^(1/$C$49)</f>
        <v>0.54687884519067442</v>
      </c>
      <c r="Z50" s="44">
        <f>100*$B$49*(Global!Y135*$B$48+Global!Y135^2*$C$48)*(Y61/$B61)^(1/$C$49)</f>
        <v>0.57034628208185489</v>
      </c>
      <c r="AA50" s="44">
        <f>100*$B$49*(Global!Z135*$B$48+Global!Z135^2*$C$48)*(Z61/$B61)^(1/$C$49)</f>
        <v>0.59458255923597869</v>
      </c>
      <c r="AB50" s="44">
        <f>100*$B$49*(Global!AA135*$B$48+Global!AA135^2*$C$48)*(AA61/$B61)^(1/$C$49)</f>
        <v>0.62124847898728452</v>
      </c>
      <c r="AC50" s="44">
        <f>100*$B$49*(Global!AB135*$B$48+Global!AB135^2*$C$48)*(AB61/$B61)^(1/$C$49)</f>
        <v>0.64806799752520161</v>
      </c>
      <c r="AD50" s="44">
        <f>100*$B$49*(Global!AC135*$B$48+Global!AC135^2*$C$48)*(AC61/$B61)^(1/$C$49)</f>
        <v>0.67549614626725152</v>
      </c>
      <c r="AE50" s="44">
        <f>100*$B$49*(Global!AD135*$B$48+Global!AD135^2*$C$48)*(AD61/$B61)^(1/$C$49)</f>
        <v>0.70133200879069146</v>
      </c>
      <c r="AF50" s="44">
        <f>100*$B$49*(Global!AE135*$B$48+Global!AE135^2*$C$48)*(AE61/$B61)^(1/$C$49)</f>
        <v>0.72845162132891728</v>
      </c>
      <c r="AG50" s="44">
        <f>100*$B$49*(Global!AF135*$B$48+Global!AF135^2*$C$48)*(AF61/$B61)^(1/$C$49)</f>
        <v>0.74688506544314404</v>
      </c>
      <c r="AH50" s="44">
        <f>100*$B$49*(Global!AG135*$B$48+Global!AG135^2*$C$48)*(AG61/$B61)^(1/$C$49)</f>
        <v>0.77484715091997036</v>
      </c>
      <c r="AI50" s="44">
        <f>100*$B$49*(Global!AH135*$B$48+Global!AH135^2*$C$48)*(AH61/$B61)^(1/$C$49)</f>
        <v>0.80239451954421215</v>
      </c>
      <c r="AJ50" s="44">
        <f>100*$B$49*(Global!AI135*$B$48+Global!AI135^2*$C$48)*(AI61/$B61)^(1/$C$49)</f>
        <v>1.6220412977535199</v>
      </c>
      <c r="AK50" s="44">
        <f>100*$B$49*(Global!AJ135*$B$48+Global!AJ135^2*$C$48)*(AJ61/$B61)^(1/$C$49)</f>
        <v>1.9454285077053159</v>
      </c>
      <c r="AL50" s="44">
        <f>100*$B$49*(Global!AK135*$B$48+Global!AK135^2*$C$48)*(AK61/$B61)^(1/$C$49)</f>
        <v>2.0906549968357631</v>
      </c>
      <c r="AM50" s="44">
        <f>100*$B$49*(Global!AL135*$B$48+Global!AL135^2*$C$48)*(AL61/$B61)^(1/$C$49)</f>
        <v>2.1702538250119638</v>
      </c>
      <c r="AN50" s="44">
        <f>100*$B$49*(Global!AM135*$B$48+Global!AM135^2*$C$48)*(AM61/$B61)^(1/$C$49)</f>
        <v>2.2224033064608784</v>
      </c>
      <c r="AO50" s="44">
        <f>100*$B$49*(Global!AN135*$B$48+Global!AN135^2*$C$48)*(AN61/$B61)^(1/$C$49)</f>
        <v>2.2617221425561294</v>
      </c>
      <c r="AP50" s="44">
        <f>100*$B$49*(Global!AO135*$B$48+Global!AO135^2*$C$48)*(AO61/$B61)^(1/$C$49)</f>
        <v>2.2947335137273588</v>
      </c>
      <c r="AQ50" s="44">
        <f>100*$B$49*(Global!AP135*$B$48+Global!AP135^2*$C$48)*(AP61/$B61)^(1/$C$49)</f>
        <v>2.3246218377867915</v>
      </c>
      <c r="AR50" s="44">
        <f>100*$B$49*(Global!AQ135*$B$48+Global!AQ135^2*$C$48)*(AQ61/$B61)^(1/$C$49)</f>
        <v>2.3530230577410691</v>
      </c>
      <c r="AS50" s="44">
        <f>100*$B$49*(Global!AR135*$B$48+Global!AR135^2*$C$48)*(AR61/$B61)^(1/$C$49)</f>
        <v>2.3808045439109073</v>
      </c>
      <c r="AT50" s="44">
        <f>100*$B$49*(Global!AS135*$B$48+Global!AS135^2*$C$48)*(AS61/$B61)^(1/$C$49)</f>
        <v>2.4084372503345697</v>
      </c>
      <c r="AU50" s="44">
        <f>100*$B$49*(Global!AT135*$B$48+Global!AT135^2*$C$48)*(AT61/$B61)^(1/$C$49)</f>
        <v>2.4361830592140654</v>
      </c>
      <c r="AV50" s="44">
        <f>100*$B$49*(Global!AU135*$B$48+Global!AU135^2*$C$48)*(AU61/$B61)^(1/$C$49)</f>
        <v>2.4641920091297211</v>
      </c>
      <c r="AW50" s="44">
        <f>100*$B$49*(Global!AV135*$B$48+Global!AV135^2*$C$48)*(AV61/$B61)^(1/$C$49)</f>
        <v>2.4925536370650203</v>
      </c>
      <c r="AX50" s="44">
        <f>100*$B$49*(Global!AW135*$B$48+Global!AW135^2*$C$48)*(AW61/$B61)^(1/$C$49)</f>
        <v>2.5213243703288311</v>
      </c>
      <c r="AY50" s="44">
        <f>100*$B$49*(Global!AX135*$B$48+Global!AX135^2*$C$48)*(AX61/$B61)^(1/$C$49)</f>
        <v>2.5505422421692985</v>
      </c>
      <c r="AZ50" s="44">
        <f>100*$B$49*(Global!AY135*$B$48+Global!AY135^2*$C$48)*(AY61/$B61)^(1/$C$49)</f>
        <v>2.58023484426975</v>
      </c>
      <c r="BA50" s="44">
        <f>100*$B$49*(Global!AZ135*$B$48+Global!AZ135^2*$C$48)*(AZ61/$B61)^(1/$C$49)</f>
        <v>2.6104236533386125</v>
      </c>
      <c r="BB50" s="44">
        <f>100*$B$49*(Global!BA135*$B$48+Global!BA135^2*$C$48)*(BA61/$B61)^(1/$C$49)</f>
        <v>2.6411264070175458</v>
      </c>
      <c r="BC50" s="44">
        <f>100*$B$49*(Global!BB135*$B$48+Global!BB135^2*$C$48)*(BB61/$B61)^(1/$C$49)</f>
        <v>2.6723584270350229</v>
      </c>
      <c r="BD50" s="44">
        <f>100*$B$49*(Global!BC135*$B$48+Global!BC135^2*$C$48)*(BC61/$B61)^(1/$C$49)</f>
        <v>2.7041333720541325</v>
      </c>
      <c r="BE50" s="44">
        <f>100*$B$49*(Global!BD135*$B$48+Global!BD135^2*$C$48)*(BD61/$B61)^(1/$C$49)</f>
        <v>2.7364636798989554</v>
      </c>
      <c r="BF50" s="44">
        <f>100*$B$49*(Global!BE135*$B$48+Global!BE135^2*$C$48)*(BE61/$B61)^(1/$C$49)</f>
        <v>2.7693608391823292</v>
      </c>
      <c r="BG50" s="44">
        <f>100*$B$49*(Global!BF135*$B$48+Global!BF135^2*$C$48)*(BF61/$B61)^(1/$C$49)</f>
        <v>2.8028592610253611</v>
      </c>
      <c r="BH50" s="44">
        <f>100*$B$49*(Global!BG135*$B$48+Global!BG135^2*$C$48)*(BG61/$B61)^(1/$C$49)</f>
        <v>2.8369454588953675</v>
      </c>
      <c r="BI50" s="44">
        <f>100*$B$49*(Global!BH135*$B$48+Global!BH135^2*$C$48)*(BH61/$B61)^(1/$C$49)</f>
        <v>2.8716226126160396</v>
      </c>
      <c r="BJ50" s="44">
        <f>100*$B$49*(Global!BI135*$B$48+Global!BI135^2*$C$48)*(BI61/$B61)^(1/$C$49)</f>
        <v>2.9068995356178506</v>
      </c>
      <c r="BK50" s="44">
        <f>100*$B$49*(Global!BJ80*$B$48+Global!BJ80^2*$C$48)*(BJ61/$B61)^(1/$C$49)</f>
        <v>2.9180915553826585</v>
      </c>
      <c r="BL50" s="44">
        <f>100*$B$49*(Global!BK80*$B$48+Global!BK80^2*$C$48)*(BK61/$B61)^(1/$C$49)</f>
        <v>2.9295665893848311</v>
      </c>
      <c r="BM50" s="44">
        <f>100*$B$49*(Global!BL80*$B$48+Global!BL80^2*$C$48)*(BL61/$B61)^(1/$C$49)</f>
        <v>2.9413174989899797</v>
      </c>
      <c r="BN50" s="44">
        <f>100*$B$49*(Global!BM80*$B$48+Global!BM80^2*$C$48)*(BM61/$B61)^(1/$C$49)</f>
        <v>2.953337317701398</v>
      </c>
      <c r="BO50" s="44">
        <f>100*$B$49*(Global!BN80*$B$48+Global!BN80^2*$C$48)*(BN61/$B61)^(1/$C$49)</f>
        <v>2.9656192470154306</v>
      </c>
      <c r="BP50" s="44">
        <f>100*$B$49*(Global!BO80*$B$48+Global!BO80^2*$C$48)*(BO61/$B61)^(1/$C$49)</f>
        <v>2.9781566523766276</v>
      </c>
      <c r="BQ50" s="44">
        <f>100*$B$49*(Global!BP80*$B$48+Global!BP80^2*$C$48)*(BP61/$B61)^(1/$C$49)</f>
        <v>2.9909430592302915</v>
      </c>
      <c r="BR50" s="44">
        <f>100*$B$49*(Global!BQ80*$B$48+Global!BQ80^2*$C$48)*(BQ61/$B61)^(1/$C$49)</f>
        <v>3.0039721491700506</v>
      </c>
      <c r="BS50" s="44">
        <f>100*$B$49*(Global!BR80*$B$48+Global!BR80^2*$C$48)*(BR61/$B61)^(1/$C$49)</f>
        <v>3.0172377561781953</v>
      </c>
      <c r="BT50" s="44">
        <f>100*$B$49*(Global!BS80*$B$48+Global!BS80^2*$C$48)*(BS61/$B61)^(1/$C$49)</f>
        <v>3.0307338629565295</v>
      </c>
      <c r="BU50" s="44">
        <f>100*$B$49*(Global!BT80*$B$48+Global!BT80^2*$C$48)*(BT61/$B61)^(1/$C$49)</f>
        <v>3.0444545973455557</v>
      </c>
      <c r="BV50" s="44">
        <f>100*$B$49*(Global!BU80*$B$48+Global!BU80^2*$C$48)*(BU61/$B61)^(1/$C$49)</f>
        <v>3.0583942288298807</v>
      </c>
      <c r="BW50" s="44">
        <f>100*$B$49*(Global!BV80*$B$48+Global!BV80^2*$C$48)*(BV61/$B61)^(1/$C$49)</f>
        <v>3.0725471651277552</v>
      </c>
      <c r="BX50" s="44">
        <f>100*$B$49*(Global!BW80*$B$48+Global!BW80^2*$C$48)*(BW61/$B61)^(1/$C$49)</f>
        <v>3.0869079488627196</v>
      </c>
      <c r="BY50" s="44">
        <f>100*$B$49*(Global!BX80*$B$48+Global!BX80^2*$C$48)*(BX61/$B61)^(1/$C$49)</f>
        <v>3.1014712543153897</v>
      </c>
      <c r="BZ50" s="44">
        <f>100*$B$49*(Global!BY80*$B$48+Global!BY80^2*$C$48)*(BY61/$B61)^(1/$C$49)</f>
        <v>3.1162318842534464</v>
      </c>
      <c r="CA50" s="44">
        <f>100*$B$49*(Global!BZ80*$B$48+Global!BZ80^2*$C$48)*(BZ61/$B61)^(1/$C$49)</f>
        <v>3.1311847668379427</v>
      </c>
      <c r="CB50" s="44">
        <f>100*$B$49*(Global!CA80*$B$48+Global!CA80^2*$C$48)*(CA61/$B61)^(1/$C$49)</f>
        <v>3.1463249526040995</v>
      </c>
      <c r="CC50" s="44">
        <f>100*$B$49*(Global!CB80*$B$48+Global!CB80^2*$C$48)*(CB61/$B61)^(1/$C$49)</f>
        <v>3.1616476115147911</v>
      </c>
      <c r="CD50" s="44">
        <f>100*$B$49*(Global!CC80*$B$48+Global!CC80^2*$C$48)*(CC61/$B61)^(1/$C$49)</f>
        <v>3.177148030084973</v>
      </c>
      <c r="CE50" s="44">
        <f>100*$B$49*(Global!CD80*$B$48+Global!CD80^2*$C$48)*(CD61/$B61)^(1/$C$49)</f>
        <v>3.1928216085753394</v>
      </c>
      <c r="CF50" s="44">
        <f>100*$B$49*(Global!CE80*$B$48+Global!CE80^2*$C$48)*(CE61/$B61)^(1/$C$49)</f>
        <v>3.2086638582535461</v>
      </c>
      <c r="CG50" s="44">
        <f>100*$B$49*(Global!CF80*$B$48+Global!CF80^2*$C$48)*(CF61/$B61)^(1/$C$49)</f>
        <v>3.2246703987213792</v>
      </c>
      <c r="CH50" s="44">
        <f>100*$B$49*(Global!CG80*$B$48+Global!CG80^2*$C$48)*(CG61/$B61)^(1/$C$49)</f>
        <v>3.2408369553062699</v>
      </c>
      <c r="CI50" s="44">
        <f>100*$B$49*(Global!CH80*$B$48+Global!CH80^2*$C$48)*(CH61/$B61)^(1/$C$49)</f>
        <v>3.2571593565156123</v>
      </c>
      <c r="CJ50" s="44">
        <f>100*$B$49*(Global!CI80*$B$48+Global!CI80^2*$C$48)*(CI61/$B61)^(1/$C$49)</f>
        <v>3.2736335315523726</v>
      </c>
      <c r="CK50" s="44">
        <f>100*$B$49*(Global!CJ80*$B$48+Global!CJ80^2*$C$48)*(CJ61/$B61)^(1/$C$49)</f>
        <v>3.2902555078905129</v>
      </c>
      <c r="CL50" s="44">
        <f>100*$B$49*(Global!CK80*$B$48+Global!CK80^2*$C$48)*(CK61/$B61)^(1/$C$49)</f>
        <v>3.307021408908791</v>
      </c>
      <c r="CM50" s="44">
        <f>100*$B$49*(Global!CL80*$B$48+Global!CL80^2*$C$48)*(CL61/$B61)^(1/$C$49)</f>
        <v>3.3239274515815271</v>
      </c>
      <c r="CN50" s="44">
        <f>100*$B$49*(Global!CM80*$B$48+Global!CM80^2*$C$48)*(CM61/$B61)^(1/$C$49)</f>
        <v>3.3409699442249661</v>
      </c>
      <c r="CO50" s="44">
        <f>100*$B$49*(Global!CN80*$B$48+Global!CN80^2*$C$48)*(CN61/$B61)^(1/$C$49)</f>
        <v>3.3581452842979083</v>
      </c>
      <c r="CP50" s="44">
        <f>100*$B$49*(Global!CO80*$B$48+Global!CO80^2*$C$48)*(CO61/$B61)^(1/$C$49)</f>
        <v>3.3754499562552769</v>
      </c>
      <c r="CQ50" s="44">
        <f>100*$B$49*(Global!CP80*$B$48+Global!CP80^2*$C$48)*(CP61/$B61)^(1/$C$49)</f>
        <v>3.3928805294533815</v>
      </c>
      <c r="CR50" s="44">
        <f>100*$B$49*(Global!CQ80*$B$48+Global!CQ80^2*$C$48)*(CQ61/$B61)^(1/$C$49)</f>
        <v>3.4104336561056026</v>
      </c>
      <c r="CS50" s="44">
        <f>100*$B$49*(Global!CR80*$B$48+Global!CR80^2*$C$48)*(CR61/$B61)^(1/$C$49)</f>
        <v>3.4281060692872973</v>
      </c>
      <c r="CT50" s="44">
        <f>100*$B$49*(Global!CS80*$B$48+Global!CS80^2*$C$48)*(CS61/$B61)^(1/$C$49)</f>
        <v>3.4458945809887425</v>
      </c>
      <c r="CU50" s="44">
        <f>100*$B$49*(Global!CT80*$B$48+Global!CT80^2*$C$48)*(CT61/$B61)^(1/$C$49)</f>
        <v>3.4637960802149559</v>
      </c>
      <c r="CV50" s="44">
        <f>100*$B$49*(Global!CU80*$B$48+Global!CU80^2*$C$48)*(CU61/$B61)^(1/$C$49)</f>
        <v>3.4818075311312615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82">
        <f>+Data!B242/1000</f>
        <v>1.2996994918834321E-3</v>
      </c>
      <c r="C52" s="114">
        <f>+B95-B92</f>
        <v>-177.60365560609068</v>
      </c>
    </row>
    <row r="53" spans="1:105" ht="18" customHeight="1" x14ac:dyDescent="0.2">
      <c r="A53" s="21" t="s">
        <v>121</v>
      </c>
      <c r="B53" s="135">
        <f>+Data!O177</f>
        <v>28.239191448273704</v>
      </c>
      <c r="C53" s="114">
        <f>+Data!Q177</f>
        <v>76.683017337879335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5" x14ac:dyDescent="0.2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5" x14ac:dyDescent="0.2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2.1623387467587385</v>
      </c>
      <c r="C61" s="682">
        <v>2.1855522240239966</v>
      </c>
      <c r="D61" s="682">
        <v>2.2096860039214352</v>
      </c>
      <c r="E61" s="682">
        <v>2.2126655251118299</v>
      </c>
      <c r="F61" s="682">
        <v>2.2563714017857461</v>
      </c>
      <c r="G61" s="682">
        <v>2.3318339621210957</v>
      </c>
      <c r="H61" s="682">
        <v>2.4610289128823148</v>
      </c>
      <c r="I61" s="682">
        <v>2.5627233946933816</v>
      </c>
      <c r="J61" s="682">
        <v>2.6568068378621548</v>
      </c>
      <c r="K61" s="682">
        <v>2.878761305070126</v>
      </c>
      <c r="L61" s="682">
        <v>3.0042454616925967</v>
      </c>
      <c r="M61" s="682">
        <v>3.1238774173191337</v>
      </c>
      <c r="N61" s="682">
        <v>3.2747503586037943</v>
      </c>
      <c r="O61" s="682">
        <v>3.4295620150346329</v>
      </c>
      <c r="P61" s="682">
        <v>3.6263090648475012</v>
      </c>
      <c r="Q61" s="682">
        <v>3.8384548714994007</v>
      </c>
      <c r="R61" s="682">
        <v>4.0672868003797999</v>
      </c>
      <c r="S61" s="682">
        <v>4.3118816646257931</v>
      </c>
      <c r="T61" s="682">
        <v>4.5311703464602777</v>
      </c>
      <c r="U61" s="682">
        <v>4.6583712296545325</v>
      </c>
      <c r="V61" s="682">
        <v>4.9068914399777244</v>
      </c>
      <c r="W61" s="682">
        <v>4.9756954686887722</v>
      </c>
      <c r="X61" s="682">
        <v>5.2219371794000944</v>
      </c>
      <c r="Y61" s="682">
        <v>5.4171222120098044</v>
      </c>
      <c r="Z61" s="682">
        <v>5.6055335180911046</v>
      </c>
      <c r="AA61" s="682">
        <v>5.786197598881369</v>
      </c>
      <c r="AB61" s="682">
        <v>5.9094248849679092</v>
      </c>
      <c r="AC61" s="682">
        <v>6.118533350675329</v>
      </c>
      <c r="AD61" s="682">
        <v>6.3187900244917037</v>
      </c>
      <c r="AE61" s="682">
        <v>6.491136245509332</v>
      </c>
      <c r="AF61" s="682">
        <v>6.3519368194188681</v>
      </c>
      <c r="AG61" s="682">
        <v>6.6434997203293067</v>
      </c>
      <c r="AH61" s="682">
        <v>6.9031702423998285</v>
      </c>
      <c r="AI61" s="45">
        <f t="shared" ref="B61:BI61" si="11">AI20*AI74^$B7*(AI56/1000)^(1-$B7)</f>
        <v>102.24807118710727</v>
      </c>
      <c r="AJ61" s="45">
        <f t="shared" si="11"/>
        <v>211.37684805646023</v>
      </c>
      <c r="AK61" s="45">
        <f t="shared" si="11"/>
        <v>281.42946726597506</v>
      </c>
      <c r="AL61" s="45">
        <f t="shared" si="11"/>
        <v>325.9792010714142</v>
      </c>
      <c r="AM61" s="45">
        <f t="shared" si="11"/>
        <v>357.28912819575777</v>
      </c>
      <c r="AN61" s="45">
        <f t="shared" si="11"/>
        <v>381.72234311392629</v>
      </c>
      <c r="AO61" s="45">
        <f t="shared" si="11"/>
        <v>402.5988059629168</v>
      </c>
      <c r="AP61" s="45">
        <f t="shared" si="11"/>
        <v>421.70130198869805</v>
      </c>
      <c r="AQ61" s="45">
        <f t="shared" si="11"/>
        <v>440.00817468609796</v>
      </c>
      <c r="AR61" s="45">
        <f t="shared" si="11"/>
        <v>458.06596762296186</v>
      </c>
      <c r="AS61" s="45">
        <f t="shared" si="11"/>
        <v>476.18608786033838</v>
      </c>
      <c r="AT61" s="45">
        <f t="shared" si="11"/>
        <v>494.5509625357812</v>
      </c>
      <c r="AU61" s="45">
        <f t="shared" si="11"/>
        <v>513.27206412190083</v>
      </c>
      <c r="AV61" s="45">
        <f t="shared" si="11"/>
        <v>532.421840239723</v>
      </c>
      <c r="AW61" s="45">
        <f t="shared" si="11"/>
        <v>552.05134617774524</v>
      </c>
      <c r="AX61" s="45">
        <f t="shared" si="11"/>
        <v>572.20000167944625</v>
      </c>
      <c r="AY61" s="45">
        <f t="shared" si="11"/>
        <v>592.90099809178923</v>
      </c>
      <c r="AZ61" s="45">
        <f t="shared" si="11"/>
        <v>614.18430079105235</v>
      </c>
      <c r="BA61" s="45">
        <f t="shared" si="11"/>
        <v>636.07832195792844</v>
      </c>
      <c r="BB61" s="45">
        <f t="shared" si="11"/>
        <v>658.6108584710563</v>
      </c>
      <c r="BC61" s="45">
        <f t="shared" si="11"/>
        <v>681.80962402024886</v>
      </c>
      <c r="BD61" s="45">
        <f t="shared" si="11"/>
        <v>705.70255749545413</v>
      </c>
      <c r="BE61" s="45">
        <f t="shared" si="11"/>
        <v>730.31800831197404</v>
      </c>
      <c r="BF61" s="45">
        <f t="shared" si="11"/>
        <v>755.71040869400576</v>
      </c>
      <c r="BG61" s="45">
        <f t="shared" si="11"/>
        <v>781.88498247872587</v>
      </c>
      <c r="BH61" s="45">
        <f t="shared" si="11"/>
        <v>808.86479179081391</v>
      </c>
      <c r="BI61" s="45">
        <f t="shared" si="11"/>
        <v>836.68004530047767</v>
      </c>
      <c r="BJ61" s="45">
        <f>+BI61</f>
        <v>836.68004530047767</v>
      </c>
      <c r="BK61" s="45">
        <f t="shared" ref="BK61:CV61" si="12">+BJ61</f>
        <v>836.68004530047767</v>
      </c>
      <c r="BL61" s="45">
        <f t="shared" si="12"/>
        <v>836.68004530047767</v>
      </c>
      <c r="BM61" s="45">
        <f t="shared" si="12"/>
        <v>836.68004530047767</v>
      </c>
      <c r="BN61" s="45">
        <f t="shared" si="12"/>
        <v>836.68004530047767</v>
      </c>
      <c r="BO61" s="45">
        <f t="shared" si="12"/>
        <v>836.68004530047767</v>
      </c>
      <c r="BP61" s="45">
        <f t="shared" si="12"/>
        <v>836.68004530047767</v>
      </c>
      <c r="BQ61" s="45">
        <f t="shared" si="12"/>
        <v>836.68004530047767</v>
      </c>
      <c r="BR61" s="45">
        <f t="shared" si="12"/>
        <v>836.68004530047767</v>
      </c>
      <c r="BS61" s="45">
        <f t="shared" si="12"/>
        <v>836.68004530047767</v>
      </c>
      <c r="BT61" s="45">
        <f t="shared" si="12"/>
        <v>836.68004530047767</v>
      </c>
      <c r="BU61" s="45">
        <f t="shared" si="12"/>
        <v>836.68004530047767</v>
      </c>
      <c r="BV61" s="45">
        <f t="shared" si="12"/>
        <v>836.68004530047767</v>
      </c>
      <c r="BW61" s="45">
        <f t="shared" si="12"/>
        <v>836.68004530047767</v>
      </c>
      <c r="BX61" s="45">
        <f t="shared" si="12"/>
        <v>836.68004530047767</v>
      </c>
      <c r="BY61" s="45">
        <f t="shared" si="12"/>
        <v>836.68004530047767</v>
      </c>
      <c r="BZ61" s="45">
        <f t="shared" si="12"/>
        <v>836.68004530047767</v>
      </c>
      <c r="CA61" s="45">
        <f t="shared" si="12"/>
        <v>836.68004530047767</v>
      </c>
      <c r="CB61" s="45">
        <f t="shared" si="12"/>
        <v>836.68004530047767</v>
      </c>
      <c r="CC61" s="45">
        <f t="shared" si="12"/>
        <v>836.68004530047767</v>
      </c>
      <c r="CD61" s="45">
        <f t="shared" si="12"/>
        <v>836.68004530047767</v>
      </c>
      <c r="CE61" s="45">
        <f t="shared" si="12"/>
        <v>836.68004530047767</v>
      </c>
      <c r="CF61" s="45">
        <f t="shared" si="12"/>
        <v>836.68004530047767</v>
      </c>
      <c r="CG61" s="45">
        <f t="shared" si="12"/>
        <v>836.68004530047767</v>
      </c>
      <c r="CH61" s="45">
        <f t="shared" si="12"/>
        <v>836.68004530047767</v>
      </c>
      <c r="CI61" s="45">
        <f t="shared" si="12"/>
        <v>836.68004530047767</v>
      </c>
      <c r="CJ61" s="45">
        <f t="shared" si="12"/>
        <v>836.68004530047767</v>
      </c>
      <c r="CK61" s="45">
        <f t="shared" si="12"/>
        <v>836.68004530047767</v>
      </c>
      <c r="CL61" s="45">
        <f t="shared" si="12"/>
        <v>836.68004530047767</v>
      </c>
      <c r="CM61" s="45">
        <f t="shared" si="12"/>
        <v>836.68004530047767</v>
      </c>
      <c r="CN61" s="45">
        <f t="shared" si="12"/>
        <v>836.68004530047767</v>
      </c>
      <c r="CO61" s="45">
        <f t="shared" si="12"/>
        <v>836.68004530047767</v>
      </c>
      <c r="CP61" s="45">
        <f t="shared" si="12"/>
        <v>836.68004530047767</v>
      </c>
      <c r="CQ61" s="45">
        <f t="shared" si="12"/>
        <v>836.68004530047767</v>
      </c>
      <c r="CR61" s="45">
        <f t="shared" si="12"/>
        <v>836.68004530047767</v>
      </c>
      <c r="CS61" s="45">
        <f t="shared" si="12"/>
        <v>836.68004530047767</v>
      </c>
      <c r="CT61" s="45">
        <f t="shared" si="12"/>
        <v>836.68004530047767</v>
      </c>
      <c r="CU61" s="45">
        <f t="shared" si="12"/>
        <v>836.68004530047767</v>
      </c>
      <c r="CV61" s="45">
        <f t="shared" si="12"/>
        <v>836.68004530047767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3.4831036514519566E-3</v>
      </c>
      <c r="C62" s="63">
        <f>($B24*C81+$B25*C81^$B$26+$B$29*(C81/$B$27)^$B$28)*Parameters!$B$116*0.01</f>
        <v>3.1747841303185827E-3</v>
      </c>
      <c r="D62" s="63">
        <f>($B24*D81+$B25*D81^$B$26+$B$29*(D81/$B$27)^$B$28)*Parameters!$B$116*0.01</f>
        <v>2.1469384863876092E-3</v>
      </c>
      <c r="E62" s="63">
        <f>($B24*E81+$B25*E81^$B$26+$B$29*(E81/$B$27)^$B$28)*Parameters!$B$116*0.01</f>
        <v>2.2006695759138805E-3</v>
      </c>
      <c r="F62" s="63">
        <f>($B24*F81+$B25*F81^$B$26+$B$29*(F81/$B$27)^$B$28)*Parameters!$B$116*0.01</f>
        <v>2.644797358584779E-3</v>
      </c>
      <c r="G62" s="63">
        <f>($B24*G81+$B25*G81^$B$26+$B$29*(G81/$B$27)^$B$28)*Parameters!$B$116*0.01</f>
        <v>3.4206464657552415E-3</v>
      </c>
      <c r="H62" s="63">
        <f>($B24*H81+$B25*H81^$B$26+$B$29*(H81/$B$27)^$B$28)*Parameters!$B$116*0.01</f>
        <v>2.7597957116027058E-3</v>
      </c>
      <c r="I62" s="63">
        <f>($B24*I81+$B25*I81^$B$26+$B$29*(I81/$B$27)^$B$28)*Parameters!$B$116*0.01</f>
        <v>3.5459574778836916E-3</v>
      </c>
      <c r="J62" s="63">
        <f>($B24*J81+$B25*J81^$B$26+$B$29*(J81/$B$27)^$B$28)*Parameters!$B$116*0.01</f>
        <v>4.4675583251051034E-3</v>
      </c>
      <c r="K62" s="63">
        <f>($B24*K81+$B25*K81^$B$26+$B$29*(K81/$B$27)^$B$28)*Parameters!$B$116*0.01</f>
        <v>3.0542328070103744E-3</v>
      </c>
      <c r="L62" s="63">
        <f>($B24*L81+$B25*L81^$B$26+$B$29*(L81/$B$27)^$B$28)*Parameters!$B$116*0.01</f>
        <v>3.1143101482969684E-3</v>
      </c>
      <c r="M62" s="63">
        <f>($B24*M81+$B25*M81^$B$26+$B$29*(M81/$B$27)^$B$28)*Parameters!$B$116*0.01</f>
        <v>3.9970402034864043E-3</v>
      </c>
      <c r="N62" s="63">
        <f>($B24*N81+$B25*N81^$B$26+$B$29*(N81/$B$27)^$B$28)*Parameters!$B$116*0.01</f>
        <v>4.6751585596812775E-3</v>
      </c>
      <c r="O62" s="63">
        <f>($B24*O81+$B25*O81^$B$26+$B$29*(O81/$B$27)^$B$28)*Parameters!$B$116*0.01</f>
        <v>4.6055618407541991E-3</v>
      </c>
      <c r="P62" s="63">
        <f>($B24*P81+$B25*P81^$B$26+$B$29*(P81/$B$27)^$B$28)*Parameters!$B$116*0.01</f>
        <v>3.9970402034864043E-3</v>
      </c>
      <c r="Q62" s="63">
        <f>($B24*Q81+$B25*Q81^$B$26+$B$29*(Q81/$B$27)^$B$28)*Parameters!$B$116*0.01</f>
        <v>4.9575118427397907E-3</v>
      </c>
      <c r="R62" s="63">
        <f>($B24*R81+$B25*R81^$B$26+$B$29*(R81/$B$27)^$B$28)*Parameters!$B$116*0.01</f>
        <v>4.7451519193433753E-3</v>
      </c>
      <c r="S62" s="63">
        <f>($B24*S81+$B25*S81^$B$26+$B$29*(S81/$B$27)^$B$28)*Parameters!$B$116*0.01</f>
        <v>4.8863285608726327E-3</v>
      </c>
      <c r="T62" s="63">
        <f>($B24*T81+$B25*T81^$B$26+$B$29*(T81/$B$27)^$B$28)*Parameters!$B$116*0.01</f>
        <v>4.0630671557983005E-3</v>
      </c>
      <c r="U62" s="63">
        <f>($B24*U81+$B25*U81^$B$26+$B$29*(U81/$B$27)^$B$28)*Parameters!$B$116*0.01</f>
        <v>4.8155419197404934E-3</v>
      </c>
      <c r="V62" s="63">
        <f>($B24*V81+$B25*V81^$B$26+$B$29*(V81/$B$27)^$B$28)*Parameters!$B$116*0.01</f>
        <v>5.3193778631008869E-3</v>
      </c>
      <c r="W62" s="63">
        <f>($B24*W81+$B25*W81^$B$26+$B$29*(W81/$B$27)^$B$28)*Parameters!$B$116*0.01</f>
        <v>4.5363617625621411E-3</v>
      </c>
      <c r="X62" s="63">
        <f>($B24*X81+$B25*X81^$B$26+$B$29*(X81/$B$27)^$B$28)*Parameters!$B$116*0.01</f>
        <v>4.8155419197404934E-3</v>
      </c>
      <c r="Y62" s="63">
        <f>($B24*Y81+$B25*Y81^$B$26+$B$29*(Y81/$B$27)^$B$28)*Parameters!$B$116*0.01</f>
        <v>5.0290917653419698E-3</v>
      </c>
      <c r="Z62" s="63">
        <f>($B24*Z81+$B25*Z81^$B$26+$B$29*(Z81/$B$27)^$B$28)*Parameters!$B$116*0.01</f>
        <v>5.466900756390467E-3</v>
      </c>
      <c r="AA62" s="63">
        <f>($B24*AA81+$B25*AA81^$B$26+$B$29*(AA81/$B$27)^$B$28)*Parameters!$B$116*0.01</f>
        <v>6.7042001685500051E-3</v>
      </c>
      <c r="AB62" s="63">
        <f>($B24*AB81+$B25*AB81^$B$26+$B$29*(AB81/$B$27)^$B$28)*Parameters!$B$116*0.01</f>
        <v>7.6137446635601838E-3</v>
      </c>
      <c r="AC62" s="63">
        <f>($B24*AC81+$B25*AC81^$B$26+$B$29*(AC81/$B$27)^$B$28)*Parameters!$B$116*0.01</f>
        <v>6.8660021283003117E-3</v>
      </c>
      <c r="AD62" s="63">
        <f>($B24*AD81+$B25*AD81^$B$26+$B$29*(AD81/$B$27)^$B$28)*Parameters!$B$116*0.01</f>
        <v>6.306636482037096E-3</v>
      </c>
      <c r="AE62" s="63">
        <f>($B24*AE81+$B25*AE81^$B$26+$B$29*(AE81/$B$27)^$B$28)*Parameters!$B$116*0.01</f>
        <v>7.3609273851917116E-3</v>
      </c>
      <c r="AF62" s="63">
        <f>($B24*AF81+$B25*AF81^$B$26+$B$29*(AF81/$B$27)^$B$28)*Parameters!$B$116*0.01</f>
        <v>7.6137446635601838E-3</v>
      </c>
      <c r="AG62" s="63">
        <f>($B24*AG81+$B25*AG81^$B$26+$B$29*(AG81/$B$27)^$B$28)*Parameters!$B$116*0.01</f>
        <v>6.306636482037096E-3</v>
      </c>
      <c r="AH62" s="63">
        <f>($B24*AH81+$B25*AH81^$B$26+$B$29*(AH81/$B$27)^$B$28)*Parameters!$B$116*0.01</f>
        <v>6.6238941497773832E-3</v>
      </c>
      <c r="AI62" s="63">
        <f>($B24*AI81+$B25*AI81^$B$26+$B$29*(AI81/$B$27)^$B$28)*Parameters!$B$116*0.01</f>
        <v>9.0223928732484325E-3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3.4831036514519566E-3</v>
      </c>
      <c r="C63" s="63">
        <f t="shared" si="13"/>
        <v>4.0194655454881354E-3</v>
      </c>
      <c r="D63" s="63">
        <f t="shared" si="13"/>
        <v>3.1292891660763657E-3</v>
      </c>
      <c r="E63" s="63">
        <f t="shared" si="13"/>
        <v>3.3436734272140737E-3</v>
      </c>
      <c r="F63" s="63">
        <f t="shared" si="13"/>
        <v>3.9465699882985407E-3</v>
      </c>
      <c r="G63" s="63">
        <f t="shared" si="13"/>
        <v>4.8996481160809811E-3</v>
      </c>
      <c r="H63" s="63">
        <f t="shared" si="13"/>
        <v>4.4426813399008475E-3</v>
      </c>
      <c r="I63" s="63">
        <f t="shared" si="13"/>
        <v>5.4262305094030213E-3</v>
      </c>
      <c r="J63" s="63">
        <f t="shared" si="13"/>
        <v>6.5628320353455331E-3</v>
      </c>
      <c r="K63" s="63">
        <f t="shared" si="13"/>
        <v>5.3867440853529033E-3</v>
      </c>
      <c r="L63" s="63">
        <f t="shared" si="13"/>
        <v>5.6780105880265812E-3</v>
      </c>
      <c r="M63" s="63">
        <f t="shared" si="13"/>
        <v>6.7741336315343256E-3</v>
      </c>
      <c r="N63" s="63">
        <f t="shared" si="13"/>
        <v>7.6455060631527919E-3</v>
      </c>
      <c r="O63" s="63">
        <f t="shared" si="13"/>
        <v>7.7933363837368918E-3</v>
      </c>
      <c r="P63" s="63">
        <f t="shared" si="13"/>
        <v>7.4016793391713208E-3</v>
      </c>
      <c r="Q63" s="63">
        <f t="shared" si="13"/>
        <v>8.5745981864648844E-3</v>
      </c>
      <c r="R63" s="63">
        <f t="shared" si="13"/>
        <v>8.6022425515470957E-3</v>
      </c>
      <c r="S63" s="63">
        <f t="shared" si="13"/>
        <v>8.9826144780466386E-3</v>
      </c>
      <c r="T63" s="63">
        <f t="shared" si="13"/>
        <v>8.4058617397416886E-3</v>
      </c>
      <c r="U63" s="63">
        <f t="shared" si="13"/>
        <v>9.3778399136783767E-3</v>
      </c>
      <c r="V63" s="63">
        <f t="shared" si="13"/>
        <v>1.0096368064794541E-2</v>
      </c>
      <c r="W63" s="63">
        <f t="shared" si="13"/>
        <v>9.5704705369113116E-3</v>
      </c>
      <c r="X63" s="63">
        <f t="shared" si="13"/>
        <v>1.0040768327077787E-2</v>
      </c>
      <c r="Y63" s="63">
        <f t="shared" si="13"/>
        <v>1.0497880217248713E-2</v>
      </c>
      <c r="Z63" s="63">
        <f t="shared" si="13"/>
        <v>1.1170363577209016E-2</v>
      </c>
      <c r="AA63" s="63">
        <f t="shared" si="13"/>
        <v>1.2650025760909792E-2</v>
      </c>
      <c r="AB63" s="63">
        <f t="shared" si="13"/>
        <v>1.382622945343303E-2</v>
      </c>
      <c r="AC63" s="63">
        <f t="shared" si="13"/>
        <v>1.3346682103552329E-2</v>
      </c>
      <c r="AD63" s="63">
        <f t="shared" si="13"/>
        <v>1.306159794470961E-2</v>
      </c>
      <c r="AE63" s="63">
        <f t="shared" si="13"/>
        <v>1.4374247473098626E-2</v>
      </c>
      <c r="AF63" s="63">
        <f t="shared" si="13"/>
        <v>1.4898260876849357E-2</v>
      </c>
      <c r="AG63" s="63">
        <f t="shared" si="13"/>
        <v>1.3775487136468537E-2</v>
      </c>
      <c r="AH63" s="63">
        <f t="shared" si="13"/>
        <v>1.4372365658977086E-2</v>
      </c>
      <c r="AI63" s="63">
        <f t="shared" si="13"/>
        <v>1.7046338068690554E-2</v>
      </c>
      <c r="AJ63" s="63">
        <f t="shared" si="13"/>
        <v>1.6220412977535199E-2</v>
      </c>
      <c r="AK63" s="63">
        <f t="shared" si="13"/>
        <v>1.9454285077053161E-2</v>
      </c>
      <c r="AL63" s="63">
        <f t="shared" si="13"/>
        <v>2.090654996835763E-2</v>
      </c>
      <c r="AM63" s="63">
        <f t="shared" si="13"/>
        <v>2.1702538250119637E-2</v>
      </c>
      <c r="AN63" s="63">
        <f t="shared" si="13"/>
        <v>2.2224033064608784E-2</v>
      </c>
      <c r="AO63" s="63">
        <f t="shared" si="13"/>
        <v>2.2617221425561294E-2</v>
      </c>
      <c r="AP63" s="63">
        <f t="shared" si="13"/>
        <v>2.2947335137273588E-2</v>
      </c>
      <c r="AQ63" s="63">
        <f t="shared" si="13"/>
        <v>2.3246218377867917E-2</v>
      </c>
      <c r="AR63" s="63">
        <f t="shared" si="13"/>
        <v>2.3530230577410691E-2</v>
      </c>
      <c r="AS63" s="63">
        <f t="shared" si="13"/>
        <v>2.3808045439109072E-2</v>
      </c>
      <c r="AT63" s="63">
        <f t="shared" si="13"/>
        <v>2.4084372503345698E-2</v>
      </c>
      <c r="AU63" s="63">
        <f t="shared" si="13"/>
        <v>2.4361830592140653E-2</v>
      </c>
      <c r="AV63" s="63">
        <f t="shared" si="13"/>
        <v>2.4641920091297211E-2</v>
      </c>
      <c r="AW63" s="63">
        <f t="shared" si="13"/>
        <v>2.4925536370650203E-2</v>
      </c>
      <c r="AX63" s="63">
        <f t="shared" si="13"/>
        <v>2.5213243703288309E-2</v>
      </c>
      <c r="AY63" s="63">
        <f t="shared" si="13"/>
        <v>2.5505422421692986E-2</v>
      </c>
      <c r="AZ63" s="63">
        <f t="shared" si="13"/>
        <v>2.5802348442697499E-2</v>
      </c>
      <c r="BA63" s="63">
        <f t="shared" si="13"/>
        <v>2.6104236533386126E-2</v>
      </c>
      <c r="BB63" s="63">
        <f t="shared" si="13"/>
        <v>2.6411264070175456E-2</v>
      </c>
      <c r="BC63" s="63">
        <f t="shared" si="13"/>
        <v>2.672358427035023E-2</v>
      </c>
      <c r="BD63" s="63">
        <f t="shared" si="13"/>
        <v>2.7041333720541325E-2</v>
      </c>
      <c r="BE63" s="63">
        <f t="shared" si="13"/>
        <v>2.7364636798989553E-2</v>
      </c>
      <c r="BF63" s="63">
        <f t="shared" si="13"/>
        <v>2.7693608391823291E-2</v>
      </c>
      <c r="BG63" s="63">
        <f t="shared" si="13"/>
        <v>2.802859261025361E-2</v>
      </c>
      <c r="BH63" s="63">
        <f t="shared" si="13"/>
        <v>2.8369454588953676E-2</v>
      </c>
      <c r="BI63" s="63">
        <f t="shared" si="13"/>
        <v>2.8716226126160396E-2</v>
      </c>
      <c r="BJ63" s="63">
        <f t="shared" si="13"/>
        <v>2.9068995356178507E-2</v>
      </c>
      <c r="BK63" s="63">
        <f t="shared" si="13"/>
        <v>2.9180915553826584E-2</v>
      </c>
      <c r="BL63" s="63">
        <f t="shared" si="13"/>
        <v>2.929566589384831E-2</v>
      </c>
      <c r="BM63" s="63">
        <f t="shared" si="13"/>
        <v>2.9413174989899798E-2</v>
      </c>
      <c r="BN63" s="63">
        <f t="shared" ref="BN63:CV63" si="14">+BN62+BN50/100</f>
        <v>2.9533373177013978E-2</v>
      </c>
      <c r="BO63" s="63">
        <f t="shared" si="14"/>
        <v>2.9656192470154306E-2</v>
      </c>
      <c r="BP63" s="63">
        <f t="shared" si="14"/>
        <v>2.9781566523766276E-2</v>
      </c>
      <c r="BQ63" s="63">
        <f t="shared" si="14"/>
        <v>2.9909430592302916E-2</v>
      </c>
      <c r="BR63" s="63">
        <f t="shared" si="14"/>
        <v>3.0039721491700505E-2</v>
      </c>
      <c r="BS63" s="63">
        <f t="shared" si="14"/>
        <v>3.0172377561781955E-2</v>
      </c>
      <c r="BT63" s="63">
        <f t="shared" si="14"/>
        <v>3.0307338629565295E-2</v>
      </c>
      <c r="BU63" s="63">
        <f t="shared" si="14"/>
        <v>3.0444545973455556E-2</v>
      </c>
      <c r="BV63" s="63">
        <f t="shared" si="14"/>
        <v>3.0583942288298808E-2</v>
      </c>
      <c r="BW63" s="63">
        <f t="shared" si="14"/>
        <v>3.072547165127755E-2</v>
      </c>
      <c r="BX63" s="63">
        <f t="shared" si="14"/>
        <v>3.0869079488627195E-2</v>
      </c>
      <c r="BY63" s="63">
        <f t="shared" si="14"/>
        <v>3.1014712543153897E-2</v>
      </c>
      <c r="BZ63" s="63">
        <f t="shared" si="14"/>
        <v>3.1162318842534464E-2</v>
      </c>
      <c r="CA63" s="63">
        <f t="shared" si="14"/>
        <v>3.1311847668379425E-2</v>
      </c>
      <c r="CB63" s="63">
        <f t="shared" si="14"/>
        <v>3.1463249526040994E-2</v>
      </c>
      <c r="CC63" s="63">
        <f t="shared" si="14"/>
        <v>3.161647611514791E-2</v>
      </c>
      <c r="CD63" s="63">
        <f t="shared" si="14"/>
        <v>3.1771480300849732E-2</v>
      </c>
      <c r="CE63" s="63">
        <f t="shared" si="14"/>
        <v>3.1928216085753393E-2</v>
      </c>
      <c r="CF63" s="63">
        <f t="shared" si="14"/>
        <v>3.2086638582535458E-2</v>
      </c>
      <c r="CG63" s="63">
        <f t="shared" si="14"/>
        <v>3.2246703987213791E-2</v>
      </c>
      <c r="CH63" s="63">
        <f t="shared" si="14"/>
        <v>3.2408369553062699E-2</v>
      </c>
      <c r="CI63" s="63">
        <f t="shared" si="14"/>
        <v>3.2571593565156126E-2</v>
      </c>
      <c r="CJ63" s="63">
        <f t="shared" si="14"/>
        <v>3.2736335315523724E-2</v>
      </c>
      <c r="CK63" s="63">
        <f t="shared" si="14"/>
        <v>3.2902555078905132E-2</v>
      </c>
      <c r="CL63" s="63">
        <f t="shared" si="14"/>
        <v>3.3070214089087911E-2</v>
      </c>
      <c r="CM63" s="63">
        <f t="shared" si="14"/>
        <v>3.3239274515815272E-2</v>
      </c>
      <c r="CN63" s="63">
        <f t="shared" si="14"/>
        <v>3.3409699442249662E-2</v>
      </c>
      <c r="CO63" s="63">
        <f t="shared" si="14"/>
        <v>3.358145284297908E-2</v>
      </c>
      <c r="CP63" s="63">
        <f t="shared" si="14"/>
        <v>3.3754499562552769E-2</v>
      </c>
      <c r="CQ63" s="63">
        <f t="shared" si="14"/>
        <v>3.3928805294533813E-2</v>
      </c>
      <c r="CR63" s="63">
        <f t="shared" si="14"/>
        <v>3.4104336561056027E-2</v>
      </c>
      <c r="CS63" s="63">
        <f t="shared" si="14"/>
        <v>3.4281060692872976E-2</v>
      </c>
      <c r="CT63" s="63">
        <f t="shared" si="14"/>
        <v>3.4458945809887426E-2</v>
      </c>
      <c r="CU63" s="63">
        <f t="shared" si="14"/>
        <v>3.4637960802149557E-2</v>
      </c>
      <c r="CV63" s="63">
        <f t="shared" si="14"/>
        <v>3.4818075311312618E-2</v>
      </c>
    </row>
    <row r="64" spans="1:105" s="143" customFormat="1" ht="18" customHeight="1" x14ac:dyDescent="0.2">
      <c r="A64" s="559" t="s">
        <v>1133</v>
      </c>
      <c r="B64" s="143">
        <f>+B61-B65</f>
        <v>7.5055075238492641E-3</v>
      </c>
      <c r="C64" s="143">
        <f>+C63*C61/(1+C63^Parameters!$B$125)</f>
        <v>8.7847518623294218E-3</v>
      </c>
      <c r="D64" s="143">
        <f>+D63*D61/(1+D63^Parameters!$B$125)</f>
        <v>6.914746472501925E-3</v>
      </c>
      <c r="E64" s="143">
        <f>+E63*E61/(1+E63^Parameters!$B$125)</f>
        <v>7.3984309196291004E-3</v>
      </c>
      <c r="F64" s="143">
        <f>+F63*F61/(1+F63^Parameters!$B$125)</f>
        <v>8.9049276567427348E-3</v>
      </c>
      <c r="G64" s="143">
        <f>+G63*G61/(1+G63^Parameters!$B$125)</f>
        <v>1.1425165879520277E-2</v>
      </c>
      <c r="H64" s="143">
        <f>+H63*H61/(1+H63^Parameters!$B$125)</f>
        <v>1.0933567228218729E-2</v>
      </c>
      <c r="I64" s="143">
        <f>+I63*I61/(1+I63^Parameters!$B$125)</f>
        <v>1.3905927871446108E-2</v>
      </c>
      <c r="J64" s="143">
        <f>+J63*J61/(1+J63^Parameters!$B$125)</f>
        <v>1.7436177027246817E-2</v>
      </c>
      <c r="K64" s="143">
        <f>+K63*K61/(1+K63^Parameters!$B$125)</f>
        <v>1.5507150433229306E-2</v>
      </c>
      <c r="L64" s="143">
        <f>+L63*L61/(1+L63^Parameters!$B$125)</f>
        <v>1.7058137540521368E-2</v>
      </c>
      <c r="M64" s="143">
        <f>+M63*M61/(1+M63^Parameters!$B$125)</f>
        <v>2.1161563073452135E-2</v>
      </c>
      <c r="N64" s="143">
        <f>+N63*N61/(1+N63^Parameters!$B$125)</f>
        <v>2.503712372201709E-2</v>
      </c>
      <c r="O64" s="143">
        <f>+O63*O61/(1+O63^Parameters!$B$125)</f>
        <v>2.6727730432051414E-2</v>
      </c>
      <c r="P64" s="143">
        <f>+P63*P61/(1+P63^Parameters!$B$125)</f>
        <v>2.6840776882731423E-2</v>
      </c>
      <c r="Q64" s="143">
        <f>+Q63*Q61/(1+Q63^Parameters!$B$125)</f>
        <v>3.291320817998606E-2</v>
      </c>
      <c r="R64" s="143">
        <f>+R63*R61/(1+R63^Parameters!$B$125)</f>
        <v>3.4987787583572953E-2</v>
      </c>
      <c r="S64" s="143">
        <f>+S63*S61/(1+S63^Parameters!$B$125)</f>
        <v>3.8731970668291489E-2</v>
      </c>
      <c r="T64" s="143">
        <f>+T63*T61/(1+T63^Parameters!$B$125)</f>
        <v>3.8088391451562544E-2</v>
      </c>
      <c r="U64" s="143">
        <f>+U63*U61/(1+U63^Parameters!$B$125)</f>
        <v>4.3685459650185297E-2</v>
      </c>
      <c r="V64" s="143">
        <f>+V63*V61/(1+V63^Parameters!$B$125)</f>
        <v>4.9541782032004794E-2</v>
      </c>
      <c r="W64" s="143">
        <f>+W63*W61/(1+W63^Parameters!$B$125)</f>
        <v>4.7619746883729011E-2</v>
      </c>
      <c r="X64" s="143">
        <f>+X63*X61/(1+X63^Parameters!$B$125)</f>
        <v>5.2432261436910384E-2</v>
      </c>
      <c r="Y64" s="143">
        <f>+Y63*Y61/(1+Y63^Parameters!$B$125)</f>
        <v>5.6868300103876314E-2</v>
      </c>
      <c r="Z64" s="143">
        <f>+Z63*Z61/(1+Z63^Parameters!$B$125)</f>
        <v>6.2615847441309186E-2</v>
      </c>
      <c r="AA64" s="143">
        <f>+AA63*AA61/(1+AA63^Parameters!$B$125)</f>
        <v>7.3195548683563705E-2</v>
      </c>
      <c r="AB64" s="143">
        <f>+AB63*AB61/(1+AB63^Parameters!$B$125)</f>
        <v>8.1705064397393404E-2</v>
      </c>
      <c r="AC64" s="143">
        <f>+AC63*AC61/(1+AC63^Parameters!$B$125)</f>
        <v>8.1662119571446479E-2</v>
      </c>
      <c r="AD64" s="143">
        <f>+AD63*AD61/(1+AD63^Parameters!$B$125)</f>
        <v>8.253349479695242E-2</v>
      </c>
      <c r="AE64" s="143">
        <f>+AE63*AE61/(1+AE63^Parameters!$B$125)</f>
        <v>9.3305198774551415E-2</v>
      </c>
      <c r="AF64" s="143">
        <f>+AF63*AF61/(1+AF63^Parameters!$B$125)</f>
        <v>9.4632811808967057E-2</v>
      </c>
      <c r="AG64" s="143">
        <f>+AG63*AG61/(1+AG63^Parameters!$B$125)</f>
        <v>9.1517444938528689E-2</v>
      </c>
      <c r="AH64" s="143">
        <f>+AH63*AH61/(1+AH63^Parameters!$B$125)</f>
        <v>9.9214886929939822E-2</v>
      </c>
      <c r="AI64" s="143">
        <f>+AI63*AI61/(1+AI63^Parameters!$B$125)</f>
        <v>1.7429551883269685</v>
      </c>
      <c r="AJ64" s="143">
        <f>+AJ63*AJ61/(1+AJ63^Parameters!$B$125)</f>
        <v>3.4286197693654934</v>
      </c>
      <c r="AK64" s="143">
        <f>+AK63*AK61/(1+AK63^Parameters!$B$125)</f>
        <v>5.47500908527548</v>
      </c>
      <c r="AL64" s="143">
        <f>+AL63*AL61/(1+AL63^Parameters!$B$125)</f>
        <v>6.8151004558448198</v>
      </c>
      <c r="AM64" s="143">
        <f>+AM63*AM61/(1+AM63^Parameters!$B$125)</f>
        <v>7.7540809710203318</v>
      </c>
      <c r="AN64" s="143">
        <f>+AN63*AN61/(1+AN63^Parameters!$B$125)</f>
        <v>8.4834099748638376</v>
      </c>
      <c r="AO64" s="143">
        <f>+AO63*AO61/(1+AO63^Parameters!$B$125)</f>
        <v>9.1056663401298756</v>
      </c>
      <c r="AP64" s="143">
        <f>+AP63*AP61/(1+AP63^Parameters!$B$125)</f>
        <v>9.6769211045592716</v>
      </c>
      <c r="AQ64" s="143">
        <f>+AQ63*AQ61/(1+AQ63^Parameters!$B$125)</f>
        <v>10.228526116800086</v>
      </c>
      <c r="AR64" s="143">
        <f>+AR63*AR61/(1+AR63^Parameters!$B$125)</f>
        <v>10.778397837833033</v>
      </c>
      <c r="AS64" s="143">
        <f>+AS63*AS61/(1+AS63^Parameters!$B$125)</f>
        <v>11.33706001725052</v>
      </c>
      <c r="AT64" s="143">
        <f>+AT63*AT61/(1+AT63^Parameters!$B$125)</f>
        <v>11.910949603599917</v>
      </c>
      <c r="AU64" s="143">
        <f>+AU63*AU61/(1+AU63^Parameters!$B$125)</f>
        <v>12.504247073816103</v>
      </c>
      <c r="AV64" s="143">
        <f>+AV63*AV61/(1+AV63^Parameters!$B$125)</f>
        <v>13.119896442048663</v>
      </c>
      <c r="AW64" s="143">
        <f>+AW63*AW61/(1+AW63^Parameters!$B$125)</f>
        <v>13.760175907619795</v>
      </c>
      <c r="AX64" s="143">
        <f>+AX63*AX61/(1+AX63^Parameters!$B$125)</f>
        <v>14.427018089365857</v>
      </c>
      <c r="AY64" s="143">
        <f>+AY63*AY61/(1+AY63^Parameters!$B$125)</f>
        <v>15.122190410574468</v>
      </c>
      <c r="AZ64" s="143">
        <f>+AZ63*AZ61/(1+AZ63^Parameters!$B$125)</f>
        <v>15.847397337045258</v>
      </c>
      <c r="BA64" s="143">
        <f>+BA63*BA61/(1+BA63^Parameters!$B$125)</f>
        <v>16.604338970149094</v>
      </c>
      <c r="BB64" s="143">
        <f>+BB63*BB61/(1+BB63^Parameters!$B$125)</f>
        <v>17.394745302564019</v>
      </c>
      <c r="BC64" s="143">
        <f>+BC63*BC61/(1+BC63^Parameters!$B$125)</f>
        <v>18.220396943840925</v>
      </c>
      <c r="BD64" s="143">
        <f>+BD63*BD61/(1+BD63^Parameters!$B$125)</f>
        <v>19.083138364674074</v>
      </c>
      <c r="BE64" s="143">
        <f>+BE63*BE61/(1+BE63^Parameters!$B$125)</f>
        <v>19.984887045218599</v>
      </c>
      <c r="BF64" s="143">
        <f>+BF63*BF61/(1+BF63^Parameters!$B$125)</f>
        <v>20.928348115996524</v>
      </c>
      <c r="BG64" s="143">
        <f>+BG63*BG61/(1+BG63^Parameters!$B$125)</f>
        <v>21.915135641971485</v>
      </c>
      <c r="BH64" s="143">
        <f>+BH63*BH61/(1+BH63^Parameters!$B$125)</f>
        <v>22.947052979312954</v>
      </c>
      <c r="BI64" s="143">
        <f>+BI63*BI61/(1+BI63^Parameters!$B$125)</f>
        <v>24.026293376094628</v>
      </c>
      <c r="BJ64" s="143">
        <f>+BJ63*BJ61/(1+BJ63^Parameters!$B$125)</f>
        <v>24.321448351446797</v>
      </c>
      <c r="BK64" s="143">
        <f>+BK63*BK61/(1+BK63^Parameters!$B$125)</f>
        <v>24.41508974748503</v>
      </c>
      <c r="BL64" s="143">
        <f>+BL63*BL61/(1+BL63^Parameters!$B$125)</f>
        <v>24.511099067172651</v>
      </c>
      <c r="BM64" s="143">
        <f>+BM63*BM61/(1+BM63^Parameters!$B$125)</f>
        <v>24.609416582980231</v>
      </c>
      <c r="BN64" s="143">
        <f>+BN63*BN61/(1+BN63^Parameters!$B$125)</f>
        <v>24.709984007619958</v>
      </c>
      <c r="BO64" s="143">
        <f>+BO63*BO61/(1+BO63^Parameters!$B$125)</f>
        <v>24.812744459368378</v>
      </c>
      <c r="BP64" s="143">
        <f>+BP63*BP61/(1+BP63^Parameters!$B$125)</f>
        <v>24.917642428223946</v>
      </c>
      <c r="BQ64" s="143">
        <f>+BQ63*BQ61/(1+BQ63^Parameters!$B$125)</f>
        <v>25.024623742879477</v>
      </c>
      <c r="BR64" s="143">
        <f>+BR63*BR61/(1+BR63^Parameters!$B$125)</f>
        <v>25.133635538489692</v>
      </c>
      <c r="BS64" s="143">
        <f>+BS63*BS61/(1+BS63^Parameters!$B$125)</f>
        <v>25.244626225214823</v>
      </c>
      <c r="BT64" s="143">
        <f>+BT63*BT61/(1+BT63^Parameters!$B$125)</f>
        <v>25.357545457521592</v>
      </c>
      <c r="BU64" s="143">
        <f>+BU63*BU61/(1+BU63^Parameters!$B$125)</f>
        <v>25.47234410422325</v>
      </c>
      <c r="BV64" s="143">
        <f>+BV63*BV61/(1+BV63^Parameters!$B$125)</f>
        <v>25.588974219241024</v>
      </c>
      <c r="BW64" s="143">
        <f>+BW63*BW61/(1+BW63^Parameters!$B$125)</f>
        <v>25.707389013069424</v>
      </c>
      <c r="BX64" s="143">
        <f>+BX63*BX61/(1+BX63^Parameters!$B$125)</f>
        <v>25.827542824928628</v>
      </c>
      <c r="BY64" s="143">
        <f>+BY63*BY61/(1+BY63^Parameters!$B$125)</f>
        <v>25.949391095587274</v>
      </c>
      <c r="BZ64" s="143">
        <f>+BZ63*BZ61/(1+BZ63^Parameters!$B$125)</f>
        <v>26.072890340839638</v>
      </c>
      <c r="CA64" s="143">
        <f>+CA63*CA61/(1+CA63^Parameters!$B$125)</f>
        <v>26.197998125621329</v>
      </c>
      <c r="CB64" s="143">
        <f>+CB63*CB61/(1+CB63^Parameters!$B$125)</f>
        <v>26.324673038748188</v>
      </c>
      <c r="CC64" s="143">
        <f>+CC63*CC61/(1+CC63^Parameters!$B$125)</f>
        <v>26.452874668263398</v>
      </c>
      <c r="CD64" s="143">
        <f>+CD63*CD61/(1+CD63^Parameters!$B$125)</f>
        <v>26.58256357737816</v>
      </c>
      <c r="CE64" s="143">
        <f>+CE63*CE61/(1+CE63^Parameters!$B$125)</f>
        <v>26.713701280991561</v>
      </c>
      <c r="CF64" s="143">
        <f>+CF63*CF61/(1+CF63^Parameters!$B$125)</f>
        <v>26.846250222775794</v>
      </c>
      <c r="CG64" s="143">
        <f>+CG63*CG61/(1+CG63^Parameters!$B$125)</f>
        <v>26.980173752813101</v>
      </c>
      <c r="CH64" s="143">
        <f>+CH63*CH61/(1+CH63^Parameters!$B$125)</f>
        <v>27.115436105771085</v>
      </c>
      <c r="CI64" s="143">
        <f>+CI63*CI61/(1+CI63^Parameters!$B$125)</f>
        <v>27.252002379603539</v>
      </c>
      <c r="CJ64" s="143">
        <f>+CJ63*CJ61/(1+CJ63^Parameters!$B$125)</f>
        <v>27.38983851476398</v>
      </c>
      <c r="CK64" s="143">
        <f>+CK63*CK61/(1+CK63^Parameters!$B$125)</f>
        <v>27.528911273919764</v>
      </c>
      <c r="CL64" s="143">
        <f>+CL63*CL61/(1+CL63^Parameters!$B$125)</f>
        <v>27.669188222154524</v>
      </c>
      <c r="CM64" s="143">
        <f>+CM63*CM61/(1+CM63^Parameters!$B$125)</f>
        <v>27.810637707647292</v>
      </c>
      <c r="CN64" s="143">
        <f>+CN63*CN61/(1+CN63^Parameters!$B$125)</f>
        <v>27.953228842816742</v>
      </c>
      <c r="CO64" s="143">
        <f>+CO63*CO61/(1+CO63^Parameters!$B$125)</f>
        <v>28.096931485919541</v>
      </c>
      <c r="CP64" s="143">
        <f>+CP63*CP61/(1+CP63^Parameters!$B$125)</f>
        <v>28.241716223091547</v>
      </c>
      <c r="CQ64" s="143">
        <f>+CQ63*CQ61/(1+CQ63^Parameters!$B$125)</f>
        <v>28.387554350821581</v>
      </c>
      <c r="CR64" s="143">
        <f>+CR63*CR61/(1+CR63^Parameters!$B$125)</f>
        <v>28.534417858847029</v>
      </c>
      <c r="CS64" s="143">
        <f>+CS63*CS61/(1+CS63^Parameters!$B$125)</f>
        <v>28.682279413461323</v>
      </c>
      <c r="CT64" s="143">
        <f>+CT63*CT61/(1+CT63^Parameters!$B$125)</f>
        <v>28.831112341223246</v>
      </c>
      <c r="CU64" s="143">
        <f>+CU63*CU61/(1+CU63^Parameters!$B$125)</f>
        <v>28.980890613058591</v>
      </c>
      <c r="CV64" s="143">
        <f>+CV63*CV61/(1+CV63^Parameters!$B$125)</f>
        <v>29.131588828744405</v>
      </c>
    </row>
    <row r="65" spans="1:237" s="45" customFormat="1" ht="18" customHeight="1" x14ac:dyDescent="0.2">
      <c r="A65" s="555" t="s">
        <v>21</v>
      </c>
      <c r="B65" s="45">
        <f>+B61/(1+B63)</f>
        <v>2.1548332392348892</v>
      </c>
      <c r="C65" s="45">
        <f t="shared" ref="C65:BN65" si="15">+C61-C64</f>
        <v>2.176767472161667</v>
      </c>
      <c r="D65" s="45">
        <f t="shared" si="15"/>
        <v>2.2027712574489331</v>
      </c>
      <c r="E65" s="45">
        <f t="shared" si="15"/>
        <v>2.2052670941922008</v>
      </c>
      <c r="F65" s="45">
        <f t="shared" si="15"/>
        <v>2.2474664741290034</v>
      </c>
      <c r="G65" s="45">
        <f t="shared" si="15"/>
        <v>2.3204087962415754</v>
      </c>
      <c r="H65" s="45">
        <f t="shared" si="15"/>
        <v>2.4500953456540961</v>
      </c>
      <c r="I65" s="45">
        <f t="shared" si="15"/>
        <v>2.5488174668219354</v>
      </c>
      <c r="J65" s="45">
        <f t="shared" si="15"/>
        <v>2.6393706608349081</v>
      </c>
      <c r="K65" s="45">
        <f t="shared" si="15"/>
        <v>2.8632541546368966</v>
      </c>
      <c r="L65" s="45">
        <f t="shared" si="15"/>
        <v>2.9871873241520754</v>
      </c>
      <c r="M65" s="45">
        <f t="shared" si="15"/>
        <v>3.1027158542456816</v>
      </c>
      <c r="N65" s="45">
        <f t="shared" si="15"/>
        <v>3.249713234881777</v>
      </c>
      <c r="O65" s="45">
        <f t="shared" si="15"/>
        <v>3.4028342846025814</v>
      </c>
      <c r="P65" s="45">
        <f t="shared" si="15"/>
        <v>3.5994682879647697</v>
      </c>
      <c r="Q65" s="45">
        <f t="shared" si="15"/>
        <v>3.8055416633194148</v>
      </c>
      <c r="R65" s="45">
        <f t="shared" si="15"/>
        <v>4.0322990127962273</v>
      </c>
      <c r="S65" s="45">
        <f t="shared" si="15"/>
        <v>4.2731496939575013</v>
      </c>
      <c r="T65" s="45">
        <f t="shared" si="15"/>
        <v>4.4930819550087149</v>
      </c>
      <c r="U65" s="45">
        <f t="shared" si="15"/>
        <v>4.6146857700043471</v>
      </c>
      <c r="V65" s="45">
        <f t="shared" si="15"/>
        <v>4.8573496579457194</v>
      </c>
      <c r="W65" s="45">
        <f t="shared" si="15"/>
        <v>4.9280757218050431</v>
      </c>
      <c r="X65" s="45">
        <f t="shared" si="15"/>
        <v>5.1695049179631836</v>
      </c>
      <c r="Y65" s="45">
        <f t="shared" si="15"/>
        <v>5.3602539119059278</v>
      </c>
      <c r="Z65" s="45">
        <f t="shared" si="15"/>
        <v>5.5429176706497953</v>
      </c>
      <c r="AA65" s="45">
        <f t="shared" si="15"/>
        <v>5.7130020501978054</v>
      </c>
      <c r="AB65" s="45">
        <f t="shared" si="15"/>
        <v>5.8277198205705156</v>
      </c>
      <c r="AC65" s="45">
        <f t="shared" si="15"/>
        <v>6.0368712311038824</v>
      </c>
      <c r="AD65" s="45">
        <f t="shared" si="15"/>
        <v>6.2362565296947512</v>
      </c>
      <c r="AE65" s="45">
        <f t="shared" si="15"/>
        <v>6.3978310467347805</v>
      </c>
      <c r="AF65" s="45">
        <f t="shared" si="15"/>
        <v>6.2573040076099007</v>
      </c>
      <c r="AG65" s="45">
        <f t="shared" si="15"/>
        <v>6.5519822753907784</v>
      </c>
      <c r="AH65" s="45">
        <f t="shared" si="15"/>
        <v>6.8039553554698884</v>
      </c>
      <c r="AI65" s="45">
        <f t="shared" si="15"/>
        <v>100.5051159987803</v>
      </c>
      <c r="AJ65" s="45">
        <f t="shared" si="15"/>
        <v>207.94822828709474</v>
      </c>
      <c r="AK65" s="45">
        <f t="shared" si="15"/>
        <v>275.95445818069959</v>
      </c>
      <c r="AL65" s="45">
        <f t="shared" si="15"/>
        <v>319.1641006155694</v>
      </c>
      <c r="AM65" s="45">
        <f t="shared" si="15"/>
        <v>349.53504722473741</v>
      </c>
      <c r="AN65" s="45">
        <f t="shared" si="15"/>
        <v>373.23893313906245</v>
      </c>
      <c r="AO65" s="45">
        <f t="shared" si="15"/>
        <v>393.49313962278694</v>
      </c>
      <c r="AP65" s="45">
        <f t="shared" si="15"/>
        <v>412.02438088413879</v>
      </c>
      <c r="AQ65" s="45">
        <f t="shared" si="15"/>
        <v>429.77964856929788</v>
      </c>
      <c r="AR65" s="45">
        <f t="shared" si="15"/>
        <v>447.28756978512882</v>
      </c>
      <c r="AS65" s="45">
        <f t="shared" si="15"/>
        <v>464.84902784308787</v>
      </c>
      <c r="AT65" s="45">
        <f t="shared" si="15"/>
        <v>482.64001293218126</v>
      </c>
      <c r="AU65" s="45">
        <f t="shared" si="15"/>
        <v>500.76781704808474</v>
      </c>
      <c r="AV65" s="45">
        <f t="shared" si="15"/>
        <v>519.30194379767431</v>
      </c>
      <c r="AW65" s="45">
        <f t="shared" si="15"/>
        <v>538.29117027012546</v>
      </c>
      <c r="AX65" s="45">
        <f t="shared" si="15"/>
        <v>557.77298359008034</v>
      </c>
      <c r="AY65" s="45">
        <f t="shared" si="15"/>
        <v>577.77880768121474</v>
      </c>
      <c r="AZ65" s="45">
        <f t="shared" si="15"/>
        <v>598.33690345400714</v>
      </c>
      <c r="BA65" s="45">
        <f t="shared" si="15"/>
        <v>619.47398298777932</v>
      </c>
      <c r="BB65" s="45">
        <f t="shared" si="15"/>
        <v>641.21611316849226</v>
      </c>
      <c r="BC65" s="45">
        <f t="shared" si="15"/>
        <v>663.58922707640795</v>
      </c>
      <c r="BD65" s="45">
        <f t="shared" si="15"/>
        <v>686.6194191307801</v>
      </c>
      <c r="BE65" s="45">
        <f t="shared" si="15"/>
        <v>710.33312126675548</v>
      </c>
      <c r="BF65" s="45">
        <f t="shared" si="15"/>
        <v>734.78206057800924</v>
      </c>
      <c r="BG65" s="45">
        <f t="shared" si="15"/>
        <v>759.96984683675441</v>
      </c>
      <c r="BH65" s="45">
        <f t="shared" si="15"/>
        <v>785.91773881150095</v>
      </c>
      <c r="BI65" s="45">
        <f t="shared" si="15"/>
        <v>812.65375192438307</v>
      </c>
      <c r="BJ65" s="45">
        <f t="shared" si="15"/>
        <v>812.35859694903093</v>
      </c>
      <c r="BK65" s="45">
        <f t="shared" si="15"/>
        <v>812.26495555299266</v>
      </c>
      <c r="BL65" s="45">
        <f t="shared" si="15"/>
        <v>812.16894623330506</v>
      </c>
      <c r="BM65" s="45">
        <f t="shared" si="15"/>
        <v>812.07062871749747</v>
      </c>
      <c r="BN65" s="45">
        <f t="shared" si="15"/>
        <v>811.97006129285774</v>
      </c>
      <c r="BO65" s="45">
        <f t="shared" ref="BO65:CV65" si="16">+BO61-BO64</f>
        <v>811.86730084110934</v>
      </c>
      <c r="BP65" s="45">
        <f t="shared" si="16"/>
        <v>811.76240287225369</v>
      </c>
      <c r="BQ65" s="45">
        <f t="shared" si="16"/>
        <v>811.65542155759817</v>
      </c>
      <c r="BR65" s="45">
        <f t="shared" si="16"/>
        <v>811.546409761988</v>
      </c>
      <c r="BS65" s="45">
        <f t="shared" si="16"/>
        <v>811.43541907526287</v>
      </c>
      <c r="BT65" s="45">
        <f t="shared" si="16"/>
        <v>811.32249984295606</v>
      </c>
      <c r="BU65" s="45">
        <f t="shared" si="16"/>
        <v>811.20770119625445</v>
      </c>
      <c r="BV65" s="45">
        <f t="shared" si="16"/>
        <v>811.09107108123669</v>
      </c>
      <c r="BW65" s="45">
        <f t="shared" si="16"/>
        <v>810.9726562874082</v>
      </c>
      <c r="BX65" s="45">
        <f t="shared" si="16"/>
        <v>810.85250247554904</v>
      </c>
      <c r="BY65" s="45">
        <f t="shared" si="16"/>
        <v>810.73065420489036</v>
      </c>
      <c r="BZ65" s="45">
        <f t="shared" si="16"/>
        <v>810.60715495963802</v>
      </c>
      <c r="CA65" s="45">
        <f t="shared" si="16"/>
        <v>810.48204717485635</v>
      </c>
      <c r="CB65" s="45">
        <f t="shared" si="16"/>
        <v>810.35537226172949</v>
      </c>
      <c r="CC65" s="45">
        <f t="shared" si="16"/>
        <v>810.22717063221432</v>
      </c>
      <c r="CD65" s="45">
        <f t="shared" si="16"/>
        <v>810.09748172309946</v>
      </c>
      <c r="CE65" s="45">
        <f t="shared" si="16"/>
        <v>809.96634401948609</v>
      </c>
      <c r="CF65" s="45">
        <f t="shared" si="16"/>
        <v>809.83379507770189</v>
      </c>
      <c r="CG65" s="45">
        <f t="shared" si="16"/>
        <v>809.69987154766454</v>
      </c>
      <c r="CH65" s="45">
        <f t="shared" si="16"/>
        <v>809.56460919470658</v>
      </c>
      <c r="CI65" s="45">
        <f t="shared" si="16"/>
        <v>809.42804292087408</v>
      </c>
      <c r="CJ65" s="45">
        <f t="shared" si="16"/>
        <v>809.29020678571374</v>
      </c>
      <c r="CK65" s="45">
        <f t="shared" si="16"/>
        <v>809.15113402655788</v>
      </c>
      <c r="CL65" s="45">
        <f t="shared" si="16"/>
        <v>809.01085707832317</v>
      </c>
      <c r="CM65" s="45">
        <f t="shared" si="16"/>
        <v>808.86940759283038</v>
      </c>
      <c r="CN65" s="45">
        <f t="shared" si="16"/>
        <v>808.7268164576609</v>
      </c>
      <c r="CO65" s="45">
        <f t="shared" si="16"/>
        <v>808.58311381455815</v>
      </c>
      <c r="CP65" s="45">
        <f t="shared" si="16"/>
        <v>808.43832907738613</v>
      </c>
      <c r="CQ65" s="45">
        <f t="shared" si="16"/>
        <v>808.2924909496561</v>
      </c>
      <c r="CR65" s="45">
        <f t="shared" si="16"/>
        <v>808.14562744163061</v>
      </c>
      <c r="CS65" s="45">
        <f t="shared" si="16"/>
        <v>807.99776588701639</v>
      </c>
      <c r="CT65" s="45">
        <f t="shared" si="16"/>
        <v>807.8489329592544</v>
      </c>
      <c r="CU65" s="45">
        <f t="shared" si="16"/>
        <v>807.69915468741908</v>
      </c>
      <c r="CV65" s="45">
        <f t="shared" si="16"/>
        <v>807.54845647173329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1.1813664444248786E-11</v>
      </c>
      <c r="E66" s="33">
        <f t="shared" si="17"/>
        <v>1.0080818708089393E-11</v>
      </c>
      <c r="F66" s="33">
        <f t="shared" si="17"/>
        <v>8.7386515495428121E-12</v>
      </c>
      <c r="G66" s="33">
        <f t="shared" si="17"/>
        <v>7.6831216804044793E-12</v>
      </c>
      <c r="H66" s="33">
        <f t="shared" si="17"/>
        <v>6.8415082172598083E-12</v>
      </c>
      <c r="I66" s="33">
        <f t="shared" si="17"/>
        <v>6.162048092223289E-12</v>
      </c>
      <c r="J66" s="33">
        <f t="shared" si="17"/>
        <v>5.6072702090361177E-12</v>
      </c>
      <c r="K66" s="33">
        <f t="shared" si="17"/>
        <v>5.1496225359278345E-12</v>
      </c>
      <c r="L66" s="33">
        <f t="shared" si="17"/>
        <v>4.7685505237418835E-12</v>
      </c>
      <c r="M66" s="33">
        <f t="shared" si="17"/>
        <v>4.4485116738207427E-12</v>
      </c>
      <c r="N66" s="33">
        <f t="shared" si="17"/>
        <v>4.1776047052330376E-12</v>
      </c>
      <c r="O66" s="33">
        <f t="shared" si="17"/>
        <v>3.9466089352099126E-12</v>
      </c>
      <c r="P66" s="33">
        <f t="shared" si="17"/>
        <v>3.7483017210832403E-12</v>
      </c>
      <c r="Q66" s="33">
        <f t="shared" si="17"/>
        <v>3.5769671378294568E-12</v>
      </c>
      <c r="R66" s="33">
        <f t="shared" si="17"/>
        <v>3.4280379784557482E-12</v>
      </c>
      <c r="S66" s="33">
        <f t="shared" si="17"/>
        <v>3.2978319008304879E-12</v>
      </c>
      <c r="T66" s="33">
        <f t="shared" si="17"/>
        <v>3.1833548584361066E-12</v>
      </c>
      <c r="U66" s="33">
        <f t="shared" si="17"/>
        <v>3.0821531643598687E-12</v>
      </c>
      <c r="V66" s="33">
        <f t="shared" si="17"/>
        <v>2.9922010880655499E-12</v>
      </c>
      <c r="W66" s="33">
        <f t="shared" si="17"/>
        <v>2.9118146971132101E-12</v>
      </c>
      <c r="X66" s="33">
        <f t="shared" si="17"/>
        <v>2.8395851996259602E-12</v>
      </c>
      <c r="Y66" s="33">
        <f t="shared" si="17"/>
        <v>2.7743270013363816E-12</v>
      </c>
      <c r="Z66" s="33">
        <f t="shared" si="17"/>
        <v>2.7150368961610398E-12</v>
      </c>
      <c r="AA66" s="33">
        <f t="shared" si="17"/>
        <v>2.6608617683758733E-12</v>
      </c>
      <c r="AB66" s="33">
        <f t="shared" si="17"/>
        <v>1.7227065433575689E-3</v>
      </c>
      <c r="AC66" s="33">
        <f t="shared" si="17"/>
        <v>1.6006598499609078E-3</v>
      </c>
      <c r="AD66" s="33">
        <f t="shared" si="17"/>
        <v>1.4899805465997482E-3</v>
      </c>
      <c r="AE66" s="33">
        <f t="shared" si="17"/>
        <v>1.3893306037316918E-3</v>
      </c>
      <c r="AF66" s="33">
        <f t="shared" si="17"/>
        <v>1.2975647258215907E-3</v>
      </c>
      <c r="AG66" s="33">
        <f t="shared" si="17"/>
        <v>1.2136978680534157E-3</v>
      </c>
      <c r="AH66" s="33">
        <f t="shared" ref="AH66:BI66" si="18">(AH31*(AH103)^$B38)</f>
        <v>1.1368789012761887E-3</v>
      </c>
      <c r="AI66" s="33">
        <f t="shared" si="18"/>
        <v>1.0663691511714785E-3</v>
      </c>
      <c r="AJ66" s="33">
        <f t="shared" si="18"/>
        <v>1.0015248228062604E-3</v>
      </c>
      <c r="AK66" s="33">
        <f t="shared" si="18"/>
        <v>9.4178253851738211E-4</v>
      </c>
      <c r="AL66" s="33">
        <f t="shared" si="18"/>
        <v>8.8664738291731272E-4</v>
      </c>
      <c r="AM66" s="33">
        <f t="shared" si="18"/>
        <v>8.3568297646022922E-4</v>
      </c>
      <c r="AN66" s="33">
        <f t="shared" si="18"/>
        <v>7.885031978338672E-4</v>
      </c>
      <c r="AO66" s="33">
        <f t="shared" si="18"/>
        <v>7.4476525238249217E-4</v>
      </c>
      <c r="AP66" s="33">
        <f t="shared" si="18"/>
        <v>7.0416384398763656E-4</v>
      </c>
      <c r="AQ66" s="33">
        <f t="shared" si="18"/>
        <v>6.6642625521003997E-4</v>
      </c>
      <c r="AR66" s="33">
        <f t="shared" si="18"/>
        <v>6.3130817795038611E-4</v>
      </c>
      <c r="AS66" s="33">
        <f t="shared" si="18"/>
        <v>5.9859016663442888E-4</v>
      </c>
      <c r="AT66" s="33">
        <f t="shared" si="18"/>
        <v>5.6807460966077261E-4</v>
      </c>
      <c r="AU66" s="33">
        <f t="shared" si="18"/>
        <v>5.3958313386383273E-4</v>
      </c>
      <c r="AV66" s="33">
        <f t="shared" si="18"/>
        <v>5.1295437204024663E-4</v>
      </c>
      <c r="AW66" s="33">
        <f t="shared" si="18"/>
        <v>4.8804203593911838E-4</v>
      </c>
      <c r="AX66" s="33">
        <f t="shared" si="18"/>
        <v>4.6471324712834525E-4</v>
      </c>
      <c r="AY66" s="33">
        <f t="shared" si="18"/>
        <v>4.4284708629296725E-4</v>
      </c>
      <c r="AZ66" s="33">
        <f t="shared" si="18"/>
        <v>4.2233332816799646E-4</v>
      </c>
      <c r="BA66" s="33">
        <f t="shared" si="18"/>
        <v>4.030713347503627E-4</v>
      </c>
      <c r="BB66" s="33">
        <f t="shared" si="18"/>
        <v>3.8496908390455787E-4</v>
      </c>
      <c r="BC66" s="33">
        <f t="shared" si="18"/>
        <v>3.6794231415896849E-4</v>
      </c>
      <c r="BD66" s="33">
        <f t="shared" si="18"/>
        <v>3.5191376953229631E-4</v>
      </c>
      <c r="BE66" s="33">
        <f t="shared" si="18"/>
        <v>1.7149867838505697E-4</v>
      </c>
      <c r="BF66" s="33">
        <f t="shared" si="18"/>
        <v>8.3582259550655139E-5</v>
      </c>
      <c r="BG66" s="33">
        <f t="shared" si="18"/>
        <v>4.0737405766366531E-5</v>
      </c>
      <c r="BH66" s="33">
        <f t="shared" si="18"/>
        <v>1.9856192211144554E-5</v>
      </c>
      <c r="BI66" s="33">
        <f t="shared" si="18"/>
        <v>9.6787566766597382E-6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4.3999174520039085E-11</v>
      </c>
      <c r="C67" s="23">
        <f>+C61*C66</f>
        <v>3.079225433062917E-11</v>
      </c>
      <c r="D67" s="23">
        <f t="shared" ref="D67:BI67" si="19">+D61*D66</f>
        <v>2.6104488977480844E-11</v>
      </c>
      <c r="E67" s="23">
        <f t="shared" si="19"/>
        <v>2.2305480020291778E-11</v>
      </c>
      <c r="F67" s="23">
        <f t="shared" si="19"/>
        <v>1.9717643446559099E-11</v>
      </c>
      <c r="G67" s="23">
        <f t="shared" si="19"/>
        <v>1.7915764069476068E-11</v>
      </c>
      <c r="H67" s="23">
        <f t="shared" si="19"/>
        <v>1.6837149530398331E-11</v>
      </c>
      <c r="I67" s="23">
        <f t="shared" si="19"/>
        <v>1.5791624805166343E-11</v>
      </c>
      <c r="J67" s="23">
        <f t="shared" si="19"/>
        <v>1.4897433833107911E-11</v>
      </c>
      <c r="K67" s="23">
        <f t="shared" si="19"/>
        <v>1.4824534092146143E-11</v>
      </c>
      <c r="L67" s="23">
        <f t="shared" si="19"/>
        <v>1.4325896269803408E-11</v>
      </c>
      <c r="M67" s="23">
        <f t="shared" si="19"/>
        <v>1.3896605158529158E-11</v>
      </c>
      <c r="N67" s="23">
        <f t="shared" si="19"/>
        <v>1.3680612506566788E-11</v>
      </c>
      <c r="O67" s="23">
        <f t="shared" si="19"/>
        <v>1.3535140092392195E-11</v>
      </c>
      <c r="P67" s="23">
        <f t="shared" si="19"/>
        <v>1.3592500508947644E-11</v>
      </c>
      <c r="Q67" s="23">
        <f t="shared" si="19"/>
        <v>1.3730026935394747E-11</v>
      </c>
      <c r="R67" s="23">
        <f t="shared" si="19"/>
        <v>1.3942813620973718E-11</v>
      </c>
      <c r="S67" s="23">
        <f t="shared" si="19"/>
        <v>1.4219860906209008E-11</v>
      </c>
      <c r="T67" s="23">
        <f t="shared" si="19"/>
        <v>1.4424323136805941E-11</v>
      </c>
      <c r="U67" s="23">
        <f t="shared" si="19"/>
        <v>1.435781362624269E-11</v>
      </c>
      <c r="V67" s="23">
        <f t="shared" si="19"/>
        <v>1.4682405905720879E-11</v>
      </c>
      <c r="W67" s="23">
        <f t="shared" si="19"/>
        <v>1.4488303194087569E-11</v>
      </c>
      <c r="X67" s="23">
        <f t="shared" si="19"/>
        <v>1.4828135528001041E-11</v>
      </c>
      <c r="Y67" s="23">
        <f t="shared" si="19"/>
        <v>1.5028868422317868E-11</v>
      </c>
      <c r="Z67" s="23">
        <f t="shared" si="19"/>
        <v>1.5219230324284745E-11</v>
      </c>
      <c r="AA67" s="23">
        <f t="shared" si="19"/>
        <v>1.5396271975131713E-11</v>
      </c>
      <c r="AB67" s="23">
        <f t="shared" si="19"/>
        <v>1.0180204916814265E-2</v>
      </c>
      <c r="AC67" s="23">
        <f t="shared" si="19"/>
        <v>9.7936906750727831E-3</v>
      </c>
      <c r="AD67" s="23">
        <f t="shared" si="19"/>
        <v>9.4148742145411853E-3</v>
      </c>
      <c r="AE67" s="23">
        <f t="shared" si="19"/>
        <v>9.0183342388781475E-3</v>
      </c>
      <c r="AF67" s="23">
        <f t="shared" si="19"/>
        <v>8.2420491575253101E-3</v>
      </c>
      <c r="AG67" s="23">
        <f t="shared" si="19"/>
        <v>8.0632014469771435E-3</v>
      </c>
      <c r="AH67" s="23">
        <f t="shared" si="19"/>
        <v>7.8480686005019985E-3</v>
      </c>
      <c r="AI67" s="23">
        <f t="shared" si="19"/>
        <v>0.10903418888071649</v>
      </c>
      <c r="AJ67" s="23">
        <f t="shared" si="19"/>
        <v>0.21169916029509214</v>
      </c>
      <c r="AK67" s="23">
        <f t="shared" si="19"/>
        <v>0.26504535809534446</v>
      </c>
      <c r="AL67" s="23">
        <f t="shared" si="19"/>
        <v>0.28902860551544585</v>
      </c>
      <c r="AM67" s="23">
        <f t="shared" si="19"/>
        <v>0.29858044210751128</v>
      </c>
      <c r="AN67" s="23">
        <f t="shared" si="19"/>
        <v>0.30098928822996757</v>
      </c>
      <c r="AO67" s="23">
        <f t="shared" si="19"/>
        <v>0.29984160133186172</v>
      </c>
      <c r="AP67" s="23">
        <f t="shared" si="19"/>
        <v>0.2969468098229528</v>
      </c>
      <c r="AQ67" s="23">
        <f t="shared" si="19"/>
        <v>0.29323300011786135</v>
      </c>
      <c r="AR67" s="23">
        <f t="shared" si="19"/>
        <v>0.28918079140113262</v>
      </c>
      <c r="AS67" s="23">
        <f t="shared" si="19"/>
        <v>0.28504030968131672</v>
      </c>
      <c r="AT67" s="23">
        <f t="shared" si="19"/>
        <v>0.28094184499987329</v>
      </c>
      <c r="AU67" s="23">
        <f t="shared" si="19"/>
        <v>0.27695294888365335</v>
      </c>
      <c r="AV67" s="23">
        <f t="shared" si="19"/>
        <v>0.27310811072067964</v>
      </c>
      <c r="AW67" s="23">
        <f t="shared" si="19"/>
        <v>0.26942426293151783</v>
      </c>
      <c r="AX67" s="23">
        <f t="shared" si="19"/>
        <v>0.26590892078730005</v>
      </c>
      <c r="AY67" s="23">
        <f t="shared" si="19"/>
        <v>0.262564479465141</v>
      </c>
      <c r="AZ67" s="23">
        <f t="shared" si="19"/>
        <v>0.25939049986161894</v>
      </c>
      <c r="BA67" s="23">
        <f t="shared" si="19"/>
        <v>0.25638493823735314</v>
      </c>
      <c r="BB67" s="23">
        <f t="shared" si="19"/>
        <v>0.25354481883519697</v>
      </c>
      <c r="BC67" s="23">
        <f t="shared" si="19"/>
        <v>0.2508666108778666</v>
      </c>
      <c r="BD67" s="23">
        <f t="shared" si="19"/>
        <v>0.24834644717680734</v>
      </c>
      <c r="BE67" s="23">
        <f t="shared" si="19"/>
        <v>0.12524857322631061</v>
      </c>
      <c r="BF67" s="23">
        <f t="shared" si="19"/>
        <v>6.3163983524594056E-2</v>
      </c>
      <c r="BG67" s="23">
        <f t="shared" si="19"/>
        <v>3.1851965793864241E-2</v>
      </c>
      <c r="BH67" s="23">
        <f t="shared" si="19"/>
        <v>1.6060974778625822E-2</v>
      </c>
      <c r="BI67" s="23">
        <f t="shared" si="19"/>
        <v>8.0980225746799701E-3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2.1548332391908902</v>
      </c>
      <c r="C68" s="23">
        <f>+C65-C67</f>
        <v>2.1767674721308747</v>
      </c>
      <c r="D68" s="23">
        <f>+D65-D67</f>
        <v>2.2027712574228286</v>
      </c>
      <c r="E68" s="23">
        <f>+E65-E67</f>
        <v>2.2052670941698955</v>
      </c>
      <c r="F68" s="23">
        <f>+F65-F67</f>
        <v>2.2474664741092858</v>
      </c>
      <c r="G68" s="23">
        <f t="shared" ref="G68:BI68" si="20">+G65-G67</f>
        <v>2.3204087962236595</v>
      </c>
      <c r="H68" s="23">
        <f t="shared" si="20"/>
        <v>2.4500953456372589</v>
      </c>
      <c r="I68" s="23">
        <f t="shared" si="20"/>
        <v>2.5488174668061436</v>
      </c>
      <c r="J68" s="23">
        <f t="shared" si="20"/>
        <v>2.6393706608200107</v>
      </c>
      <c r="K68" s="23">
        <f t="shared" si="20"/>
        <v>2.863254154622072</v>
      </c>
      <c r="L68" s="23">
        <f t="shared" si="20"/>
        <v>2.9871873241377496</v>
      </c>
      <c r="M68" s="23">
        <f t="shared" si="20"/>
        <v>3.1027158542317852</v>
      </c>
      <c r="N68" s="23">
        <f t="shared" si="20"/>
        <v>3.2497132348680964</v>
      </c>
      <c r="O68" s="23">
        <f t="shared" si="20"/>
        <v>3.4028342845890465</v>
      </c>
      <c r="P68" s="23">
        <f t="shared" si="20"/>
        <v>3.599468287951177</v>
      </c>
      <c r="Q68" s="23">
        <f t="shared" si="20"/>
        <v>3.8055416633056849</v>
      </c>
      <c r="R68" s="23">
        <f t="shared" si="20"/>
        <v>4.0322990127822846</v>
      </c>
      <c r="S68" s="23">
        <f t="shared" si="20"/>
        <v>4.2731496939432816</v>
      </c>
      <c r="T68" s="23">
        <f t="shared" si="20"/>
        <v>4.4930819549942909</v>
      </c>
      <c r="U68" s="23">
        <f t="shared" si="20"/>
        <v>4.6146857699899897</v>
      </c>
      <c r="V68" s="23">
        <f t="shared" si="20"/>
        <v>4.8573496579310369</v>
      </c>
      <c r="W68" s="23">
        <f t="shared" si="20"/>
        <v>4.9280757217905551</v>
      </c>
      <c r="X68" s="23">
        <f t="shared" si="20"/>
        <v>5.1695049179483554</v>
      </c>
      <c r="Y68" s="23">
        <f t="shared" si="20"/>
        <v>5.3602539118908989</v>
      </c>
      <c r="Z68" s="23">
        <f t="shared" si="20"/>
        <v>5.5429176706345764</v>
      </c>
      <c r="AA68" s="23">
        <f t="shared" si="20"/>
        <v>5.7130020501824088</v>
      </c>
      <c r="AB68" s="23">
        <f t="shared" si="20"/>
        <v>5.8175396156537014</v>
      </c>
      <c r="AC68" s="23">
        <f t="shared" si="20"/>
        <v>6.0270775404288095</v>
      </c>
      <c r="AD68" s="23">
        <f t="shared" si="20"/>
        <v>6.22684165548021</v>
      </c>
      <c r="AE68" s="23">
        <f t="shared" si="20"/>
        <v>6.388812712495902</v>
      </c>
      <c r="AF68" s="23">
        <f t="shared" si="20"/>
        <v>6.2490619584523754</v>
      </c>
      <c r="AG68" s="23">
        <f t="shared" si="20"/>
        <v>6.5439190739438011</v>
      </c>
      <c r="AH68" s="23">
        <f t="shared" si="20"/>
        <v>6.7961072868693861</v>
      </c>
      <c r="AI68" s="23">
        <f t="shared" si="20"/>
        <v>100.39608180989958</v>
      </c>
      <c r="AJ68" s="23">
        <f t="shared" si="20"/>
        <v>207.73652912679964</v>
      </c>
      <c r="AK68" s="23">
        <f t="shared" si="20"/>
        <v>275.68941282260425</v>
      </c>
      <c r="AL68" s="23">
        <f t="shared" si="20"/>
        <v>318.87507201005394</v>
      </c>
      <c r="AM68" s="23">
        <f t="shared" si="20"/>
        <v>349.23646678262992</v>
      </c>
      <c r="AN68" s="23">
        <f t="shared" si="20"/>
        <v>372.93794385083248</v>
      </c>
      <c r="AO68" s="23">
        <f t="shared" si="20"/>
        <v>393.19329802145506</v>
      </c>
      <c r="AP68" s="23">
        <f t="shared" si="20"/>
        <v>411.72743407431585</v>
      </c>
      <c r="AQ68" s="23">
        <f t="shared" si="20"/>
        <v>429.48641556918</v>
      </c>
      <c r="AR68" s="23">
        <f t="shared" si="20"/>
        <v>446.9983889937277</v>
      </c>
      <c r="AS68" s="23">
        <f t="shared" si="20"/>
        <v>464.56398753340653</v>
      </c>
      <c r="AT68" s="23">
        <f t="shared" si="20"/>
        <v>482.35907108718141</v>
      </c>
      <c r="AU68" s="23">
        <f t="shared" si="20"/>
        <v>500.49086409920108</v>
      </c>
      <c r="AV68" s="23">
        <f t="shared" si="20"/>
        <v>519.02883568695358</v>
      </c>
      <c r="AW68" s="23">
        <f t="shared" si="20"/>
        <v>538.021746007194</v>
      </c>
      <c r="AX68" s="23">
        <f t="shared" si="20"/>
        <v>557.50707466929305</v>
      </c>
      <c r="AY68" s="23">
        <f t="shared" si="20"/>
        <v>577.5162432017496</v>
      </c>
      <c r="AZ68" s="23">
        <f t="shared" si="20"/>
        <v>598.0775129541455</v>
      </c>
      <c r="BA68" s="23">
        <f t="shared" si="20"/>
        <v>619.21759804954195</v>
      </c>
      <c r="BB68" s="23">
        <f t="shared" si="20"/>
        <v>640.96256834965709</v>
      </c>
      <c r="BC68" s="23">
        <f t="shared" si="20"/>
        <v>663.33836046553006</v>
      </c>
      <c r="BD68" s="23">
        <f t="shared" si="20"/>
        <v>686.3710726836033</v>
      </c>
      <c r="BE68" s="23">
        <f t="shared" si="20"/>
        <v>710.20787269352923</v>
      </c>
      <c r="BF68" s="23">
        <f t="shared" si="20"/>
        <v>734.71889659448459</v>
      </c>
      <c r="BG68" s="23">
        <f t="shared" si="20"/>
        <v>759.93799487096055</v>
      </c>
      <c r="BH68" s="23">
        <f t="shared" si="20"/>
        <v>785.90167783672234</v>
      </c>
      <c r="BI68" s="23">
        <f t="shared" si="20"/>
        <v>812.64565390180837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0.61807172352011852</v>
      </c>
      <c r="C70" s="45">
        <f t="shared" si="21"/>
        <v>0.45697436312026019</v>
      </c>
      <c r="D70" s="45">
        <f t="shared" si="21"/>
        <v>0.3713196835694359</v>
      </c>
      <c r="E70" s="45">
        <f t="shared" si="21"/>
        <v>0.30299361872932534</v>
      </c>
      <c r="F70" s="45">
        <f t="shared" si="21"/>
        <v>0.25165974987173723</v>
      </c>
      <c r="G70" s="45">
        <f t="shared" si="21"/>
        <v>0.21242536780386118</v>
      </c>
      <c r="H70" s="45">
        <f t="shared" si="21"/>
        <v>0.18326179527269126</v>
      </c>
      <c r="I70" s="45">
        <f t="shared" si="21"/>
        <v>0.15864457776481961</v>
      </c>
      <c r="J70" s="45">
        <f t="shared" si="21"/>
        <v>0.13845456987401861</v>
      </c>
      <c r="K70" s="45">
        <f t="shared" si="21"/>
        <v>0.12584930201036118</v>
      </c>
      <c r="L70" s="45">
        <f t="shared" si="21"/>
        <v>0.11294469267138127</v>
      </c>
      <c r="M70" s="45">
        <f t="shared" si="21"/>
        <v>0.10222967021015206</v>
      </c>
      <c r="N70" s="45">
        <f t="shared" si="21"/>
        <v>9.4120628985989135E-2</v>
      </c>
      <c r="O70" s="45">
        <f t="shared" si="21"/>
        <v>8.7523655512537754E-2</v>
      </c>
      <c r="P70" s="45">
        <f t="shared" si="21"/>
        <v>8.2881204931944147E-2</v>
      </c>
      <c r="Q70" s="45">
        <f t="shared" si="21"/>
        <v>7.9339375076463214E-2</v>
      </c>
      <c r="R70" s="45">
        <f t="shared" si="21"/>
        <v>7.6714177988502191E-2</v>
      </c>
      <c r="S70" s="45">
        <f t="shared" si="21"/>
        <v>7.4822782488697476E-2</v>
      </c>
      <c r="T70" s="45">
        <f t="shared" si="21"/>
        <v>7.2920684087403792E-2</v>
      </c>
      <c r="U70" s="45">
        <f t="shared" si="21"/>
        <v>7.0055959396896753E-2</v>
      </c>
      <c r="V70" s="45">
        <f t="shared" si="21"/>
        <v>6.9221342453221271E-2</v>
      </c>
      <c r="W70" s="45">
        <f t="shared" si="21"/>
        <v>6.6271359511576408E-2</v>
      </c>
      <c r="X70" s="45">
        <f t="shared" si="21"/>
        <v>6.5833730066528678E-2</v>
      </c>
      <c r="Y70" s="45">
        <f t="shared" si="21"/>
        <v>6.4906871800954738E-2</v>
      </c>
      <c r="Z70" s="45">
        <f t="shared" si="21"/>
        <v>6.4036242412874478E-2</v>
      </c>
      <c r="AA70" s="45">
        <f t="shared" si="21"/>
        <v>6.3195377503955222E-2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0.31807172352011859</v>
      </c>
      <c r="C71" s="46">
        <f t="shared" si="23"/>
        <v>0.21697436312026022</v>
      </c>
      <c r="D71" s="46">
        <f t="shared" si="23"/>
        <v>0.17931968356943587</v>
      </c>
      <c r="E71" s="46">
        <f t="shared" si="23"/>
        <v>0.14939361872932533</v>
      </c>
      <c r="F71" s="46">
        <f t="shared" si="23"/>
        <v>0.12877974987173721</v>
      </c>
      <c r="G71" s="46">
        <f t="shared" si="23"/>
        <v>0.11412136780386117</v>
      </c>
      <c r="H71" s="46">
        <f t="shared" si="23"/>
        <v>0.10461859527269125</v>
      </c>
      <c r="I71" s="46">
        <f t="shared" si="23"/>
        <v>9.5730017764819583E-2</v>
      </c>
      <c r="J71" s="46">
        <f t="shared" si="23"/>
        <v>8.81229218740186E-2</v>
      </c>
      <c r="K71" s="46">
        <f t="shared" si="23"/>
        <v>8.5583983610361153E-2</v>
      </c>
      <c r="L71" s="46">
        <f t="shared" si="23"/>
        <v>8.0732437951381256E-2</v>
      </c>
      <c r="M71" s="46">
        <f t="shared" si="23"/>
        <v>7.6459866434152035E-2</v>
      </c>
      <c r="N71" s="46">
        <f t="shared" si="23"/>
        <v>7.3504785965189112E-2</v>
      </c>
      <c r="O71" s="46">
        <f t="shared" si="23"/>
        <v>7.1030981095897741E-2</v>
      </c>
      <c r="P71" s="46">
        <f t="shared" si="23"/>
        <v>6.9687065398632134E-2</v>
      </c>
      <c r="Q71" s="46">
        <f t="shared" si="23"/>
        <v>6.8784063449813609E-2</v>
      </c>
      <c r="R71" s="46">
        <f t="shared" si="23"/>
        <v>6.8269928687182499E-2</v>
      </c>
      <c r="S71" s="46">
        <f t="shared" si="23"/>
        <v>6.8067383047641719E-2</v>
      </c>
      <c r="T71" s="46">
        <f t="shared" si="23"/>
        <v>6.7516364534559184E-2</v>
      </c>
      <c r="U71" s="46">
        <f t="shared" si="23"/>
        <v>6.5732503754621072E-2</v>
      </c>
      <c r="V71" s="46">
        <f t="shared" si="23"/>
        <v>6.5762577939400726E-2</v>
      </c>
      <c r="W71" s="46">
        <f t="shared" si="23"/>
        <v>6.3504347900519967E-2</v>
      </c>
      <c r="X71" s="46">
        <f t="shared" si="23"/>
        <v>6.3620120777683531E-2</v>
      </c>
      <c r="Y71" s="46">
        <f t="shared" si="23"/>
        <v>6.313598436987862E-2</v>
      </c>
      <c r="Z71" s="46">
        <f t="shared" si="23"/>
        <v>6.2619532468013578E-2</v>
      </c>
      <c r="AA71" s="46">
        <f t="shared" si="23"/>
        <v>6.206200954806651E-2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0.64190027713182018</v>
      </c>
      <c r="C73" s="45">
        <f>(C97)*C68</f>
        <v>0.66084652418222656</v>
      </c>
      <c r="D73" s="45">
        <f>(D97)*D68</f>
        <v>0.63603263440375735</v>
      </c>
      <c r="E73" s="45">
        <f>(E97)*E68</f>
        <v>0.60851322832276178</v>
      </c>
      <c r="F73" s="45">
        <f>(F97)*F68</f>
        <v>0.57564989104589104</v>
      </c>
      <c r="G73" s="45">
        <f t="shared" ref="G73:BI73" si="25">(G97)*G68</f>
        <v>0.56621412306031382</v>
      </c>
      <c r="H73" s="45">
        <f t="shared" si="25"/>
        <v>0.59430936537313461</v>
      </c>
      <c r="I73" s="45">
        <f t="shared" si="25"/>
        <v>0.61561164661763268</v>
      </c>
      <c r="J73" s="45">
        <f t="shared" si="25"/>
        <v>0.63588575061556618</v>
      </c>
      <c r="K73" s="45">
        <f t="shared" si="25"/>
        <v>0.66433677241296707</v>
      </c>
      <c r="L73" s="45">
        <f t="shared" si="25"/>
        <v>0.67183583614713382</v>
      </c>
      <c r="M73" s="45">
        <f t="shared" si="25"/>
        <v>0.69433294511249621</v>
      </c>
      <c r="N73" s="45">
        <f t="shared" si="25"/>
        <v>0.72722835965128685</v>
      </c>
      <c r="O73" s="45">
        <f t="shared" si="25"/>
        <v>0.76149414305083951</v>
      </c>
      <c r="P73" s="45">
        <f t="shared" si="25"/>
        <v>0.8054973560674219</v>
      </c>
      <c r="Q73" s="45">
        <f t="shared" si="25"/>
        <v>0.85161293362635859</v>
      </c>
      <c r="R73" s="45">
        <f t="shared" si="25"/>
        <v>0.9023572188541702</v>
      </c>
      <c r="S73" s="45">
        <f t="shared" si="25"/>
        <v>0.95625534251083077</v>
      </c>
      <c r="T73" s="45">
        <f t="shared" si="25"/>
        <v>1.0054722936320628</v>
      </c>
      <c r="U73" s="45">
        <f t="shared" si="25"/>
        <v>1.0326850771964102</v>
      </c>
      <c r="V73" s="45">
        <f t="shared" si="25"/>
        <v>1.0869889644688311</v>
      </c>
      <c r="W73" s="45">
        <f t="shared" si="25"/>
        <v>1.1028162069631176</v>
      </c>
      <c r="X73" s="45">
        <f t="shared" si="25"/>
        <v>1.1568437920466035</v>
      </c>
      <c r="Y73" s="45">
        <f t="shared" si="25"/>
        <v>1.1995300440154175</v>
      </c>
      <c r="Z73" s="45">
        <f t="shared" si="25"/>
        <v>1.2404069633120502</v>
      </c>
      <c r="AA73" s="45">
        <f t="shared" si="25"/>
        <v>1.2784688399766531</v>
      </c>
      <c r="AB73" s="45">
        <f t="shared" si="25"/>
        <v>1.3018624986674985</v>
      </c>
      <c r="AC73" s="45">
        <f t="shared" si="25"/>
        <v>1.3487533811256616</v>
      </c>
      <c r="AD73" s="45">
        <f t="shared" si="25"/>
        <v>1.3934570577908172</v>
      </c>
      <c r="AE73" s="45">
        <f t="shared" si="25"/>
        <v>1.4297033163347002</v>
      </c>
      <c r="AF73" s="45">
        <f t="shared" si="25"/>
        <v>1.3984295686905548</v>
      </c>
      <c r="AG73" s="45">
        <f t="shared" si="25"/>
        <v>1.4644133773939227</v>
      </c>
      <c r="AH73" s="45">
        <f t="shared" si="25"/>
        <v>1.5208486401861816</v>
      </c>
      <c r="AI73" s="45">
        <f t="shared" si="25"/>
        <v>22.466867878264694</v>
      </c>
      <c r="AJ73" s="45">
        <f t="shared" si="25"/>
        <v>46.487761964838782</v>
      </c>
      <c r="AK73" s="45">
        <f t="shared" si="25"/>
        <v>61.694415774611159</v>
      </c>
      <c r="AL73" s="45">
        <f t="shared" si="25"/>
        <v>71.358602680205408</v>
      </c>
      <c r="AM73" s="45">
        <f t="shared" si="25"/>
        <v>78.152945971877969</v>
      </c>
      <c r="AN73" s="45">
        <f t="shared" si="25"/>
        <v>83.456917443785741</v>
      </c>
      <c r="AO73" s="45">
        <f t="shared" si="25"/>
        <v>87.989707546496334</v>
      </c>
      <c r="AP73" s="45">
        <f t="shared" si="25"/>
        <v>92.137319469498152</v>
      </c>
      <c r="AQ73" s="45">
        <f t="shared" si="25"/>
        <v>96.111465508913781</v>
      </c>
      <c r="AR73" s="45">
        <f t="shared" si="25"/>
        <v>100.0303355098564</v>
      </c>
      <c r="AS73" s="45">
        <f t="shared" si="25"/>
        <v>103.96120586335151</v>
      </c>
      <c r="AT73" s="45">
        <f t="shared" si="25"/>
        <v>107.94343090518494</v>
      </c>
      <c r="AU73" s="45">
        <f t="shared" si="25"/>
        <v>112.00100556998547</v>
      </c>
      <c r="AV73" s="45">
        <f t="shared" si="25"/>
        <v>116.14947581787509</v>
      </c>
      <c r="AW73" s="45">
        <f t="shared" si="25"/>
        <v>120.39975330974524</v>
      </c>
      <c r="AX73" s="45">
        <f t="shared" si="25"/>
        <v>124.76022531944848</v>
      </c>
      <c r="AY73" s="45">
        <f t="shared" si="25"/>
        <v>129.23792342945885</v>
      </c>
      <c r="AZ73" s="45">
        <f t="shared" si="25"/>
        <v>133.83917203008787</v>
      </c>
      <c r="BA73" s="45">
        <f t="shared" si="25"/>
        <v>138.56994926971032</v>
      </c>
      <c r="BB73" s="45">
        <f t="shared" si="25"/>
        <v>143.43608912240427</v>
      </c>
      <c r="BC73" s="45">
        <f t="shared" si="25"/>
        <v>148.44339574310214</v>
      </c>
      <c r="BD73" s="45">
        <f t="shared" si="25"/>
        <v>153.59770946683273</v>
      </c>
      <c r="BE73" s="45">
        <f t="shared" si="25"/>
        <v>158.9319638202812</v>
      </c>
      <c r="BF73" s="45">
        <f t="shared" si="25"/>
        <v>164.41709755873205</v>
      </c>
      <c r="BG73" s="45">
        <f t="shared" si="25"/>
        <v>170.06068582206095</v>
      </c>
      <c r="BH73" s="45">
        <f t="shared" si="25"/>
        <v>175.87089897290329</v>
      </c>
      <c r="BI73" s="45">
        <f t="shared" si="25"/>
        <v>181.85572792201984</v>
      </c>
    </row>
    <row r="74" spans="1:237" s="45" customFormat="1" ht="18" customHeight="1" x14ac:dyDescent="0.2">
      <c r="A74" s="43" t="s">
        <v>35</v>
      </c>
      <c r="B74" s="44">
        <f>+B11</f>
        <v>2.1347524454330222</v>
      </c>
      <c r="C74" s="45">
        <f t="shared" ref="C74:BI74" si="26">+B74*(1-$B$8)^10+10*B73</f>
        <v>7.1633449239914491</v>
      </c>
      <c r="D74" s="45">
        <f t="shared" si="26"/>
        <v>9.1061691758178576</v>
      </c>
      <c r="E74" s="45">
        <f t="shared" si="26"/>
        <v>9.5354512075484479</v>
      </c>
      <c r="F74" s="45">
        <f t="shared" si="26"/>
        <v>9.4099385359252743</v>
      </c>
      <c r="G74" s="45">
        <f t="shared" si="26"/>
        <v>9.0375416006022142</v>
      </c>
      <c r="H74" s="45">
        <f t="shared" si="26"/>
        <v>8.8133371382399766</v>
      </c>
      <c r="I74" s="45">
        <f t="shared" si="26"/>
        <v>9.0161142991682599</v>
      </c>
      <c r="J74" s="45">
        <f t="shared" si="26"/>
        <v>9.2998411357736224</v>
      </c>
      <c r="K74" s="45">
        <f t="shared" si="26"/>
        <v>9.6015116065550217</v>
      </c>
      <c r="L74" s="45">
        <f t="shared" si="26"/>
        <v>9.9912078137053228</v>
      </c>
      <c r="M74" s="45">
        <f t="shared" si="26"/>
        <v>10.202077116669043</v>
      </c>
      <c r="N74" s="45">
        <f t="shared" si="26"/>
        <v>10.500573785945031</v>
      </c>
      <c r="O74" s="45">
        <f t="shared" si="26"/>
        <v>10.933607284351135</v>
      </c>
      <c r="P74" s="45">
        <f t="shared" si="26"/>
        <v>11.427254563081949</v>
      </c>
      <c r="Q74" s="45">
        <f t="shared" si="26"/>
        <v>12.039410856355241</v>
      </c>
      <c r="R74" s="45">
        <f t="shared" si="26"/>
        <v>12.714012333380538</v>
      </c>
      <c r="S74" s="45">
        <f t="shared" si="26"/>
        <v>13.456674176356991</v>
      </c>
      <c r="T74" s="45">
        <f t="shared" si="26"/>
        <v>14.254605585854417</v>
      </c>
      <c r="U74" s="45">
        <f t="shared" si="26"/>
        <v>15.024996576237095</v>
      </c>
      <c r="V74" s="45">
        <f t="shared" si="26"/>
        <v>15.565743140674297</v>
      </c>
      <c r="W74" s="45">
        <f t="shared" si="26"/>
        <v>16.297328681975902</v>
      </c>
      <c r="X74" s="45">
        <f t="shared" si="26"/>
        <v>16.710689212259524</v>
      </c>
      <c r="Y74" s="45">
        <f t="shared" si="26"/>
        <v>17.395094967992588</v>
      </c>
      <c r="Z74" s="45">
        <f t="shared" si="26"/>
        <v>18.060595018985193</v>
      </c>
      <c r="AA74" s="45">
        <f t="shared" si="26"/>
        <v>18.701409731618092</v>
      </c>
      <c r="AB74" s="45">
        <f t="shared" si="26"/>
        <v>19.30546677265809</v>
      </c>
      <c r="AC74" s="45">
        <f t="shared" si="26"/>
        <v>19.750025026367791</v>
      </c>
      <c r="AD74" s="45">
        <f t="shared" si="26"/>
        <v>20.373941729386502</v>
      </c>
      <c r="AE74" s="45">
        <f t="shared" si="26"/>
        <v>21.038524798798957</v>
      </c>
      <c r="AF74" s="45">
        <f t="shared" si="26"/>
        <v>21.632713172197391</v>
      </c>
      <c r="AG74" s="45">
        <f t="shared" si="26"/>
        <v>21.52715637091806</v>
      </c>
      <c r="AH74" s="45">
        <f t="shared" si="26"/>
        <v>22.150189077139718</v>
      </c>
      <c r="AI74" s="45">
        <f t="shared" si="26"/>
        <v>22.931779777198955</v>
      </c>
      <c r="AJ74" s="45">
        <f t="shared" si="26"/>
        <v>232.6644959840774</v>
      </c>
      <c r="AK74" s="45">
        <f t="shared" si="26"/>
        <v>546.0027131747687</v>
      </c>
      <c r="AL74" s="45">
        <f t="shared" si="26"/>
        <v>807.32353206625771</v>
      </c>
      <c r="AM74" s="45">
        <f t="shared" si="26"/>
        <v>995.08233661893928</v>
      </c>
      <c r="AN74" s="45">
        <f t="shared" si="26"/>
        <v>1128.4932166221347</v>
      </c>
      <c r="AO74" s="45">
        <f t="shared" si="26"/>
        <v>1228.0504288730949</v>
      </c>
      <c r="AP74" s="45">
        <f t="shared" si="26"/>
        <v>1308.0917833685703</v>
      </c>
      <c r="AQ74" s="45">
        <f t="shared" si="26"/>
        <v>1377.4765972275618</v>
      </c>
      <c r="AR74" s="45">
        <f t="shared" si="26"/>
        <v>1441.4110462847002</v>
      </c>
      <c r="AS74" s="45">
        <f t="shared" si="26"/>
        <v>1502.8923102600224</v>
      </c>
      <c r="AT74" s="45">
        <f t="shared" si="26"/>
        <v>1563.6382050132652</v>
      </c>
      <c r="AU74" s="45">
        <f t="shared" si="26"/>
        <v>1624.641239256639</v>
      </c>
      <c r="AV74" s="45">
        <f t="shared" si="26"/>
        <v>1686.4874287259904</v>
      </c>
      <c r="AW74" s="45">
        <f t="shared" si="26"/>
        <v>1749.5365640751893</v>
      </c>
      <c r="AX74" s="45">
        <f t="shared" si="26"/>
        <v>1814.0232131571033</v>
      </c>
      <c r="AY74" s="45">
        <f t="shared" si="26"/>
        <v>1880.1130374632935</v>
      </c>
      <c r="AZ74" s="45">
        <f t="shared" si="26"/>
        <v>1947.934115408963</v>
      </c>
      <c r="BA74" s="45">
        <f t="shared" si="26"/>
        <v>2017.5943490792497</v>
      </c>
      <c r="BB74" s="45">
        <f t="shared" si="26"/>
        <v>2089.1911430886312</v>
      </c>
      <c r="BC74" s="45">
        <f t="shared" si="26"/>
        <v>2162.816800066923</v>
      </c>
      <c r="BD74" s="45">
        <f t="shared" si="26"/>
        <v>2238.5615455004299</v>
      </c>
      <c r="BE74" s="45">
        <f t="shared" si="26"/>
        <v>2316.5152424212629</v>
      </c>
      <c r="BF74" s="45">
        <f t="shared" si="26"/>
        <v>2397.0385593981318</v>
      </c>
      <c r="BG74" s="45">
        <f t="shared" si="26"/>
        <v>2479.9666413378127</v>
      </c>
      <c r="BH74" s="45">
        <f t="shared" si="26"/>
        <v>2565.3177582223143</v>
      </c>
      <c r="BI74" s="45">
        <f t="shared" si="26"/>
        <v>2653.1799840268186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0.30387674477919907</v>
      </c>
      <c r="C77" s="23">
        <f t="shared" si="28"/>
        <v>9.1530656999531862E-2</v>
      </c>
      <c r="D77" s="23">
        <f t="shared" si="28"/>
        <v>7.2797439667256408E-2</v>
      </c>
      <c r="E77" s="23">
        <f t="shared" si="28"/>
        <v>6.9613869662305261E-2</v>
      </c>
      <c r="F77" s="23">
        <f t="shared" si="28"/>
        <v>7.1935796174588243E-2</v>
      </c>
      <c r="G77" s="23">
        <f t="shared" si="28"/>
        <v>7.7404920447582154E-2</v>
      </c>
      <c r="H77" s="23">
        <f t="shared" si="28"/>
        <v>8.3771749824622585E-2</v>
      </c>
      <c r="I77" s="23">
        <f t="shared" si="28"/>
        <v>8.5271436552100732E-2</v>
      </c>
      <c r="J77" s="23">
        <f t="shared" si="28"/>
        <v>8.570491040891777E-2</v>
      </c>
      <c r="K77" s="23">
        <f t="shared" si="28"/>
        <v>8.9947127797193147E-2</v>
      </c>
      <c r="L77" s="23">
        <f t="shared" si="28"/>
        <v>9.0206675240151385E-2</v>
      </c>
      <c r="M77" s="23">
        <f t="shared" si="28"/>
        <v>9.1860041291446523E-2</v>
      </c>
      <c r="N77" s="23">
        <f t="shared" si="28"/>
        <v>9.3559183298736456E-2</v>
      </c>
      <c r="O77" s="23">
        <f t="shared" si="28"/>
        <v>9.4101477925128255E-2</v>
      </c>
      <c r="P77" s="23">
        <f t="shared" si="28"/>
        <v>9.5201582624133294E-2</v>
      </c>
      <c r="Q77" s="23">
        <f t="shared" si="28"/>
        <v>9.5647243473044111E-2</v>
      </c>
      <c r="R77" s="23">
        <f t="shared" si="28"/>
        <v>9.5971752120324064E-2</v>
      </c>
      <c r="S77" s="23">
        <f t="shared" si="28"/>
        <v>9.6128098401943585E-2</v>
      </c>
      <c r="T77" s="23">
        <f t="shared" si="28"/>
        <v>9.5362238944516134E-2</v>
      </c>
      <c r="U77" s="23">
        <f t="shared" si="28"/>
        <v>9.3012425114732136E-2</v>
      </c>
      <c r="V77" s="23">
        <f t="shared" si="28"/>
        <v>9.457097028324396E-2</v>
      </c>
      <c r="W77" s="23">
        <f t="shared" si="28"/>
        <v>9.1592227765369849E-2</v>
      </c>
      <c r="X77" s="23">
        <f t="shared" si="28"/>
        <v>9.3747249674820815E-2</v>
      </c>
      <c r="Y77" s="23">
        <f t="shared" si="28"/>
        <v>9.3424995183598217E-2</v>
      </c>
      <c r="Z77" s="23">
        <f t="shared" si="28"/>
        <v>9.3112106974303999E-2</v>
      </c>
      <c r="AA77" s="23">
        <f t="shared" si="28"/>
        <v>9.2819702074631763E-2</v>
      </c>
      <c r="AB77" s="23">
        <f t="shared" si="28"/>
        <v>9.1830334193275728E-2</v>
      </c>
      <c r="AC77" s="23">
        <f t="shared" si="28"/>
        <v>9.2939629329683679E-2</v>
      </c>
      <c r="AD77" s="23">
        <f t="shared" si="28"/>
        <v>9.3042231715688345E-2</v>
      </c>
      <c r="AE77" s="23">
        <f t="shared" si="28"/>
        <v>9.2560713846437034E-2</v>
      </c>
      <c r="AF77" s="23">
        <f t="shared" si="28"/>
        <v>8.8087935648993615E-2</v>
      </c>
      <c r="AG77" s="23">
        <f t="shared" si="28"/>
        <v>9.2583055641816528E-2</v>
      </c>
      <c r="AH77" s="23">
        <f t="shared" si="28"/>
        <v>9.3495864324575462E-2</v>
      </c>
      <c r="AI77" s="23">
        <f t="shared" si="28"/>
        <v>1.3376380574974702</v>
      </c>
      <c r="AJ77" s="23">
        <f t="shared" si="28"/>
        <v>0.27255148727667411</v>
      </c>
      <c r="AK77" s="23">
        <f t="shared" si="28"/>
        <v>0.15463080703184692</v>
      </c>
      <c r="AL77" s="23">
        <f t="shared" si="28"/>
        <v>0.12113329593048236</v>
      </c>
      <c r="AM77" s="23">
        <f t="shared" si="28"/>
        <v>0.10771645170883366</v>
      </c>
      <c r="AN77" s="23">
        <f t="shared" si="28"/>
        <v>0.10147752883881332</v>
      </c>
      <c r="AO77" s="23">
        <f t="shared" si="28"/>
        <v>9.8350718300474815E-2</v>
      </c>
      <c r="AP77" s="23">
        <f t="shared" si="28"/>
        <v>9.6713695632903163E-2</v>
      </c>
      <c r="AQ77" s="23">
        <f t="shared" si="28"/>
        <v>9.5829179727270772E-2</v>
      </c>
      <c r="AR77" s="23">
        <f t="shared" si="28"/>
        <v>9.5336989848311515E-2</v>
      </c>
      <c r="AS77" s="23">
        <f t="shared" si="28"/>
        <v>9.5053933926500259E-2</v>
      </c>
      <c r="AT77" s="23">
        <f t="shared" si="28"/>
        <v>9.4884665957286257E-2</v>
      </c>
      <c r="AU77" s="23">
        <f t="shared" si="28"/>
        <v>9.4778844409381821E-2</v>
      </c>
      <c r="AV77" s="23">
        <f t="shared" si="28"/>
        <v>9.4709601359185838E-2</v>
      </c>
      <c r="AW77" s="23">
        <f t="shared" si="28"/>
        <v>9.4662442188436571E-2</v>
      </c>
      <c r="AX77" s="23">
        <f t="shared" si="28"/>
        <v>9.4629439832293508E-2</v>
      </c>
      <c r="AY77" s="23">
        <f t="shared" si="28"/>
        <v>9.4606173077510736E-2</v>
      </c>
      <c r="AZ77" s="23">
        <f t="shared" si="28"/>
        <v>9.4590103833482E-2</v>
      </c>
      <c r="BA77" s="23">
        <f t="shared" si="28"/>
        <v>9.4579714041359605E-2</v>
      </c>
      <c r="BB77" s="23">
        <f t="shared" si="28"/>
        <v>9.4574045172914414E-2</v>
      </c>
      <c r="BC77" s="23">
        <f t="shared" si="28"/>
        <v>9.4572451628702717E-2</v>
      </c>
      <c r="BD77" s="23">
        <f t="shared" si="28"/>
        <v>9.457446799896152E-2</v>
      </c>
      <c r="BE77" s="23">
        <f t="shared" si="28"/>
        <v>9.457973704700938E-2</v>
      </c>
      <c r="BF77" s="23">
        <f t="shared" si="28"/>
        <v>9.4580507150926571E-2</v>
      </c>
      <c r="BG77" s="23">
        <f t="shared" si="28"/>
        <v>9.4584133041838783E-2</v>
      </c>
      <c r="BH77" s="23">
        <f t="shared" si="28"/>
        <v>9.4592350892779703E-2</v>
      </c>
      <c r="BI77" s="23">
        <f t="shared" si="28"/>
        <v>9.4604970300275759E-2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0.19792147542692207</v>
      </c>
      <c r="C78" s="23">
        <f t="shared" si="29"/>
        <v>5.9615890295606933E-2</v>
      </c>
      <c r="D78" s="23">
        <f t="shared" si="29"/>
        <v>4.7414541960803566E-2</v>
      </c>
      <c r="E78" s="23">
        <f t="shared" si="29"/>
        <v>4.5341014179127934E-2</v>
      </c>
      <c r="F78" s="23">
        <f t="shared" si="29"/>
        <v>4.6853334977081253E-2</v>
      </c>
      <c r="G78" s="23">
        <f t="shared" si="29"/>
        <v>5.0415493529854603E-2</v>
      </c>
      <c r="H78" s="23">
        <f t="shared" si="29"/>
        <v>5.4562346771325723E-2</v>
      </c>
      <c r="I78" s="23">
        <f t="shared" si="29"/>
        <v>5.5539125070028117E-2</v>
      </c>
      <c r="J78" s="23">
        <f t="shared" si="29"/>
        <v>5.5821455938626051E-2</v>
      </c>
      <c r="K78" s="23">
        <f t="shared" si="29"/>
        <v>5.8584503585392481E-2</v>
      </c>
      <c r="L78" s="23">
        <f t="shared" si="29"/>
        <v>5.8753552430808084E-2</v>
      </c>
      <c r="M78" s="23">
        <f t="shared" si="29"/>
        <v>5.9830425386423337E-2</v>
      </c>
      <c r="N78" s="23">
        <f t="shared" si="29"/>
        <v>6.0937113209103035E-2</v>
      </c>
      <c r="O78" s="23">
        <f t="shared" si="29"/>
        <v>6.1290321391089933E-2</v>
      </c>
      <c r="P78" s="23">
        <f t="shared" si="29"/>
        <v>6.2006843299699209E-2</v>
      </c>
      <c r="Q78" s="23">
        <f t="shared" si="29"/>
        <v>6.2297111818998163E-2</v>
      </c>
      <c r="R78" s="23">
        <f t="shared" si="29"/>
        <v>6.2508471297345575E-2</v>
      </c>
      <c r="S78" s="23">
        <f t="shared" si="29"/>
        <v>6.2610303001374573E-2</v>
      </c>
      <c r="T78" s="23">
        <f t="shared" si="29"/>
        <v>6.2111482224898762E-2</v>
      </c>
      <c r="U78" s="23">
        <f t="shared" si="29"/>
        <v>6.0580997815809258E-2</v>
      </c>
      <c r="V78" s="23">
        <f t="shared" si="29"/>
        <v>6.1596111886138984E-2</v>
      </c>
      <c r="W78" s="23">
        <f t="shared" si="29"/>
        <v>5.9655992662856761E-2</v>
      </c>
      <c r="X78" s="23">
        <f t="shared" si="29"/>
        <v>6.1059604894539043E-2</v>
      </c>
      <c r="Y78" s="23">
        <f t="shared" si="29"/>
        <v>6.0849713596631161E-2</v>
      </c>
      <c r="Z78" s="23">
        <f t="shared" si="29"/>
        <v>6.0645922760079331E-2</v>
      </c>
      <c r="AA78" s="23">
        <f t="shared" si="29"/>
        <v>6.0455473144702412E-2</v>
      </c>
      <c r="AB78" s="23">
        <f t="shared" si="29"/>
        <v>5.9811076512902642E-2</v>
      </c>
      <c r="AC78" s="23">
        <f t="shared" si="29"/>
        <v>6.0533584351537349E-2</v>
      </c>
      <c r="AD78" s="23">
        <f t="shared" si="29"/>
        <v>6.0600411497639374E-2</v>
      </c>
      <c r="AE78" s="23">
        <f t="shared" si="29"/>
        <v>6.0286788527918876E-2</v>
      </c>
      <c r="AF78" s="23">
        <f t="shared" si="29"/>
        <v>5.7373571655273327E-2</v>
      </c>
      <c r="AG78" s="23">
        <f t="shared" si="29"/>
        <v>6.0301340220936417E-2</v>
      </c>
      <c r="AH78" s="23">
        <f t="shared" si="29"/>
        <v>6.0895872196081238E-2</v>
      </c>
      <c r="AI78" s="23">
        <f t="shared" si="29"/>
        <v>0.8712325061908579</v>
      </c>
      <c r="AJ78" s="23">
        <f t="shared" si="29"/>
        <v>0.17751865984610832</v>
      </c>
      <c r="AK78" s="23">
        <f t="shared" si="29"/>
        <v>0.1007143784445784</v>
      </c>
      <c r="AL78" s="23">
        <f t="shared" si="29"/>
        <v>7.8896727261270075E-2</v>
      </c>
      <c r="AM78" s="23">
        <f t="shared" si="29"/>
        <v>7.0158047353890543E-2</v>
      </c>
      <c r="AN78" s="23">
        <f t="shared" si="29"/>
        <v>6.6094502378093112E-2</v>
      </c>
      <c r="AO78" s="23">
        <f t="shared" si="29"/>
        <v>6.4057943260750719E-2</v>
      </c>
      <c r="AP78" s="23">
        <f t="shared" si="29"/>
        <v>6.2991715103316276E-2</v>
      </c>
      <c r="AQ78" s="23">
        <f t="shared" si="29"/>
        <v>6.2415610823903435E-2</v>
      </c>
      <c r="AR78" s="23">
        <f t="shared" si="29"/>
        <v>6.2095036944172698E-2</v>
      </c>
      <c r="AS78" s="23">
        <f t="shared" si="29"/>
        <v>6.1910676519639662E-2</v>
      </c>
      <c r="AT78" s="23">
        <f t="shared" si="29"/>
        <v>6.1800428641890094E-2</v>
      </c>
      <c r="AU78" s="23">
        <f t="shared" si="29"/>
        <v>6.1731504786237942E-2</v>
      </c>
      <c r="AV78" s="23">
        <f t="shared" si="29"/>
        <v>6.1686405294772061E-2</v>
      </c>
      <c r="AW78" s="23">
        <f t="shared" si="29"/>
        <v>6.1655689510116053E-2</v>
      </c>
      <c r="AX78" s="23">
        <f t="shared" si="29"/>
        <v>6.1634194364032578E-2</v>
      </c>
      <c r="AY78" s="23">
        <f t="shared" si="29"/>
        <v>6.1619040225013653E-2</v>
      </c>
      <c r="AZ78" s="23">
        <f t="shared" si="29"/>
        <v>6.1608573979926452E-2</v>
      </c>
      <c r="BA78" s="23">
        <f t="shared" si="29"/>
        <v>6.1601806884314249E-2</v>
      </c>
      <c r="BB78" s="23">
        <f t="shared" si="29"/>
        <v>6.1598114628075663E-2</v>
      </c>
      <c r="BC78" s="23">
        <f t="shared" si="29"/>
        <v>6.159707671837393E-2</v>
      </c>
      <c r="BD78" s="23">
        <f t="shared" si="29"/>
        <v>6.1598390023796225E-2</v>
      </c>
      <c r="BE78" s="23">
        <f t="shared" si="29"/>
        <v>6.1601821868389951E-2</v>
      </c>
      <c r="BF78" s="23">
        <f t="shared" si="29"/>
        <v>6.1602323453674578E-2</v>
      </c>
      <c r="BG78" s="23">
        <f t="shared" si="29"/>
        <v>6.1604685074599555E-2</v>
      </c>
      <c r="BH78" s="23">
        <f t="shared" si="29"/>
        <v>6.161003753809341E-2</v>
      </c>
      <c r="BI78" s="23">
        <f t="shared" si="29"/>
        <v>6.161825683026876E-2</v>
      </c>
    </row>
    <row r="79" spans="1:237" s="37" customFormat="1" ht="18" customHeight="1" x14ac:dyDescent="0.2">
      <c r="A79" s="35" t="s">
        <v>70</v>
      </c>
      <c r="B79" s="29">
        <f>+C134</f>
        <v>-1.6866346962672973E-2</v>
      </c>
      <c r="C79" s="23">
        <f t="shared" ref="C79:BI79" si="30">+D134</f>
        <v>-7.7666574513459707E-3</v>
      </c>
      <c r="D79" s="23">
        <f t="shared" si="30"/>
        <v>-5.1769695330937671E-3</v>
      </c>
      <c r="E79" s="23">
        <f t="shared" si="30"/>
        <v>2.923373675882468E-3</v>
      </c>
      <c r="F79" s="23">
        <f t="shared" si="30"/>
        <v>1.173936966156286E-2</v>
      </c>
      <c r="G79" s="23">
        <f t="shared" si="30"/>
        <v>1.8302422123688489E-2</v>
      </c>
      <c r="H79" s="23">
        <f t="shared" si="30"/>
        <v>1.5948731044555853E-2</v>
      </c>
      <c r="I79" s="23">
        <f t="shared" si="30"/>
        <v>1.5162248063928407E-2</v>
      </c>
      <c r="J79" s="23">
        <f t="shared" si="30"/>
        <v>2.3935704432755944E-2</v>
      </c>
      <c r="K79" s="23">
        <f t="shared" si="30"/>
        <v>2.1882857723208859E-2</v>
      </c>
      <c r="L79" s="23">
        <f t="shared" si="30"/>
        <v>2.4322829287824144E-2</v>
      </c>
      <c r="M79" s="23">
        <f t="shared" si="30"/>
        <v>2.538277144448875E-2</v>
      </c>
      <c r="N79" s="23">
        <f t="shared" si="30"/>
        <v>2.5344780700350622E-2</v>
      </c>
      <c r="O79" s="23">
        <f t="shared" si="30"/>
        <v>2.6904823410631051E-2</v>
      </c>
      <c r="P79" s="23">
        <f t="shared" si="30"/>
        <v>2.6827001473324952E-2</v>
      </c>
      <c r="Q79" s="23">
        <f t="shared" si="30"/>
        <v>2.7166858016319351E-2</v>
      </c>
      <c r="R79" s="23">
        <f t="shared" si="30"/>
        <v>2.7187835474925981E-2</v>
      </c>
      <c r="S79" s="23">
        <f t="shared" si="30"/>
        <v>2.598260115929385E-2</v>
      </c>
      <c r="T79" s="23">
        <f t="shared" si="30"/>
        <v>2.2375020699109349E-2</v>
      </c>
      <c r="U79" s="23">
        <f t="shared" si="30"/>
        <v>2.4866602839251462E-2</v>
      </c>
      <c r="V79" s="23">
        <f t="shared" si="30"/>
        <v>1.7955168585165993E-2</v>
      </c>
      <c r="W79" s="23">
        <f t="shared" si="30"/>
        <v>2.1530284700973734E-2</v>
      </c>
      <c r="X79" s="23">
        <f t="shared" si="30"/>
        <v>1.9755299132027559E-2</v>
      </c>
      <c r="Y79" s="23">
        <f t="shared" si="30"/>
        <v>1.9338597508804289E-2</v>
      </c>
      <c r="Z79" s="23">
        <f t="shared" si="30"/>
        <v>1.8836281560512314E-2</v>
      </c>
      <c r="AA79" s="23">
        <f t="shared" si="30"/>
        <v>1.6990169117992782E-2</v>
      </c>
      <c r="AB79" s="23">
        <f t="shared" si="30"/>
        <v>1.9625348546145061E-2</v>
      </c>
      <c r="AC79" s="23">
        <f t="shared" si="30"/>
        <v>1.9200588667972029E-2</v>
      </c>
      <c r="AD79" s="23">
        <f t="shared" si="30"/>
        <v>1.8142015087312835E-2</v>
      </c>
      <c r="AE79" s="23">
        <f t="shared" si="30"/>
        <v>1.1253358213416664E-2</v>
      </c>
      <c r="AF79" s="23">
        <f t="shared" si="30"/>
        <v>2.2043794407545114E-2</v>
      </c>
      <c r="AG79" s="23">
        <f t="shared" si="30"/>
        <v>2.0773502965939272E-2</v>
      </c>
      <c r="AH79" s="23">
        <f t="shared" si="30"/>
        <v>0.5201432761343916</v>
      </c>
      <c r="AI79" s="23">
        <f t="shared" si="30"/>
        <v>0.13197141067177065</v>
      </c>
      <c r="AJ79" s="23">
        <f t="shared" si="30"/>
        <v>5.9015032425085767E-2</v>
      </c>
      <c r="AK79" s="23">
        <f t="shared" si="30"/>
        <v>3.7399691342032915E-2</v>
      </c>
      <c r="AL79" s="23">
        <f t="shared" si="30"/>
        <v>2.8941999478456548E-2</v>
      </c>
      <c r="AM79" s="23">
        <f t="shared" si="30"/>
        <v>2.5046554522917264E-2</v>
      </c>
      <c r="AN79" s="23">
        <f t="shared" si="30"/>
        <v>2.3084423205979698E-2</v>
      </c>
      <c r="AO79" s="23">
        <f t="shared" si="30"/>
        <v>2.2036949641467851E-2</v>
      </c>
      <c r="AP79" s="23">
        <f t="shared" si="30"/>
        <v>2.1449702261545411E-2</v>
      </c>
      <c r="AQ79" s="23">
        <f t="shared" si="30"/>
        <v>2.1102927122374604E-2</v>
      </c>
      <c r="AR79" s="23">
        <f t="shared" si="30"/>
        <v>2.0885368963611262E-2</v>
      </c>
      <c r="AS79" s="23">
        <f t="shared" si="30"/>
        <v>2.0739165023668349E-2</v>
      </c>
      <c r="AT79" s="23">
        <f t="shared" si="30"/>
        <v>2.0633685440604399E-2</v>
      </c>
      <c r="AU79" s="23">
        <f t="shared" si="30"/>
        <v>2.0552479262565315E-2</v>
      </c>
      <c r="AV79" s="23">
        <f t="shared" si="30"/>
        <v>2.0486570189930386E-2</v>
      </c>
      <c r="AW79" s="23">
        <f t="shared" si="30"/>
        <v>2.0430956629940544E-2</v>
      </c>
      <c r="AX79" s="23">
        <f t="shared" si="30"/>
        <v>2.0382767156041259E-2</v>
      </c>
      <c r="AY79" s="23">
        <f t="shared" si="30"/>
        <v>2.0340282608960258E-2</v>
      </c>
      <c r="AZ79" s="23">
        <f t="shared" si="30"/>
        <v>2.0302415346273195E-2</v>
      </c>
      <c r="BA79" s="23">
        <f t="shared" si="30"/>
        <v>2.0268430719098562E-2</v>
      </c>
      <c r="BB79" s="23">
        <f t="shared" si="30"/>
        <v>2.0237797277085523E-2</v>
      </c>
      <c r="BC79" s="23">
        <f t="shared" si="30"/>
        <v>2.0210105548349899E-2</v>
      </c>
      <c r="BD79" s="23">
        <f t="shared" si="30"/>
        <v>2.0211039916323337E-2</v>
      </c>
      <c r="BE79" s="23">
        <f t="shared" si="30"/>
        <v>2.0179051438566686E-2</v>
      </c>
      <c r="BF79" s="23">
        <f t="shared" si="30"/>
        <v>2.0151293507815415E-2</v>
      </c>
      <c r="BG79" s="23">
        <f t="shared" si="30"/>
        <v>2.0127724724004814E-2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1.5129329620590699</v>
      </c>
      <c r="C84" s="381">
        <f t="shared" ref="C84:BH84" si="31">C68-C73</f>
        <v>1.5159209479486482</v>
      </c>
      <c r="D84" s="381">
        <f>D68-D73</f>
        <v>1.5667386230190714</v>
      </c>
      <c r="E84" s="381">
        <f>E68-E73</f>
        <v>1.5967538658471336</v>
      </c>
      <c r="F84" s="381">
        <f t="shared" si="31"/>
        <v>1.6718165830633946</v>
      </c>
      <c r="G84" s="381">
        <f t="shared" si="31"/>
        <v>1.7541946731633455</v>
      </c>
      <c r="H84" s="381">
        <f t="shared" si="31"/>
        <v>1.8557859802641243</v>
      </c>
      <c r="I84" s="381">
        <f t="shared" si="31"/>
        <v>1.9332058201885109</v>
      </c>
      <c r="J84" s="381">
        <f>J68-J73</f>
        <v>2.0034849102044445</v>
      </c>
      <c r="K84" s="381">
        <f t="shared" si="31"/>
        <v>2.198917382209105</v>
      </c>
      <c r="L84" s="381">
        <f>L68-L73</f>
        <v>2.3153514879906156</v>
      </c>
      <c r="M84" s="381">
        <f t="shared" si="31"/>
        <v>2.4083829091192888</v>
      </c>
      <c r="N84" s="381">
        <f t="shared" si="31"/>
        <v>2.5224848752168096</v>
      </c>
      <c r="O84" s="381">
        <f t="shared" si="31"/>
        <v>2.641340141538207</v>
      </c>
      <c r="P84" s="381">
        <f t="shared" si="31"/>
        <v>2.7939709318837549</v>
      </c>
      <c r="Q84" s="381">
        <f t="shared" si="31"/>
        <v>2.9539287296793262</v>
      </c>
      <c r="R84" s="381">
        <f t="shared" si="31"/>
        <v>3.1299417939281144</v>
      </c>
      <c r="S84" s="381">
        <f t="shared" si="31"/>
        <v>3.3168943514324507</v>
      </c>
      <c r="T84" s="381">
        <f t="shared" si="31"/>
        <v>3.4876096613622281</v>
      </c>
      <c r="U84" s="381">
        <f t="shared" si="31"/>
        <v>3.5820006927935797</v>
      </c>
      <c r="V84" s="381">
        <f t="shared" si="31"/>
        <v>3.770360693462206</v>
      </c>
      <c r="W84" s="381">
        <f t="shared" si="31"/>
        <v>3.8252595148274375</v>
      </c>
      <c r="X84" s="381">
        <f t="shared" si="31"/>
        <v>4.0126611259017517</v>
      </c>
      <c r="Y84" s="381">
        <f t="shared" si="31"/>
        <v>4.1607238678754817</v>
      </c>
      <c r="Z84" s="381">
        <f t="shared" si="31"/>
        <v>4.3025107073225257</v>
      </c>
      <c r="AA84" s="381">
        <f t="shared" si="31"/>
        <v>4.434533210205756</v>
      </c>
      <c r="AB84" s="381">
        <f t="shared" si="31"/>
        <v>4.5156771169862031</v>
      </c>
      <c r="AC84" s="381">
        <f t="shared" si="31"/>
        <v>4.6783241593031484</v>
      </c>
      <c r="AD84" s="381">
        <f t="shared" si="31"/>
        <v>4.8333845976893928</v>
      </c>
      <c r="AE84" s="381">
        <f t="shared" si="31"/>
        <v>4.9591093961612014</v>
      </c>
      <c r="AF84" s="381">
        <f t="shared" si="31"/>
        <v>4.8506323897618202</v>
      </c>
      <c r="AG84" s="381">
        <f t="shared" si="31"/>
        <v>5.0795056965498784</v>
      </c>
      <c r="AH84" s="381">
        <f t="shared" si="31"/>
        <v>5.2752586466832048</v>
      </c>
      <c r="AI84" s="381">
        <f t="shared" si="31"/>
        <v>77.929213931634891</v>
      </c>
      <c r="AJ84" s="381">
        <f t="shared" si="31"/>
        <v>161.24876716196087</v>
      </c>
      <c r="AK84" s="381">
        <f t="shared" si="31"/>
        <v>213.99499704799308</v>
      </c>
      <c r="AL84" s="381">
        <f t="shared" si="31"/>
        <v>247.51646932984852</v>
      </c>
      <c r="AM84" s="381">
        <f t="shared" si="31"/>
        <v>271.08352081075196</v>
      </c>
      <c r="AN84" s="381">
        <f t="shared" si="31"/>
        <v>289.48102640704673</v>
      </c>
      <c r="AO84" s="381">
        <f t="shared" si="31"/>
        <v>305.20359047495873</v>
      </c>
      <c r="AP84" s="381">
        <f t="shared" si="31"/>
        <v>319.5901146048177</v>
      </c>
      <c r="AQ84" s="381">
        <f t="shared" si="31"/>
        <v>333.3749500602662</v>
      </c>
      <c r="AR84" s="381">
        <f t="shared" si="31"/>
        <v>346.9680534838713</v>
      </c>
      <c r="AS84" s="381">
        <f t="shared" si="31"/>
        <v>360.60278167005504</v>
      </c>
      <c r="AT84" s="381">
        <f t="shared" si="31"/>
        <v>374.41564018199648</v>
      </c>
      <c r="AU84" s="381">
        <f t="shared" si="31"/>
        <v>388.48985852921561</v>
      </c>
      <c r="AV84" s="381">
        <f t="shared" si="31"/>
        <v>402.87935986907848</v>
      </c>
      <c r="AW84" s="381">
        <f t="shared" si="31"/>
        <v>417.62199269744877</v>
      </c>
      <c r="AX84" s="381">
        <f t="shared" si="31"/>
        <v>432.74684934984458</v>
      </c>
      <c r="AY84" s="381">
        <f t="shared" si="31"/>
        <v>448.27831977229073</v>
      </c>
      <c r="AZ84" s="381">
        <f t="shared" si="31"/>
        <v>464.23834092405764</v>
      </c>
      <c r="BA84" s="381">
        <f t="shared" si="31"/>
        <v>480.64764877983163</v>
      </c>
      <c r="BB84" s="381">
        <f t="shared" si="31"/>
        <v>497.52647922725282</v>
      </c>
      <c r="BC84" s="381">
        <f t="shared" si="31"/>
        <v>514.89496472242786</v>
      </c>
      <c r="BD84" s="381">
        <f t="shared" si="31"/>
        <v>532.77336321677058</v>
      </c>
      <c r="BE84" s="381">
        <f t="shared" si="31"/>
        <v>551.275908873248</v>
      </c>
      <c r="BF84" s="381">
        <f t="shared" si="31"/>
        <v>570.30179903575254</v>
      </c>
      <c r="BG84" s="381">
        <f t="shared" si="31"/>
        <v>589.87730904889963</v>
      </c>
      <c r="BH84" s="381">
        <f t="shared" si="31"/>
        <v>610.03077886381902</v>
      </c>
      <c r="BI84" s="381">
        <f>+BH84</f>
        <v>610.03077886381902</v>
      </c>
    </row>
    <row r="85" spans="1:103" s="381" customFormat="1" ht="18" customHeight="1" x14ac:dyDescent="0.2">
      <c r="A85" s="411" t="s">
        <v>970</v>
      </c>
      <c r="B85" s="383">
        <f>+C85/C84*B84</f>
        <v>0.50186807721526905</v>
      </c>
      <c r="C85" s="383">
        <f>+(C74-B74)/10</f>
        <v>0.50285924785584268</v>
      </c>
      <c r="D85" s="383">
        <f t="shared" ref="D85:BI85" si="32">+(D74-C74)/10</f>
        <v>0.19428242518264086</v>
      </c>
      <c r="E85" s="383">
        <f t="shared" si="32"/>
        <v>4.292820317305903E-2</v>
      </c>
      <c r="F85" s="383">
        <f t="shared" si="32"/>
        <v>-1.2551267162317359E-2</v>
      </c>
      <c r="G85" s="383">
        <f t="shared" si="32"/>
        <v>-3.7239693532306009E-2</v>
      </c>
      <c r="H85" s="383">
        <f t="shared" si="32"/>
        <v>-2.2420446236223766E-2</v>
      </c>
      <c r="I85" s="383">
        <f t="shared" si="32"/>
        <v>2.0277716092828336E-2</v>
      </c>
      <c r="J85" s="383">
        <f t="shared" si="32"/>
        <v>2.8372683660536246E-2</v>
      </c>
      <c r="K85" s="383">
        <f t="shared" si="32"/>
        <v>3.0167047078139931E-2</v>
      </c>
      <c r="L85" s="383">
        <f t="shared" si="32"/>
        <v>3.8969620715030115E-2</v>
      </c>
      <c r="M85" s="383">
        <f t="shared" si="32"/>
        <v>2.1086930296372052E-2</v>
      </c>
      <c r="N85" s="383">
        <f t="shared" si="32"/>
        <v>2.9849666927598762E-2</v>
      </c>
      <c r="O85" s="383">
        <f t="shared" si="32"/>
        <v>4.3303349840610392E-2</v>
      </c>
      <c r="P85" s="383">
        <f t="shared" si="32"/>
        <v>4.9364727873081368E-2</v>
      </c>
      <c r="Q85" s="383">
        <f t="shared" si="32"/>
        <v>6.1215629327329248E-2</v>
      </c>
      <c r="R85" s="383">
        <f t="shared" si="32"/>
        <v>6.7460147702529658E-2</v>
      </c>
      <c r="S85" s="383">
        <f t="shared" si="32"/>
        <v>7.426618429764531E-2</v>
      </c>
      <c r="T85" s="383">
        <f t="shared" si="32"/>
        <v>7.979314094974263E-2</v>
      </c>
      <c r="U85" s="383">
        <f t="shared" si="32"/>
        <v>7.7039099038267805E-2</v>
      </c>
      <c r="V85" s="383">
        <f t="shared" si="32"/>
        <v>5.4074656443720136E-2</v>
      </c>
      <c r="W85" s="383">
        <f t="shared" si="32"/>
        <v>7.3158554130160522E-2</v>
      </c>
      <c r="X85" s="383">
        <f t="shared" si="32"/>
        <v>4.1336053028362227E-2</v>
      </c>
      <c r="Y85" s="383">
        <f t="shared" si="32"/>
        <v>6.8440575573306364E-2</v>
      </c>
      <c r="Z85" s="383">
        <f t="shared" si="32"/>
        <v>6.655000509926054E-2</v>
      </c>
      <c r="AA85" s="383">
        <f t="shared" si="32"/>
        <v>6.4081471263289919E-2</v>
      </c>
      <c r="AB85" s="383">
        <f t="shared" si="32"/>
        <v>6.0405704103999723E-2</v>
      </c>
      <c r="AC85" s="383">
        <f t="shared" si="32"/>
        <v>4.4455825370970106E-2</v>
      </c>
      <c r="AD85" s="383">
        <f t="shared" si="32"/>
        <v>6.2391670301871115E-2</v>
      </c>
      <c r="AE85" s="383">
        <f t="shared" si="32"/>
        <v>6.6458306941245479E-2</v>
      </c>
      <c r="AF85" s="383">
        <f t="shared" si="32"/>
        <v>5.9418837339843475E-2</v>
      </c>
      <c r="AG85" s="383">
        <f t="shared" si="32"/>
        <v>-1.0555680127933087E-2</v>
      </c>
      <c r="AH85" s="383">
        <f t="shared" si="32"/>
        <v>6.2303270622165743E-2</v>
      </c>
      <c r="AI85" s="383">
        <f t="shared" si="32"/>
        <v>7.8159070005923675E-2</v>
      </c>
      <c r="AJ85" s="383">
        <f t="shared" si="32"/>
        <v>20.973271620687846</v>
      </c>
      <c r="AK85" s="383">
        <f t="shared" si="32"/>
        <v>31.333821719069128</v>
      </c>
      <c r="AL85" s="383">
        <f t="shared" si="32"/>
        <v>26.1320818891489</v>
      </c>
      <c r="AM85" s="383">
        <f t="shared" si="32"/>
        <v>18.775880455268158</v>
      </c>
      <c r="AN85" s="383">
        <f t="shared" si="32"/>
        <v>13.341088000319541</v>
      </c>
      <c r="AO85" s="383">
        <f t="shared" si="32"/>
        <v>9.9557212250960223</v>
      </c>
      <c r="AP85" s="383">
        <f t="shared" si="32"/>
        <v>8.0041354495475385</v>
      </c>
      <c r="AQ85" s="383">
        <f t="shared" si="32"/>
        <v>6.9384813858991494</v>
      </c>
      <c r="AR85" s="383">
        <f t="shared" si="32"/>
        <v>6.3934449057138405</v>
      </c>
      <c r="AS85" s="383">
        <f t="shared" si="32"/>
        <v>6.1481263975322236</v>
      </c>
      <c r="AT85" s="383">
        <f t="shared" si="32"/>
        <v>6.0745894753242737</v>
      </c>
      <c r="AU85" s="383">
        <f t="shared" si="32"/>
        <v>6.1003034243373806</v>
      </c>
      <c r="AV85" s="383">
        <f t="shared" si="32"/>
        <v>6.1846189469351431</v>
      </c>
      <c r="AW85" s="383">
        <f t="shared" si="32"/>
        <v>6.3049135349198879</v>
      </c>
      <c r="AX85" s="383">
        <f t="shared" si="32"/>
        <v>6.4486649081914038</v>
      </c>
      <c r="AY85" s="383">
        <f t="shared" si="32"/>
        <v>6.608982430619017</v>
      </c>
      <c r="AZ85" s="383">
        <f t="shared" si="32"/>
        <v>6.7821077945669455</v>
      </c>
      <c r="BA85" s="383">
        <f t="shared" si="32"/>
        <v>6.966023367028674</v>
      </c>
      <c r="BB85" s="383">
        <f t="shared" si="32"/>
        <v>7.1596794009381481</v>
      </c>
      <c r="BC85" s="383">
        <f t="shared" si="32"/>
        <v>7.3625656978291776</v>
      </c>
      <c r="BD85" s="383">
        <f t="shared" si="32"/>
        <v>7.5744745433506981</v>
      </c>
      <c r="BE85" s="383">
        <f t="shared" si="32"/>
        <v>7.7953696920832956</v>
      </c>
      <c r="BF85" s="383">
        <f t="shared" si="32"/>
        <v>8.0523316976868955</v>
      </c>
      <c r="BG85" s="383">
        <f t="shared" si="32"/>
        <v>8.2928081939680851</v>
      </c>
      <c r="BH85" s="383">
        <f t="shared" si="32"/>
        <v>8.5351116884501614</v>
      </c>
      <c r="BI85" s="383">
        <f t="shared" si="32"/>
        <v>8.7862225804504313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2.0148010392743387</v>
      </c>
      <c r="C87" s="383">
        <f>+SUM(C84:C86)</f>
        <v>2.0187801958044909</v>
      </c>
      <c r="D87" s="383">
        <f t="shared" ref="D87:BI87" si="35">+SUM(D84:D86)</f>
        <v>1.7610210482017123</v>
      </c>
      <c r="E87" s="383">
        <f t="shared" si="35"/>
        <v>1.6396820690201928</v>
      </c>
      <c r="F87" s="383">
        <f t="shared" si="35"/>
        <v>1.6592653159010773</v>
      </c>
      <c r="G87" s="383">
        <f t="shared" si="35"/>
        <v>1.7169549796310395</v>
      </c>
      <c r="H87" s="383">
        <f t="shared" si="35"/>
        <v>1.8333655340279005</v>
      </c>
      <c r="I87" s="383">
        <f t="shared" si="35"/>
        <v>1.9534835362813392</v>
      </c>
      <c r="J87" s="383">
        <f t="shared" si="35"/>
        <v>2.0318575938649808</v>
      </c>
      <c r="K87" s="383">
        <f t="shared" si="35"/>
        <v>2.2290844292872452</v>
      </c>
      <c r="L87" s="383">
        <f t="shared" si="35"/>
        <v>2.3543211087056459</v>
      </c>
      <c r="M87" s="383">
        <f t="shared" si="35"/>
        <v>2.4294698394156606</v>
      </c>
      <c r="N87" s="383">
        <f t="shared" si="35"/>
        <v>2.5523345421444086</v>
      </c>
      <c r="O87" s="383">
        <f t="shared" si="35"/>
        <v>2.6846434913788175</v>
      </c>
      <c r="P87" s="383">
        <f t="shared" si="35"/>
        <v>2.8433356597568364</v>
      </c>
      <c r="Q87" s="383">
        <f t="shared" si="35"/>
        <v>3.0151443590066553</v>
      </c>
      <c r="R87" s="383">
        <f t="shared" si="35"/>
        <v>3.1974019416306443</v>
      </c>
      <c r="S87" s="383">
        <f t="shared" si="35"/>
        <v>3.391160535730096</v>
      </c>
      <c r="T87" s="383">
        <f t="shared" si="35"/>
        <v>3.5674028023119706</v>
      </c>
      <c r="U87" s="383">
        <f t="shared" si="35"/>
        <v>3.6590397918318476</v>
      </c>
      <c r="V87" s="383">
        <f t="shared" si="35"/>
        <v>3.8244353499059263</v>
      </c>
      <c r="W87" s="383">
        <f t="shared" si="35"/>
        <v>3.8984180689575982</v>
      </c>
      <c r="X87" s="383">
        <f t="shared" si="35"/>
        <v>4.0539971789301141</v>
      </c>
      <c r="Y87" s="383">
        <f t="shared" si="35"/>
        <v>4.2291644434487878</v>
      </c>
      <c r="Z87" s="383">
        <f t="shared" si="35"/>
        <v>4.3690607124217866</v>
      </c>
      <c r="AA87" s="383">
        <f t="shared" si="35"/>
        <v>4.4986146814690455</v>
      </c>
      <c r="AB87" s="383">
        <f t="shared" si="35"/>
        <v>4.5760828210902025</v>
      </c>
      <c r="AC87" s="383">
        <f t="shared" si="35"/>
        <v>4.7227799846741183</v>
      </c>
      <c r="AD87" s="383">
        <f t="shared" si="35"/>
        <v>4.8957762679912635</v>
      </c>
      <c r="AE87" s="383">
        <f t="shared" si="35"/>
        <v>5.025567703102447</v>
      </c>
      <c r="AF87" s="383">
        <f t="shared" si="35"/>
        <v>4.9100512271016639</v>
      </c>
      <c r="AG87" s="383">
        <f t="shared" si="35"/>
        <v>5.0689500164219456</v>
      </c>
      <c r="AH87" s="383">
        <f t="shared" si="35"/>
        <v>5.3375619173053703</v>
      </c>
      <c r="AI87" s="383">
        <f t="shared" si="35"/>
        <v>78.007373001640815</v>
      </c>
      <c r="AJ87" s="383">
        <f t="shared" si="35"/>
        <v>182.22203878264872</v>
      </c>
      <c r="AK87" s="383">
        <f t="shared" si="35"/>
        <v>245.32881876706222</v>
      </c>
      <c r="AL87" s="383">
        <f t="shared" si="35"/>
        <v>273.6485512189974</v>
      </c>
      <c r="AM87" s="383">
        <f t="shared" si="35"/>
        <v>289.85940126602014</v>
      </c>
      <c r="AN87" s="383">
        <f t="shared" si="35"/>
        <v>302.82211440736626</v>
      </c>
      <c r="AO87" s="383">
        <f t="shared" si="35"/>
        <v>315.15931170005473</v>
      </c>
      <c r="AP87" s="383">
        <f t="shared" si="35"/>
        <v>327.59425005436526</v>
      </c>
      <c r="AQ87" s="383">
        <f t="shared" si="35"/>
        <v>340.31343144616534</v>
      </c>
      <c r="AR87" s="383">
        <f t="shared" si="35"/>
        <v>353.36149838958517</v>
      </c>
      <c r="AS87" s="383">
        <f t="shared" si="35"/>
        <v>366.75090806758726</v>
      </c>
      <c r="AT87" s="383">
        <f t="shared" si="35"/>
        <v>380.49022965732075</v>
      </c>
      <c r="AU87" s="383">
        <f t="shared" si="35"/>
        <v>394.59016195355298</v>
      </c>
      <c r="AV87" s="383">
        <f t="shared" si="35"/>
        <v>409.06397881601362</v>
      </c>
      <c r="AW87" s="383">
        <f t="shared" si="35"/>
        <v>423.92690623236865</v>
      </c>
      <c r="AX87" s="383">
        <f t="shared" si="35"/>
        <v>439.19551425803598</v>
      </c>
      <c r="AY87" s="383">
        <f t="shared" si="35"/>
        <v>454.88730220290972</v>
      </c>
      <c r="AZ87" s="383">
        <f t="shared" si="35"/>
        <v>471.02044871862461</v>
      </c>
      <c r="BA87" s="383">
        <f t="shared" si="35"/>
        <v>487.61367214686032</v>
      </c>
      <c r="BB87" s="383">
        <f t="shared" si="35"/>
        <v>504.68615862819098</v>
      </c>
      <c r="BC87" s="383">
        <f t="shared" si="35"/>
        <v>522.25753042025701</v>
      </c>
      <c r="BD87" s="383">
        <f t="shared" si="35"/>
        <v>540.34783776012125</v>
      </c>
      <c r="BE87" s="383">
        <f t="shared" si="35"/>
        <v>559.07127856533134</v>
      </c>
      <c r="BF87" s="383">
        <f t="shared" si="35"/>
        <v>578.35413073343943</v>
      </c>
      <c r="BG87" s="383">
        <f t="shared" si="35"/>
        <v>598.17011724286772</v>
      </c>
      <c r="BH87" s="383">
        <f t="shared" si="35"/>
        <v>618.56589055226914</v>
      </c>
      <c r="BI87" s="383">
        <f t="shared" si="35"/>
        <v>618.81700144426941</v>
      </c>
    </row>
    <row r="88" spans="1:103" ht="18" customHeight="1" x14ac:dyDescent="0.2">
      <c r="A88" s="21" t="s">
        <v>153</v>
      </c>
      <c r="B88" s="29">
        <f t="shared" ref="B88:AG88" si="36">(B84/B56)*1000</f>
        <v>1.9815597271453651</v>
      </c>
      <c r="C88" s="23">
        <f t="shared" si="36"/>
        <v>1.6019561901955108</v>
      </c>
      <c r="D88" s="23">
        <f t="shared" si="36"/>
        <v>1.3771115849305051</v>
      </c>
      <c r="E88" s="23">
        <f t="shared" si="36"/>
        <v>1.2045765063795786</v>
      </c>
      <c r="F88" s="23">
        <f t="shared" si="36"/>
        <v>1.1121903594672138</v>
      </c>
      <c r="G88" s="23">
        <f t="shared" si="36"/>
        <v>1.0885870853032977</v>
      </c>
      <c r="H88" s="23">
        <f t="shared" si="36"/>
        <v>1.1124181715161099</v>
      </c>
      <c r="I88" s="23">
        <f t="shared" si="36"/>
        <v>1.1193684818462428</v>
      </c>
      <c r="J88" s="23">
        <f t="shared" si="36"/>
        <v>1.1205618982320003</v>
      </c>
      <c r="K88" s="23">
        <f t="shared" si="36"/>
        <v>1.1879919099364729</v>
      </c>
      <c r="L88" s="23">
        <f t="shared" si="36"/>
        <v>1.2427410013731095</v>
      </c>
      <c r="M88" s="23">
        <f t="shared" si="36"/>
        <v>1.320847542009193</v>
      </c>
      <c r="N88" s="23">
        <f t="shared" si="36"/>
        <v>1.4135760709155221</v>
      </c>
      <c r="O88" s="23">
        <f t="shared" si="36"/>
        <v>1.5124408667487266</v>
      </c>
      <c r="P88" s="23">
        <f t="shared" si="36"/>
        <v>1.6347050856131866</v>
      </c>
      <c r="Q88" s="23">
        <f t="shared" si="36"/>
        <v>1.7659605646648322</v>
      </c>
      <c r="R88" s="23">
        <f t="shared" si="36"/>
        <v>1.9119683897442612</v>
      </c>
      <c r="S88" s="23">
        <f t="shared" si="36"/>
        <v>2.0703298487119808</v>
      </c>
      <c r="T88" s="23">
        <f t="shared" si="36"/>
        <v>2.2243300807172766</v>
      </c>
      <c r="U88" s="23">
        <f t="shared" si="36"/>
        <v>2.3343205142867447</v>
      </c>
      <c r="V88" s="23">
        <f t="shared" si="36"/>
        <v>2.4898268473412135</v>
      </c>
      <c r="W88" s="23">
        <f t="shared" si="36"/>
        <v>2.5385547976996206</v>
      </c>
      <c r="X88" s="23">
        <f t="shared" si="36"/>
        <v>2.6494429384521947</v>
      </c>
      <c r="Y88" s="23">
        <f t="shared" si="36"/>
        <v>2.7333007935298186</v>
      </c>
      <c r="Z88" s="23">
        <f t="shared" si="36"/>
        <v>2.8121400163382377</v>
      </c>
      <c r="AA88" s="23">
        <f t="shared" si="36"/>
        <v>2.8837615012927751</v>
      </c>
      <c r="AB88" s="23">
        <f t="shared" si="36"/>
        <v>2.9216672771182224</v>
      </c>
      <c r="AC88" s="23">
        <f t="shared" si="36"/>
        <v>3.0115815877360133</v>
      </c>
      <c r="AD88" s="23">
        <f t="shared" si="36"/>
        <v>3.0956519329899588</v>
      </c>
      <c r="AE88" s="23">
        <f t="shared" si="36"/>
        <v>3.1601005839666843</v>
      </c>
      <c r="AF88" s="23">
        <f t="shared" si="36"/>
        <v>3.0831439594980519</v>
      </c>
      <c r="AG88" s="23">
        <f t="shared" si="36"/>
        <v>3.2286197029914883</v>
      </c>
      <c r="AH88" s="23">
        <f t="shared" ref="AH88:BI88" si="37">(AH84/AH56)*1000</f>
        <v>3.3530435878093452</v>
      </c>
      <c r="AI88" s="23">
        <f t="shared" si="37"/>
        <v>49.533125971137409</v>
      </c>
      <c r="AJ88" s="23">
        <f t="shared" si="37"/>
        <v>102.49244273823832</v>
      </c>
      <c r="AK88" s="23">
        <f t="shared" si="37"/>
        <v>136.01883826610083</v>
      </c>
      <c r="AL88" s="23">
        <f t="shared" si="37"/>
        <v>157.32565281618446</v>
      </c>
      <c r="AM88" s="23">
        <f t="shared" si="37"/>
        <v>172.30526919979067</v>
      </c>
      <c r="AN88" s="23">
        <f t="shared" si="37"/>
        <v>183.99903481451148</v>
      </c>
      <c r="AO88" s="23">
        <f t="shared" si="37"/>
        <v>193.9925623669435</v>
      </c>
      <c r="AP88" s="23">
        <f t="shared" si="37"/>
        <v>203.13688034551652</v>
      </c>
      <c r="AQ88" s="23">
        <f t="shared" si="37"/>
        <v>211.89875482952121</v>
      </c>
      <c r="AR88" s="23">
        <f t="shared" si="37"/>
        <v>220.53876119235716</v>
      </c>
      <c r="AS88" s="23">
        <f t="shared" si="37"/>
        <v>229.20522495806307</v>
      </c>
      <c r="AT88" s="23">
        <f t="shared" si="37"/>
        <v>237.98491137057735</v>
      </c>
      <c r="AU88" s="23">
        <f t="shared" si="37"/>
        <v>246.93072251336238</v>
      </c>
      <c r="AV88" s="23">
        <f t="shared" si="37"/>
        <v>256.07693285695137</v>
      </c>
      <c r="AW88" s="23">
        <f t="shared" si="37"/>
        <v>265.44759954524255</v>
      </c>
      <c r="AX88" s="23">
        <f t="shared" si="37"/>
        <v>275.06121415857297</v>
      </c>
      <c r="AY88" s="23">
        <f t="shared" si="37"/>
        <v>284.93327935901146</v>
      </c>
      <c r="AZ88" s="23">
        <f t="shared" si="37"/>
        <v>295.07773864877174</v>
      </c>
      <c r="BA88" s="23">
        <f t="shared" si="37"/>
        <v>305.50777216396</v>
      </c>
      <c r="BB88" s="23">
        <f t="shared" si="37"/>
        <v>316.23624217690065</v>
      </c>
      <c r="BC88" s="23">
        <f t="shared" si="37"/>
        <v>327.2759452170867</v>
      </c>
      <c r="BD88" s="23">
        <f t="shared" si="37"/>
        <v>338.63975758095017</v>
      </c>
      <c r="BE88" s="23">
        <f t="shared" si="37"/>
        <v>350.40028843389871</v>
      </c>
      <c r="BF88" s="23">
        <f t="shared" si="37"/>
        <v>362.49346590337899</v>
      </c>
      <c r="BG88" s="23">
        <f t="shared" si="37"/>
        <v>374.93599104268191</v>
      </c>
      <c r="BH88" s="23">
        <f t="shared" si="37"/>
        <v>387.74587720390593</v>
      </c>
      <c r="BI88" s="23">
        <f t="shared" si="37"/>
        <v>387.74587720390593</v>
      </c>
    </row>
    <row r="89" spans="1:103" ht="18" customHeight="1" x14ac:dyDescent="0.2">
      <c r="A89" s="21" t="s">
        <v>166</v>
      </c>
      <c r="C89" s="23">
        <f>+LN(C88/B88)/10</f>
        <v>-2.1265877425576066E-2</v>
      </c>
      <c r="D89" s="23">
        <f>+LN(D88/C88)/10</f>
        <v>-1.5123725005681279E-2</v>
      </c>
      <c r="E89" s="23">
        <f>+LN(E88/D88)/10</f>
        <v>-1.3386019308854403E-2</v>
      </c>
      <c r="F89" s="23">
        <f>+LN(F88/E88)/10</f>
        <v>-7.9796690433873701E-3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-0.42077861642791148</v>
      </c>
      <c r="C90" s="33">
        <f t="shared" si="38"/>
        <v>-0.58017315040107009</v>
      </c>
      <c r="D90" s="33">
        <f t="shared" si="38"/>
        <v>-0.70429758956802302</v>
      </c>
      <c r="E90" s="33">
        <f t="shared" si="38"/>
        <v>-0.82227031854406185</v>
      </c>
      <c r="F90" s="33">
        <f t="shared" si="38"/>
        <v>-0.89644578844746081</v>
      </c>
      <c r="G90" s="33">
        <f t="shared" si="38"/>
        <v>-0.91689536305477026</v>
      </c>
      <c r="H90" s="33">
        <f t="shared" si="38"/>
        <v>-0.89625159199641913</v>
      </c>
      <c r="I90" s="33">
        <f t="shared" si="38"/>
        <v>-0.89035538382791746</v>
      </c>
      <c r="J90" s="33">
        <f t="shared" si="38"/>
        <v>-0.88934848627160945</v>
      </c>
      <c r="K90" s="33">
        <f t="shared" si="38"/>
        <v>-0.83494585637803365</v>
      </c>
      <c r="L90" s="33">
        <f t="shared" si="38"/>
        <v>-0.79407123108882671</v>
      </c>
      <c r="M90" s="33">
        <f t="shared" si="38"/>
        <v>-0.74021797199592076</v>
      </c>
      <c r="N90" s="33">
        <f t="shared" si="38"/>
        <v>-0.6821720133952871</v>
      </c>
      <c r="O90" s="33">
        <f t="shared" si="38"/>
        <v>-0.6262630471606272</v>
      </c>
      <c r="P90" s="33">
        <f t="shared" si="38"/>
        <v>-0.56426485811437832</v>
      </c>
      <c r="Q90" s="33">
        <f t="shared" si="38"/>
        <v>-0.50501037934364157</v>
      </c>
      <c r="R90" s="33">
        <f t="shared" si="38"/>
        <v>-0.44640409178194829</v>
      </c>
      <c r="S90" s="33">
        <f t="shared" si="38"/>
        <v>-0.38998535298551329</v>
      </c>
      <c r="T90" s="33">
        <f t="shared" si="38"/>
        <v>-0.34100494129678327</v>
      </c>
      <c r="U90" s="33">
        <f t="shared" si="38"/>
        <v>-0.30903045999753309</v>
      </c>
      <c r="V90" s="33">
        <f t="shared" si="38"/>
        <v>-0.26749257203779342</v>
      </c>
      <c r="W90" s="33">
        <f t="shared" si="38"/>
        <v>-0.25526877079530741</v>
      </c>
      <c r="X90" s="33">
        <f t="shared" si="38"/>
        <v>-0.2287193861769441</v>
      </c>
      <c r="Y90" s="33">
        <f t="shared" si="38"/>
        <v>-0.20972395860431847</v>
      </c>
      <c r="Z90" s="33">
        <f t="shared" si="38"/>
        <v>-0.19264591631687544</v>
      </c>
      <c r="AA90" s="33">
        <f t="shared" si="38"/>
        <v>-0.1777424418811524</v>
      </c>
      <c r="AB90" s="33">
        <f t="shared" si="38"/>
        <v>-0.17007747110550708</v>
      </c>
      <c r="AC90" s="33">
        <f t="shared" si="38"/>
        <v>-0.15247809357393916</v>
      </c>
      <c r="AD90" s="33">
        <f t="shared" si="38"/>
        <v>-0.13672113203842828</v>
      </c>
      <c r="AE90" s="33">
        <f t="shared" si="38"/>
        <v>-0.12506999537184149</v>
      </c>
      <c r="AF90" s="33">
        <f t="shared" si="38"/>
        <v>-0.13902457405394819</v>
      </c>
      <c r="AG90" s="33">
        <f t="shared" si="38"/>
        <v>-0.11306762079303567</v>
      </c>
      <c r="AH90" s="33">
        <f t="shared" si="38"/>
        <v>-9.2220682424629219E-2</v>
      </c>
      <c r="AI90" s="33">
        <f t="shared" si="38"/>
        <v>0.71582744806500298</v>
      </c>
      <c r="AJ90" s="33">
        <f t="shared" si="38"/>
        <v>0.80244679779798112</v>
      </c>
      <c r="AK90" s="33">
        <f t="shared" si="38"/>
        <v>0.82851329132950768</v>
      </c>
      <c r="AL90" s="33">
        <f t="shared" si="38"/>
        <v>0.84054790694252191</v>
      </c>
      <c r="AM90" s="33">
        <f t="shared" si="38"/>
        <v>0.84763657862221953</v>
      </c>
      <c r="AN90" s="33">
        <f t="shared" si="38"/>
        <v>0.85255765713478671</v>
      </c>
      <c r="AO90" s="33">
        <f t="shared" si="38"/>
        <v>0.85640561566671991</v>
      </c>
      <c r="AP90" s="33">
        <f t="shared" si="38"/>
        <v>0.85967482051023847</v>
      </c>
      <c r="AQ90" s="33">
        <f t="shared" si="38"/>
        <v>0.86260662454913739</v>
      </c>
      <c r="AR90" s="33">
        <f t="shared" si="38"/>
        <v>0.86532483066005494</v>
      </c>
      <c r="AS90" s="33">
        <f t="shared" si="38"/>
        <v>0.86789546129986717</v>
      </c>
      <c r="AT90" s="33">
        <f t="shared" si="38"/>
        <v>0.87035514563795158</v>
      </c>
      <c r="AU90" s="33">
        <f t="shared" si="38"/>
        <v>0.87272519741136201</v>
      </c>
      <c r="AV90" s="33">
        <f t="shared" si="38"/>
        <v>0.87501877820348029</v>
      </c>
      <c r="AW90" s="33">
        <f t="shared" si="38"/>
        <v>0.87724460319541631</v>
      </c>
      <c r="AX90" s="33">
        <f t="shared" si="38"/>
        <v>0.87940888302890596</v>
      </c>
      <c r="AY90" s="33">
        <f t="shared" si="38"/>
        <v>0.88151635468065637</v>
      </c>
      <c r="AZ90" s="33">
        <f t="shared" si="38"/>
        <v>0.88357083779706835</v>
      </c>
      <c r="BA90" s="33">
        <f t="shared" si="38"/>
        <v>0.88557554197741151</v>
      </c>
      <c r="BB90" s="33">
        <f t="shared" si="38"/>
        <v>0.8875332422297213</v>
      </c>
      <c r="BC90" s="33">
        <f t="shared" si="38"/>
        <v>0.88944638383532304</v>
      </c>
      <c r="BD90" s="33">
        <f t="shared" si="38"/>
        <v>0.89131714876366008</v>
      </c>
      <c r="BE90" s="33">
        <f t="shared" si="38"/>
        <v>0.8931565831817242</v>
      </c>
      <c r="BF90" s="33">
        <f t="shared" si="38"/>
        <v>0.89495390697509847</v>
      </c>
      <c r="BG90" s="33">
        <f t="shared" si="38"/>
        <v>0.89671162855032394</v>
      </c>
      <c r="BH90" s="33">
        <f t="shared" si="38"/>
        <v>0.89843211680870916</v>
      </c>
      <c r="BI90" s="33">
        <f t="shared" si="38"/>
        <v>0.89843211680870916</v>
      </c>
    </row>
    <row r="91" spans="1:103" ht="18" customHeight="1" x14ac:dyDescent="0.2">
      <c r="A91" s="21" t="s">
        <v>115</v>
      </c>
      <c r="B91" s="29">
        <f t="shared" ref="B91:AG91" si="39">B17*B56*B90</f>
        <v>-321.26704524849089</v>
      </c>
      <c r="C91" s="23">
        <f t="shared" si="39"/>
        <v>-473.06751143066401</v>
      </c>
      <c r="D91" s="23">
        <f t="shared" si="39"/>
        <v>-594.92576123555057</v>
      </c>
      <c r="E91" s="23">
        <f t="shared" si="39"/>
        <v>-697.32772727614145</v>
      </c>
      <c r="F91" s="23">
        <f t="shared" si="39"/>
        <v>-742.83412021665697</v>
      </c>
      <c r="G91" s="23">
        <f t="shared" si="39"/>
        <v>-701.83055883068369</v>
      </c>
      <c r="H91" s="23">
        <f t="shared" si="39"/>
        <v>-611.96589587857602</v>
      </c>
      <c r="I91" s="23">
        <f t="shared" si="39"/>
        <v>-542.30730110687716</v>
      </c>
      <c r="J91" s="23">
        <f t="shared" si="39"/>
        <v>-483.21322808842825</v>
      </c>
      <c r="K91" s="23">
        <f t="shared" si="39"/>
        <v>-404.67832198194822</v>
      </c>
      <c r="L91" s="23">
        <f t="shared" si="39"/>
        <v>-333.80400226267602</v>
      </c>
      <c r="M91" s="23">
        <f t="shared" si="39"/>
        <v>-262.40241161902452</v>
      </c>
      <c r="N91" s="23">
        <f t="shared" si="39"/>
        <v>-203.92863597835179</v>
      </c>
      <c r="O91" s="23">
        <f t="shared" si="39"/>
        <v>-157.87640273313932</v>
      </c>
      <c r="P91" s="23">
        <f t="shared" si="39"/>
        <v>-119.95533239398057</v>
      </c>
      <c r="Q91" s="23">
        <f t="shared" si="39"/>
        <v>-90.534264620516481</v>
      </c>
      <c r="R91" s="23">
        <f t="shared" si="39"/>
        <v>-67.486508542808039</v>
      </c>
      <c r="S91" s="23">
        <f t="shared" si="39"/>
        <v>-49.717949511099114</v>
      </c>
      <c r="T91" s="23">
        <f t="shared" si="39"/>
        <v>-36.660780290938781</v>
      </c>
      <c r="U91" s="23">
        <f t="shared" si="39"/>
        <v>-28.016794189458874</v>
      </c>
      <c r="V91" s="23">
        <f t="shared" si="39"/>
        <v>-20.621347009041575</v>
      </c>
      <c r="W91" s="23">
        <f t="shared" si="39"/>
        <v>-16.873422310744406</v>
      </c>
      <c r="X91" s="23">
        <f t="shared" si="39"/>
        <v>-13.093374688403149</v>
      </c>
      <c r="Y91" s="23">
        <f t="shared" si="39"/>
        <v>-10.397760170586263</v>
      </c>
      <c r="Z91" s="23">
        <f t="shared" si="39"/>
        <v>-8.2716983235213135</v>
      </c>
      <c r="AA91" s="23">
        <f t="shared" si="39"/>
        <v>-6.6095082968583814</v>
      </c>
      <c r="AB91" s="23">
        <f t="shared" si="39"/>
        <v>-5.477317669587479</v>
      </c>
      <c r="AC91" s="23">
        <f t="shared" si="39"/>
        <v>-4.2527683132406908</v>
      </c>
      <c r="AD91" s="23">
        <f t="shared" si="39"/>
        <v>-3.3025016695579459</v>
      </c>
      <c r="AE91" s="23">
        <f t="shared" si="39"/>
        <v>-2.6163971303110061</v>
      </c>
      <c r="AF91" s="23">
        <f t="shared" si="39"/>
        <v>-2.5123691810777071</v>
      </c>
      <c r="AG91" s="23">
        <f t="shared" si="39"/>
        <v>-1.760636558158444</v>
      </c>
      <c r="AH91" s="23">
        <f t="shared" ref="AH91:BI91" si="40">AH17*AH56*AH90</f>
        <v>-1.2373693973256654</v>
      </c>
      <c r="AI91" s="23">
        <f t="shared" si="40"/>
        <v>8.2759710707580574</v>
      </c>
      <c r="AJ91" s="23">
        <f t="shared" si="40"/>
        <v>7.9940423101598608</v>
      </c>
      <c r="AK91" s="23">
        <f t="shared" si="40"/>
        <v>7.1119591204733767</v>
      </c>
      <c r="AL91" s="23">
        <f t="shared" si="40"/>
        <v>6.2171567946927366</v>
      </c>
      <c r="AM91" s="23">
        <f t="shared" si="40"/>
        <v>5.4022989905591157</v>
      </c>
      <c r="AN91" s="23">
        <f t="shared" si="40"/>
        <v>4.6820092087613627</v>
      </c>
      <c r="AO91" s="23">
        <f t="shared" si="40"/>
        <v>4.0525425938627899</v>
      </c>
      <c r="AP91" s="23">
        <f t="shared" si="40"/>
        <v>3.505273147348372</v>
      </c>
      <c r="AQ91" s="23">
        <f t="shared" si="40"/>
        <v>3.0306796010728316</v>
      </c>
      <c r="AR91" s="23">
        <f t="shared" si="40"/>
        <v>2.6196663425745936</v>
      </c>
      <c r="AS91" s="23">
        <f t="shared" si="40"/>
        <v>2.2639863755727632</v>
      </c>
      <c r="AT91" s="23">
        <f t="shared" si="40"/>
        <v>1.95633160243495</v>
      </c>
      <c r="AU91" s="23">
        <f t="shared" si="40"/>
        <v>1.6902971606178685</v>
      </c>
      <c r="AV91" s="23">
        <f t="shared" si="40"/>
        <v>1.4603013864152337</v>
      </c>
      <c r="AW91" s="23">
        <f t="shared" si="40"/>
        <v>1.2614946323131386</v>
      </c>
      <c r="AX91" s="23">
        <f t="shared" si="40"/>
        <v>1.0896703339698395</v>
      </c>
      <c r="AY91" s="23">
        <f t="shared" si="40"/>
        <v>0.94118333973913293</v>
      </c>
      <c r="AZ91" s="23">
        <f t="shared" si="40"/>
        <v>0.81287694824409396</v>
      </c>
      <c r="BA91" s="23">
        <f t="shared" si="40"/>
        <v>0.70201861051853531</v>
      </c>
      <c r="BB91" s="23">
        <f t="shared" si="40"/>
        <v>0.60624367097941945</v>
      </c>
      <c r="BC91" s="23">
        <f t="shared" si="40"/>
        <v>0.52350633396433577</v>
      </c>
      <c r="BD91" s="23">
        <f t="shared" si="40"/>
        <v>0.45203702361968284</v>
      </c>
      <c r="BE91" s="23">
        <f t="shared" si="40"/>
        <v>0.39030932340596053</v>
      </c>
      <c r="BF91" s="23">
        <f t="shared" si="40"/>
        <v>0.33699353375787194</v>
      </c>
      <c r="BG91" s="23">
        <f t="shared" si="40"/>
        <v>0.29094659478160723</v>
      </c>
      <c r="BH91" s="23">
        <f t="shared" si="40"/>
        <v>0.2511801543152114</v>
      </c>
      <c r="BI91" s="23">
        <f t="shared" si="40"/>
        <v>0.21643370823233934</v>
      </c>
    </row>
    <row r="92" spans="1:103" ht="18" customHeight="1" x14ac:dyDescent="0.2">
      <c r="A92" s="57" t="s">
        <v>62</v>
      </c>
      <c r="B92" s="194">
        <f>SUM(B91:AO91)*10*B52+B53</f>
        <v>-62.442025399685605</v>
      </c>
      <c r="C92" s="174">
        <v>61.186995780446694</v>
      </c>
      <c r="D92" s="195">
        <f>+B92-C92</f>
        <v>-123.6290211801323</v>
      </c>
      <c r="I92" s="33"/>
    </row>
    <row r="93" spans="1:103" s="33" customFormat="1" ht="18" customHeight="1" x14ac:dyDescent="0.2">
      <c r="A93" s="32" t="s">
        <v>270</v>
      </c>
      <c r="B93" s="33">
        <f>+B90*Data!B367</f>
        <v>-0.42077861642791148</v>
      </c>
      <c r="C93" s="33">
        <f>+C90*Data!C367</f>
        <v>-0.64570123466212426</v>
      </c>
      <c r="D93" s="33">
        <f>+D90*Data!D367</f>
        <v>-0.94349357238779352</v>
      </c>
      <c r="E93" s="33">
        <f>+E90*Data!E367</f>
        <v>-1.2853418420642502</v>
      </c>
      <c r="F93" s="33">
        <f>+F90*Data!F367</f>
        <v>-1.62104288939167</v>
      </c>
      <c r="G93" s="33">
        <f>+G90*Data!G367</f>
        <v>-1.8631321413351523</v>
      </c>
      <c r="H93" s="33">
        <f>+H90*Data!H367</f>
        <v>-1.9805510704854188</v>
      </c>
      <c r="I93" s="33">
        <f>+I90*Data!I367</f>
        <v>-2.1106692597157961</v>
      </c>
      <c r="J93" s="33">
        <f>+J90*Data!J367</f>
        <v>-2.2358962941043248</v>
      </c>
      <c r="K93" s="33">
        <f>+K90*Data!K367</f>
        <v>-2.2429920467008091</v>
      </c>
      <c r="L93" s="33">
        <f>+L90*Data!L367</f>
        <v>-2.2595695966753961</v>
      </c>
      <c r="M93" s="33">
        <f>+M90*Data!M367</f>
        <v>-2.2078681530973081</v>
      </c>
      <c r="N93" s="33">
        <f>+N90*Data!N367</f>
        <v>-2.1172929705737062</v>
      </c>
      <c r="O93" s="33">
        <f>+O90*Data!O367</f>
        <v>-2.0081356134568051</v>
      </c>
      <c r="P93" s="33">
        <f>+P90*Data!P367</f>
        <v>-1.8597196525627553</v>
      </c>
      <c r="Q93" s="33">
        <f>+Q90*Data!Q367</f>
        <v>-1.7042545902044686</v>
      </c>
      <c r="R93" s="33">
        <f>+R90*Data!R367</f>
        <v>-1.5379646094962212</v>
      </c>
      <c r="S93" s="33">
        <f>+S90*Data!S367</f>
        <v>-1.3684459207515625</v>
      </c>
      <c r="T93" s="33">
        <f>+T90*Data!T367</f>
        <v>-1.2163939124509446</v>
      </c>
      <c r="U93" s="33">
        <f>+U90*Data!U367</f>
        <v>-1.1188598500985649</v>
      </c>
      <c r="V93" s="33">
        <f>+V90*Data!V367</f>
        <v>-0.97986222096575604</v>
      </c>
      <c r="W93" s="33">
        <f>+W90*Data!W367</f>
        <v>-0.94284197074636877</v>
      </c>
      <c r="X93" s="33">
        <f>+X90*Data!X367</f>
        <v>-0.84703655840506153</v>
      </c>
      <c r="Y93" s="33">
        <f>+Y90*Data!Y367</f>
        <v>-0.7788637251376177</v>
      </c>
      <c r="Z93" s="33">
        <f>+Z90*Data!Z367</f>
        <v>-0.71735305168085961</v>
      </c>
      <c r="AA93" s="33">
        <f>+AA90*Data!AA367</f>
        <v>-0.66351547836010605</v>
      </c>
      <c r="AB93" s="33">
        <f>+AB90*Data!AB367</f>
        <v>-0.63704218179587457</v>
      </c>
      <c r="AC93" s="33">
        <f>+AC90*Data!AC367</f>
        <v>-0.57341481193581201</v>
      </c>
      <c r="AD93" s="33">
        <f>+AD90*Data!AD367</f>
        <v>-0.51656585063573668</v>
      </c>
      <c r="AE93" s="33">
        <f>+AE90*Data!AE367</f>
        <v>-0.47493715401171199</v>
      </c>
      <c r="AF93" s="33">
        <f>+AF90*Data!AF367</f>
        <v>-0.53064706130820982</v>
      </c>
      <c r="AG93" s="33">
        <f>+AG90*Data!AG367</f>
        <v>-0.43377343350775244</v>
      </c>
      <c r="AH93" s="33">
        <f>+AH90*Data!AH367</f>
        <v>-0.35556897915318286</v>
      </c>
      <c r="AI93" s="33">
        <f>+AI90*Data!AI367</f>
        <v>2.7732788005872782</v>
      </c>
      <c r="AJ93" s="33">
        <f>+AJ90*Data!AJ367</f>
        <v>3.123136915935862</v>
      </c>
      <c r="AK93" s="33">
        <f>+AK90*Data!AK367</f>
        <v>3.2385736248790313</v>
      </c>
      <c r="AL93" s="33">
        <f>+AL90*Data!AL367</f>
        <v>3.2989920995350479</v>
      </c>
      <c r="AM93" s="33">
        <f>+AM90*Data!AM367</f>
        <v>3.3394560092891865</v>
      </c>
      <c r="AN93" s="33">
        <f>+AN90*Data!AN367</f>
        <v>3.3706884319929298</v>
      </c>
      <c r="AO93" s="33">
        <f>+AO90*Data!AO367</f>
        <v>3.3969079066702799</v>
      </c>
      <c r="AP93" s="33">
        <f>+AP90*Data!AP367</f>
        <v>3.4200077683031784</v>
      </c>
      <c r="AQ93" s="33">
        <f>+AQ90*Data!AQ367</f>
        <v>3.4408946066858799</v>
      </c>
      <c r="AR93" s="33">
        <f>+AR90*Data!AR367</f>
        <v>3.4600113324173849</v>
      </c>
      <c r="AS93" s="33">
        <f>+AS90*Data!AS367</f>
        <v>3.4775688283378985</v>
      </c>
      <c r="AT93" s="33">
        <f>+AT90*Data!AT367</f>
        <v>3.4936568192475472</v>
      </c>
      <c r="AU93" s="33">
        <f>+AU90*Data!AU367</f>
        <v>3.5082996550046803</v>
      </c>
      <c r="AV93" s="33">
        <f>+AV90*Data!AV367</f>
        <v>3.5214854375307167</v>
      </c>
      <c r="AW93" s="33">
        <f>+AW90*Data!AW367</f>
        <v>3.5331817470698175</v>
      </c>
      <c r="AX93" s="33">
        <f>+AX90*Data!AX367</f>
        <v>3.5433443961972881</v>
      </c>
      <c r="AY93" s="33">
        <f>+AY90*Data!AY367</f>
        <v>3.5519223400996136</v>
      </c>
      <c r="AZ93" s="33">
        <f>+AZ90*Data!AZ367</f>
        <v>3.5588601727007059</v>
      </c>
      <c r="BA93" s="33">
        <f>+BA90*Data!BA367</f>
        <v>3.5640986898453675</v>
      </c>
      <c r="BB93" s="33">
        <f>+BB90*Data!BB367</f>
        <v>3.5675734083075201</v>
      </c>
      <c r="BC93" s="33">
        <f>+BC90*Data!BC367</f>
        <v>3.5692105273576109</v>
      </c>
      <c r="BD93" s="33">
        <f>+BD90*Data!BD367</f>
        <v>3.5689195950405748</v>
      </c>
      <c r="BE93" s="33">
        <f>+BE90*Data!BE367</f>
        <v>3.5666184889335866</v>
      </c>
      <c r="BF93" s="33">
        <f>+BF90*Data!BF367</f>
        <v>3.5620952762494733</v>
      </c>
      <c r="BG93" s="33">
        <f>+BG90*Data!BG367</f>
        <v>3.5551310577909065</v>
      </c>
      <c r="BH93" s="33">
        <f>+BH90*Data!BH367</f>
        <v>3.5454298302128611</v>
      </c>
      <c r="BI93" s="33">
        <f>+BI90*Data!BI367</f>
        <v>3.54370512218911</v>
      </c>
    </row>
    <row r="94" spans="1:103" ht="18" customHeight="1" x14ac:dyDescent="0.2">
      <c r="A94" s="21" t="s">
        <v>271</v>
      </c>
      <c r="B94" s="29">
        <f>B$17*B$56*B93</f>
        <v>-321.26704524849089</v>
      </c>
      <c r="C94" s="29">
        <f t="shared" ref="C94:BH94" si="41">C$17*C$56*C93</f>
        <v>-526.49847032417051</v>
      </c>
      <c r="D94" s="29">
        <f t="shared" si="41"/>
        <v>-796.97650551087725</v>
      </c>
      <c r="E94" s="29">
        <f t="shared" si="41"/>
        <v>-1090.0363120082191</v>
      </c>
      <c r="F94" s="29">
        <f t="shared" si="41"/>
        <v>-1343.2669148462433</v>
      </c>
      <c r="G94" s="29">
        <f t="shared" si="41"/>
        <v>-1426.120280041758</v>
      </c>
      <c r="H94" s="29">
        <f t="shared" si="41"/>
        <v>-1352.3320025385513</v>
      </c>
      <c r="I94" s="29">
        <f t="shared" si="41"/>
        <v>-1285.5892945180992</v>
      </c>
      <c r="J94" s="29">
        <f t="shared" si="41"/>
        <v>-1214.8383705857491</v>
      </c>
      <c r="K94" s="29">
        <f t="shared" si="41"/>
        <v>-1087.1246928696289</v>
      </c>
      <c r="L94" s="29">
        <f t="shared" si="41"/>
        <v>-949.85606483574441</v>
      </c>
      <c r="M94" s="29">
        <f t="shared" si="41"/>
        <v>-782.67476584960298</v>
      </c>
      <c r="N94" s="29">
        <f t="shared" si="41"/>
        <v>-632.94397743850845</v>
      </c>
      <c r="O94" s="29">
        <f t="shared" si="41"/>
        <v>-506.23652200183381</v>
      </c>
      <c r="P94" s="29">
        <f t="shared" si="41"/>
        <v>-395.35208665708484</v>
      </c>
      <c r="Q94" s="29">
        <f t="shared" si="41"/>
        <v>-305.52527702665304</v>
      </c>
      <c r="R94" s="29">
        <f t="shared" si="41"/>
        <v>-232.50651969382395</v>
      </c>
      <c r="S94" s="29">
        <f t="shared" si="41"/>
        <v>-174.45866793649313</v>
      </c>
      <c r="T94" s="29">
        <f t="shared" si="41"/>
        <v>-130.77215186975403</v>
      </c>
      <c r="U94" s="29">
        <f t="shared" si="41"/>
        <v>-101.43616958441746</v>
      </c>
      <c r="V94" s="29">
        <f t="shared" si="41"/>
        <v>-75.5388410438932</v>
      </c>
      <c r="W94" s="29">
        <f t="shared" si="41"/>
        <v>-62.322432529182912</v>
      </c>
      <c r="X94" s="29">
        <f t="shared" si="41"/>
        <v>-48.489842594247591</v>
      </c>
      <c r="Y94" s="29">
        <f t="shared" si="41"/>
        <v>-38.61474994771347</v>
      </c>
      <c r="Z94" s="29">
        <f t="shared" si="41"/>
        <v>-30.801213689893725</v>
      </c>
      <c r="AA94" s="29">
        <f t="shared" si="41"/>
        <v>-24.673403903427033</v>
      </c>
      <c r="AB94" s="29">
        <f t="shared" si="41"/>
        <v>-20.515841257179417</v>
      </c>
      <c r="AC94" s="29">
        <f t="shared" si="41"/>
        <v>-15.993119309043392</v>
      </c>
      <c r="AD94" s="29">
        <f t="shared" si="41"/>
        <v>-12.477658418463401</v>
      </c>
      <c r="AE94" s="29">
        <f t="shared" si="41"/>
        <v>-9.935430181634807</v>
      </c>
      <c r="AF94" s="29">
        <f t="shared" si="41"/>
        <v>-9.5895371874533542</v>
      </c>
      <c r="AG94" s="29">
        <f t="shared" si="41"/>
        <v>-6.7545187528939374</v>
      </c>
      <c r="AH94" s="29">
        <f t="shared" si="41"/>
        <v>-4.7708405736647848</v>
      </c>
      <c r="AI94" s="29">
        <f t="shared" si="41"/>
        <v>32.062999521530955</v>
      </c>
      <c r="AJ94" s="29">
        <f t="shared" si="41"/>
        <v>31.112951930177513</v>
      </c>
      <c r="AK94" s="29">
        <f t="shared" si="41"/>
        <v>27.799920013139129</v>
      </c>
      <c r="AL94" s="29">
        <f t="shared" si="41"/>
        <v>24.401168544774585</v>
      </c>
      <c r="AM94" s="29">
        <f t="shared" si="41"/>
        <v>21.283578697516386</v>
      </c>
      <c r="AN94" s="29">
        <f t="shared" si="41"/>
        <v>18.510882104436103</v>
      </c>
      <c r="AO94" s="29">
        <f t="shared" si="41"/>
        <v>16.074292049677354</v>
      </c>
      <c r="AP94" s="29">
        <f t="shared" si="41"/>
        <v>13.944879049546607</v>
      </c>
      <c r="AQ94" s="29">
        <f t="shared" si="41"/>
        <v>12.089229084433478</v>
      </c>
      <c r="AR94" s="29">
        <f t="shared" si="41"/>
        <v>10.474766135563886</v>
      </c>
      <c r="AS94" s="29">
        <f t="shared" si="41"/>
        <v>9.0715631070148852</v>
      </c>
      <c r="AT94" s="29">
        <f t="shared" si="41"/>
        <v>7.8528302817657485</v>
      </c>
      <c r="AU94" s="29">
        <f t="shared" si="41"/>
        <v>6.7948868246735179</v>
      </c>
      <c r="AV94" s="29">
        <f t="shared" si="41"/>
        <v>5.8769368095450414</v>
      </c>
      <c r="AW94" s="29">
        <f t="shared" si="41"/>
        <v>5.080783390037527</v>
      </c>
      <c r="AX94" s="29">
        <f t="shared" si="41"/>
        <v>4.3905370369650285</v>
      </c>
      <c r="AY94" s="29">
        <f t="shared" si="41"/>
        <v>3.7923404515393822</v>
      </c>
      <c r="AZ94" s="29">
        <f t="shared" si="41"/>
        <v>3.2741182400553845</v>
      </c>
      <c r="BA94" s="29">
        <f t="shared" si="41"/>
        <v>2.8253531081146295</v>
      </c>
      <c r="BB94" s="29">
        <f t="shared" si="41"/>
        <v>2.4368876529146446</v>
      </c>
      <c r="BC94" s="29">
        <f t="shared" si="41"/>
        <v>2.1007498060387211</v>
      </c>
      <c r="BD94" s="29">
        <f t="shared" si="41"/>
        <v>1.8099997217801544</v>
      </c>
      <c r="BE94" s="29">
        <f t="shared" si="41"/>
        <v>1.5586118665819877</v>
      </c>
      <c r="BF94" s="29">
        <f t="shared" si="41"/>
        <v>1.3413015635440246</v>
      </c>
      <c r="BG94" s="29">
        <f t="shared" si="41"/>
        <v>1.1534959984167854</v>
      </c>
      <c r="BH94" s="29">
        <f t="shared" si="41"/>
        <v>0.99121747231152357</v>
      </c>
      <c r="BI94" s="29">
        <f>BI$17*BI$56*BI93/(1-(BJ17/BI17))</f>
        <v>6.1712357900241308</v>
      </c>
    </row>
    <row r="95" spans="1:103" ht="39" customHeight="1" x14ac:dyDescent="0.2">
      <c r="A95" s="57" t="s">
        <v>62</v>
      </c>
      <c r="B95" s="191">
        <f>SUM(B94:BI94)*10*B52+B53-C53</f>
        <v>-240.04568100577629</v>
      </c>
      <c r="C95" s="84">
        <v>52.394809496520566</v>
      </c>
      <c r="D95" s="183">
        <f>+B95-C95</f>
        <v>-292.44049050229683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+Controls!B36</f>
        <v>0.29788860940944312</v>
      </c>
      <c r="C97" s="385">
        <f>+Controls!C36</f>
        <v>0.30359077514848781</v>
      </c>
      <c r="D97" s="385">
        <f>+Controls!D36</f>
        <v>0.28874202541933247</v>
      </c>
      <c r="E97" s="385">
        <f>+Controls!E36</f>
        <v>0.27593629358162519</v>
      </c>
      <c r="F97" s="385">
        <f>+Controls!F36</f>
        <v>0.2561328045055854</v>
      </c>
      <c r="G97" s="385">
        <f>+Controls!G36</f>
        <v>0.2440148149678612</v>
      </c>
      <c r="H97" s="385">
        <f>+Controls!H36</f>
        <v>0.242565811339296</v>
      </c>
      <c r="I97" s="385">
        <f>+Controls!I36</f>
        <v>0.24152833799787141</v>
      </c>
      <c r="J97" s="385">
        <f>+Controls!J36</f>
        <v>0.24092324736913098</v>
      </c>
      <c r="K97" s="385">
        <f>+Controls!K36</f>
        <v>0.2320215868160172</v>
      </c>
      <c r="L97" s="385">
        <f>+Controls!L36</f>
        <v>0.22490582720354135</v>
      </c>
      <c r="M97" s="385">
        <f>+Controls!M36</f>
        <v>0.22378231772835322</v>
      </c>
      <c r="N97" s="385">
        <f>+Controls!N36</f>
        <v>0.22378231772835322</v>
      </c>
      <c r="O97" s="385">
        <f>+Controls!O36</f>
        <v>0.22378231772835322</v>
      </c>
      <c r="P97" s="385">
        <f>+Controls!P36</f>
        <v>0.22378231772835322</v>
      </c>
      <c r="Q97" s="385">
        <f>+Controls!Q36</f>
        <v>0.22378231772835322</v>
      </c>
      <c r="R97" s="385">
        <f>+Controls!R36</f>
        <v>0.22378231772835322</v>
      </c>
      <c r="S97" s="385">
        <f>+Controls!S36</f>
        <v>0.22378231772835322</v>
      </c>
      <c r="T97" s="385">
        <f>+Controls!T36</f>
        <v>0.22378231772835322</v>
      </c>
      <c r="U97" s="385">
        <f>+Controls!U36</f>
        <v>0.22378231772835322</v>
      </c>
      <c r="V97" s="385">
        <f>+Controls!V36</f>
        <v>0.22378231772835322</v>
      </c>
      <c r="W97" s="385">
        <f>+Controls!W36</f>
        <v>0.22378231772835322</v>
      </c>
      <c r="X97" s="385">
        <f>+Controls!X36</f>
        <v>0.22378231772835322</v>
      </c>
      <c r="Y97" s="385">
        <f>+Controls!Y36</f>
        <v>0.22378231772835322</v>
      </c>
      <c r="Z97" s="385">
        <f>+Controls!Z36</f>
        <v>0.22378231772835322</v>
      </c>
      <c r="AA97" s="385">
        <f>+Controls!AA36</f>
        <v>0.22378231772835322</v>
      </c>
      <c r="AB97" s="385">
        <f>+Controls!AB36</f>
        <v>0.22378231772835322</v>
      </c>
      <c r="AC97" s="385">
        <f>+Controls!AC36</f>
        <v>0.22378231772835322</v>
      </c>
      <c r="AD97" s="385">
        <f>+Controls!AD36</f>
        <v>0.22378231772835322</v>
      </c>
      <c r="AE97" s="385">
        <f>+Controls!AE36</f>
        <v>0.22378231772835322</v>
      </c>
      <c r="AF97" s="385">
        <f>+Controls!AF36</f>
        <v>0.22378231772835322</v>
      </c>
      <c r="AG97" s="385">
        <f>+Controls!AG36</f>
        <v>0.22378231772835322</v>
      </c>
      <c r="AH97" s="385">
        <f>+Controls!AH36</f>
        <v>0.22378231772835322</v>
      </c>
      <c r="AI97" s="385">
        <f>+Controls!AI36</f>
        <v>0.22378231772835322</v>
      </c>
      <c r="AJ97" s="385">
        <f>+Controls!AJ36</f>
        <v>0.22378231772835322</v>
      </c>
      <c r="AK97" s="385">
        <f>+Controls!AK36</f>
        <v>0.22378231772835322</v>
      </c>
      <c r="AL97" s="385">
        <f>+Controls!AL36</f>
        <v>0.22378231772835322</v>
      </c>
      <c r="AM97" s="385">
        <f>+Controls!AM36</f>
        <v>0.22378231772835322</v>
      </c>
      <c r="AN97" s="385">
        <f>+Controls!AN36</f>
        <v>0.22378231772835322</v>
      </c>
      <c r="AO97" s="385">
        <f>+Controls!AO36</f>
        <v>0.22378231772835322</v>
      </c>
      <c r="AP97" s="385">
        <f>+Controls!AP36</f>
        <v>0.22378231772835322</v>
      </c>
      <c r="AQ97" s="385">
        <f>+Controls!AQ36</f>
        <v>0.22378231772835322</v>
      </c>
      <c r="AR97" s="385">
        <f>+Controls!AR36</f>
        <v>0.22378231772835322</v>
      </c>
      <c r="AS97" s="385">
        <f>+Controls!AS36</f>
        <v>0.22378231772835322</v>
      </c>
      <c r="AT97" s="385">
        <f>+Controls!AT36</f>
        <v>0.22378231772835322</v>
      </c>
      <c r="AU97" s="385">
        <f>+Controls!AU36</f>
        <v>0.22378231772835322</v>
      </c>
      <c r="AV97" s="385">
        <f>+Controls!AV36</f>
        <v>0.22378231772835322</v>
      </c>
      <c r="AW97" s="385">
        <f>+Controls!AW36</f>
        <v>0.22378231772835322</v>
      </c>
      <c r="AX97" s="385">
        <f>+Controls!AX36</f>
        <v>0.22378231772835322</v>
      </c>
      <c r="AY97" s="385">
        <f>+Controls!AY36</f>
        <v>0.22378231772835322</v>
      </c>
      <c r="AZ97" s="385">
        <f>+Controls!AZ36</f>
        <v>0.22378231772835322</v>
      </c>
      <c r="BA97" s="385">
        <f>+Controls!BA36</f>
        <v>0.22378231772835322</v>
      </c>
      <c r="BB97" s="385">
        <f>+Controls!BB36</f>
        <v>0.22378231772835322</v>
      </c>
      <c r="BC97" s="385">
        <f>+Controls!BC36</f>
        <v>0.22378231772835322</v>
      </c>
      <c r="BD97" s="385">
        <f>+Controls!BD36</f>
        <v>0.22378231772835322</v>
      </c>
      <c r="BE97" s="385">
        <f>+Controls!BE36</f>
        <v>0.22378231772835322</v>
      </c>
      <c r="BF97" s="385">
        <f>+Controls!BF36</f>
        <v>0.22378231772835322</v>
      </c>
      <c r="BG97" s="385">
        <f>+Controls!BG36</f>
        <v>0.22378231772835322</v>
      </c>
      <c r="BH97" s="385">
        <f>+Controls!BH36</f>
        <v>0.22378231772835322</v>
      </c>
      <c r="BI97" s="385">
        <f>+Controls!BI36</f>
        <v>0.22378231772835322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2">+B$36*1000*B103^($B$38-1)</f>
        <v>9.9999999999999937E-4</v>
      </c>
      <c r="C101" s="463">
        <f t="shared" si="42"/>
        <v>9.999999999999998E-4</v>
      </c>
      <c r="D101" s="463">
        <f t="shared" si="42"/>
        <v>1.000000000000002E-3</v>
      </c>
      <c r="E101" s="463">
        <f t="shared" si="42"/>
        <v>1.0000000000000224E-3</v>
      </c>
      <c r="F101" s="463">
        <f t="shared" si="42"/>
        <v>1.0000000000003012E-3</v>
      </c>
      <c r="G101" s="463">
        <f t="shared" si="42"/>
        <v>1.0000000000020106E-3</v>
      </c>
      <c r="H101" s="463">
        <f t="shared" si="42"/>
        <v>1.0000000000091698E-3</v>
      </c>
      <c r="I101" s="463">
        <f t="shared" si="42"/>
        <v>1.0000000000319857E-3</v>
      </c>
      <c r="J101" s="463">
        <f t="shared" si="42"/>
        <v>1.0000000000922257E-3</v>
      </c>
      <c r="K101" s="463">
        <f t="shared" si="42"/>
        <v>1.0000000002275565E-3</v>
      </c>
      <c r="L101" s="463">
        <f t="shared" si="42"/>
        <v>1.0000000005053195E-3</v>
      </c>
      <c r="M101" s="463">
        <f t="shared" si="42"/>
        <v>1.0000000010417338E-3</v>
      </c>
      <c r="N101" s="463">
        <f t="shared" si="42"/>
        <v>1.0000000019921515E-3</v>
      </c>
      <c r="O101" s="463">
        <f t="shared" si="42"/>
        <v>1.0000000035927919E-3</v>
      </c>
      <c r="P101" s="463">
        <f t="shared" si="42"/>
        <v>1.0000000062096871E-3</v>
      </c>
      <c r="Q101" s="463">
        <f t="shared" si="42"/>
        <v>1.0000000104204655E-3</v>
      </c>
      <c r="R101" s="463">
        <f t="shared" si="42"/>
        <v>1.0000000170144597E-3</v>
      </c>
      <c r="S101" s="463">
        <f t="shared" si="42"/>
        <v>1.000000027214217E-3</v>
      </c>
      <c r="T101" s="463">
        <f t="shared" si="42"/>
        <v>1.0000000427819891E-3</v>
      </c>
      <c r="U101" s="463">
        <f t="shared" si="42"/>
        <v>1.0000000656043373E-3</v>
      </c>
      <c r="V101" s="463">
        <f t="shared" si="42"/>
        <v>1.000000097088636E-3</v>
      </c>
      <c r="W101" s="463">
        <f t="shared" si="42"/>
        <v>1.0000001421883765E-3</v>
      </c>
      <c r="X101" s="463">
        <f t="shared" si="42"/>
        <v>1.000000205597753E-3</v>
      </c>
      <c r="Y101" s="463">
        <f t="shared" si="42"/>
        <v>1.0000002932497446E-3</v>
      </c>
      <c r="Z101" s="463">
        <f t="shared" si="42"/>
        <v>1.0000004131003612E-3</v>
      </c>
      <c r="AA101" s="463">
        <f t="shared" si="42"/>
        <v>1.0000005755955621E-3</v>
      </c>
      <c r="AB101" s="463">
        <f t="shared" si="42"/>
        <v>467.31496583656661</v>
      </c>
      <c r="AC101" s="463">
        <f t="shared" si="42"/>
        <v>450.87921754473825</v>
      </c>
      <c r="AD101" s="463">
        <f t="shared" si="42"/>
        <v>435.26525666750126</v>
      </c>
      <c r="AE101" s="463">
        <f t="shared" si="42"/>
        <v>420.43199383412622</v>
      </c>
      <c r="AF101" s="463">
        <f t="shared" si="42"/>
        <v>406.34039414241983</v>
      </c>
      <c r="AG101" s="463">
        <f t="shared" si="42"/>
        <v>392.95337443529877</v>
      </c>
      <c r="AH101" s="463">
        <f t="shared" ref="AH101:BI101" si="43">+AH$36*1000*AH103^($B$38-1)</f>
        <v>380.23570571353383</v>
      </c>
      <c r="AI101" s="463">
        <f t="shared" si="43"/>
        <v>368.15392042785709</v>
      </c>
      <c r="AJ101" s="463">
        <f t="shared" si="43"/>
        <v>356.67622440646426</v>
      </c>
      <c r="AK101" s="463">
        <f t="shared" si="43"/>
        <v>345.77241318614102</v>
      </c>
      <c r="AL101" s="463">
        <f t="shared" si="43"/>
        <v>335.41379252683402</v>
      </c>
      <c r="AM101" s="463">
        <f t="shared" si="43"/>
        <v>325.5731029004923</v>
      </c>
      <c r="AN101" s="463">
        <f t="shared" si="43"/>
        <v>316.22444775546768</v>
      </c>
      <c r="AO101" s="463">
        <f t="shared" si="43"/>
        <v>307.34322536769429</v>
      </c>
      <c r="AP101" s="463">
        <f t="shared" si="43"/>
        <v>298.90606409930956</v>
      </c>
      <c r="AQ101" s="463">
        <f t="shared" si="43"/>
        <v>290.89076089434406</v>
      </c>
      <c r="AR101" s="463">
        <f t="shared" si="43"/>
        <v>283.27622284962683</v>
      </c>
      <c r="AS101" s="463">
        <f t="shared" si="43"/>
        <v>276.0424117071455</v>
      </c>
      <c r="AT101" s="463">
        <f t="shared" si="43"/>
        <v>269.17029112178824</v>
      </c>
      <c r="AU101" s="463">
        <f t="shared" si="43"/>
        <v>262.64177656569882</v>
      </c>
      <c r="AV101" s="463">
        <f t="shared" si="43"/>
        <v>256.43968773741386</v>
      </c>
      <c r="AW101" s="463">
        <f t="shared" si="43"/>
        <v>250.5477033505432</v>
      </c>
      <c r="AX101" s="463">
        <f t="shared" si="43"/>
        <v>244.95031818301604</v>
      </c>
      <c r="AY101" s="463">
        <f t="shared" si="43"/>
        <v>239.63280227386525</v>
      </c>
      <c r="AZ101" s="463">
        <f t="shared" si="43"/>
        <v>234.581162160172</v>
      </c>
      <c r="BA101" s="463">
        <f t="shared" si="43"/>
        <v>229.78210405216339</v>
      </c>
      <c r="BB101" s="463">
        <f t="shared" si="43"/>
        <v>225.22299884955521</v>
      </c>
      <c r="BC101" s="463">
        <f t="shared" si="43"/>
        <v>220.89184890707745</v>
      </c>
      <c r="BD101" s="463">
        <f t="shared" si="43"/>
        <v>216.77725646172357</v>
      </c>
      <c r="BE101" s="463">
        <f t="shared" si="43"/>
        <v>108.38862823086178</v>
      </c>
      <c r="BF101" s="463">
        <f t="shared" si="43"/>
        <v>54.194314115430892</v>
      </c>
      <c r="BG101" s="463">
        <f t="shared" si="43"/>
        <v>27.097157057715446</v>
      </c>
      <c r="BH101" s="463">
        <f t="shared" si="43"/>
        <v>13.548578528857723</v>
      </c>
      <c r="BI101" s="463">
        <f t="shared" si="43"/>
        <v>6.7742892644288615</v>
      </c>
    </row>
    <row r="102" spans="1:61" s="467" customFormat="1" ht="18" customHeight="1" x14ac:dyDescent="0.2">
      <c r="A102" s="612" t="s">
        <v>955</v>
      </c>
      <c r="B102" s="465">
        <f>+B119*(1-MIN(B103,1))</f>
        <v>0.31807172352011859</v>
      </c>
      <c r="C102" s="465">
        <f>+C119*(1-MIN(C103,1))</f>
        <v>0.21697436312026022</v>
      </c>
      <c r="D102" s="465">
        <f t="shared" ref="D102:BI102" si="44">+D119*(1-MIN(D103,1))</f>
        <v>0.17931968356943587</v>
      </c>
      <c r="E102" s="465">
        <f t="shared" si="44"/>
        <v>0.14939361872932533</v>
      </c>
      <c r="F102" s="465">
        <f t="shared" si="44"/>
        <v>0.12877974987173721</v>
      </c>
      <c r="G102" s="465">
        <f t="shared" si="44"/>
        <v>0.11412136780386117</v>
      </c>
      <c r="H102" s="465">
        <f t="shared" si="44"/>
        <v>0.10461859527269125</v>
      </c>
      <c r="I102" s="465">
        <f t="shared" si="44"/>
        <v>9.5730017764819583E-2</v>
      </c>
      <c r="J102" s="465">
        <f t="shared" si="44"/>
        <v>8.81229218740186E-2</v>
      </c>
      <c r="K102" s="465">
        <f t="shared" si="44"/>
        <v>8.5583983610361153E-2</v>
      </c>
      <c r="L102" s="465">
        <f t="shared" si="44"/>
        <v>8.0732437951381256E-2</v>
      </c>
      <c r="M102" s="465">
        <f t="shared" si="44"/>
        <v>7.6459866434152035E-2</v>
      </c>
      <c r="N102" s="465">
        <f t="shared" si="44"/>
        <v>7.3504785965189112E-2</v>
      </c>
      <c r="O102" s="465">
        <f t="shared" si="44"/>
        <v>7.1030981095897741E-2</v>
      </c>
      <c r="P102" s="465">
        <f t="shared" si="44"/>
        <v>6.9687065398632134E-2</v>
      </c>
      <c r="Q102" s="465">
        <f t="shared" si="44"/>
        <v>6.8784063449813609E-2</v>
      </c>
      <c r="R102" s="465">
        <f t="shared" si="44"/>
        <v>6.8269928687182499E-2</v>
      </c>
      <c r="S102" s="465">
        <f t="shared" si="44"/>
        <v>6.8067383047641719E-2</v>
      </c>
      <c r="T102" s="465">
        <f t="shared" si="44"/>
        <v>6.7516364534559184E-2</v>
      </c>
      <c r="U102" s="465">
        <f t="shared" si="44"/>
        <v>6.5732503754621072E-2</v>
      </c>
      <c r="V102" s="465">
        <f t="shared" si="44"/>
        <v>6.5762577939400726E-2</v>
      </c>
      <c r="W102" s="465">
        <f t="shared" si="44"/>
        <v>6.3504347900519967E-2</v>
      </c>
      <c r="X102" s="465">
        <f t="shared" si="44"/>
        <v>6.3620120777683531E-2</v>
      </c>
      <c r="Y102" s="465">
        <f t="shared" si="44"/>
        <v>6.313598436987862E-2</v>
      </c>
      <c r="Z102" s="465">
        <f t="shared" si="44"/>
        <v>6.2619532468013578E-2</v>
      </c>
      <c r="AA102" s="465">
        <f t="shared" si="44"/>
        <v>6.206200954806651E-2</v>
      </c>
      <c r="AB102" s="465">
        <f t="shared" si="44"/>
        <v>0</v>
      </c>
      <c r="AC102" s="465">
        <f t="shared" si="44"/>
        <v>0</v>
      </c>
      <c r="AD102" s="465">
        <f t="shared" si="44"/>
        <v>0</v>
      </c>
      <c r="AE102" s="465">
        <f t="shared" si="44"/>
        <v>0</v>
      </c>
      <c r="AF102" s="465">
        <f t="shared" si="44"/>
        <v>0</v>
      </c>
      <c r="AG102" s="465">
        <f t="shared" si="44"/>
        <v>0</v>
      </c>
      <c r="AH102" s="465">
        <f t="shared" si="44"/>
        <v>0</v>
      </c>
      <c r="AI102" s="465">
        <f t="shared" si="44"/>
        <v>0</v>
      </c>
      <c r="AJ102" s="465">
        <f t="shared" si="44"/>
        <v>0</v>
      </c>
      <c r="AK102" s="465">
        <f t="shared" si="44"/>
        <v>0</v>
      </c>
      <c r="AL102" s="465">
        <f t="shared" si="44"/>
        <v>0</v>
      </c>
      <c r="AM102" s="465">
        <f t="shared" si="44"/>
        <v>0</v>
      </c>
      <c r="AN102" s="465">
        <f t="shared" si="44"/>
        <v>0</v>
      </c>
      <c r="AO102" s="465">
        <f t="shared" si="44"/>
        <v>0</v>
      </c>
      <c r="AP102" s="465">
        <f t="shared" si="44"/>
        <v>0</v>
      </c>
      <c r="AQ102" s="465">
        <f t="shared" si="44"/>
        <v>0</v>
      </c>
      <c r="AR102" s="465">
        <f t="shared" si="44"/>
        <v>0</v>
      </c>
      <c r="AS102" s="465">
        <f t="shared" si="44"/>
        <v>0</v>
      </c>
      <c r="AT102" s="465">
        <f t="shared" si="44"/>
        <v>0</v>
      </c>
      <c r="AU102" s="465">
        <f t="shared" si="44"/>
        <v>0</v>
      </c>
      <c r="AV102" s="465">
        <f t="shared" si="44"/>
        <v>0</v>
      </c>
      <c r="AW102" s="465">
        <f t="shared" si="44"/>
        <v>0</v>
      </c>
      <c r="AX102" s="465">
        <f t="shared" si="44"/>
        <v>0</v>
      </c>
      <c r="AY102" s="465">
        <f t="shared" si="44"/>
        <v>0</v>
      </c>
      <c r="AZ102" s="465">
        <f t="shared" si="44"/>
        <v>0</v>
      </c>
      <c r="BA102" s="465">
        <f t="shared" si="44"/>
        <v>0</v>
      </c>
      <c r="BB102" s="465">
        <f t="shared" si="44"/>
        <v>0</v>
      </c>
      <c r="BC102" s="465">
        <f t="shared" si="44"/>
        <v>0</v>
      </c>
      <c r="BD102" s="465">
        <f t="shared" si="44"/>
        <v>0</v>
      </c>
      <c r="BE102" s="465">
        <f t="shared" si="44"/>
        <v>0</v>
      </c>
      <c r="BF102" s="465">
        <f t="shared" si="44"/>
        <v>0</v>
      </c>
      <c r="BG102" s="465">
        <f t="shared" si="44"/>
        <v>0</v>
      </c>
      <c r="BH102" s="465">
        <f t="shared" si="44"/>
        <v>0</v>
      </c>
      <c r="BI102" s="465">
        <f t="shared" si="44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3.8717679147140402E-4</v>
      </c>
      <c r="C103" s="468">
        <f>+IF($B$98&gt;0,C109,IF($B$99&gt;0,C114,C122))</f>
        <v>3.9720851919222591E-4</v>
      </c>
      <c r="D103" s="468">
        <f t="shared" ref="D103:BI103" si="45">+IF($B$98&gt;0,D109,IF($B$99&gt;0,D114,D122))</f>
        <v>4.0744432808423477E-4</v>
      </c>
      <c r="E103" s="468">
        <f t="shared" si="45"/>
        <v>4.1788428101055547E-4</v>
      </c>
      <c r="F103" s="468">
        <f t="shared" si="45"/>
        <v>4.2852811039583268E-4</v>
      </c>
      <c r="G103" s="468">
        <f t="shared" si="45"/>
        <v>4.3937519748236519E-4</v>
      </c>
      <c r="H103" s="468">
        <f t="shared" si="45"/>
        <v>4.5042455156639357E-4</v>
      </c>
      <c r="I103" s="468">
        <f t="shared" si="45"/>
        <v>4.6167478935889777E-4</v>
      </c>
      <c r="J103" s="468">
        <f t="shared" si="45"/>
        <v>4.7312411463072701E-4</v>
      </c>
      <c r="K103" s="468">
        <f t="shared" si="45"/>
        <v>4.8477029831625471E-4</v>
      </c>
      <c r="L103" s="468">
        <f t="shared" si="45"/>
        <v>4.966106592683273E-4</v>
      </c>
      <c r="M103" s="468">
        <f t="shared" si="45"/>
        <v>5.0864204586809362E-4</v>
      </c>
      <c r="N103" s="468">
        <f t="shared" si="45"/>
        <v>5.2086081869774235E-4</v>
      </c>
      <c r="O103" s="468">
        <f t="shared" si="45"/>
        <v>5.3326283452837431E-4</v>
      </c>
      <c r="P103" s="468">
        <f t="shared" si="45"/>
        <v>5.4584343185218797E-4</v>
      </c>
      <c r="Q103" s="468">
        <f t="shared" si="45"/>
        <v>5.5859741821567572E-4</v>
      </c>
      <c r="R103" s="468">
        <f t="shared" si="45"/>
        <v>5.715190595731416E-4</v>
      </c>
      <c r="S103" s="468">
        <f t="shared" si="45"/>
        <v>5.8460207201146475E-4</v>
      </c>
      <c r="T103" s="468">
        <f t="shared" si="45"/>
        <v>5.978396160014048E-4</v>
      </c>
      <c r="U103" s="468">
        <f t="shared" si="45"/>
        <v>6.1122429328255433E-4</v>
      </c>
      <c r="V103" s="468">
        <f t="shared" si="45"/>
        <v>6.2474814671233711E-4</v>
      </c>
      <c r="W103" s="468">
        <f t="shared" si="45"/>
        <v>6.3840266500504977E-4</v>
      </c>
      <c r="X103" s="468">
        <f t="shared" si="45"/>
        <v>6.5217878830350017E-4</v>
      </c>
      <c r="Y103" s="468">
        <f t="shared" si="45"/>
        <v>6.6606691921212329E-4</v>
      </c>
      <c r="Z103" s="468">
        <f t="shared" si="45"/>
        <v>6.8005693745913089E-4</v>
      </c>
      <c r="AA103" s="468">
        <f t="shared" si="45"/>
        <v>6.941382184270428E-4</v>
      </c>
      <c r="AB103" s="468">
        <f t="shared" si="45"/>
        <v>1</v>
      </c>
      <c r="AC103" s="468">
        <f t="shared" si="45"/>
        <v>1</v>
      </c>
      <c r="AD103" s="468">
        <f t="shared" si="45"/>
        <v>1</v>
      </c>
      <c r="AE103" s="468">
        <f t="shared" si="45"/>
        <v>1</v>
      </c>
      <c r="AF103" s="468">
        <f t="shared" si="45"/>
        <v>1</v>
      </c>
      <c r="AG103" s="468">
        <f t="shared" si="45"/>
        <v>1</v>
      </c>
      <c r="AH103" s="468">
        <f t="shared" si="45"/>
        <v>1</v>
      </c>
      <c r="AI103" s="468">
        <f t="shared" si="45"/>
        <v>1</v>
      </c>
      <c r="AJ103" s="468">
        <f t="shared" si="45"/>
        <v>1</v>
      </c>
      <c r="AK103" s="468">
        <f t="shared" si="45"/>
        <v>1</v>
      </c>
      <c r="AL103" s="468">
        <f t="shared" si="45"/>
        <v>1</v>
      </c>
      <c r="AM103" s="468">
        <f t="shared" si="45"/>
        <v>1</v>
      </c>
      <c r="AN103" s="468">
        <f t="shared" si="45"/>
        <v>1</v>
      </c>
      <c r="AO103" s="468">
        <f t="shared" si="45"/>
        <v>1</v>
      </c>
      <c r="AP103" s="468">
        <f t="shared" si="45"/>
        <v>1</v>
      </c>
      <c r="AQ103" s="468">
        <f t="shared" si="45"/>
        <v>1</v>
      </c>
      <c r="AR103" s="468">
        <f t="shared" si="45"/>
        <v>1</v>
      </c>
      <c r="AS103" s="468">
        <f t="shared" si="45"/>
        <v>1</v>
      </c>
      <c r="AT103" s="468">
        <f t="shared" si="45"/>
        <v>1</v>
      </c>
      <c r="AU103" s="468">
        <f t="shared" si="45"/>
        <v>1</v>
      </c>
      <c r="AV103" s="468">
        <f t="shared" si="45"/>
        <v>1</v>
      </c>
      <c r="AW103" s="468">
        <f t="shared" si="45"/>
        <v>1</v>
      </c>
      <c r="AX103" s="468">
        <f t="shared" si="45"/>
        <v>1</v>
      </c>
      <c r="AY103" s="468">
        <f t="shared" si="45"/>
        <v>1</v>
      </c>
      <c r="AZ103" s="468">
        <f t="shared" si="45"/>
        <v>1</v>
      </c>
      <c r="BA103" s="468">
        <f t="shared" si="45"/>
        <v>1</v>
      </c>
      <c r="BB103" s="468">
        <f t="shared" si="45"/>
        <v>1</v>
      </c>
      <c r="BC103" s="468">
        <f t="shared" si="45"/>
        <v>1</v>
      </c>
      <c r="BD103" s="468">
        <f t="shared" si="45"/>
        <v>1</v>
      </c>
      <c r="BE103" s="468">
        <f t="shared" si="45"/>
        <v>1</v>
      </c>
      <c r="BF103" s="468">
        <f t="shared" si="45"/>
        <v>1</v>
      </c>
      <c r="BG103" s="468">
        <f t="shared" si="45"/>
        <v>1</v>
      </c>
      <c r="BH103" s="468">
        <f t="shared" si="45"/>
        <v>1</v>
      </c>
      <c r="BI103" s="468">
        <f t="shared" si="45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6">+MIN(B107+B108,B36*1000)</f>
        <v>1E-3</v>
      </c>
      <c r="C106" s="373">
        <f t="shared" si="46"/>
        <v>1E-3</v>
      </c>
      <c r="D106" s="373">
        <f t="shared" si="46"/>
        <v>1.0000000000000005E-3</v>
      </c>
      <c r="E106" s="373">
        <f t="shared" si="46"/>
        <v>1.000000000000023E-3</v>
      </c>
      <c r="F106" s="373">
        <f t="shared" si="46"/>
        <v>1.0000000000003001E-3</v>
      </c>
      <c r="G106" s="373">
        <f t="shared" si="46"/>
        <v>1.0000000000020112E-3</v>
      </c>
      <c r="H106" s="373">
        <f t="shared" si="46"/>
        <v>1.0000000000091702E-3</v>
      </c>
      <c r="I106" s="373">
        <f t="shared" si="46"/>
        <v>1.0000000000319844E-3</v>
      </c>
      <c r="J106" s="373">
        <f t="shared" si="46"/>
        <v>1.0000000000922251E-3</v>
      </c>
      <c r="K106" s="373">
        <f t="shared" si="46"/>
        <v>1.0000000002275561E-3</v>
      </c>
      <c r="L106" s="373">
        <f t="shared" si="46"/>
        <v>1.0000000005053185E-3</v>
      </c>
      <c r="M106" s="450">
        <f t="shared" si="46"/>
        <v>1.0000000010417327E-3</v>
      </c>
      <c r="N106" s="373">
        <f t="shared" si="46"/>
        <v>1.0000000019921491E-3</v>
      </c>
      <c r="O106" s="373">
        <f t="shared" si="46"/>
        <v>1.0000000035927906E-3</v>
      </c>
      <c r="P106" s="373">
        <f t="shared" si="46"/>
        <v>1.0000000062096877E-3</v>
      </c>
      <c r="Q106" s="373">
        <f t="shared" si="46"/>
        <v>1.0000000104204644E-3</v>
      </c>
      <c r="R106" s="373">
        <f t="shared" si="46"/>
        <v>1.0000000170144582E-3</v>
      </c>
      <c r="S106" s="373">
        <f t="shared" si="46"/>
        <v>1.0000000272142174E-3</v>
      </c>
      <c r="T106" s="373">
        <f t="shared" si="46"/>
        <v>1.0000000427819878E-3</v>
      </c>
      <c r="U106" s="373">
        <f t="shared" si="46"/>
        <v>1.0000000656043364E-3</v>
      </c>
      <c r="V106" s="373">
        <f t="shared" si="46"/>
        <v>1.0000000970886349E-3</v>
      </c>
      <c r="W106" s="373">
        <f t="shared" si="46"/>
        <v>1.0000001421883765E-3</v>
      </c>
      <c r="X106" s="373">
        <f t="shared" si="46"/>
        <v>1.0000002055977509E-3</v>
      </c>
      <c r="Y106" s="373">
        <f t="shared" si="46"/>
        <v>1.0000002932497453E-3</v>
      </c>
      <c r="Z106" s="373">
        <f t="shared" si="46"/>
        <v>1.0000004131003601E-3</v>
      </c>
      <c r="AA106" s="373">
        <f t="shared" si="46"/>
        <v>1.0000005755955613E-3</v>
      </c>
      <c r="AB106" s="373">
        <f t="shared" si="46"/>
        <v>467.31496583656661</v>
      </c>
      <c r="AC106" s="373">
        <f t="shared" si="46"/>
        <v>450.87921754473825</v>
      </c>
      <c r="AD106" s="373">
        <f t="shared" si="46"/>
        <v>435.26525666750126</v>
      </c>
      <c r="AE106" s="373">
        <f t="shared" si="46"/>
        <v>420.43199383412622</v>
      </c>
      <c r="AF106" s="373">
        <f t="shared" si="46"/>
        <v>406.34039414241983</v>
      </c>
      <c r="AG106" s="373">
        <f t="shared" si="46"/>
        <v>392.95337443529877</v>
      </c>
      <c r="AH106" s="373">
        <f t="shared" si="46"/>
        <v>380.23570571353383</v>
      </c>
      <c r="AI106" s="373">
        <f t="shared" si="46"/>
        <v>368.15392042785709</v>
      </c>
      <c r="AJ106" s="373">
        <f t="shared" si="46"/>
        <v>356.67622440646426</v>
      </c>
      <c r="AK106" s="373">
        <f t="shared" si="46"/>
        <v>345.77241318614102</v>
      </c>
      <c r="AL106" s="373">
        <f t="shared" si="46"/>
        <v>335.41379252683402</v>
      </c>
      <c r="AM106" s="373">
        <f t="shared" si="46"/>
        <v>325.5731029004923</v>
      </c>
      <c r="AN106" s="373">
        <f t="shared" si="46"/>
        <v>316.22444775546768</v>
      </c>
      <c r="AO106" s="373">
        <f t="shared" si="46"/>
        <v>307.34322536769429</v>
      </c>
      <c r="AP106" s="373">
        <f t="shared" si="46"/>
        <v>298.90606409930956</v>
      </c>
      <c r="AQ106" s="373">
        <f t="shared" si="46"/>
        <v>290.89076089434406</v>
      </c>
      <c r="AR106" s="373">
        <f t="shared" si="46"/>
        <v>283.27622284962683</v>
      </c>
      <c r="AS106" s="373">
        <f t="shared" si="46"/>
        <v>276.0424117071455</v>
      </c>
      <c r="AT106" s="373">
        <f t="shared" si="46"/>
        <v>269.17029112178824</v>
      </c>
      <c r="AU106" s="373">
        <f t="shared" si="46"/>
        <v>262.64177656569882</v>
      </c>
      <c r="AV106" s="373">
        <f t="shared" si="46"/>
        <v>256.43968773741386</v>
      </c>
      <c r="AW106" s="373">
        <f t="shared" si="46"/>
        <v>250.5477033505432</v>
      </c>
      <c r="AX106" s="373">
        <f t="shared" si="46"/>
        <v>244.95031818301604</v>
      </c>
      <c r="AY106" s="373">
        <f t="shared" si="46"/>
        <v>239.63280227386525</v>
      </c>
      <c r="AZ106" s="373">
        <f t="shared" si="46"/>
        <v>234.581162160172</v>
      </c>
      <c r="BA106" s="373">
        <f t="shared" si="46"/>
        <v>229.78210405216339</v>
      </c>
      <c r="BB106" s="373">
        <f t="shared" si="46"/>
        <v>225.22299884955521</v>
      </c>
      <c r="BC106" s="373">
        <f t="shared" si="46"/>
        <v>220.89184890707745</v>
      </c>
      <c r="BD106" s="373">
        <f t="shared" si="46"/>
        <v>216.77725646172357</v>
      </c>
      <c r="BE106" s="373">
        <f t="shared" si="46"/>
        <v>108.38862823086178</v>
      </c>
      <c r="BF106" s="373">
        <f t="shared" si="46"/>
        <v>54.194314115430892</v>
      </c>
      <c r="BG106" s="373">
        <f t="shared" si="46"/>
        <v>27.097157057715446</v>
      </c>
      <c r="BH106" s="373">
        <f t="shared" si="46"/>
        <v>13.548578528857723</v>
      </c>
      <c r="BI106" s="373">
        <f t="shared" si="46"/>
        <v>6.7742892644288615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+Controls!B19</f>
        <v>1E-3</v>
      </c>
      <c r="C108" s="373">
        <f>+Controls!C19</f>
        <v>1E-3</v>
      </c>
      <c r="D108" s="373">
        <f>+Controls!D19</f>
        <v>1E-3</v>
      </c>
      <c r="E108" s="373">
        <f>+Controls!E19</f>
        <v>1E-3</v>
      </c>
      <c r="F108" s="373">
        <f>+Controls!F19</f>
        <v>1E-3</v>
      </c>
      <c r="G108" s="373">
        <f>+Controls!G19</f>
        <v>1E-3</v>
      </c>
      <c r="H108" s="373">
        <f>+Controls!H19</f>
        <v>1E-3</v>
      </c>
      <c r="I108" s="373">
        <f>+Controls!I19</f>
        <v>1E-3</v>
      </c>
      <c r="J108" s="373">
        <f>+Controls!J19</f>
        <v>1E-3</v>
      </c>
      <c r="K108" s="373">
        <f>+Controls!K19</f>
        <v>1E-3</v>
      </c>
      <c r="L108" s="373">
        <f>+Controls!L19</f>
        <v>1E-3</v>
      </c>
      <c r="M108" s="373">
        <f>+Controls!M19</f>
        <v>1E-3</v>
      </c>
      <c r="N108" s="373">
        <f>+Controls!N19</f>
        <v>1E-3</v>
      </c>
      <c r="O108" s="373">
        <f>+Controls!O19</f>
        <v>1E-3</v>
      </c>
      <c r="P108" s="373">
        <f>+Controls!P19</f>
        <v>1E-3</v>
      </c>
      <c r="Q108" s="373">
        <f>+Controls!Q19</f>
        <v>1E-3</v>
      </c>
      <c r="R108" s="373">
        <f>+Controls!R19</f>
        <v>1E-3</v>
      </c>
      <c r="S108" s="373">
        <f>+Controls!S19</f>
        <v>1E-3</v>
      </c>
      <c r="T108" s="373">
        <f>+Controls!T19</f>
        <v>1E-3</v>
      </c>
      <c r="U108" s="373">
        <f>+Controls!U19</f>
        <v>1E-3</v>
      </c>
      <c r="V108" s="373">
        <f>+Controls!V19</f>
        <v>1E-3</v>
      </c>
      <c r="W108" s="373">
        <f>+Controls!W19</f>
        <v>1E-3</v>
      </c>
      <c r="X108" s="373">
        <f>+Controls!X19</f>
        <v>1E-3</v>
      </c>
      <c r="Y108" s="373">
        <f>+Controls!Y19</f>
        <v>1E-3</v>
      </c>
      <c r="Z108" s="373">
        <f>+Controls!Z19</f>
        <v>1E-3</v>
      </c>
      <c r="AA108" s="373">
        <f>+Controls!AA19</f>
        <v>1E-3</v>
      </c>
      <c r="AB108" s="373">
        <f>+Controls!AB19</f>
        <v>1200</v>
      </c>
      <c r="AC108" s="373">
        <f>+Controls!AC19</f>
        <v>1200</v>
      </c>
      <c r="AD108" s="373">
        <f>+Controls!AD19</f>
        <v>1200</v>
      </c>
      <c r="AE108" s="373">
        <f>+Controls!AE19</f>
        <v>1200</v>
      </c>
      <c r="AF108" s="373">
        <f>+Controls!AF19</f>
        <v>1200</v>
      </c>
      <c r="AG108" s="373">
        <f>+Controls!AG19</f>
        <v>1200</v>
      </c>
      <c r="AH108" s="373">
        <f>+Controls!AH19</f>
        <v>1200</v>
      </c>
      <c r="AI108" s="373">
        <f>+Controls!AI19</f>
        <v>1200</v>
      </c>
      <c r="AJ108" s="373">
        <f>+Controls!AJ19</f>
        <v>1200</v>
      </c>
      <c r="AK108" s="373">
        <f>+Controls!AK19</f>
        <v>1200</v>
      </c>
      <c r="AL108" s="373">
        <f>+Controls!AL19</f>
        <v>1200</v>
      </c>
      <c r="AM108" s="373">
        <f>+Controls!AM19</f>
        <v>1200</v>
      </c>
      <c r="AN108" s="373">
        <f>+Controls!AN19</f>
        <v>1200</v>
      </c>
      <c r="AO108" s="373">
        <f>+Controls!AO19</f>
        <v>1200</v>
      </c>
      <c r="AP108" s="373">
        <f>+Controls!AP19</f>
        <v>1200</v>
      </c>
      <c r="AQ108" s="373">
        <f>+Controls!AQ19</f>
        <v>1200</v>
      </c>
      <c r="AR108" s="373">
        <f>+Controls!AR19</f>
        <v>1200</v>
      </c>
      <c r="AS108" s="373">
        <f>+Controls!AS19</f>
        <v>1200</v>
      </c>
      <c r="AT108" s="373">
        <f>+Controls!AT19</f>
        <v>1200</v>
      </c>
      <c r="AU108" s="373">
        <f>+Controls!AU19</f>
        <v>1200</v>
      </c>
      <c r="AV108" s="373">
        <f>+Controls!AV19</f>
        <v>1200</v>
      </c>
      <c r="AW108" s="373">
        <f>+Controls!AW19</f>
        <v>1200</v>
      </c>
      <c r="AX108" s="373">
        <f>+Controls!AX19</f>
        <v>1200</v>
      </c>
      <c r="AY108" s="373">
        <f>+Controls!AY19</f>
        <v>1200</v>
      </c>
      <c r="AZ108" s="373">
        <f>+Controls!AZ19</f>
        <v>1200</v>
      </c>
      <c r="BA108" s="373">
        <f>+Controls!BA19</f>
        <v>1200</v>
      </c>
      <c r="BB108" s="373">
        <f>+Controls!BB19</f>
        <v>1200</v>
      </c>
      <c r="BC108" s="373">
        <f>+Controls!BC19</f>
        <v>1200</v>
      </c>
      <c r="BD108" s="373">
        <f>+Controls!BD19</f>
        <v>1200</v>
      </c>
      <c r="BE108" s="373">
        <f>+Controls!BE19</f>
        <v>1200</v>
      </c>
      <c r="BF108" s="373">
        <f>+Controls!BF19</f>
        <v>1200</v>
      </c>
      <c r="BG108" s="373">
        <f>+Controls!BG19</f>
        <v>1200</v>
      </c>
      <c r="BH108" s="373">
        <f>+Controls!BH19</f>
        <v>1200</v>
      </c>
      <c r="BI108" s="373">
        <f>+Controls!BI19</f>
        <v>1200</v>
      </c>
    </row>
    <row r="109" spans="1:61" ht="18" customHeight="1" x14ac:dyDescent="0.2">
      <c r="A109" s="372" t="s">
        <v>193</v>
      </c>
      <c r="B109" s="375">
        <f>+(B106/(1000*B$36))^(1/($B$38-1))</f>
        <v>3.8717679147140402E-4</v>
      </c>
      <c r="C109" s="375">
        <f t="shared" ref="C109:BI109" si="47">+(C106/(1000*C$36))^(1/($B$38-1))</f>
        <v>3.9720851919222591E-4</v>
      </c>
      <c r="D109" s="375">
        <f t="shared" si="47"/>
        <v>4.0744432808423477E-4</v>
      </c>
      <c r="E109" s="375">
        <f t="shared" si="47"/>
        <v>4.1788428101055547E-4</v>
      </c>
      <c r="F109" s="375">
        <f t="shared" si="47"/>
        <v>4.2852811039583268E-4</v>
      </c>
      <c r="G109" s="375">
        <f t="shared" si="47"/>
        <v>4.3937519748236519E-4</v>
      </c>
      <c r="H109" s="375">
        <f t="shared" si="47"/>
        <v>4.5042455156639357E-4</v>
      </c>
      <c r="I109" s="375">
        <f t="shared" si="47"/>
        <v>4.6167478935889777E-4</v>
      </c>
      <c r="J109" s="375">
        <f t="shared" si="47"/>
        <v>4.7312411463072701E-4</v>
      </c>
      <c r="K109" s="375">
        <f t="shared" si="47"/>
        <v>4.8477029831625471E-4</v>
      </c>
      <c r="L109" s="375">
        <f t="shared" si="47"/>
        <v>4.966106592683273E-4</v>
      </c>
      <c r="M109" s="375">
        <f t="shared" si="47"/>
        <v>5.0864204586809362E-4</v>
      </c>
      <c r="N109" s="375">
        <f t="shared" si="47"/>
        <v>5.2086081869774235E-4</v>
      </c>
      <c r="O109" s="375">
        <f t="shared" si="47"/>
        <v>5.3326283452837431E-4</v>
      </c>
      <c r="P109" s="375">
        <f t="shared" si="47"/>
        <v>5.4584343185218797E-4</v>
      </c>
      <c r="Q109" s="375">
        <f t="shared" si="47"/>
        <v>5.5859741821567572E-4</v>
      </c>
      <c r="R109" s="375">
        <f t="shared" si="47"/>
        <v>5.715190595731416E-4</v>
      </c>
      <c r="S109" s="375">
        <f t="shared" si="47"/>
        <v>5.8460207201146475E-4</v>
      </c>
      <c r="T109" s="375">
        <f t="shared" si="47"/>
        <v>5.978396160014048E-4</v>
      </c>
      <c r="U109" s="375">
        <f t="shared" si="47"/>
        <v>6.1122429328255433E-4</v>
      </c>
      <c r="V109" s="375">
        <f t="shared" si="47"/>
        <v>6.2474814671233711E-4</v>
      </c>
      <c r="W109" s="375">
        <f t="shared" si="47"/>
        <v>6.3840266500504977E-4</v>
      </c>
      <c r="X109" s="375">
        <f t="shared" si="47"/>
        <v>6.5217878830350017E-4</v>
      </c>
      <c r="Y109" s="375">
        <f t="shared" si="47"/>
        <v>6.6606691921212329E-4</v>
      </c>
      <c r="Z109" s="375">
        <f t="shared" si="47"/>
        <v>6.8005693745913089E-4</v>
      </c>
      <c r="AA109" s="375">
        <f t="shared" si="47"/>
        <v>6.941382184270428E-4</v>
      </c>
      <c r="AB109" s="375">
        <f t="shared" si="47"/>
        <v>1</v>
      </c>
      <c r="AC109" s="375">
        <f t="shared" si="47"/>
        <v>1</v>
      </c>
      <c r="AD109" s="375">
        <f t="shared" si="47"/>
        <v>1</v>
      </c>
      <c r="AE109" s="375">
        <f t="shared" si="47"/>
        <v>1</v>
      </c>
      <c r="AF109" s="375">
        <f t="shared" si="47"/>
        <v>1</v>
      </c>
      <c r="AG109" s="375">
        <f t="shared" si="47"/>
        <v>1</v>
      </c>
      <c r="AH109" s="375">
        <f t="shared" si="47"/>
        <v>1</v>
      </c>
      <c r="AI109" s="375">
        <f t="shared" si="47"/>
        <v>1</v>
      </c>
      <c r="AJ109" s="375">
        <f t="shared" si="47"/>
        <v>1</v>
      </c>
      <c r="AK109" s="375">
        <f t="shared" si="47"/>
        <v>1</v>
      </c>
      <c r="AL109" s="375">
        <f t="shared" si="47"/>
        <v>1</v>
      </c>
      <c r="AM109" s="375">
        <f t="shared" si="47"/>
        <v>1</v>
      </c>
      <c r="AN109" s="375">
        <f t="shared" si="47"/>
        <v>1</v>
      </c>
      <c r="AO109" s="375">
        <f t="shared" si="47"/>
        <v>1</v>
      </c>
      <c r="AP109" s="375">
        <f t="shared" si="47"/>
        <v>1</v>
      </c>
      <c r="AQ109" s="375">
        <f t="shared" si="47"/>
        <v>1</v>
      </c>
      <c r="AR109" s="375">
        <f t="shared" si="47"/>
        <v>1</v>
      </c>
      <c r="AS109" s="375">
        <f t="shared" si="47"/>
        <v>1</v>
      </c>
      <c r="AT109" s="375">
        <f t="shared" si="47"/>
        <v>1</v>
      </c>
      <c r="AU109" s="375">
        <f t="shared" si="47"/>
        <v>1</v>
      </c>
      <c r="AV109" s="375">
        <f t="shared" si="47"/>
        <v>1</v>
      </c>
      <c r="AW109" s="375">
        <f t="shared" si="47"/>
        <v>1</v>
      </c>
      <c r="AX109" s="375">
        <f t="shared" si="47"/>
        <v>1</v>
      </c>
      <c r="AY109" s="375">
        <f t="shared" si="47"/>
        <v>1</v>
      </c>
      <c r="AZ109" s="375">
        <f t="shared" si="47"/>
        <v>1</v>
      </c>
      <c r="BA109" s="375">
        <f t="shared" si="47"/>
        <v>1</v>
      </c>
      <c r="BB109" s="375">
        <f t="shared" si="47"/>
        <v>1</v>
      </c>
      <c r="BC109" s="375">
        <f t="shared" si="47"/>
        <v>1</v>
      </c>
      <c r="BD109" s="375">
        <f t="shared" si="47"/>
        <v>1</v>
      </c>
      <c r="BE109" s="375">
        <f t="shared" si="47"/>
        <v>1</v>
      </c>
      <c r="BF109" s="375">
        <f t="shared" si="47"/>
        <v>1</v>
      </c>
      <c r="BG109" s="375">
        <f t="shared" si="47"/>
        <v>1</v>
      </c>
      <c r="BH109" s="375">
        <f t="shared" si="47"/>
        <v>1</v>
      </c>
      <c r="BI109" s="375">
        <f t="shared" si="47"/>
        <v>1</v>
      </c>
    </row>
    <row r="110" spans="1:61" s="40" customFormat="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0.31819492120877468</v>
      </c>
      <c r="C112" s="455">
        <f>+C40*C61</f>
        <v>0.21706058143238599</v>
      </c>
      <c r="D112" s="455">
        <f t="shared" ref="D112:BI112" si="48">+D40*D61</f>
        <v>0.17939277613857282</v>
      </c>
      <c r="E112" s="455">
        <f t="shared" si="48"/>
        <v>0.14945607407338213</v>
      </c>
      <c r="F112" s="455">
        <f t="shared" si="48"/>
        <v>0.12883495927338756</v>
      </c>
      <c r="G112" s="455">
        <f t="shared" si="48"/>
        <v>0.11417153194325561</v>
      </c>
      <c r="H112" s="455">
        <f t="shared" si="48"/>
        <v>0.10466573929137593</v>
      </c>
      <c r="I112" s="455">
        <f t="shared" si="48"/>
        <v>9.5774234314272635E-2</v>
      </c>
      <c r="J112" s="455">
        <f t="shared" si="48"/>
        <v>8.8164634688747454E-2</v>
      </c>
      <c r="K112" s="455">
        <f t="shared" si="48"/>
        <v>8.5625492305809722E-2</v>
      </c>
      <c r="L112" s="455">
        <f t="shared" si="48"/>
        <v>8.0772550460916429E-2</v>
      </c>
      <c r="M112" s="455">
        <f t="shared" si="48"/>
        <v>7.6498776928555376E-2</v>
      </c>
      <c r="N112" s="455">
        <f t="shared" si="48"/>
        <v>7.3543091680131192E-2</v>
      </c>
      <c r="O112" s="455">
        <f t="shared" si="48"/>
        <v>7.1068879488020278E-2</v>
      </c>
      <c r="P112" s="455">
        <f t="shared" si="48"/>
        <v>6.9725124399820856E-2</v>
      </c>
      <c r="Q112" s="455">
        <f t="shared" si="48"/>
        <v>6.8822507524832099E-2</v>
      </c>
      <c r="R112" s="455">
        <f t="shared" si="48"/>
        <v>6.8308968564656986E-2</v>
      </c>
      <c r="S112" s="455">
        <f t="shared" si="48"/>
        <v>6.8107198657095552E-2</v>
      </c>
      <c r="T112" s="455">
        <f t="shared" si="48"/>
        <v>6.7556752637614348E-2</v>
      </c>
      <c r="U112" s="455">
        <f t="shared" si="48"/>
        <v>6.5772705630137138E-2</v>
      </c>
      <c r="V112" s="455">
        <f t="shared" si="48"/>
        <v>6.580368867194536E-2</v>
      </c>
      <c r="W112" s="455">
        <f t="shared" si="48"/>
        <v>6.3544915143695216E-2</v>
      </c>
      <c r="X112" s="455">
        <f t="shared" si="48"/>
        <v>6.3661639548625762E-2</v>
      </c>
      <c r="Y112" s="455">
        <f t="shared" si="48"/>
        <v>6.3178065189120919E-2</v>
      </c>
      <c r="Z112" s="455">
        <f t="shared" si="48"/>
        <v>6.2662146295317786E-2</v>
      </c>
      <c r="AA112" s="455">
        <f t="shared" si="48"/>
        <v>6.2105119084783215E-2</v>
      </c>
      <c r="AB112" s="455">
        <f t="shared" si="48"/>
        <v>6.0996492410749802E-2</v>
      </c>
      <c r="AC112" s="455">
        <f t="shared" si="48"/>
        <v>6.0819689227487678E-2</v>
      </c>
      <c r="AD112" s="455">
        <f t="shared" si="48"/>
        <v>6.0564557811359977E-2</v>
      </c>
      <c r="AE112" s="455">
        <f t="shared" si="48"/>
        <v>6.0060452675305361E-2</v>
      </c>
      <c r="AF112" s="455">
        <f t="shared" si="48"/>
        <v>5.6794101629438938E-2</v>
      </c>
      <c r="AG112" s="455">
        <f t="shared" si="48"/>
        <v>5.7454562093990573E-2</v>
      </c>
      <c r="AH112" s="455">
        <f t="shared" si="48"/>
        <v>5.7792026764475014E-2</v>
      </c>
      <c r="AI112" s="455">
        <f t="shared" si="48"/>
        <v>0.82926111043772366</v>
      </c>
      <c r="AJ112" s="455">
        <f t="shared" si="48"/>
        <v>1.6618927987494845</v>
      </c>
      <c r="AK112" s="455">
        <f t="shared" si="48"/>
        <v>2.146287483806443</v>
      </c>
      <c r="AL112" s="455">
        <f t="shared" si="48"/>
        <v>2.4127812077927704</v>
      </c>
      <c r="AM112" s="455">
        <f t="shared" si="48"/>
        <v>2.5678572045816486</v>
      </c>
      <c r="AN112" s="455">
        <f t="shared" si="48"/>
        <v>2.665100731539936</v>
      </c>
      <c r="AO112" s="455">
        <f t="shared" si="48"/>
        <v>2.7316576857186226</v>
      </c>
      <c r="AP112" s="455">
        <f t="shared" si="48"/>
        <v>2.7816467023165639</v>
      </c>
      <c r="AQ112" s="455">
        <f t="shared" si="48"/>
        <v>2.8225454731036663</v>
      </c>
      <c r="AR112" s="455">
        <f t="shared" si="48"/>
        <v>2.8583627943704699</v>
      </c>
      <c r="AS112" s="455">
        <f t="shared" si="48"/>
        <v>2.8912689980205215</v>
      </c>
      <c r="AT112" s="455">
        <f t="shared" si="48"/>
        <v>2.9224516670144882</v>
      </c>
      <c r="AU112" s="455">
        <f t="shared" si="48"/>
        <v>2.952570101429576</v>
      </c>
      <c r="AV112" s="455">
        <f t="shared" si="48"/>
        <v>2.9819982888176586</v>
      </c>
      <c r="AW112" s="455">
        <f t="shared" si="48"/>
        <v>3.0109553036005283</v>
      </c>
      <c r="AX112" s="455">
        <f t="shared" si="48"/>
        <v>3.0395754687207592</v>
      </c>
      <c r="AY112" s="455">
        <f t="shared" si="48"/>
        <v>3.0679461890287913</v>
      </c>
      <c r="AZ112" s="455">
        <f t="shared" si="48"/>
        <v>3.0961284057268847</v>
      </c>
      <c r="BA112" s="455">
        <f t="shared" si="48"/>
        <v>3.124167698027613</v>
      </c>
      <c r="BB112" s="455">
        <f t="shared" si="48"/>
        <v>3.1521003466114421</v>
      </c>
      <c r="BC112" s="455">
        <f t="shared" si="48"/>
        <v>3.1799566798570109</v>
      </c>
      <c r="BD112" s="455">
        <f t="shared" si="48"/>
        <v>3.2077629519120801</v>
      </c>
      <c r="BE112" s="455">
        <f t="shared" si="48"/>
        <v>3.2355424250476403</v>
      </c>
      <c r="BF112" s="455">
        <f t="shared" si="48"/>
        <v>3.2634263714854503</v>
      </c>
      <c r="BG112" s="455">
        <f t="shared" si="48"/>
        <v>3.2913232939108585</v>
      </c>
      <c r="BH112" s="455">
        <f t="shared" si="48"/>
        <v>3.3192212219434776</v>
      </c>
      <c r="BI112" s="455">
        <f t="shared" si="48"/>
        <v>3.3471353708152569</v>
      </c>
    </row>
    <row r="113" spans="1:61" s="40" customFormat="1" ht="18" customHeight="1" x14ac:dyDescent="0.2">
      <c r="A113" s="382" t="s">
        <v>949</v>
      </c>
      <c r="B113" s="383">
        <f>+Controls!B78</f>
        <v>0.19137708401697254</v>
      </c>
      <c r="C113" s="383">
        <f>+Controls!C78</f>
        <v>0.2440378886848312</v>
      </c>
      <c r="D113" s="383">
        <f>+Controls!D78</f>
        <v>0.35389319854131812</v>
      </c>
      <c r="E113" s="383">
        <f>+Controls!E78</f>
        <v>0.48200312688199881</v>
      </c>
      <c r="F113" s="383">
        <f>+Controls!F78</f>
        <v>0.62603054224477039</v>
      </c>
      <c r="G113" s="383">
        <f>+Controls!G78</f>
        <v>0.75868965138535882</v>
      </c>
      <c r="H113" s="383">
        <f>+Controls!H78</f>
        <v>0.87768254899933362</v>
      </c>
      <c r="I113" s="383">
        <f>+Controls!I78</f>
        <v>0.72755691791705857</v>
      </c>
      <c r="J113" s="383">
        <f>+Controls!J78</f>
        <v>0.61652561678451767</v>
      </c>
      <c r="K113" s="383">
        <f>+Controls!K78</f>
        <v>0.53432745333766118</v>
      </c>
      <c r="L113" s="383">
        <f>+Controls!L78</f>
        <v>0.47590084718073744</v>
      </c>
      <c r="M113" s="383">
        <f>+Controls!M78</f>
        <v>0.4295005145806155</v>
      </c>
      <c r="N113" s="383">
        <f>+Controls!N78</f>
        <v>0.38762421440900541</v>
      </c>
      <c r="O113" s="383">
        <f>+Controls!O78</f>
        <v>0.34983085350412735</v>
      </c>
      <c r="P113" s="383">
        <f>+Controls!P78</f>
        <v>0.31572234528747495</v>
      </c>
      <c r="Q113" s="383">
        <f>+Controls!Q78</f>
        <v>0.28493941662194611</v>
      </c>
      <c r="R113" s="383">
        <f>+Controls!R78</f>
        <v>0.25715782350130634</v>
      </c>
      <c r="S113" s="383">
        <f>+Controls!S78</f>
        <v>0.23208493570992894</v>
      </c>
      <c r="T113" s="383">
        <f>+Controls!T78</f>
        <v>0.20945665447821085</v>
      </c>
      <c r="U113" s="383">
        <f>+Controls!U78</f>
        <v>0.18903463066658527</v>
      </c>
      <c r="V113" s="383">
        <f>+Controls!V78</f>
        <v>0.17060375417659321</v>
      </c>
      <c r="W113" s="383">
        <f>+Controls!W78</f>
        <v>0.16207356646776355</v>
      </c>
      <c r="X113" s="383">
        <f>+Controls!X78</f>
        <v>0.15396988814437537</v>
      </c>
      <c r="Y113" s="383">
        <f>+Controls!Y78</f>
        <v>0.14627139373715659</v>
      </c>
      <c r="Z113" s="383">
        <f>+Controls!Z78</f>
        <v>0.13895782405029874</v>
      </c>
      <c r="AA113" s="383">
        <f>+Controls!AA78</f>
        <v>0.13200993284778381</v>
      </c>
      <c r="AB113" s="383">
        <f>+Controls!AB78</f>
        <v>0.1254094362053946</v>
      </c>
      <c r="AC113" s="383">
        <f>+Controls!AC78</f>
        <v>0.11913896439512486</v>
      </c>
      <c r="AD113" s="383">
        <f>+Controls!AD78</f>
        <v>0.11318201617536862</v>
      </c>
      <c r="AE113" s="383">
        <f>+Controls!AE78</f>
        <v>0.10752291536660018</v>
      </c>
      <c r="AF113" s="383">
        <f>+Controls!AF78</f>
        <v>0.10214676959827017</v>
      </c>
      <c r="AG113" s="383">
        <f>+Controls!AG78</f>
        <v>9.7039431118356653E-2</v>
      </c>
      <c r="AH113" s="383">
        <f>+Controls!AH78</f>
        <v>9.2187459562438817E-2</v>
      </c>
      <c r="AI113" s="383">
        <f>+Controls!AI78</f>
        <v>8.7578086584316872E-2</v>
      </c>
      <c r="AJ113" s="383">
        <f>+Controls!AJ78</f>
        <v>8.319918225510102E-2</v>
      </c>
      <c r="AK113" s="383">
        <f>+Controls!AK78</f>
        <v>7.903922314234596E-2</v>
      </c>
      <c r="AL113" s="383">
        <f>+Controls!AL78</f>
        <v>7.5087261985228665E-2</v>
      </c>
      <c r="AM113" s="383">
        <f>+Controls!AM78</f>
        <v>7.1332898885967222E-2</v>
      </c>
      <c r="AN113" s="383">
        <f>+Controls!AN78</f>
        <v>6.7766253941668853E-2</v>
      </c>
      <c r="AO113" s="383">
        <f>+Controls!AO78</f>
        <v>6.4377941244585402E-2</v>
      </c>
      <c r="AP113" s="383">
        <f>+Controls!AP78</f>
        <v>6.1159044182356126E-2</v>
      </c>
      <c r="AQ113" s="383">
        <f>+Controls!AQ78</f>
        <v>5.8101091973238317E-2</v>
      </c>
      <c r="AR113" s="383">
        <f>+Controls!AR78</f>
        <v>5.5196037374576401E-2</v>
      </c>
      <c r="AS113" s="383">
        <f>+Controls!AS78</f>
        <v>5.2436235505847577E-2</v>
      </c>
      <c r="AT113" s="383">
        <f>+Controls!AT78</f>
        <v>4.9814423730555196E-2</v>
      </c>
      <c r="AU113" s="383">
        <f>+Controls!AU78</f>
        <v>4.7323702544027436E-2</v>
      </c>
      <c r="AV113" s="383">
        <f>+Controls!AV78</f>
        <v>4.4957517416826062E-2</v>
      </c>
      <c r="AW113" s="383">
        <f>+Controls!AW78</f>
        <v>4.2709641545984757E-2</v>
      </c>
      <c r="AX113" s="383">
        <f>+Controls!AX78</f>
        <v>4.0574159468685519E-2</v>
      </c>
      <c r="AY113" s="383">
        <f>+Controls!AY78</f>
        <v>3.8545451495251244E-2</v>
      </c>
      <c r="AZ113" s="383">
        <f>+Controls!AZ78</f>
        <v>3.661817892048868E-2</v>
      </c>
      <c r="BA113" s="383">
        <f>+Controls!BA78</f>
        <v>3.4787269974464241E-2</v>
      </c>
      <c r="BB113" s="383">
        <f>+Controls!BB78</f>
        <v>3.3047906475741025E-2</v>
      </c>
      <c r="BC113" s="383">
        <f>+Controls!BC78</f>
        <v>3.1395511151953971E-2</v>
      </c>
      <c r="BD113" s="383">
        <f>+Controls!BD78</f>
        <v>2.9825735594356272E-2</v>
      </c>
      <c r="BE113" s="383">
        <f>+Controls!BE78</f>
        <v>2.8334448814638456E-2</v>
      </c>
      <c r="BF113" s="383">
        <f>+Controls!BF78</f>
        <v>2.691772637390653E-2</v>
      </c>
      <c r="BG113" s="383">
        <f>+Controls!BG78</f>
        <v>2.5571840055211202E-2</v>
      </c>
      <c r="BH113" s="383">
        <f>+Controls!BH78</f>
        <v>2.4293248052450641E-2</v>
      </c>
      <c r="BI113" s="383">
        <f>+Controls!BI78</f>
        <v>2.3078585649828107E-2</v>
      </c>
    </row>
    <row r="114" spans="1:61" ht="18" customHeight="1" x14ac:dyDescent="0.2">
      <c r="A114" s="382" t="s">
        <v>951</v>
      </c>
      <c r="B114" s="383">
        <f>IF(1-(B113/B112)&lt;0,0,1-(B113/B112))</f>
        <v>0.39855393263362038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9">IF(1-(F113/F112)&lt;0,0,1-(F113/F112))</f>
        <v>0</v>
      </c>
      <c r="G114" s="383">
        <f t="shared" si="49"/>
        <v>0</v>
      </c>
      <c r="H114" s="383">
        <f t="shared" si="49"/>
        <v>0</v>
      </c>
      <c r="I114" s="383">
        <f t="shared" si="49"/>
        <v>0</v>
      </c>
      <c r="J114" s="383">
        <f t="shared" si="49"/>
        <v>0</v>
      </c>
      <c r="K114" s="383">
        <f t="shared" si="49"/>
        <v>0</v>
      </c>
      <c r="L114" s="383">
        <f t="shared" si="49"/>
        <v>0</v>
      </c>
      <c r="M114" s="383">
        <f t="shared" si="49"/>
        <v>0</v>
      </c>
      <c r="N114" s="383">
        <f t="shared" si="49"/>
        <v>0</v>
      </c>
      <c r="O114" s="383">
        <f t="shared" si="49"/>
        <v>0</v>
      </c>
      <c r="P114" s="383">
        <f t="shared" si="49"/>
        <v>0</v>
      </c>
      <c r="Q114" s="383">
        <f t="shared" si="49"/>
        <v>0</v>
      </c>
      <c r="R114" s="383">
        <f t="shared" si="49"/>
        <v>0</v>
      </c>
      <c r="S114" s="383">
        <f t="shared" si="49"/>
        <v>0</v>
      </c>
      <c r="T114" s="383">
        <f t="shared" si="49"/>
        <v>0</v>
      </c>
      <c r="U114" s="383">
        <f t="shared" si="49"/>
        <v>0</v>
      </c>
      <c r="V114" s="383">
        <f t="shared" si="49"/>
        <v>0</v>
      </c>
      <c r="W114" s="383">
        <f t="shared" si="49"/>
        <v>0</v>
      </c>
      <c r="X114" s="383">
        <f t="shared" si="49"/>
        <v>0</v>
      </c>
      <c r="Y114" s="383">
        <f t="shared" si="49"/>
        <v>0</v>
      </c>
      <c r="Z114" s="383">
        <f t="shared" si="49"/>
        <v>0</v>
      </c>
      <c r="AA114" s="383">
        <f t="shared" si="49"/>
        <v>0</v>
      </c>
      <c r="AB114" s="383">
        <f t="shared" si="49"/>
        <v>0</v>
      </c>
      <c r="AC114" s="383">
        <f t="shared" si="49"/>
        <v>0</v>
      </c>
      <c r="AD114" s="383">
        <f t="shared" si="49"/>
        <v>0</v>
      </c>
      <c r="AE114" s="383">
        <f t="shared" si="49"/>
        <v>0</v>
      </c>
      <c r="AF114" s="383">
        <f t="shared" si="49"/>
        <v>0</v>
      </c>
      <c r="AG114" s="383">
        <f t="shared" si="49"/>
        <v>0</v>
      </c>
      <c r="AH114" s="383">
        <f t="shared" si="49"/>
        <v>0</v>
      </c>
      <c r="AI114" s="383">
        <f t="shared" si="49"/>
        <v>0.89439021620332715</v>
      </c>
      <c r="AJ114" s="383">
        <f t="shared" si="49"/>
        <v>0.94993709442768781</v>
      </c>
      <c r="AK114" s="383">
        <f t="shared" si="49"/>
        <v>0.96317398124030906</v>
      </c>
      <c r="AL114" s="383">
        <f t="shared" si="49"/>
        <v>0.96887937383517708</v>
      </c>
      <c r="AM114" s="383">
        <f t="shared" si="49"/>
        <v>0.97222084672049014</v>
      </c>
      <c r="AN114" s="383">
        <f t="shared" si="49"/>
        <v>0.97457272322216781</v>
      </c>
      <c r="AO114" s="383">
        <f t="shared" si="49"/>
        <v>0.97643264689380382</v>
      </c>
      <c r="AP114" s="383">
        <f t="shared" si="49"/>
        <v>0.97801336735847055</v>
      </c>
      <c r="AQ114" s="383">
        <f t="shared" si="49"/>
        <v>0.97941535662511381</v>
      </c>
      <c r="AR114" s="383">
        <f t="shared" si="49"/>
        <v>0.98068963202176973</v>
      </c>
      <c r="AS114" s="383">
        <f t="shared" si="49"/>
        <v>0.98186393741234468</v>
      </c>
      <c r="AT114" s="383">
        <f t="shared" si="49"/>
        <v>0.98295457738692238</v>
      </c>
      <c r="AU114" s="383">
        <f t="shared" si="49"/>
        <v>0.98397203083472451</v>
      </c>
      <c r="AV114" s="383">
        <f t="shared" si="49"/>
        <v>0.98492369442819117</v>
      </c>
      <c r="AW114" s="383">
        <f t="shared" si="49"/>
        <v>0.98581525222413224</v>
      </c>
      <c r="AX114" s="383">
        <f t="shared" si="49"/>
        <v>0.98665137290183436</v>
      </c>
      <c r="AY114" s="383">
        <f t="shared" si="49"/>
        <v>0.98743607315112214</v>
      </c>
      <c r="AZ114" s="383">
        <f t="shared" si="49"/>
        <v>0.98817291335438273</v>
      </c>
      <c r="BA114" s="383">
        <f t="shared" si="49"/>
        <v>0.9888651079785421</v>
      </c>
      <c r="BB114" s="383">
        <f t="shared" si="49"/>
        <v>0.98951559187788296</v>
      </c>
      <c r="BC114" s="383">
        <f t="shared" si="49"/>
        <v>0.99012706325503597</v>
      </c>
      <c r="BD114" s="383">
        <f t="shared" si="49"/>
        <v>0.99070201382038603</v>
      </c>
      <c r="BE114" s="383">
        <f t="shared" si="49"/>
        <v>0.99124275157225883</v>
      </c>
      <c r="BF114" s="383">
        <f t="shared" si="49"/>
        <v>0.99175169796717244</v>
      </c>
      <c r="BG114" s="383">
        <f t="shared" si="49"/>
        <v>0.9922305292517084</v>
      </c>
      <c r="BH114" s="383">
        <f t="shared" si="49"/>
        <v>0.99268103978974132</v>
      </c>
      <c r="BI114" s="383">
        <f t="shared" si="49"/>
        <v>0.99310497392753883</v>
      </c>
    </row>
    <row r="115" spans="1:61" s="40" customFormat="1" ht="18" customHeight="1" x14ac:dyDescent="0.2">
      <c r="A115" s="382" t="s">
        <v>952</v>
      </c>
      <c r="B115" s="384">
        <f t="shared" ref="B115:BI115" si="50">+B$36*1000*B114^($B$38-1)</f>
        <v>264.63056746376981</v>
      </c>
      <c r="C115" s="384">
        <f t="shared" si="50"/>
        <v>0</v>
      </c>
      <c r="D115" s="384">
        <f t="shared" si="50"/>
        <v>0</v>
      </c>
      <c r="E115" s="384">
        <f t="shared" si="50"/>
        <v>0</v>
      </c>
      <c r="F115" s="384">
        <f t="shared" si="50"/>
        <v>0</v>
      </c>
      <c r="G115" s="384">
        <f t="shared" si="50"/>
        <v>0</v>
      </c>
      <c r="H115" s="384">
        <f t="shared" si="50"/>
        <v>0</v>
      </c>
      <c r="I115" s="384">
        <f t="shared" si="50"/>
        <v>0</v>
      </c>
      <c r="J115" s="384">
        <f t="shared" si="50"/>
        <v>0</v>
      </c>
      <c r="K115" s="384">
        <f t="shared" si="50"/>
        <v>0</v>
      </c>
      <c r="L115" s="384">
        <f t="shared" si="50"/>
        <v>0</v>
      </c>
      <c r="M115" s="384">
        <f t="shared" si="50"/>
        <v>0</v>
      </c>
      <c r="N115" s="384">
        <f t="shared" si="50"/>
        <v>0</v>
      </c>
      <c r="O115" s="384">
        <f t="shared" si="50"/>
        <v>0</v>
      </c>
      <c r="P115" s="384">
        <f t="shared" si="50"/>
        <v>0</v>
      </c>
      <c r="Q115" s="384">
        <f t="shared" si="50"/>
        <v>0</v>
      </c>
      <c r="R115" s="384">
        <f t="shared" si="50"/>
        <v>0</v>
      </c>
      <c r="S115" s="384">
        <f t="shared" si="50"/>
        <v>0</v>
      </c>
      <c r="T115" s="384">
        <f t="shared" si="50"/>
        <v>0</v>
      </c>
      <c r="U115" s="384">
        <f t="shared" si="50"/>
        <v>0</v>
      </c>
      <c r="V115" s="384">
        <f t="shared" si="50"/>
        <v>0</v>
      </c>
      <c r="W115" s="384">
        <f t="shared" si="50"/>
        <v>0</v>
      </c>
      <c r="X115" s="384">
        <f t="shared" si="50"/>
        <v>0</v>
      </c>
      <c r="Y115" s="384">
        <f t="shared" si="50"/>
        <v>0</v>
      </c>
      <c r="Z115" s="384">
        <f t="shared" si="50"/>
        <v>0</v>
      </c>
      <c r="AA115" s="384">
        <f t="shared" si="50"/>
        <v>0</v>
      </c>
      <c r="AB115" s="384">
        <f t="shared" si="50"/>
        <v>0</v>
      </c>
      <c r="AC115" s="384">
        <f t="shared" si="50"/>
        <v>0</v>
      </c>
      <c r="AD115" s="384">
        <f t="shared" si="50"/>
        <v>0</v>
      </c>
      <c r="AE115" s="384">
        <f t="shared" si="50"/>
        <v>0</v>
      </c>
      <c r="AF115" s="384">
        <f t="shared" si="50"/>
        <v>0</v>
      </c>
      <c r="AG115" s="384">
        <f t="shared" si="50"/>
        <v>0</v>
      </c>
      <c r="AH115" s="384">
        <f t="shared" si="50"/>
        <v>0</v>
      </c>
      <c r="AI115" s="384">
        <f t="shared" si="50"/>
        <v>301.14669495730215</v>
      </c>
      <c r="AJ115" s="384">
        <f t="shared" si="50"/>
        <v>325.18079256651856</v>
      </c>
      <c r="AK115" s="384">
        <f t="shared" si="50"/>
        <v>323.19071618310733</v>
      </c>
      <c r="AL115" s="384">
        <f t="shared" si="50"/>
        <v>316.8592544715134</v>
      </c>
      <c r="AM115" s="384">
        <f t="shared" si="50"/>
        <v>309.47487135552961</v>
      </c>
      <c r="AN115" s="384">
        <f t="shared" si="50"/>
        <v>301.89859813707676</v>
      </c>
      <c r="AO115" s="384">
        <f t="shared" si="50"/>
        <v>294.4284478061075</v>
      </c>
      <c r="AP115" s="384">
        <f t="shared" si="50"/>
        <v>287.18076576611821</v>
      </c>
      <c r="AQ115" s="384">
        <f t="shared" si="50"/>
        <v>280.20144087478229</v>
      </c>
      <c r="AR115" s="384">
        <f t="shared" si="50"/>
        <v>273.50607303636201</v>
      </c>
      <c r="AS115" s="384">
        <f t="shared" si="50"/>
        <v>267.09648314419189</v>
      </c>
      <c r="AT115" s="384">
        <f t="shared" si="50"/>
        <v>260.96804563450479</v>
      </c>
      <c r="AU115" s="384">
        <f t="shared" si="50"/>
        <v>255.11310252152333</v>
      </c>
      <c r="AV115" s="384">
        <f t="shared" si="50"/>
        <v>249.52260351085076</v>
      </c>
      <c r="AW115" s="384">
        <f t="shared" si="50"/>
        <v>244.18691367907471</v>
      </c>
      <c r="AX115" s="384">
        <f t="shared" si="50"/>
        <v>239.09622105184275</v>
      </c>
      <c r="AY115" s="384">
        <f t="shared" si="50"/>
        <v>234.24074811210127</v>
      </c>
      <c r="AZ115" s="384">
        <f t="shared" si="50"/>
        <v>229.6108652498458</v>
      </c>
      <c r="BA115" s="384">
        <f t="shared" si="50"/>
        <v>225.19715387988813</v>
      </c>
      <c r="BB115" s="384">
        <f t="shared" si="50"/>
        <v>220.99044278376189</v>
      </c>
      <c r="BC115" s="384">
        <f t="shared" si="50"/>
        <v>216.9818295007083</v>
      </c>
      <c r="BD115" s="384">
        <f t="shared" si="50"/>
        <v>213.1626928480382</v>
      </c>
      <c r="BE115" s="384">
        <f t="shared" si="50"/>
        <v>106.68608150101538</v>
      </c>
      <c r="BF115" s="384">
        <f t="shared" si="50"/>
        <v>53.392350349801724</v>
      </c>
      <c r="BG115" s="384">
        <f t="shared" si="50"/>
        <v>26.719380356727076</v>
      </c>
      <c r="BH115" s="384">
        <f t="shared" si="50"/>
        <v>13.37061061807117</v>
      </c>
      <c r="BI115" s="384">
        <f t="shared" si="50"/>
        <v>6.6904452318034089</v>
      </c>
    </row>
    <row r="116" spans="1:61" s="379" customFormat="1" ht="18" customHeight="1" x14ac:dyDescent="0.2">
      <c r="A116" s="382" t="s">
        <v>969</v>
      </c>
      <c r="B116" s="383">
        <f t="shared" ref="B116:AG116" si="51">+B112*(1-B103)</f>
        <v>0.31807172352011859</v>
      </c>
      <c r="C116" s="383">
        <f t="shared" si="51"/>
        <v>0.21697436312026022</v>
      </c>
      <c r="D116" s="383">
        <f t="shared" si="51"/>
        <v>0.17931968356943587</v>
      </c>
      <c r="E116" s="383">
        <f t="shared" si="51"/>
        <v>0.14939361872932533</v>
      </c>
      <c r="F116" s="383">
        <f t="shared" si="51"/>
        <v>0.12877974987173721</v>
      </c>
      <c r="G116" s="383">
        <f t="shared" si="51"/>
        <v>0.11412136780386117</v>
      </c>
      <c r="H116" s="383">
        <f t="shared" si="51"/>
        <v>0.10461859527269125</v>
      </c>
      <c r="I116" s="383">
        <f t="shared" si="51"/>
        <v>9.5730017764819583E-2</v>
      </c>
      <c r="J116" s="383">
        <f t="shared" si="51"/>
        <v>8.81229218740186E-2</v>
      </c>
      <c r="K116" s="383">
        <f t="shared" si="51"/>
        <v>8.5583983610361153E-2</v>
      </c>
      <c r="L116" s="383">
        <f t="shared" si="51"/>
        <v>8.0732437951381256E-2</v>
      </c>
      <c r="M116" s="383">
        <f t="shared" si="51"/>
        <v>7.6459866434152035E-2</v>
      </c>
      <c r="N116" s="383">
        <f t="shared" si="51"/>
        <v>7.3504785965189112E-2</v>
      </c>
      <c r="O116" s="383">
        <f t="shared" si="51"/>
        <v>7.1030981095897741E-2</v>
      </c>
      <c r="P116" s="383">
        <f t="shared" si="51"/>
        <v>6.9687065398632134E-2</v>
      </c>
      <c r="Q116" s="383">
        <f t="shared" si="51"/>
        <v>6.8784063449813609E-2</v>
      </c>
      <c r="R116" s="383">
        <f t="shared" si="51"/>
        <v>6.8269928687182499E-2</v>
      </c>
      <c r="S116" s="383">
        <f t="shared" si="51"/>
        <v>6.8067383047641719E-2</v>
      </c>
      <c r="T116" s="383">
        <f t="shared" si="51"/>
        <v>6.7516364534559184E-2</v>
      </c>
      <c r="U116" s="383">
        <f t="shared" si="51"/>
        <v>6.5732503754621072E-2</v>
      </c>
      <c r="V116" s="383">
        <f t="shared" si="51"/>
        <v>6.5762577939400726E-2</v>
      </c>
      <c r="W116" s="383">
        <f t="shared" si="51"/>
        <v>6.3504347900519967E-2</v>
      </c>
      <c r="X116" s="383">
        <f t="shared" si="51"/>
        <v>6.3620120777683531E-2</v>
      </c>
      <c r="Y116" s="383">
        <f t="shared" si="51"/>
        <v>6.313598436987862E-2</v>
      </c>
      <c r="Z116" s="383">
        <f t="shared" si="51"/>
        <v>6.2619532468013578E-2</v>
      </c>
      <c r="AA116" s="383">
        <f t="shared" si="51"/>
        <v>6.206200954806651E-2</v>
      </c>
      <c r="AB116" s="383">
        <f t="shared" si="51"/>
        <v>0</v>
      </c>
      <c r="AC116" s="383">
        <f t="shared" si="51"/>
        <v>0</v>
      </c>
      <c r="AD116" s="383">
        <f t="shared" si="51"/>
        <v>0</v>
      </c>
      <c r="AE116" s="383">
        <f t="shared" si="51"/>
        <v>0</v>
      </c>
      <c r="AF116" s="383">
        <f t="shared" si="51"/>
        <v>0</v>
      </c>
      <c r="AG116" s="383">
        <f t="shared" si="51"/>
        <v>0</v>
      </c>
      <c r="AH116" s="383">
        <f t="shared" ref="AH116:BI116" si="52">+AH112*(1-AH103)</f>
        <v>0</v>
      </c>
      <c r="AI116" s="383">
        <f t="shared" si="52"/>
        <v>0</v>
      </c>
      <c r="AJ116" s="383">
        <f t="shared" si="52"/>
        <v>0</v>
      </c>
      <c r="AK116" s="383">
        <f t="shared" si="52"/>
        <v>0</v>
      </c>
      <c r="AL116" s="383">
        <f t="shared" si="52"/>
        <v>0</v>
      </c>
      <c r="AM116" s="383">
        <f t="shared" si="52"/>
        <v>0</v>
      </c>
      <c r="AN116" s="383">
        <f t="shared" si="52"/>
        <v>0</v>
      </c>
      <c r="AO116" s="383">
        <f t="shared" si="52"/>
        <v>0</v>
      </c>
      <c r="AP116" s="383">
        <f t="shared" si="52"/>
        <v>0</v>
      </c>
      <c r="AQ116" s="383">
        <f t="shared" si="52"/>
        <v>0</v>
      </c>
      <c r="AR116" s="383">
        <f t="shared" si="52"/>
        <v>0</v>
      </c>
      <c r="AS116" s="383">
        <f t="shared" si="52"/>
        <v>0</v>
      </c>
      <c r="AT116" s="383">
        <f t="shared" si="52"/>
        <v>0</v>
      </c>
      <c r="AU116" s="383">
        <f t="shared" si="52"/>
        <v>0</v>
      </c>
      <c r="AV116" s="383">
        <f t="shared" si="52"/>
        <v>0</v>
      </c>
      <c r="AW116" s="383">
        <f t="shared" si="52"/>
        <v>0</v>
      </c>
      <c r="AX116" s="383">
        <f t="shared" si="52"/>
        <v>0</v>
      </c>
      <c r="AY116" s="383">
        <f t="shared" si="52"/>
        <v>0</v>
      </c>
      <c r="AZ116" s="383">
        <f t="shared" si="52"/>
        <v>0</v>
      </c>
      <c r="BA116" s="383">
        <f t="shared" si="52"/>
        <v>0</v>
      </c>
      <c r="BB116" s="383">
        <f t="shared" si="52"/>
        <v>0</v>
      </c>
      <c r="BC116" s="383">
        <f t="shared" si="52"/>
        <v>0</v>
      </c>
      <c r="BD116" s="383">
        <f t="shared" si="52"/>
        <v>0</v>
      </c>
      <c r="BE116" s="383">
        <f t="shared" si="52"/>
        <v>0</v>
      </c>
      <c r="BF116" s="383">
        <f t="shared" si="52"/>
        <v>0</v>
      </c>
      <c r="BG116" s="383">
        <f t="shared" si="52"/>
        <v>0</v>
      </c>
      <c r="BH116" s="383">
        <f t="shared" si="52"/>
        <v>0</v>
      </c>
      <c r="BI116" s="383">
        <f t="shared" si="52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0.31819492120877468</v>
      </c>
      <c r="C119" s="405">
        <f t="shared" ref="C119:BI120" si="53">+C112</f>
        <v>0.21706058143238599</v>
      </c>
      <c r="D119" s="405">
        <f t="shared" si="53"/>
        <v>0.17939277613857282</v>
      </c>
      <c r="E119" s="405">
        <f t="shared" si="53"/>
        <v>0.14945607407338213</v>
      </c>
      <c r="F119" s="405">
        <f t="shared" si="53"/>
        <v>0.12883495927338756</v>
      </c>
      <c r="G119" s="405">
        <f t="shared" si="53"/>
        <v>0.11417153194325561</v>
      </c>
      <c r="H119" s="405">
        <f t="shared" si="53"/>
        <v>0.10466573929137593</v>
      </c>
      <c r="I119" s="405">
        <f t="shared" si="53"/>
        <v>9.5774234314272635E-2</v>
      </c>
      <c r="J119" s="405">
        <f t="shared" si="53"/>
        <v>8.8164634688747454E-2</v>
      </c>
      <c r="K119" s="405">
        <f t="shared" si="53"/>
        <v>8.5625492305809722E-2</v>
      </c>
      <c r="L119" s="405">
        <f t="shared" si="53"/>
        <v>8.0772550460916429E-2</v>
      </c>
      <c r="M119" s="405">
        <f t="shared" si="53"/>
        <v>7.6498776928555376E-2</v>
      </c>
      <c r="N119" s="405">
        <f t="shared" si="53"/>
        <v>7.3543091680131192E-2</v>
      </c>
      <c r="O119" s="405">
        <f t="shared" si="53"/>
        <v>7.1068879488020278E-2</v>
      </c>
      <c r="P119" s="405">
        <f t="shared" si="53"/>
        <v>6.9725124399820856E-2</v>
      </c>
      <c r="Q119" s="405">
        <f t="shared" si="53"/>
        <v>6.8822507524832099E-2</v>
      </c>
      <c r="R119" s="405">
        <f t="shared" si="53"/>
        <v>6.8308968564656986E-2</v>
      </c>
      <c r="S119" s="405">
        <f t="shared" si="53"/>
        <v>6.8107198657095552E-2</v>
      </c>
      <c r="T119" s="405">
        <f t="shared" si="53"/>
        <v>6.7556752637614348E-2</v>
      </c>
      <c r="U119" s="405">
        <f t="shared" si="53"/>
        <v>6.5772705630137138E-2</v>
      </c>
      <c r="V119" s="405">
        <f t="shared" si="53"/>
        <v>6.580368867194536E-2</v>
      </c>
      <c r="W119" s="405">
        <f t="shared" si="53"/>
        <v>6.3544915143695216E-2</v>
      </c>
      <c r="X119" s="405">
        <f t="shared" si="53"/>
        <v>6.3661639548625762E-2</v>
      </c>
      <c r="Y119" s="405">
        <f t="shared" si="53"/>
        <v>6.3178065189120919E-2</v>
      </c>
      <c r="Z119" s="405">
        <f t="shared" si="53"/>
        <v>6.2662146295317786E-2</v>
      </c>
      <c r="AA119" s="405">
        <f t="shared" si="53"/>
        <v>6.2105119084783215E-2</v>
      </c>
      <c r="AB119" s="405">
        <f t="shared" si="53"/>
        <v>6.0996492410749802E-2</v>
      </c>
      <c r="AC119" s="405">
        <f t="shared" si="53"/>
        <v>6.0819689227487678E-2</v>
      </c>
      <c r="AD119" s="405">
        <f t="shared" si="53"/>
        <v>6.0564557811359977E-2</v>
      </c>
      <c r="AE119" s="405">
        <f t="shared" si="53"/>
        <v>6.0060452675305361E-2</v>
      </c>
      <c r="AF119" s="405">
        <f t="shared" si="53"/>
        <v>5.6794101629438938E-2</v>
      </c>
      <c r="AG119" s="405">
        <f t="shared" si="53"/>
        <v>5.7454562093990573E-2</v>
      </c>
      <c r="AH119" s="405">
        <f t="shared" si="53"/>
        <v>5.7792026764475014E-2</v>
      </c>
      <c r="AI119" s="405">
        <f t="shared" si="53"/>
        <v>0.82926111043772366</v>
      </c>
      <c r="AJ119" s="405">
        <f t="shared" si="53"/>
        <v>1.6618927987494845</v>
      </c>
      <c r="AK119" s="405">
        <f t="shared" si="53"/>
        <v>2.146287483806443</v>
      </c>
      <c r="AL119" s="405">
        <f t="shared" si="53"/>
        <v>2.4127812077927704</v>
      </c>
      <c r="AM119" s="405">
        <f t="shared" si="53"/>
        <v>2.5678572045816486</v>
      </c>
      <c r="AN119" s="405">
        <f t="shared" si="53"/>
        <v>2.665100731539936</v>
      </c>
      <c r="AO119" s="405">
        <f t="shared" si="53"/>
        <v>2.7316576857186226</v>
      </c>
      <c r="AP119" s="405">
        <f t="shared" si="53"/>
        <v>2.7816467023165639</v>
      </c>
      <c r="AQ119" s="405">
        <f t="shared" si="53"/>
        <v>2.8225454731036663</v>
      </c>
      <c r="AR119" s="405">
        <f t="shared" si="53"/>
        <v>2.8583627943704699</v>
      </c>
      <c r="AS119" s="405">
        <f t="shared" si="53"/>
        <v>2.8912689980205215</v>
      </c>
      <c r="AT119" s="405">
        <f t="shared" si="53"/>
        <v>2.9224516670144882</v>
      </c>
      <c r="AU119" s="405">
        <f t="shared" si="53"/>
        <v>2.952570101429576</v>
      </c>
      <c r="AV119" s="405">
        <f t="shared" si="53"/>
        <v>2.9819982888176586</v>
      </c>
      <c r="AW119" s="405">
        <f t="shared" si="53"/>
        <v>3.0109553036005283</v>
      </c>
      <c r="AX119" s="405">
        <f t="shared" si="53"/>
        <v>3.0395754687207592</v>
      </c>
      <c r="AY119" s="405">
        <f t="shared" si="53"/>
        <v>3.0679461890287913</v>
      </c>
      <c r="AZ119" s="405">
        <f t="shared" si="53"/>
        <v>3.0961284057268847</v>
      </c>
      <c r="BA119" s="405">
        <f t="shared" si="53"/>
        <v>3.124167698027613</v>
      </c>
      <c r="BB119" s="405">
        <f t="shared" si="53"/>
        <v>3.1521003466114421</v>
      </c>
      <c r="BC119" s="405">
        <f t="shared" si="53"/>
        <v>3.1799566798570109</v>
      </c>
      <c r="BD119" s="405">
        <f t="shared" si="53"/>
        <v>3.2077629519120801</v>
      </c>
      <c r="BE119" s="405">
        <f t="shared" si="53"/>
        <v>3.2355424250476403</v>
      </c>
      <c r="BF119" s="405">
        <f t="shared" si="53"/>
        <v>3.2634263714854503</v>
      </c>
      <c r="BG119" s="405">
        <f t="shared" si="53"/>
        <v>3.2913232939108585</v>
      </c>
      <c r="BH119" s="405">
        <f t="shared" si="53"/>
        <v>3.3192212219434776</v>
      </c>
      <c r="BI119" s="405">
        <f t="shared" si="53"/>
        <v>3.3471353708152569</v>
      </c>
    </row>
    <row r="120" spans="1:61" s="401" customFormat="1" ht="18" customHeight="1" x14ac:dyDescent="0.2">
      <c r="A120" s="403" t="s">
        <v>949</v>
      </c>
      <c r="B120" s="405">
        <f>+B113</f>
        <v>0.19137708401697254</v>
      </c>
      <c r="C120" s="405">
        <f t="shared" si="53"/>
        <v>0.2440378886848312</v>
      </c>
      <c r="D120" s="405">
        <f t="shared" si="53"/>
        <v>0.35389319854131812</v>
      </c>
      <c r="E120" s="405">
        <f t="shared" si="53"/>
        <v>0.48200312688199881</v>
      </c>
      <c r="F120" s="405">
        <f t="shared" si="53"/>
        <v>0.62603054224477039</v>
      </c>
      <c r="G120" s="405">
        <f t="shared" si="53"/>
        <v>0.75868965138535882</v>
      </c>
      <c r="H120" s="405">
        <f t="shared" si="53"/>
        <v>0.87768254899933362</v>
      </c>
      <c r="I120" s="405">
        <f t="shared" si="53"/>
        <v>0.72755691791705857</v>
      </c>
      <c r="J120" s="405">
        <f t="shared" si="53"/>
        <v>0.61652561678451767</v>
      </c>
      <c r="K120" s="405">
        <f t="shared" si="53"/>
        <v>0.53432745333766118</v>
      </c>
      <c r="L120" s="405">
        <f t="shared" si="53"/>
        <v>0.47590084718073744</v>
      </c>
      <c r="M120" s="405">
        <f t="shared" si="53"/>
        <v>0.4295005145806155</v>
      </c>
      <c r="N120" s="405">
        <f t="shared" si="53"/>
        <v>0.38762421440900541</v>
      </c>
      <c r="O120" s="405">
        <f t="shared" si="53"/>
        <v>0.34983085350412735</v>
      </c>
      <c r="P120" s="405">
        <f t="shared" si="53"/>
        <v>0.31572234528747495</v>
      </c>
      <c r="Q120" s="405">
        <f t="shared" si="53"/>
        <v>0.28493941662194611</v>
      </c>
      <c r="R120" s="405">
        <f t="shared" si="53"/>
        <v>0.25715782350130634</v>
      </c>
      <c r="S120" s="405">
        <f t="shared" si="53"/>
        <v>0.23208493570992894</v>
      </c>
      <c r="T120" s="405">
        <f t="shared" si="53"/>
        <v>0.20945665447821085</v>
      </c>
      <c r="U120" s="405">
        <f t="shared" si="53"/>
        <v>0.18903463066658527</v>
      </c>
      <c r="V120" s="405">
        <f t="shared" si="53"/>
        <v>0.17060375417659321</v>
      </c>
      <c r="W120" s="405">
        <f t="shared" si="53"/>
        <v>0.16207356646776355</v>
      </c>
      <c r="X120" s="405">
        <f t="shared" si="53"/>
        <v>0.15396988814437537</v>
      </c>
      <c r="Y120" s="405">
        <f t="shared" si="53"/>
        <v>0.14627139373715659</v>
      </c>
      <c r="Z120" s="405">
        <f t="shared" si="53"/>
        <v>0.13895782405029874</v>
      </c>
      <c r="AA120" s="405">
        <f t="shared" si="53"/>
        <v>0.13200993284778381</v>
      </c>
      <c r="AB120" s="405">
        <f t="shared" si="53"/>
        <v>0.1254094362053946</v>
      </c>
      <c r="AC120" s="405">
        <f t="shared" si="53"/>
        <v>0.11913896439512486</v>
      </c>
      <c r="AD120" s="405">
        <f t="shared" si="53"/>
        <v>0.11318201617536862</v>
      </c>
      <c r="AE120" s="405">
        <f t="shared" si="53"/>
        <v>0.10752291536660018</v>
      </c>
      <c r="AF120" s="405">
        <f t="shared" si="53"/>
        <v>0.10214676959827017</v>
      </c>
      <c r="AG120" s="405">
        <f t="shared" si="53"/>
        <v>9.7039431118356653E-2</v>
      </c>
      <c r="AH120" s="405">
        <f t="shared" si="53"/>
        <v>9.2187459562438817E-2</v>
      </c>
      <c r="AI120" s="405">
        <f t="shared" si="53"/>
        <v>8.7578086584316872E-2</v>
      </c>
      <c r="AJ120" s="405">
        <f t="shared" si="53"/>
        <v>8.319918225510102E-2</v>
      </c>
      <c r="AK120" s="405">
        <f t="shared" si="53"/>
        <v>7.903922314234596E-2</v>
      </c>
      <c r="AL120" s="405">
        <f t="shared" si="53"/>
        <v>7.5087261985228665E-2</v>
      </c>
      <c r="AM120" s="405">
        <f t="shared" si="53"/>
        <v>7.1332898885967222E-2</v>
      </c>
      <c r="AN120" s="405">
        <f t="shared" si="53"/>
        <v>6.7766253941668853E-2</v>
      </c>
      <c r="AO120" s="405">
        <f t="shared" si="53"/>
        <v>6.4377941244585402E-2</v>
      </c>
      <c r="AP120" s="405">
        <f t="shared" si="53"/>
        <v>6.1159044182356126E-2</v>
      </c>
      <c r="AQ120" s="405">
        <f t="shared" si="53"/>
        <v>5.8101091973238317E-2</v>
      </c>
      <c r="AR120" s="405">
        <f t="shared" si="53"/>
        <v>5.5196037374576401E-2</v>
      </c>
      <c r="AS120" s="405">
        <f t="shared" si="53"/>
        <v>5.2436235505847577E-2</v>
      </c>
      <c r="AT120" s="405">
        <f t="shared" si="53"/>
        <v>4.9814423730555196E-2</v>
      </c>
      <c r="AU120" s="405">
        <f t="shared" si="53"/>
        <v>4.7323702544027436E-2</v>
      </c>
      <c r="AV120" s="405">
        <f t="shared" si="53"/>
        <v>4.4957517416826062E-2</v>
      </c>
      <c r="AW120" s="405">
        <f t="shared" si="53"/>
        <v>4.2709641545984757E-2</v>
      </c>
      <c r="AX120" s="405">
        <f t="shared" si="53"/>
        <v>4.0574159468685519E-2</v>
      </c>
      <c r="AY120" s="405">
        <f t="shared" si="53"/>
        <v>3.8545451495251244E-2</v>
      </c>
      <c r="AZ120" s="405">
        <f t="shared" si="53"/>
        <v>3.661817892048868E-2</v>
      </c>
      <c r="BA120" s="405">
        <f t="shared" si="53"/>
        <v>3.4787269974464241E-2</v>
      </c>
      <c r="BB120" s="405">
        <f t="shared" si="53"/>
        <v>3.3047906475741025E-2</v>
      </c>
      <c r="BC120" s="405">
        <f t="shared" si="53"/>
        <v>3.1395511151953971E-2</v>
      </c>
      <c r="BD120" s="405">
        <f t="shared" si="53"/>
        <v>2.9825735594356272E-2</v>
      </c>
      <c r="BE120" s="405">
        <f t="shared" si="53"/>
        <v>2.8334448814638456E-2</v>
      </c>
      <c r="BF120" s="405">
        <f t="shared" si="53"/>
        <v>2.691772637390653E-2</v>
      </c>
      <c r="BG120" s="405">
        <f t="shared" si="53"/>
        <v>2.5571840055211202E-2</v>
      </c>
      <c r="BH120" s="405">
        <f t="shared" si="53"/>
        <v>2.4293248052450641E-2</v>
      </c>
      <c r="BI120" s="405">
        <f t="shared" si="53"/>
        <v>2.3078585649828107E-2</v>
      </c>
    </row>
    <row r="121" spans="1:61" s="402" customFormat="1" ht="18" customHeight="1" x14ac:dyDescent="0.2">
      <c r="A121" s="404" t="s">
        <v>965</v>
      </c>
      <c r="B121" s="405">
        <f>+B119*(1-B122)</f>
        <v>0.31819492120877468</v>
      </c>
      <c r="C121" s="405">
        <f t="shared" ref="C121:BI121" si="54">+C119*(1-C122)</f>
        <v>0.21706058143238599</v>
      </c>
      <c r="D121" s="405">
        <f t="shared" si="54"/>
        <v>0.17939277613857282</v>
      </c>
      <c r="E121" s="405">
        <f t="shared" si="54"/>
        <v>0.14945607407338213</v>
      </c>
      <c r="F121" s="405">
        <f t="shared" si="54"/>
        <v>0.12883495927338756</v>
      </c>
      <c r="G121" s="405">
        <f t="shared" si="54"/>
        <v>0.11417153194325561</v>
      </c>
      <c r="H121" s="405">
        <f t="shared" si="54"/>
        <v>0.10466573929137593</v>
      </c>
      <c r="I121" s="405">
        <f t="shared" si="54"/>
        <v>4.0555892765506828E-2</v>
      </c>
      <c r="J121" s="405">
        <f t="shared" si="54"/>
        <v>3.3881569490397924E-2</v>
      </c>
      <c r="K121" s="405">
        <f t="shared" si="54"/>
        <v>3.0407169206321954E-2</v>
      </c>
      <c r="L121" s="405">
        <f t="shared" si="54"/>
        <v>2.6992792869996014E-2</v>
      </c>
      <c r="M121" s="405">
        <f t="shared" si="54"/>
        <v>2.4330399042151576E-2</v>
      </c>
      <c r="N121" s="405">
        <f t="shared" si="54"/>
        <v>2.2375321992839783E-2</v>
      </c>
      <c r="O121" s="405">
        <f t="shared" si="54"/>
        <v>2.0748261259296939E-2</v>
      </c>
      <c r="P121" s="405">
        <f t="shared" si="54"/>
        <v>1.9633119760460407E-2</v>
      </c>
      <c r="Q121" s="405">
        <f t="shared" si="54"/>
        <v>1.8763097435561031E-2</v>
      </c>
      <c r="R121" s="405">
        <f t="shared" si="54"/>
        <v>1.8106040196468491E-2</v>
      </c>
      <c r="S121" s="405">
        <f t="shared" si="54"/>
        <v>1.7630946658254987E-2</v>
      </c>
      <c r="T121" s="405">
        <f t="shared" si="54"/>
        <v>1.7097886988070694E-2</v>
      </c>
      <c r="U121" s="405">
        <f t="shared" si="54"/>
        <v>1.6295062808173603E-2</v>
      </c>
      <c r="V121" s="405">
        <f t="shared" si="54"/>
        <v>1.5982350508303985E-2</v>
      </c>
      <c r="W121" s="405">
        <f t="shared" si="54"/>
        <v>1.7177292523721768E-2</v>
      </c>
      <c r="X121" s="405">
        <f t="shared" si="54"/>
        <v>1.8904432349181745E-2</v>
      </c>
      <c r="Y121" s="405">
        <f t="shared" si="54"/>
        <v>2.0394021671168053E-2</v>
      </c>
      <c r="Z121" s="405">
        <f t="shared" si="54"/>
        <v>2.1799421227350121E-2</v>
      </c>
      <c r="AA121" s="405">
        <f t="shared" si="54"/>
        <v>2.31172703440094E-2</v>
      </c>
      <c r="AB121" s="405">
        <f t="shared" si="54"/>
        <v>2.4144843203111551E-2</v>
      </c>
      <c r="AC121" s="405">
        <f t="shared" si="54"/>
        <v>2.5467685790192689E-2</v>
      </c>
      <c r="AD121" s="405">
        <f t="shared" si="54"/>
        <v>2.6705800887979469E-2</v>
      </c>
      <c r="AE121" s="405">
        <f t="shared" si="54"/>
        <v>2.7776557853885168E-2</v>
      </c>
      <c r="AF121" s="405">
        <f t="shared" si="54"/>
        <v>2.7451058573483768E-2</v>
      </c>
      <c r="AG121" s="405">
        <f t="shared" si="54"/>
        <v>2.89320107032244E-2</v>
      </c>
      <c r="AH121" s="405">
        <f t="shared" si="54"/>
        <v>3.0233956853222315E-2</v>
      </c>
      <c r="AI121" s="405">
        <f t="shared" si="54"/>
        <v>0.44955974588070297</v>
      </c>
      <c r="AJ121" s="405">
        <f t="shared" si="54"/>
        <v>0.93146910447477038</v>
      </c>
      <c r="AK121" s="405">
        <f t="shared" si="54"/>
        <v>1.2411179609281828</v>
      </c>
      <c r="AL121" s="405">
        <f t="shared" si="54"/>
        <v>1.4367185179136688</v>
      </c>
      <c r="AM121" s="405">
        <f t="shared" si="54"/>
        <v>1.5717766136600497</v>
      </c>
      <c r="AN121" s="405">
        <f t="shared" si="54"/>
        <v>1.6741640722643023</v>
      </c>
      <c r="AO121" s="405">
        <f t="shared" si="54"/>
        <v>1.7584378874267703</v>
      </c>
      <c r="AP121" s="405">
        <f t="shared" si="54"/>
        <v>1.8323939456427516</v>
      </c>
      <c r="AQ121" s="405">
        <f t="shared" si="54"/>
        <v>1.900275141002197</v>
      </c>
      <c r="AR121" s="405">
        <f t="shared" si="54"/>
        <v>1.9644118148750997</v>
      </c>
      <c r="AS121" s="405">
        <f t="shared" si="54"/>
        <v>2.0260913139369214</v>
      </c>
      <c r="AT121" s="405">
        <f t="shared" si="54"/>
        <v>2.0860287496930052</v>
      </c>
      <c r="AU121" s="405">
        <f t="shared" si="54"/>
        <v>2.1446246490973451</v>
      </c>
      <c r="AV121" s="405">
        <f t="shared" si="54"/>
        <v>2.2021066648085035</v>
      </c>
      <c r="AW121" s="405">
        <f t="shared" si="54"/>
        <v>2.2586076405568236</v>
      </c>
      <c r="AX121" s="405">
        <f t="shared" si="54"/>
        <v>2.3142086022871493</v>
      </c>
      <c r="AY121" s="405">
        <f t="shared" si="54"/>
        <v>2.3689623981002397</v>
      </c>
      <c r="AZ121" s="405">
        <f t="shared" si="54"/>
        <v>2.4229066656181595</v>
      </c>
      <c r="BA121" s="405">
        <f t="shared" si="54"/>
        <v>2.4760709204357703</v>
      </c>
      <c r="BB121" s="405">
        <f t="shared" si="54"/>
        <v>2.5284804120533688</v>
      </c>
      <c r="BC121" s="405">
        <f t="shared" si="54"/>
        <v>2.5801582065073592</v>
      </c>
      <c r="BD121" s="405">
        <f t="shared" si="54"/>
        <v>2.6311262989991246</v>
      </c>
      <c r="BE121" s="405">
        <f t="shared" si="54"/>
        <v>2.4293009528151384</v>
      </c>
      <c r="BF121" s="405">
        <f t="shared" si="54"/>
        <v>2.136203187677149</v>
      </c>
      <c r="BG121" s="405">
        <f t="shared" si="54"/>
        <v>1.715437663219417</v>
      </c>
      <c r="BH121" s="405">
        <f t="shared" si="54"/>
        <v>1.1162521042703479</v>
      </c>
      <c r="BI121" s="405">
        <f t="shared" si="54"/>
        <v>0.26775351799869884</v>
      </c>
    </row>
    <row r="122" spans="1:61" s="401" customFormat="1" ht="18" customHeight="1" x14ac:dyDescent="0.2">
      <c r="A122" s="403" t="s">
        <v>951</v>
      </c>
      <c r="B122" s="406">
        <f t="shared" ref="B122:L122" si="55">+(B123/(1000*B$36))^(1/($B$38-1))</f>
        <v>0</v>
      </c>
      <c r="C122" s="406">
        <f t="shared" si="55"/>
        <v>0</v>
      </c>
      <c r="D122" s="406">
        <f t="shared" si="55"/>
        <v>0</v>
      </c>
      <c r="E122" s="406">
        <f t="shared" si="55"/>
        <v>0</v>
      </c>
      <c r="F122" s="406">
        <f t="shared" si="55"/>
        <v>0</v>
      </c>
      <c r="G122" s="406">
        <f t="shared" si="55"/>
        <v>0</v>
      </c>
      <c r="H122" s="406">
        <f t="shared" si="55"/>
        <v>0</v>
      </c>
      <c r="I122" s="406">
        <f t="shared" si="55"/>
        <v>0.57654693816264702</v>
      </c>
      <c r="J122" s="406">
        <f t="shared" si="55"/>
        <v>0.6157011299370555</v>
      </c>
      <c r="K122" s="406">
        <f t="shared" si="55"/>
        <v>0.64488181746478768</v>
      </c>
      <c r="L122" s="406">
        <f t="shared" si="55"/>
        <v>0.66581725207430376</v>
      </c>
      <c r="M122" s="406">
        <f t="shared" ref="M122:BI122" si="56">+(M123/(1000*M$36))^(1/($B$38-1))</f>
        <v>0.68195048314465856</v>
      </c>
      <c r="N122" s="406">
        <f t="shared" si="56"/>
        <v>0.69575222523742741</v>
      </c>
      <c r="O122" s="406">
        <f t="shared" si="56"/>
        <v>0.70805419462404262</v>
      </c>
      <c r="P122" s="406">
        <f t="shared" si="56"/>
        <v>0.71842115837787091</v>
      </c>
      <c r="Q122" s="406">
        <f t="shared" si="56"/>
        <v>0.72736974995002834</v>
      </c>
      <c r="R122" s="406">
        <f t="shared" si="56"/>
        <v>0.73493904860632686</v>
      </c>
      <c r="S122" s="406">
        <f t="shared" si="56"/>
        <v>0.74112946933814083</v>
      </c>
      <c r="T122" s="406">
        <f t="shared" si="56"/>
        <v>0.74691076286945579</v>
      </c>
      <c r="U122" s="406">
        <f t="shared" si="56"/>
        <v>0.75225190066216185</v>
      </c>
      <c r="V122" s="406">
        <f t="shared" si="56"/>
        <v>0.75712075066214524</v>
      </c>
      <c r="W122" s="406">
        <f t="shared" si="56"/>
        <v>0.72968265855924963</v>
      </c>
      <c r="X122" s="406">
        <f t="shared" si="56"/>
        <v>0.70304829590915197</v>
      </c>
      <c r="Y122" s="406">
        <f t="shared" si="56"/>
        <v>0.67719774877373351</v>
      </c>
      <c r="Z122" s="406">
        <f t="shared" si="56"/>
        <v>0.65211180088513809</v>
      </c>
      <c r="AA122" s="406">
        <f t="shared" si="56"/>
        <v>0.62777190214464118</v>
      </c>
      <c r="AB122" s="406">
        <f t="shared" si="56"/>
        <v>0.60416013693836024</v>
      </c>
      <c r="AC122" s="406">
        <f t="shared" si="56"/>
        <v>0.58125919231625278</v>
      </c>
      <c r="AD122" s="406">
        <f t="shared" si="56"/>
        <v>0.55905232609540634</v>
      </c>
      <c r="AE122" s="406">
        <f t="shared" si="56"/>
        <v>0.53752333496304361</v>
      </c>
      <c r="AF122" s="406">
        <f t="shared" si="56"/>
        <v>0.51665652266863837</v>
      </c>
      <c r="AG122" s="406">
        <f t="shared" si="56"/>
        <v>0.49643666840773765</v>
      </c>
      <c r="AH122" s="406">
        <f t="shared" si="56"/>
        <v>0.47684899551217591</v>
      </c>
      <c r="AI122" s="406">
        <f t="shared" si="56"/>
        <v>0.45787914057201612</v>
      </c>
      <c r="AJ122" s="406">
        <f t="shared" si="56"/>
        <v>0.43951312312342422</v>
      </c>
      <c r="AK122" s="406">
        <f t="shared" si="56"/>
        <v>0.42173731604348785</v>
      </c>
      <c r="AL122" s="406">
        <f t="shared" si="56"/>
        <v>0.40453841679743963</v>
      </c>
      <c r="AM122" s="406">
        <f t="shared" si="56"/>
        <v>0.38790341968562803</v>
      </c>
      <c r="AN122" s="406">
        <f t="shared" si="56"/>
        <v>0.37181958923670982</v>
      </c>
      <c r="AO122" s="406">
        <f t="shared" si="56"/>
        <v>0.35627443488982602</v>
      </c>
      <c r="AP122" s="406">
        <f t="shared" si="56"/>
        <v>0.34125568710191401</v>
      </c>
      <c r="AQ122" s="406">
        <f t="shared" si="56"/>
        <v>0.32675127500686202</v>
      </c>
      <c r="AR122" s="406">
        <f t="shared" si="56"/>
        <v>0.31274930574103527</v>
      </c>
      <c r="AS122" s="406">
        <f t="shared" si="56"/>
        <v>0.29923804553500061</v>
      </c>
      <c r="AT122" s="406">
        <f t="shared" si="56"/>
        <v>0.28620590265431295</v>
      </c>
      <c r="AU122" s="406">
        <f t="shared" si="56"/>
        <v>0.27364141225335842</v>
      </c>
      <c r="AV122" s="406">
        <f t="shared" si="56"/>
        <v>0.26153322318584454</v>
      </c>
      <c r="AW122" s="406">
        <f t="shared" si="56"/>
        <v>0.24987008679406189</v>
      </c>
      <c r="AX122" s="406">
        <f t="shared" si="56"/>
        <v>0.23864084767695837</v>
      </c>
      <c r="AY122" s="406">
        <f t="shared" si="56"/>
        <v>0.22783443641487947</v>
      </c>
      <c r="AZ122" s="406">
        <f t="shared" si="56"/>
        <v>0.2174398642070117</v>
      </c>
      <c r="BA122" s="406">
        <f t="shared" si="56"/>
        <v>0.20744621935660079</v>
      </c>
      <c r="BB122" s="406">
        <f t="shared" si="56"/>
        <v>0.19784266551934951</v>
      </c>
      <c r="BC122" s="406">
        <f t="shared" si="56"/>
        <v>0.18861844161242552</v>
      </c>
      <c r="BD122" s="406">
        <f t="shared" si="56"/>
        <v>0.17976286326557725</v>
      </c>
      <c r="BE122" s="406">
        <f t="shared" si="56"/>
        <v>0.24918278492998922</v>
      </c>
      <c r="BF122" s="406">
        <f t="shared" si="56"/>
        <v>0.34541094404872708</v>
      </c>
      <c r="BG122" s="406">
        <f t="shared" si="56"/>
        <v>0.47880001141392664</v>
      </c>
      <c r="BH122" s="406">
        <f t="shared" si="56"/>
        <v>0.66370060034240275</v>
      </c>
      <c r="BI122" s="406">
        <f t="shared" si="56"/>
        <v>0.92000517208436583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0</v>
      </c>
      <c r="D123" s="400">
        <f>+Global!D118*D46</f>
        <v>0</v>
      </c>
      <c r="E123" s="400">
        <f>+Global!E118*E46</f>
        <v>0</v>
      </c>
      <c r="F123" s="400">
        <f>+Global!F118*F46</f>
        <v>0</v>
      </c>
      <c r="G123" s="400">
        <f>+Global!G118*G46</f>
        <v>0</v>
      </c>
      <c r="H123" s="400">
        <f>+Global!H118*H46</f>
        <v>0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0.31819492120877468</v>
      </c>
      <c r="C124" s="405">
        <f t="shared" ref="C124:BI124" si="57">+C119*(1-C122)</f>
        <v>0.21706058143238599</v>
      </c>
      <c r="D124" s="405">
        <f t="shared" si="57"/>
        <v>0.17939277613857282</v>
      </c>
      <c r="E124" s="405">
        <f t="shared" si="57"/>
        <v>0.14945607407338213</v>
      </c>
      <c r="F124" s="405">
        <f t="shared" si="57"/>
        <v>0.12883495927338756</v>
      </c>
      <c r="G124" s="405">
        <f t="shared" si="57"/>
        <v>0.11417153194325561</v>
      </c>
      <c r="H124" s="405">
        <f t="shared" si="57"/>
        <v>0.10466573929137593</v>
      </c>
      <c r="I124" s="405">
        <f t="shared" si="57"/>
        <v>4.0555892765506828E-2</v>
      </c>
      <c r="J124" s="405">
        <f t="shared" si="57"/>
        <v>3.3881569490397924E-2</v>
      </c>
      <c r="K124" s="405">
        <f t="shared" si="57"/>
        <v>3.0407169206321954E-2</v>
      </c>
      <c r="L124" s="405">
        <f t="shared" si="57"/>
        <v>2.6992792869996014E-2</v>
      </c>
      <c r="M124" s="405">
        <f t="shared" si="57"/>
        <v>2.4330399042151576E-2</v>
      </c>
      <c r="N124" s="405">
        <f t="shared" si="57"/>
        <v>2.2375321992839783E-2</v>
      </c>
      <c r="O124" s="405">
        <f t="shared" si="57"/>
        <v>2.0748261259296939E-2</v>
      </c>
      <c r="P124" s="405">
        <f t="shared" si="57"/>
        <v>1.9633119760460407E-2</v>
      </c>
      <c r="Q124" s="405">
        <f t="shared" si="57"/>
        <v>1.8763097435561031E-2</v>
      </c>
      <c r="R124" s="405">
        <f t="shared" si="57"/>
        <v>1.8106040196468491E-2</v>
      </c>
      <c r="S124" s="405">
        <f t="shared" si="57"/>
        <v>1.7630946658254987E-2</v>
      </c>
      <c r="T124" s="405">
        <f t="shared" si="57"/>
        <v>1.7097886988070694E-2</v>
      </c>
      <c r="U124" s="405">
        <f t="shared" si="57"/>
        <v>1.6295062808173603E-2</v>
      </c>
      <c r="V124" s="405">
        <f t="shared" si="57"/>
        <v>1.5982350508303985E-2</v>
      </c>
      <c r="W124" s="405">
        <f t="shared" si="57"/>
        <v>1.7177292523721768E-2</v>
      </c>
      <c r="X124" s="405">
        <f t="shared" si="57"/>
        <v>1.8904432349181745E-2</v>
      </c>
      <c r="Y124" s="405">
        <f t="shared" si="57"/>
        <v>2.0394021671168053E-2</v>
      </c>
      <c r="Z124" s="405">
        <f t="shared" si="57"/>
        <v>2.1799421227350121E-2</v>
      </c>
      <c r="AA124" s="405">
        <f t="shared" si="57"/>
        <v>2.31172703440094E-2</v>
      </c>
      <c r="AB124" s="405">
        <f t="shared" si="57"/>
        <v>2.4144843203111551E-2</v>
      </c>
      <c r="AC124" s="405">
        <f t="shared" si="57"/>
        <v>2.5467685790192689E-2</v>
      </c>
      <c r="AD124" s="405">
        <f t="shared" si="57"/>
        <v>2.6705800887979469E-2</v>
      </c>
      <c r="AE124" s="405">
        <f t="shared" si="57"/>
        <v>2.7776557853885168E-2</v>
      </c>
      <c r="AF124" s="405">
        <f t="shared" si="57"/>
        <v>2.7451058573483768E-2</v>
      </c>
      <c r="AG124" s="405">
        <f t="shared" si="57"/>
        <v>2.89320107032244E-2</v>
      </c>
      <c r="AH124" s="405">
        <f t="shared" si="57"/>
        <v>3.0233956853222315E-2</v>
      </c>
      <c r="AI124" s="405">
        <f t="shared" si="57"/>
        <v>0.44955974588070297</v>
      </c>
      <c r="AJ124" s="405">
        <f t="shared" si="57"/>
        <v>0.93146910447477038</v>
      </c>
      <c r="AK124" s="405">
        <f t="shared" si="57"/>
        <v>1.2411179609281828</v>
      </c>
      <c r="AL124" s="405">
        <f t="shared" si="57"/>
        <v>1.4367185179136688</v>
      </c>
      <c r="AM124" s="405">
        <f t="shared" si="57"/>
        <v>1.5717766136600497</v>
      </c>
      <c r="AN124" s="405">
        <f t="shared" si="57"/>
        <v>1.6741640722643023</v>
      </c>
      <c r="AO124" s="405">
        <f t="shared" si="57"/>
        <v>1.7584378874267703</v>
      </c>
      <c r="AP124" s="405">
        <f t="shared" si="57"/>
        <v>1.8323939456427516</v>
      </c>
      <c r="AQ124" s="405">
        <f t="shared" si="57"/>
        <v>1.900275141002197</v>
      </c>
      <c r="AR124" s="405">
        <f t="shared" si="57"/>
        <v>1.9644118148750997</v>
      </c>
      <c r="AS124" s="405">
        <f t="shared" si="57"/>
        <v>2.0260913139369214</v>
      </c>
      <c r="AT124" s="405">
        <f t="shared" si="57"/>
        <v>2.0860287496930052</v>
      </c>
      <c r="AU124" s="405">
        <f t="shared" si="57"/>
        <v>2.1446246490973451</v>
      </c>
      <c r="AV124" s="405">
        <f t="shared" si="57"/>
        <v>2.2021066648085035</v>
      </c>
      <c r="AW124" s="405">
        <f t="shared" si="57"/>
        <v>2.2586076405568236</v>
      </c>
      <c r="AX124" s="405">
        <f t="shared" si="57"/>
        <v>2.3142086022871493</v>
      </c>
      <c r="AY124" s="405">
        <f t="shared" si="57"/>
        <v>2.3689623981002397</v>
      </c>
      <c r="AZ124" s="405">
        <f t="shared" si="57"/>
        <v>2.4229066656181595</v>
      </c>
      <c r="BA124" s="405">
        <f t="shared" si="57"/>
        <v>2.4760709204357703</v>
      </c>
      <c r="BB124" s="405">
        <f t="shared" si="57"/>
        <v>2.5284804120533688</v>
      </c>
      <c r="BC124" s="405">
        <f t="shared" si="57"/>
        <v>2.5801582065073592</v>
      </c>
      <c r="BD124" s="405">
        <f t="shared" si="57"/>
        <v>2.6311262989991246</v>
      </c>
      <c r="BE124" s="405">
        <f t="shared" si="57"/>
        <v>2.4293009528151384</v>
      </c>
      <c r="BF124" s="405">
        <f t="shared" si="57"/>
        <v>2.136203187677149</v>
      </c>
      <c r="BG124" s="405">
        <f t="shared" si="57"/>
        <v>1.715437663219417</v>
      </c>
      <c r="BH124" s="405">
        <f t="shared" si="57"/>
        <v>1.1162521042703479</v>
      </c>
      <c r="BI124" s="405">
        <f t="shared" si="57"/>
        <v>0.26775351799869884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8">+$B$7*C61/C74</f>
        <v>9.1530656999531862E-2</v>
      </c>
      <c r="D128" s="23">
        <f t="shared" si="58"/>
        <v>7.2797439667256408E-2</v>
      </c>
      <c r="E128" s="23">
        <f t="shared" si="58"/>
        <v>6.9613869662305261E-2</v>
      </c>
      <c r="F128" s="23">
        <f t="shared" si="58"/>
        <v>7.1935796174588243E-2</v>
      </c>
      <c r="G128" s="23">
        <f t="shared" si="58"/>
        <v>7.7404920447582154E-2</v>
      </c>
      <c r="H128" s="23">
        <f t="shared" si="58"/>
        <v>8.3771749824622585E-2</v>
      </c>
      <c r="I128" s="23">
        <f t="shared" si="58"/>
        <v>8.5271436552100732E-2</v>
      </c>
      <c r="J128" s="23">
        <f t="shared" si="58"/>
        <v>8.570491040891777E-2</v>
      </c>
      <c r="K128" s="23">
        <f t="shared" si="58"/>
        <v>8.9947127797193147E-2</v>
      </c>
      <c r="L128" s="23">
        <f t="shared" si="58"/>
        <v>9.0206675240151385E-2</v>
      </c>
      <c r="M128" s="23">
        <f t="shared" si="58"/>
        <v>9.1860041291446523E-2</v>
      </c>
      <c r="N128" s="23">
        <f t="shared" si="58"/>
        <v>9.3559183298736456E-2</v>
      </c>
      <c r="O128" s="23">
        <f t="shared" si="58"/>
        <v>9.4101477925128255E-2</v>
      </c>
      <c r="P128" s="23">
        <f t="shared" si="58"/>
        <v>9.5201582624133294E-2</v>
      </c>
      <c r="Q128" s="23">
        <f t="shared" si="58"/>
        <v>9.5647243473044111E-2</v>
      </c>
      <c r="R128" s="23">
        <f t="shared" si="58"/>
        <v>9.5971752120324064E-2</v>
      </c>
      <c r="S128" s="23">
        <f t="shared" si="58"/>
        <v>9.6128098401943585E-2</v>
      </c>
      <c r="T128" s="23">
        <f t="shared" si="58"/>
        <v>9.5362238944516134E-2</v>
      </c>
      <c r="U128" s="23">
        <f t="shared" si="58"/>
        <v>9.3012425114732136E-2</v>
      </c>
      <c r="V128" s="23">
        <f t="shared" si="58"/>
        <v>9.457097028324396E-2</v>
      </c>
      <c r="W128" s="23">
        <f t="shared" si="58"/>
        <v>9.1592227765369849E-2</v>
      </c>
      <c r="X128" s="23">
        <f t="shared" si="58"/>
        <v>9.3747249674820815E-2</v>
      </c>
      <c r="Y128" s="23">
        <f t="shared" si="58"/>
        <v>9.3424995183598217E-2</v>
      </c>
      <c r="Z128" s="23">
        <f t="shared" si="58"/>
        <v>9.3112106974303999E-2</v>
      </c>
      <c r="AA128" s="23">
        <f t="shared" si="58"/>
        <v>9.2819702074631763E-2</v>
      </c>
      <c r="AB128" s="23">
        <f t="shared" si="58"/>
        <v>9.1830334193275728E-2</v>
      </c>
      <c r="AC128" s="23">
        <f t="shared" si="58"/>
        <v>9.2939629329683679E-2</v>
      </c>
      <c r="AD128" s="23">
        <f t="shared" si="58"/>
        <v>9.3042231715688345E-2</v>
      </c>
      <c r="AE128" s="23">
        <f t="shared" si="58"/>
        <v>9.2560713846437034E-2</v>
      </c>
      <c r="AF128" s="23">
        <f t="shared" si="58"/>
        <v>8.8087935648993615E-2</v>
      </c>
      <c r="AG128" s="23">
        <f t="shared" si="58"/>
        <v>9.2583055641816528E-2</v>
      </c>
      <c r="AH128" s="23">
        <f t="shared" si="58"/>
        <v>9.3495864324575462E-2</v>
      </c>
      <c r="AI128" s="23">
        <f t="shared" si="58"/>
        <v>1.3376380574974702</v>
      </c>
      <c r="AJ128" s="23">
        <f t="shared" si="58"/>
        <v>0.27255148727667411</v>
      </c>
      <c r="AK128" s="23">
        <f t="shared" si="58"/>
        <v>0.15463080703184692</v>
      </c>
      <c r="AL128" s="23">
        <f t="shared" si="58"/>
        <v>0.12113329593048236</v>
      </c>
      <c r="AM128" s="23">
        <f t="shared" si="58"/>
        <v>0.10771645170883366</v>
      </c>
      <c r="AN128" s="23">
        <f t="shared" si="58"/>
        <v>0.10147752883881332</v>
      </c>
      <c r="AO128" s="23">
        <f t="shared" si="58"/>
        <v>9.8350718300474815E-2</v>
      </c>
      <c r="AP128" s="23">
        <f t="shared" si="58"/>
        <v>9.6713695632903163E-2</v>
      </c>
      <c r="AQ128" s="23">
        <f t="shared" si="58"/>
        <v>9.5829179727270772E-2</v>
      </c>
      <c r="AR128" s="23">
        <f t="shared" si="58"/>
        <v>9.5336989848311515E-2</v>
      </c>
      <c r="AS128" s="23">
        <f t="shared" si="58"/>
        <v>9.5053933926500259E-2</v>
      </c>
      <c r="AT128" s="23">
        <f t="shared" si="58"/>
        <v>9.4884665957286257E-2</v>
      </c>
      <c r="AU128" s="23">
        <f t="shared" si="58"/>
        <v>9.4778844409381821E-2</v>
      </c>
      <c r="AV128" s="23">
        <f t="shared" si="58"/>
        <v>9.4709601359185838E-2</v>
      </c>
      <c r="AW128" s="23">
        <f t="shared" si="58"/>
        <v>9.4662442188436571E-2</v>
      </c>
      <c r="AX128" s="23">
        <f t="shared" si="58"/>
        <v>9.4629439832293508E-2</v>
      </c>
      <c r="AY128" s="23">
        <f t="shared" si="58"/>
        <v>9.4606173077510736E-2</v>
      </c>
      <c r="AZ128" s="23">
        <f t="shared" si="58"/>
        <v>9.4590103833482E-2</v>
      </c>
      <c r="BA128" s="23">
        <f t="shared" si="58"/>
        <v>9.4579714041359605E-2</v>
      </c>
      <c r="BB128" s="23">
        <f t="shared" si="58"/>
        <v>9.4574045172914414E-2</v>
      </c>
      <c r="BC128" s="23">
        <f t="shared" si="58"/>
        <v>9.4572451628702717E-2</v>
      </c>
      <c r="BD128" s="23">
        <f t="shared" si="58"/>
        <v>9.457446799896152E-2</v>
      </c>
      <c r="BE128" s="23">
        <f t="shared" si="58"/>
        <v>9.457973704700938E-2</v>
      </c>
      <c r="BF128" s="23">
        <f t="shared" si="58"/>
        <v>9.4580507150926571E-2</v>
      </c>
      <c r="BG128" s="23">
        <f t="shared" si="58"/>
        <v>9.4584133041838783E-2</v>
      </c>
      <c r="BH128" s="23">
        <f t="shared" si="58"/>
        <v>9.4592350892779703E-2</v>
      </c>
      <c r="BI128" s="23">
        <f t="shared" si="58"/>
        <v>9.4604970300275759E-2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1.0735438284343958E-2</v>
      </c>
      <c r="D129" s="23">
        <f t="shared" ref="D129:BH129" si="59">+$B$14+LN(E56/D56)/10+$B$18*LN(E88/D88)/10</f>
        <v>1.0204648940480673E-2</v>
      </c>
      <c r="E129" s="23">
        <f t="shared" si="59"/>
        <v>1.560397297745279E-2</v>
      </c>
      <c r="F129" s="23">
        <f t="shared" si="59"/>
        <v>1.8737368419914444E-2</v>
      </c>
      <c r="G129" s="23">
        <f t="shared" si="59"/>
        <v>2.1712622709323039E-2</v>
      </c>
      <c r="H129" s="23">
        <f t="shared" si="59"/>
        <v>1.9398560234019733E-2</v>
      </c>
      <c r="I129" s="23">
        <f t="shared" si="59"/>
        <v>1.8624123949616777E-2</v>
      </c>
      <c r="J129" s="23">
        <f t="shared" si="59"/>
        <v>2.7229409927416667E-2</v>
      </c>
      <c r="K129" s="23">
        <f t="shared" si="59"/>
        <v>2.241238734147314E-2</v>
      </c>
      <c r="L129" s="23">
        <f t="shared" si="59"/>
        <v>2.1987111492479047E-2</v>
      </c>
      <c r="M129" s="23">
        <f t="shared" si="59"/>
        <v>2.3021350019969453E-2</v>
      </c>
      <c r="N129" s="23">
        <f t="shared" si="59"/>
        <v>2.2984299028868616E-2</v>
      </c>
      <c r="O129" s="23">
        <f t="shared" si="59"/>
        <v>2.4504623854507836E-2</v>
      </c>
      <c r="P129" s="23">
        <f t="shared" si="59"/>
        <v>2.4428837973994554E-2</v>
      </c>
      <c r="Q129" s="23">
        <f t="shared" si="59"/>
        <v>2.475976062454277E-2</v>
      </c>
      <c r="R129" s="23">
        <f t="shared" si="59"/>
        <v>2.4780183055658211E-2</v>
      </c>
      <c r="S129" s="23">
        <f t="shared" si="59"/>
        <v>2.3606160254081087E-2</v>
      </c>
      <c r="T129" s="23">
        <f t="shared" si="59"/>
        <v>2.0083743902805849E-2</v>
      </c>
      <c r="U129" s="23">
        <f t="shared" si="59"/>
        <v>2.3349533467942215E-2</v>
      </c>
      <c r="V129" s="23">
        <f t="shared" si="59"/>
        <v>1.7414652693868962E-2</v>
      </c>
      <c r="W129" s="23">
        <f t="shared" si="59"/>
        <v>2.1920556373609998E-2</v>
      </c>
      <c r="X129" s="23">
        <f t="shared" si="59"/>
        <v>2.0181469956341503E-2</v>
      </c>
      <c r="Y129" s="23">
        <f t="shared" si="59"/>
        <v>1.9772757410332253E-2</v>
      </c>
      <c r="Z129" s="23">
        <f t="shared" si="59"/>
        <v>1.9279849796151917E-2</v>
      </c>
      <c r="AA129" s="23">
        <f t="shared" si="59"/>
        <v>1.7466224722237571E-2</v>
      </c>
      <c r="AB129" s="23">
        <f t="shared" si="59"/>
        <v>2.0054028729313691E-2</v>
      </c>
      <c r="AC129" s="23">
        <f t="shared" si="59"/>
        <v>1.963735766724278E-2</v>
      </c>
      <c r="AD129" s="23">
        <f t="shared" si="59"/>
        <v>1.8598186666775145E-2</v>
      </c>
      <c r="AE129" s="23">
        <f t="shared" si="59"/>
        <v>1.155559111857739E-2</v>
      </c>
      <c r="AF129" s="23">
        <f t="shared" si="59"/>
        <v>2.1915730040443185E-2</v>
      </c>
      <c r="AG129" s="23">
        <f t="shared" si="59"/>
        <v>2.0672063651902741E-2</v>
      </c>
      <c r="AH129" s="23">
        <f t="shared" si="59"/>
        <v>0.4189159785369132</v>
      </c>
      <c r="AI129" s="23">
        <f t="shared" si="59"/>
        <v>0.12407211137800414</v>
      </c>
      <c r="AJ129" s="23">
        <f t="shared" si="59"/>
        <v>5.7450648949310013E-2</v>
      </c>
      <c r="AK129" s="23">
        <f t="shared" si="59"/>
        <v>3.6828672911035275E-2</v>
      </c>
      <c r="AL129" s="23">
        <f t="shared" si="59"/>
        <v>2.8642476859395413E-2</v>
      </c>
      <c r="AM129" s="23">
        <f t="shared" si="59"/>
        <v>2.4849418111955728E-2</v>
      </c>
      <c r="AN129" s="23">
        <f t="shared" si="59"/>
        <v>2.2933396198762737E-2</v>
      </c>
      <c r="AO129" s="23">
        <f t="shared" si="59"/>
        <v>2.1909032882224885E-2</v>
      </c>
      <c r="AP129" s="23">
        <f t="shared" si="59"/>
        <v>2.133428247165426E-2</v>
      </c>
      <c r="AQ129" s="23">
        <f t="shared" si="59"/>
        <v>2.0994731717843607E-2</v>
      </c>
      <c r="AR129" s="23">
        <f t="shared" si="59"/>
        <v>2.0781647088510838E-2</v>
      </c>
      <c r="AS129" s="23">
        <f t="shared" si="59"/>
        <v>2.063842394658745E-2</v>
      </c>
      <c r="AT129" s="23">
        <f t="shared" si="59"/>
        <v>2.0535082136066352E-2</v>
      </c>
      <c r="AU129" s="23">
        <f t="shared" si="59"/>
        <v>2.0455514500848877E-2</v>
      </c>
      <c r="AV129" s="23">
        <f t="shared" si="59"/>
        <v>2.0390930657952385E-2</v>
      </c>
      <c r="AW129" s="23">
        <f t="shared" si="59"/>
        <v>2.0336432071632597E-2</v>
      </c>
      <c r="AX129" s="23">
        <f t="shared" si="59"/>
        <v>2.0289206326973269E-2</v>
      </c>
      <c r="AY129" s="23">
        <f t="shared" si="59"/>
        <v>2.0247569567793954E-2</v>
      </c>
      <c r="AZ129" s="23">
        <f t="shared" si="59"/>
        <v>2.0210456492850439E-2</v>
      </c>
      <c r="BA129" s="23">
        <f t="shared" si="59"/>
        <v>2.0177147551635966E-2</v>
      </c>
      <c r="BB129" s="23">
        <f t="shared" si="59"/>
        <v>2.0147122216162716E-2</v>
      </c>
      <c r="BC129" s="23">
        <f t="shared" si="59"/>
        <v>2.0119979421976217E-2</v>
      </c>
      <c r="BD129" s="23">
        <f t="shared" si="59"/>
        <v>2.0120895279935557E-2</v>
      </c>
      <c r="BE129" s="23">
        <f t="shared" si="59"/>
        <v>2.0089540023022118E-2</v>
      </c>
      <c r="BF129" s="23">
        <f t="shared" si="59"/>
        <v>2.0062330771518543E-2</v>
      </c>
      <c r="BG129" s="23">
        <f t="shared" si="59"/>
        <v>2.0039227280671385E-2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4.5643627713809407E-3</v>
      </c>
      <c r="D130" s="23">
        <f t="shared" ref="D130:BH130" si="60">+$B$14+LN(D56/C56)/10+$B$18*LN(D88/C88)/10</f>
        <v>1.0735438284343958E-2</v>
      </c>
      <c r="E130" s="23">
        <f t="shared" si="60"/>
        <v>1.0204648940480673E-2</v>
      </c>
      <c r="F130" s="23">
        <f t="shared" si="60"/>
        <v>1.560397297745279E-2</v>
      </c>
      <c r="G130" s="23">
        <f t="shared" si="60"/>
        <v>1.8737368419914444E-2</v>
      </c>
      <c r="H130" s="23">
        <f t="shared" si="60"/>
        <v>2.1712622709323039E-2</v>
      </c>
      <c r="I130" s="23">
        <f t="shared" si="60"/>
        <v>1.9398560234019733E-2</v>
      </c>
      <c r="J130" s="23">
        <f t="shared" si="60"/>
        <v>1.8624123949616777E-2</v>
      </c>
      <c r="K130" s="23">
        <f t="shared" si="60"/>
        <v>2.7229409927416667E-2</v>
      </c>
      <c r="L130" s="23">
        <f t="shared" si="60"/>
        <v>2.241238734147314E-2</v>
      </c>
      <c r="M130" s="23">
        <f t="shared" si="60"/>
        <v>2.1987111492479047E-2</v>
      </c>
      <c r="N130" s="23">
        <f t="shared" si="60"/>
        <v>2.3021350019969453E-2</v>
      </c>
      <c r="O130" s="23">
        <f t="shared" si="60"/>
        <v>2.2984299028868616E-2</v>
      </c>
      <c r="P130" s="23">
        <f t="shared" si="60"/>
        <v>2.4504623854507836E-2</v>
      </c>
      <c r="Q130" s="23">
        <f t="shared" si="60"/>
        <v>2.4428837973994554E-2</v>
      </c>
      <c r="R130" s="23">
        <f t="shared" si="60"/>
        <v>2.475976062454277E-2</v>
      </c>
      <c r="S130" s="23">
        <f t="shared" si="60"/>
        <v>2.4780183055658211E-2</v>
      </c>
      <c r="T130" s="23">
        <f t="shared" si="60"/>
        <v>2.3606160254081087E-2</v>
      </c>
      <c r="U130" s="23">
        <f t="shared" si="60"/>
        <v>2.0083743902805849E-2</v>
      </c>
      <c r="V130" s="23">
        <f t="shared" si="60"/>
        <v>2.3349533467942215E-2</v>
      </c>
      <c r="W130" s="23">
        <f t="shared" si="60"/>
        <v>1.7414652693868962E-2</v>
      </c>
      <c r="X130" s="23">
        <f t="shared" si="60"/>
        <v>2.1920556373609998E-2</v>
      </c>
      <c r="Y130" s="23">
        <f t="shared" si="60"/>
        <v>2.0181469956341503E-2</v>
      </c>
      <c r="Z130" s="23">
        <f t="shared" si="60"/>
        <v>1.9772757410332253E-2</v>
      </c>
      <c r="AA130" s="23">
        <f t="shared" si="60"/>
        <v>1.9279849796151917E-2</v>
      </c>
      <c r="AB130" s="23">
        <f t="shared" si="60"/>
        <v>1.7466224722237571E-2</v>
      </c>
      <c r="AC130" s="23">
        <f t="shared" si="60"/>
        <v>2.0054028729313691E-2</v>
      </c>
      <c r="AD130" s="23">
        <f t="shared" si="60"/>
        <v>1.963735766724278E-2</v>
      </c>
      <c r="AE130" s="23">
        <f t="shared" si="60"/>
        <v>1.8598186666775145E-2</v>
      </c>
      <c r="AF130" s="23">
        <f t="shared" si="60"/>
        <v>1.155559111857739E-2</v>
      </c>
      <c r="AG130" s="23">
        <f t="shared" si="60"/>
        <v>2.1915730040443185E-2</v>
      </c>
      <c r="AH130" s="23">
        <f t="shared" si="60"/>
        <v>2.0672063651902741E-2</v>
      </c>
      <c r="AI130" s="23">
        <f t="shared" si="60"/>
        <v>0.4189159785369132</v>
      </c>
      <c r="AJ130" s="23">
        <f t="shared" si="60"/>
        <v>0.12407211137800414</v>
      </c>
      <c r="AK130" s="23">
        <f t="shared" si="60"/>
        <v>5.7450648949310013E-2</v>
      </c>
      <c r="AL130" s="23">
        <f t="shared" si="60"/>
        <v>3.6828672911035275E-2</v>
      </c>
      <c r="AM130" s="23">
        <f t="shared" si="60"/>
        <v>2.8642476859395413E-2</v>
      </c>
      <c r="AN130" s="23">
        <f t="shared" si="60"/>
        <v>2.4849418111955728E-2</v>
      </c>
      <c r="AO130" s="23">
        <f t="shared" si="60"/>
        <v>2.2933396198762737E-2</v>
      </c>
      <c r="AP130" s="23">
        <f t="shared" si="60"/>
        <v>2.1909032882224885E-2</v>
      </c>
      <c r="AQ130" s="23">
        <f t="shared" si="60"/>
        <v>2.133428247165426E-2</v>
      </c>
      <c r="AR130" s="23">
        <f t="shared" si="60"/>
        <v>2.0994731717843607E-2</v>
      </c>
      <c r="AS130" s="23">
        <f t="shared" si="60"/>
        <v>2.0781647088510838E-2</v>
      </c>
      <c r="AT130" s="23">
        <f t="shared" si="60"/>
        <v>2.063842394658745E-2</v>
      </c>
      <c r="AU130" s="23">
        <f t="shared" si="60"/>
        <v>2.0535082136066352E-2</v>
      </c>
      <c r="AV130" s="23">
        <f t="shared" si="60"/>
        <v>2.0455514500848877E-2</v>
      </c>
      <c r="AW130" s="23">
        <f t="shared" si="60"/>
        <v>2.0390930657952385E-2</v>
      </c>
      <c r="AX130" s="23">
        <f t="shared" si="60"/>
        <v>2.0336432071632597E-2</v>
      </c>
      <c r="AY130" s="23">
        <f t="shared" si="60"/>
        <v>2.0289206326973269E-2</v>
      </c>
      <c r="AZ130" s="23">
        <f t="shared" si="60"/>
        <v>2.0247569567793954E-2</v>
      </c>
      <c r="BA130" s="23">
        <f t="shared" si="60"/>
        <v>2.0210456492850439E-2</v>
      </c>
      <c r="BB130" s="23">
        <f t="shared" si="60"/>
        <v>2.0177147551635966E-2</v>
      </c>
      <c r="BC130" s="23">
        <f t="shared" si="60"/>
        <v>2.0147122216162716E-2</v>
      </c>
      <c r="BD130" s="23">
        <f t="shared" si="60"/>
        <v>2.0119979421976217E-2</v>
      </c>
      <c r="BE130" s="23">
        <f t="shared" si="60"/>
        <v>2.0120895279935557E-2</v>
      </c>
      <c r="BF130" s="23">
        <f t="shared" si="60"/>
        <v>2.0089540023022118E-2</v>
      </c>
      <c r="BG130" s="23">
        <f t="shared" si="60"/>
        <v>2.0062330771518543E-2</v>
      </c>
      <c r="BH130" s="23">
        <f t="shared" si="60"/>
        <v>2.0039227280671385E-2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1">+AVERAGE(C129:C130)</f>
        <v>7.6499005278624493E-3</v>
      </c>
      <c r="D131" s="23">
        <f t="shared" si="61"/>
        <v>1.0470043612412315E-2</v>
      </c>
      <c r="E131" s="23">
        <f t="shared" si="61"/>
        <v>1.2904310958966731E-2</v>
      </c>
      <c r="F131" s="23">
        <f t="shared" si="61"/>
        <v>1.7170670698683617E-2</v>
      </c>
      <c r="G131" s="23">
        <f t="shared" si="61"/>
        <v>2.0224995564618743E-2</v>
      </c>
      <c r="H131" s="23">
        <f t="shared" si="61"/>
        <v>2.0555591471671388E-2</v>
      </c>
      <c r="I131" s="23">
        <f t="shared" si="61"/>
        <v>1.9011342091818255E-2</v>
      </c>
      <c r="J131" s="23">
        <f t="shared" si="61"/>
        <v>2.2926766938516724E-2</v>
      </c>
      <c r="K131" s="23">
        <f t="shared" si="61"/>
        <v>2.4820898634444904E-2</v>
      </c>
      <c r="L131" s="23">
        <f t="shared" si="61"/>
        <v>2.2199749416976094E-2</v>
      </c>
      <c r="M131" s="23">
        <f t="shared" si="61"/>
        <v>2.250423075622425E-2</v>
      </c>
      <c r="N131" s="23">
        <f t="shared" si="61"/>
        <v>2.3002824524419034E-2</v>
      </c>
      <c r="O131" s="23">
        <f t="shared" si="61"/>
        <v>2.3744461441688226E-2</v>
      </c>
      <c r="P131" s="23">
        <f t="shared" si="61"/>
        <v>2.4466730914251195E-2</v>
      </c>
      <c r="Q131" s="23">
        <f t="shared" si="61"/>
        <v>2.4594299299268662E-2</v>
      </c>
      <c r="R131" s="23">
        <f t="shared" si="61"/>
        <v>2.4769971840100491E-2</v>
      </c>
      <c r="S131" s="23">
        <f t="shared" si="61"/>
        <v>2.4193171654869651E-2</v>
      </c>
      <c r="T131" s="23">
        <f t="shared" si="61"/>
        <v>2.1844952078443468E-2</v>
      </c>
      <c r="U131" s="23">
        <f t="shared" si="61"/>
        <v>2.1716638685374032E-2</v>
      </c>
      <c r="V131" s="23">
        <f t="shared" si="61"/>
        <v>2.0382093080905588E-2</v>
      </c>
      <c r="W131" s="23">
        <f t="shared" si="61"/>
        <v>1.9667604533739481E-2</v>
      </c>
      <c r="X131" s="23">
        <f t="shared" si="61"/>
        <v>2.1051013164975749E-2</v>
      </c>
      <c r="Y131" s="23">
        <f t="shared" si="61"/>
        <v>1.9977113683336878E-2</v>
      </c>
      <c r="Z131" s="23">
        <f t="shared" si="61"/>
        <v>1.9526303603242083E-2</v>
      </c>
      <c r="AA131" s="23">
        <f t="shared" si="61"/>
        <v>1.8373037259194744E-2</v>
      </c>
      <c r="AB131" s="23">
        <f t="shared" si="61"/>
        <v>1.8760126725775629E-2</v>
      </c>
      <c r="AC131" s="23">
        <f t="shared" si="61"/>
        <v>1.9845693198278235E-2</v>
      </c>
      <c r="AD131" s="23">
        <f t="shared" si="61"/>
        <v>1.911777216700896E-2</v>
      </c>
      <c r="AE131" s="23">
        <f t="shared" si="61"/>
        <v>1.5076888892676266E-2</v>
      </c>
      <c r="AF131" s="23">
        <f t="shared" si="61"/>
        <v>1.6735660579510286E-2</v>
      </c>
      <c r="AG131" s="23">
        <f t="shared" si="61"/>
        <v>2.1293896846172965E-2</v>
      </c>
      <c r="AH131" s="23">
        <f t="shared" si="61"/>
        <v>0.21979402109440796</v>
      </c>
      <c r="AI131" s="23">
        <f t="shared" si="61"/>
        <v>0.27149404495745866</v>
      </c>
      <c r="AJ131" s="23">
        <f t="shared" si="61"/>
        <v>9.0761380163657077E-2</v>
      </c>
      <c r="AK131" s="23">
        <f t="shared" si="61"/>
        <v>4.7139660930172647E-2</v>
      </c>
      <c r="AL131" s="23">
        <f t="shared" si="61"/>
        <v>3.2735574885215342E-2</v>
      </c>
      <c r="AM131" s="23">
        <f t="shared" si="61"/>
        <v>2.6745947485675568E-2</v>
      </c>
      <c r="AN131" s="23">
        <f t="shared" si="61"/>
        <v>2.3891407155359232E-2</v>
      </c>
      <c r="AO131" s="23">
        <f t="shared" si="61"/>
        <v>2.2421214540493811E-2</v>
      </c>
      <c r="AP131" s="23">
        <f t="shared" si="61"/>
        <v>2.1621657676939573E-2</v>
      </c>
      <c r="AQ131" s="23">
        <f t="shared" si="61"/>
        <v>2.1164507094748933E-2</v>
      </c>
      <c r="AR131" s="23">
        <f t="shared" si="61"/>
        <v>2.0888189403177222E-2</v>
      </c>
      <c r="AS131" s="23">
        <f t="shared" si="61"/>
        <v>2.0710035517549144E-2</v>
      </c>
      <c r="AT131" s="23">
        <f t="shared" si="61"/>
        <v>2.05867530413269E-2</v>
      </c>
      <c r="AU131" s="23">
        <f t="shared" si="61"/>
        <v>2.0495298318457617E-2</v>
      </c>
      <c r="AV131" s="23">
        <f t="shared" si="61"/>
        <v>2.0423222579400629E-2</v>
      </c>
      <c r="AW131" s="23">
        <f t="shared" si="61"/>
        <v>2.0363681364792489E-2</v>
      </c>
      <c r="AX131" s="23">
        <f t="shared" si="61"/>
        <v>2.0312819199302931E-2</v>
      </c>
      <c r="AY131" s="23">
        <f t="shared" si="61"/>
        <v>2.0268387947383611E-2</v>
      </c>
      <c r="AZ131" s="23">
        <f t="shared" si="61"/>
        <v>2.0229013030322197E-2</v>
      </c>
      <c r="BA131" s="23">
        <f t="shared" si="61"/>
        <v>2.0193802022243204E-2</v>
      </c>
      <c r="BB131" s="23">
        <f t="shared" si="61"/>
        <v>2.0162134883899341E-2</v>
      </c>
      <c r="BC131" s="23">
        <f>+AVERAGE(BC129:BC130)</f>
        <v>2.0133550819069465E-2</v>
      </c>
      <c r="BD131" s="23">
        <f>+AVERAGE(BD129:BD130)</f>
        <v>2.0120437350955887E-2</v>
      </c>
      <c r="BE131" s="23">
        <f>+AVERAGE(BE129:BE130)</f>
        <v>2.0105217651478838E-2</v>
      </c>
      <c r="BF131" s="23">
        <f>+AVERAGE(BF129:BF130)</f>
        <v>2.0075935397270331E-2</v>
      </c>
      <c r="BG131" s="23">
        <f>+AVERAGE(BG129:BG130)</f>
        <v>2.0050779026094964E-2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2">+B88^-$B$18</f>
        <v>0.35850007369565517</v>
      </c>
      <c r="C132" s="23">
        <f t="shared" si="62"/>
        <v>0.49320111251238957</v>
      </c>
      <c r="D132" s="23">
        <f t="shared" si="62"/>
        <v>0.61879429677952691</v>
      </c>
      <c r="E132" s="23">
        <f t="shared" si="62"/>
        <v>0.75639459548360111</v>
      </c>
      <c r="F132" s="23">
        <f t="shared" si="62"/>
        <v>0.85257248109754291</v>
      </c>
      <c r="G132" s="23">
        <f t="shared" si="62"/>
        <v>0.88045108606110867</v>
      </c>
      <c r="H132" s="23">
        <f t="shared" si="62"/>
        <v>0.85231059710757262</v>
      </c>
      <c r="I132" s="23">
        <f t="shared" si="62"/>
        <v>0.84438476448346955</v>
      </c>
      <c r="J132" s="23">
        <f t="shared" si="62"/>
        <v>0.84303619873769808</v>
      </c>
      <c r="K132" s="23">
        <f t="shared" si="62"/>
        <v>0.77228886873318692</v>
      </c>
      <c r="L132" s="23">
        <f t="shared" si="62"/>
        <v>0.72182024617621465</v>
      </c>
      <c r="M132" s="23">
        <f t="shared" si="62"/>
        <v>0.65875050550830683</v>
      </c>
      <c r="N132" s="23">
        <f t="shared" si="62"/>
        <v>0.59500583237299898</v>
      </c>
      <c r="O132" s="23">
        <f t="shared" si="62"/>
        <v>0.53762863822126905</v>
      </c>
      <c r="P132" s="23">
        <f t="shared" si="62"/>
        <v>0.47845475978549801</v>
      </c>
      <c r="Q132" s="23">
        <f t="shared" si="62"/>
        <v>0.42611664423811263</v>
      </c>
      <c r="R132" s="23">
        <f t="shared" si="62"/>
        <v>0.37825000129197089</v>
      </c>
      <c r="S132" s="23">
        <f t="shared" si="62"/>
        <v>0.33569176280056723</v>
      </c>
      <c r="T132" s="23">
        <f t="shared" si="62"/>
        <v>0.30144018482732365</v>
      </c>
      <c r="U132" s="23">
        <f t="shared" si="62"/>
        <v>0.28038790131558033</v>
      </c>
      <c r="V132" s="23">
        <f t="shared" si="62"/>
        <v>0.25453428084593477</v>
      </c>
      <c r="W132" s="23">
        <f t="shared" si="62"/>
        <v>0.24724082614501822</v>
      </c>
      <c r="X132" s="23">
        <f t="shared" si="62"/>
        <v>0.23188259092961677</v>
      </c>
      <c r="Y132" s="23">
        <f t="shared" si="62"/>
        <v>0.22129360249481833</v>
      </c>
      <c r="Z132" s="23">
        <f t="shared" si="62"/>
        <v>0.21205308224123412</v>
      </c>
      <c r="AA132" s="23">
        <f t="shared" si="62"/>
        <v>0.20420246982165072</v>
      </c>
      <c r="AB132" s="23">
        <f t="shared" si="62"/>
        <v>0.20024139645695888</v>
      </c>
      <c r="AC132" s="23">
        <f t="shared" si="62"/>
        <v>0.1913410047177779</v>
      </c>
      <c r="AD132" s="23">
        <f t="shared" si="62"/>
        <v>0.18359963533440879</v>
      </c>
      <c r="AE132" s="23">
        <f t="shared" si="62"/>
        <v>0.17801173815163956</v>
      </c>
      <c r="AF132" s="23">
        <f t="shared" si="62"/>
        <v>0.18471803279652663</v>
      </c>
      <c r="AG132" s="23">
        <f t="shared" si="62"/>
        <v>0.17237515148682872</v>
      </c>
      <c r="AH132" s="23">
        <f t="shared" si="62"/>
        <v>0.16287003938684458</v>
      </c>
      <c r="AI132" s="23">
        <f t="shared" si="62"/>
        <v>2.868510177417254E-3</v>
      </c>
      <c r="AJ132" s="23">
        <f t="shared" si="62"/>
        <v>9.6374521342301278E-4</v>
      </c>
      <c r="AK132" s="23">
        <f t="shared" si="62"/>
        <v>6.3037852277125002E-4</v>
      </c>
      <c r="AL132" s="23">
        <f t="shared" si="62"/>
        <v>5.0675808491250352E-4</v>
      </c>
      <c r="AM132" s="23">
        <f t="shared" si="62"/>
        <v>4.4213221709753019E-4</v>
      </c>
      <c r="AN132" s="23">
        <f t="shared" si="62"/>
        <v>4.0066064208937055E-4</v>
      </c>
      <c r="AO132" s="23">
        <f t="shared" si="62"/>
        <v>3.7010280853362398E-4</v>
      </c>
      <c r="AP132" s="23">
        <f t="shared" si="62"/>
        <v>3.4539562498715602E-4</v>
      </c>
      <c r="AQ132" s="23">
        <f t="shared" si="62"/>
        <v>3.241958065336432E-4</v>
      </c>
      <c r="AR132" s="23">
        <f t="shared" si="62"/>
        <v>3.0533219786810971E-4</v>
      </c>
      <c r="AS132" s="23">
        <f t="shared" si="62"/>
        <v>2.8817959696229335E-4</v>
      </c>
      <c r="AT132" s="23">
        <f t="shared" si="62"/>
        <v>2.7238040768091482E-4</v>
      </c>
      <c r="AU132" s="23">
        <f t="shared" si="62"/>
        <v>2.577135831726056E-4</v>
      </c>
      <c r="AV132" s="23">
        <f t="shared" si="62"/>
        <v>2.4403061299226061E-4</v>
      </c>
      <c r="AW132" s="23">
        <f t="shared" si="62"/>
        <v>2.3122340720896481E-4</v>
      </c>
      <c r="AX132" s="23">
        <f t="shared" si="62"/>
        <v>2.1920778132967386E-4</v>
      </c>
      <c r="AY132" s="23">
        <f t="shared" si="62"/>
        <v>2.0791471881748187E-4</v>
      </c>
      <c r="AZ132" s="23">
        <f t="shared" si="62"/>
        <v>1.9728557419493453E-4</v>
      </c>
      <c r="BA132" s="23">
        <f t="shared" si="62"/>
        <v>1.8726930776932757E-4</v>
      </c>
      <c r="BB132" s="23">
        <f t="shared" si="62"/>
        <v>1.7782079150081341E-4</v>
      </c>
      <c r="BC132" s="23">
        <f t="shared" si="62"/>
        <v>1.6889969730489248E-4</v>
      </c>
      <c r="BD132" s="23">
        <f t="shared" si="62"/>
        <v>1.6046971568357533E-4</v>
      </c>
      <c r="BE132" s="23">
        <f t="shared" si="62"/>
        <v>1.5245908799876908E-4</v>
      </c>
      <c r="BF132" s="23">
        <f t="shared" si="62"/>
        <v>1.4489377451689156E-4</v>
      </c>
      <c r="BG132" s="23">
        <f t="shared" si="62"/>
        <v>1.377413397449992E-4</v>
      </c>
      <c r="BH132" s="23">
        <f t="shared" si="62"/>
        <v>1.3097222841376455E-4</v>
      </c>
      <c r="BI132" s="23">
        <f t="shared" si="62"/>
        <v>1.3097222841376455E-4</v>
      </c>
    </row>
    <row r="133" spans="1:61" ht="18" customHeight="1" x14ac:dyDescent="0.2">
      <c r="A133" s="23" t="s">
        <v>14</v>
      </c>
      <c r="B133" s="23">
        <f t="shared" ref="B133:AG133" si="63">+B17*B132/$B132</f>
        <v>1</v>
      </c>
      <c r="C133" s="23">
        <f t="shared" si="63"/>
        <v>1.1854258017855546</v>
      </c>
      <c r="D133" s="23">
        <f t="shared" si="63"/>
        <v>1.2815519271396707</v>
      </c>
      <c r="E133" s="23">
        <f t="shared" si="63"/>
        <v>1.3498263456022013</v>
      </c>
      <c r="F133" s="23">
        <f t="shared" si="63"/>
        <v>1.3109929956353152</v>
      </c>
      <c r="G133" s="23">
        <f t="shared" si="63"/>
        <v>1.1665782411347558</v>
      </c>
      <c r="H133" s="23">
        <f t="shared" si="63"/>
        <v>0.9730745274124365</v>
      </c>
      <c r="I133" s="23">
        <f t="shared" si="63"/>
        <v>0.83066934173058493</v>
      </c>
      <c r="J133" s="23">
        <f t="shared" si="63"/>
        <v>0.71461741197226103</v>
      </c>
      <c r="K133" s="23">
        <f t="shared" si="63"/>
        <v>0.5640878215087507</v>
      </c>
      <c r="L133" s="23">
        <f t="shared" si="63"/>
        <v>0.45429251892903327</v>
      </c>
      <c r="M133" s="23">
        <f t="shared" si="63"/>
        <v>0.35724574499335016</v>
      </c>
      <c r="N133" s="23">
        <f t="shared" si="63"/>
        <v>0.27803975913366386</v>
      </c>
      <c r="O133" s="23">
        <f t="shared" si="63"/>
        <v>0.2164749524069717</v>
      </c>
      <c r="P133" s="23">
        <f t="shared" si="63"/>
        <v>0.16599909304730509</v>
      </c>
      <c r="Q133" s="23">
        <f t="shared" si="63"/>
        <v>0.12738928836916033</v>
      </c>
      <c r="R133" s="23">
        <f t="shared" si="63"/>
        <v>9.7436781268752742E-2</v>
      </c>
      <c r="S133" s="23">
        <f t="shared" si="63"/>
        <v>7.4511662424167652E-2</v>
      </c>
      <c r="T133" s="23">
        <f t="shared" si="63"/>
        <v>5.7653316257208272E-2</v>
      </c>
      <c r="U133" s="23">
        <f t="shared" si="63"/>
        <v>4.620851303063768E-2</v>
      </c>
      <c r="V133" s="23">
        <f t="shared" si="63"/>
        <v>3.6145029418362028E-2</v>
      </c>
      <c r="W133" s="23">
        <f t="shared" si="63"/>
        <v>3.0252555369795042E-2</v>
      </c>
      <c r="X133" s="23">
        <f t="shared" si="63"/>
        <v>2.4448352585613453E-2</v>
      </c>
      <c r="Y133" s="23">
        <f t="shared" si="63"/>
        <v>2.0104343328316513E-2</v>
      </c>
      <c r="Z133" s="23">
        <f t="shared" si="63"/>
        <v>1.6599889623210629E-2</v>
      </c>
      <c r="AA133" s="23">
        <f t="shared" si="63"/>
        <v>1.3774034897630349E-2</v>
      </c>
      <c r="AB133" s="23">
        <f t="shared" si="63"/>
        <v>1.1638409429498691E-2</v>
      </c>
      <c r="AC133" s="23">
        <f t="shared" si="63"/>
        <v>9.5826889973395224E-3</v>
      </c>
      <c r="AD133" s="23">
        <f t="shared" si="63"/>
        <v>7.9230196897168877E-3</v>
      </c>
      <c r="AE133" s="23">
        <f t="shared" si="63"/>
        <v>6.6192249296294914E-3</v>
      </c>
      <c r="AF133" s="23">
        <f t="shared" si="63"/>
        <v>5.9184416567662117E-3</v>
      </c>
      <c r="AG133" s="23">
        <f t="shared" si="63"/>
        <v>4.7589628471487932E-3</v>
      </c>
      <c r="AH133" s="23">
        <f t="shared" ref="AH133:BI133" si="64">+AH17*AH132/$B132</f>
        <v>3.8745246867233612E-3</v>
      </c>
      <c r="AI133" s="23">
        <f t="shared" si="64"/>
        <v>5.8799441847291655E-5</v>
      </c>
      <c r="AJ133" s="23">
        <f t="shared" si="64"/>
        <v>1.7022314887685389E-5</v>
      </c>
      <c r="AK133" s="23">
        <f t="shared" si="64"/>
        <v>9.5939482523917772E-6</v>
      </c>
      <c r="AL133" s="23">
        <f t="shared" si="64"/>
        <v>6.6456310597980114E-6</v>
      </c>
      <c r="AM133" s="23">
        <f t="shared" si="64"/>
        <v>4.9960558030123855E-6</v>
      </c>
      <c r="AN133" s="23">
        <f t="shared" si="64"/>
        <v>3.90113858610095E-6</v>
      </c>
      <c r="AO133" s="23">
        <f t="shared" si="64"/>
        <v>3.1051076005826161E-6</v>
      </c>
      <c r="AP133" s="23">
        <f t="shared" si="64"/>
        <v>2.4969548139464402E-6</v>
      </c>
      <c r="AQ133" s="23">
        <f t="shared" si="64"/>
        <v>2.0194858823745852E-6</v>
      </c>
      <c r="AR133" s="23">
        <f t="shared" si="64"/>
        <v>1.6388741680903699E-6</v>
      </c>
      <c r="AS133" s="23">
        <f t="shared" si="64"/>
        <v>1.3328332337477756E-6</v>
      </c>
      <c r="AT133" s="23">
        <f t="shared" si="64"/>
        <v>1.0854954980771048E-6</v>
      </c>
      <c r="AU133" s="23">
        <f t="shared" si="64"/>
        <v>8.8497101732387671E-7</v>
      </c>
      <c r="AV133" s="23">
        <f t="shared" si="64"/>
        <v>7.2206389032969616E-7</v>
      </c>
      <c r="AW133" s="23">
        <f t="shared" si="64"/>
        <v>5.8952562862430832E-7</v>
      </c>
      <c r="AX133" s="23">
        <f t="shared" si="64"/>
        <v>4.8157777687541282E-7</v>
      </c>
      <c r="AY133" s="23">
        <f t="shared" si="64"/>
        <v>3.9358205035329049E-7</v>
      </c>
      <c r="AZ133" s="23">
        <f t="shared" si="64"/>
        <v>3.2179919717026689E-7</v>
      </c>
      <c r="BA133" s="23">
        <f t="shared" si="64"/>
        <v>2.6320601430146599E-7</v>
      </c>
      <c r="BB133" s="23">
        <f t="shared" si="64"/>
        <v>2.1535319537097682E-7</v>
      </c>
      <c r="BC133" s="23">
        <f t="shared" si="64"/>
        <v>1.7625328896746036E-7</v>
      </c>
      <c r="BD133" s="23">
        <f t="shared" si="64"/>
        <v>1.4429159006437797E-7</v>
      </c>
      <c r="BE133" s="23">
        <f t="shared" si="64"/>
        <v>1.181247306302444E-7</v>
      </c>
      <c r="BF133" s="23">
        <f t="shared" si="64"/>
        <v>9.6733481188674691E-8</v>
      </c>
      <c r="BG133" s="23">
        <f t="shared" si="64"/>
        <v>7.9237537717195448E-8</v>
      </c>
      <c r="BH133" s="23">
        <f t="shared" si="64"/>
        <v>6.4921039197130506E-8</v>
      </c>
      <c r="BI133" s="23">
        <f t="shared" si="64"/>
        <v>5.5940332125518891E-8</v>
      </c>
    </row>
    <row r="134" spans="1:61" ht="18" customHeight="1" x14ac:dyDescent="0.2">
      <c r="A134" s="23" t="s">
        <v>15</v>
      </c>
      <c r="B134" s="23"/>
      <c r="C134" s="23">
        <f>+(C133/B133)^-0.1-1</f>
        <v>-1.6866346962672973E-2</v>
      </c>
      <c r="D134" s="23">
        <f t="shared" ref="D134:BI134" si="65">+(D133/C133)^-0.1-1</f>
        <v>-7.7666574513459707E-3</v>
      </c>
      <c r="E134" s="23">
        <f t="shared" si="65"/>
        <v>-5.1769695330937671E-3</v>
      </c>
      <c r="F134" s="23">
        <f t="shared" si="65"/>
        <v>2.923373675882468E-3</v>
      </c>
      <c r="G134" s="23">
        <f t="shared" si="65"/>
        <v>1.173936966156286E-2</v>
      </c>
      <c r="H134" s="23">
        <f t="shared" si="65"/>
        <v>1.8302422123688489E-2</v>
      </c>
      <c r="I134" s="23">
        <f t="shared" si="65"/>
        <v>1.5948731044555853E-2</v>
      </c>
      <c r="J134" s="23">
        <f t="shared" si="65"/>
        <v>1.5162248063928407E-2</v>
      </c>
      <c r="K134" s="23">
        <f t="shared" si="65"/>
        <v>2.3935704432755944E-2</v>
      </c>
      <c r="L134" s="23">
        <f t="shared" si="65"/>
        <v>2.1882857723208859E-2</v>
      </c>
      <c r="M134" s="23">
        <f t="shared" si="65"/>
        <v>2.4322829287824144E-2</v>
      </c>
      <c r="N134" s="23">
        <f t="shared" si="65"/>
        <v>2.538277144448875E-2</v>
      </c>
      <c r="O134" s="23">
        <f t="shared" si="65"/>
        <v>2.5344780700350622E-2</v>
      </c>
      <c r="P134" s="23">
        <f t="shared" si="65"/>
        <v>2.6904823410631051E-2</v>
      </c>
      <c r="Q134" s="23">
        <f t="shared" si="65"/>
        <v>2.6827001473324952E-2</v>
      </c>
      <c r="R134" s="23">
        <f t="shared" si="65"/>
        <v>2.7166858016319351E-2</v>
      </c>
      <c r="S134" s="23">
        <f t="shared" si="65"/>
        <v>2.7187835474925981E-2</v>
      </c>
      <c r="T134" s="23">
        <f t="shared" si="65"/>
        <v>2.598260115929385E-2</v>
      </c>
      <c r="U134" s="23">
        <f t="shared" si="65"/>
        <v>2.2375020699109349E-2</v>
      </c>
      <c r="V134" s="23">
        <f t="shared" si="65"/>
        <v>2.4866602839251462E-2</v>
      </c>
      <c r="W134" s="23">
        <f t="shared" si="65"/>
        <v>1.7955168585165993E-2</v>
      </c>
      <c r="X134" s="23">
        <f t="shared" si="65"/>
        <v>2.1530284700973734E-2</v>
      </c>
      <c r="Y134" s="23">
        <f t="shared" si="65"/>
        <v>1.9755299132027559E-2</v>
      </c>
      <c r="Z134" s="23">
        <f t="shared" si="65"/>
        <v>1.9338597508804289E-2</v>
      </c>
      <c r="AA134" s="23">
        <f t="shared" si="65"/>
        <v>1.8836281560512314E-2</v>
      </c>
      <c r="AB134" s="23">
        <f t="shared" si="65"/>
        <v>1.6990169117992782E-2</v>
      </c>
      <c r="AC134" s="23">
        <f t="shared" si="65"/>
        <v>1.9625348546145061E-2</v>
      </c>
      <c r="AD134" s="23">
        <f t="shared" si="65"/>
        <v>1.9200588667972029E-2</v>
      </c>
      <c r="AE134" s="23">
        <f t="shared" si="65"/>
        <v>1.8142015087312835E-2</v>
      </c>
      <c r="AF134" s="23">
        <f t="shared" si="65"/>
        <v>1.1253358213416664E-2</v>
      </c>
      <c r="AG134" s="23">
        <f t="shared" si="65"/>
        <v>2.2043794407545114E-2</v>
      </c>
      <c r="AH134" s="23">
        <f t="shared" si="65"/>
        <v>2.0773502965939272E-2</v>
      </c>
      <c r="AI134" s="23">
        <f t="shared" si="65"/>
        <v>0.5201432761343916</v>
      </c>
      <c r="AJ134" s="23">
        <f t="shared" si="65"/>
        <v>0.13197141067177065</v>
      </c>
      <c r="AK134" s="23">
        <f t="shared" si="65"/>
        <v>5.9015032425085767E-2</v>
      </c>
      <c r="AL134" s="23">
        <f t="shared" si="65"/>
        <v>3.7399691342032915E-2</v>
      </c>
      <c r="AM134" s="23">
        <f t="shared" si="65"/>
        <v>2.8941999478456548E-2</v>
      </c>
      <c r="AN134" s="23">
        <f t="shared" si="65"/>
        <v>2.5046554522917264E-2</v>
      </c>
      <c r="AO134" s="23">
        <f t="shared" si="65"/>
        <v>2.3084423205979698E-2</v>
      </c>
      <c r="AP134" s="23">
        <f t="shared" si="65"/>
        <v>2.2036949641467851E-2</v>
      </c>
      <c r="AQ134" s="23">
        <f t="shared" si="65"/>
        <v>2.1449702261545411E-2</v>
      </c>
      <c r="AR134" s="23">
        <f t="shared" si="65"/>
        <v>2.1102927122374604E-2</v>
      </c>
      <c r="AS134" s="23">
        <f t="shared" si="65"/>
        <v>2.0885368963611262E-2</v>
      </c>
      <c r="AT134" s="23">
        <f t="shared" si="65"/>
        <v>2.0739165023668349E-2</v>
      </c>
      <c r="AU134" s="23">
        <f t="shared" si="65"/>
        <v>2.0633685440604399E-2</v>
      </c>
      <c r="AV134" s="23">
        <f t="shared" si="65"/>
        <v>2.0552479262565315E-2</v>
      </c>
      <c r="AW134" s="23">
        <f t="shared" si="65"/>
        <v>2.0486570189930386E-2</v>
      </c>
      <c r="AX134" s="23">
        <f t="shared" si="65"/>
        <v>2.0430956629940544E-2</v>
      </c>
      <c r="AY134" s="23">
        <f t="shared" si="65"/>
        <v>2.0382767156041259E-2</v>
      </c>
      <c r="AZ134" s="23">
        <f t="shared" si="65"/>
        <v>2.0340282608960258E-2</v>
      </c>
      <c r="BA134" s="23">
        <f t="shared" si="65"/>
        <v>2.0302415346273195E-2</v>
      </c>
      <c r="BB134" s="23">
        <f t="shared" si="65"/>
        <v>2.0268430719098562E-2</v>
      </c>
      <c r="BC134" s="23">
        <f t="shared" si="65"/>
        <v>2.0237797277085523E-2</v>
      </c>
      <c r="BD134" s="23">
        <f t="shared" si="65"/>
        <v>2.0210105548349899E-2</v>
      </c>
      <c r="BE134" s="23">
        <f t="shared" si="65"/>
        <v>2.0211039916323337E-2</v>
      </c>
      <c r="BF134" s="23">
        <f t="shared" si="65"/>
        <v>2.0179051438566686E-2</v>
      </c>
      <c r="BG134" s="23">
        <f t="shared" si="65"/>
        <v>2.0151293507815415E-2</v>
      </c>
      <c r="BH134" s="23">
        <f t="shared" si="65"/>
        <v>2.0127724724004814E-2</v>
      </c>
      <c r="BI134" s="23">
        <f t="shared" si="65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 x14ac:dyDescent="0.2">
      <c r="A136" s="23" t="s">
        <v>207</v>
      </c>
      <c r="B136" s="23"/>
      <c r="C136" s="23">
        <f>+C134+C135</f>
        <v>4.5968319470720692E-3</v>
      </c>
      <c r="D136" s="23">
        <f t="shared" ref="D136:K136" si="67">+D134+D135</f>
        <v>1.0654368341519907E-2</v>
      </c>
      <c r="E136" s="23">
        <f t="shared" si="67"/>
        <v>1.0106708370668507E-2</v>
      </c>
      <c r="F136" s="23">
        <f t="shared" si="67"/>
        <v>1.5496850218416314E-2</v>
      </c>
      <c r="G136" s="23">
        <f t="shared" si="67"/>
        <v>1.8694352739154617E-2</v>
      </c>
      <c r="H136" s="23">
        <f t="shared" si="67"/>
        <v>2.1766708538715509E-2</v>
      </c>
      <c r="I136" s="23">
        <f t="shared" si="67"/>
        <v>1.9413017459582873E-2</v>
      </c>
      <c r="J136" s="23">
        <f t="shared" si="67"/>
        <v>1.8626534478955428E-2</v>
      </c>
      <c r="K136" s="23">
        <f t="shared" si="67"/>
        <v>2.7399990847782964E-2</v>
      </c>
    </row>
    <row r="137" spans="1:61" ht="18" customHeight="1" x14ac:dyDescent="0.2">
      <c r="A137" s="23" t="s">
        <v>208</v>
      </c>
      <c r="B137" s="23"/>
      <c r="C137" s="23">
        <f>+C136-C129</f>
        <v>-6.1386063372718888E-3</v>
      </c>
      <c r="D137" s="23">
        <f t="shared" ref="D137:K137" si="68">+D136-D129</f>
        <v>4.4971940103923427E-4</v>
      </c>
      <c r="E137" s="23">
        <f t="shared" si="68"/>
        <v>-5.4972646067842825E-3</v>
      </c>
      <c r="F137" s="23">
        <f t="shared" si="68"/>
        <v>-3.2405182014981302E-3</v>
      </c>
      <c r="G137" s="23">
        <f t="shared" si="68"/>
        <v>-3.0182699701684218E-3</v>
      </c>
      <c r="H137" s="23">
        <f t="shared" si="68"/>
        <v>2.368148304695776E-3</v>
      </c>
      <c r="I137" s="23">
        <f t="shared" si="68"/>
        <v>7.8889350996609597E-4</v>
      </c>
      <c r="J137" s="23">
        <f t="shared" si="68"/>
        <v>-8.6028754484612398E-3</v>
      </c>
      <c r="K137" s="23">
        <f t="shared" si="68"/>
        <v>4.9876035063098241E-3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69">+$B$7*B68/B74-(1-(1-0.1)^10)/10</f>
        <v>0.23768982842334418</v>
      </c>
      <c r="C139" s="23">
        <f t="shared" si="69"/>
        <v>2.6030596686076782E-2</v>
      </c>
      <c r="D139" s="23">
        <f t="shared" si="69"/>
        <v>7.437479437127581E-3</v>
      </c>
      <c r="E139" s="23">
        <f t="shared" si="69"/>
        <v>4.2489476254481268E-3</v>
      </c>
      <c r="F139" s="23">
        <f t="shared" si="69"/>
        <v>6.5197405296926469E-3</v>
      </c>
      <c r="G139" s="23">
        <f t="shared" si="69"/>
        <v>1.1893507584341059E-2</v>
      </c>
      <c r="H139" s="23">
        <f t="shared" si="69"/>
        <v>1.8267422644292777E-2</v>
      </c>
      <c r="I139" s="23">
        <f t="shared" si="69"/>
        <v>1.9676578090975672E-2</v>
      </c>
      <c r="J139" s="23">
        <f t="shared" si="69"/>
        <v>2.001028748681917E-2</v>
      </c>
      <c r="K139" s="23">
        <f t="shared" si="69"/>
        <v>2.433044964807396E-2</v>
      </c>
      <c r="L139" s="23">
        <f t="shared" si="69"/>
        <v>2.4562324792596998E-2</v>
      </c>
      <c r="M139" s="23">
        <f t="shared" si="69"/>
        <v>2.6105613105931388E-2</v>
      </c>
      <c r="N139" s="23">
        <f t="shared" si="69"/>
        <v>2.7711720005171497E-2</v>
      </c>
      <c r="O139" s="23">
        <f t="shared" si="69"/>
        <v>2.8235957463079581E-2</v>
      </c>
      <c r="P139" s="23">
        <f t="shared" si="69"/>
        <v>2.9364775046611002E-2</v>
      </c>
      <c r="Q139" s="23">
        <f t="shared" si="69"/>
        <v>2.9694950802277673E-2</v>
      </c>
      <c r="R139" s="23">
        <f t="shared" si="69"/>
        <v>3.0014023840159124E-2</v>
      </c>
      <c r="S139" s="23">
        <f t="shared" si="69"/>
        <v>3.0132460763174176E-2</v>
      </c>
      <c r="T139" s="23">
        <f t="shared" si="69"/>
        <v>2.9428481158452757E-2</v>
      </c>
      <c r="U139" s="23">
        <f t="shared" si="69"/>
        <v>2.7008013491736538E-2</v>
      </c>
      <c r="V139" s="23">
        <f t="shared" si="69"/>
        <v>2.8483990968736606E-2</v>
      </c>
      <c r="W139" s="23">
        <f t="shared" si="69"/>
        <v>2.558349105786463E-2</v>
      </c>
      <c r="X139" s="23">
        <f t="shared" si="69"/>
        <v>2.7673799269269023E-2</v>
      </c>
      <c r="Y139" s="23">
        <f t="shared" si="69"/>
        <v>2.7312074784604609E-2</v>
      </c>
      <c r="Z139" s="23">
        <f t="shared" si="69"/>
        <v>2.6939854895708271E-2</v>
      </c>
      <c r="AA139" s="23">
        <f t="shared" si="69"/>
        <v>2.6513374462020747E-2</v>
      </c>
      <c r="AB139" s="23">
        <f t="shared" si="69"/>
        <v>2.5270314214340617E-2</v>
      </c>
      <c r="AC139" s="23">
        <f t="shared" si="69"/>
        <v>2.641827291906014E-2</v>
      </c>
      <c r="AD139" s="23">
        <f t="shared" si="69"/>
        <v>2.6556164387870923E-2</v>
      </c>
      <c r="AE139" s="23">
        <f t="shared" si="69"/>
        <v>2.5969469816871579E-2</v>
      </c>
      <c r="AF139" s="23">
        <f t="shared" si="69"/>
        <v>2.152912281552323E-2</v>
      </c>
      <c r="AG139" s="23">
        <f t="shared" si="69"/>
        <v>2.6063155102517416E-2</v>
      </c>
      <c r="AH139" s="23">
        <f t="shared" si="69"/>
        <v>2.6913658109393376E-2</v>
      </c>
      <c r="AI139" s="23">
        <f t="shared" si="69"/>
        <v>1.2482776550058736</v>
      </c>
      <c r="AJ139" s="23">
        <f t="shared" si="69"/>
        <v>0.20272546652540469</v>
      </c>
      <c r="AK139" s="23">
        <f t="shared" si="69"/>
        <v>8.634479064617516E-2</v>
      </c>
      <c r="AL139" s="23">
        <f t="shared" si="69"/>
        <v>5.3361258116458976E-2</v>
      </c>
      <c r="AM139" s="23">
        <f t="shared" si="69"/>
        <v>4.0156558500477779E-2</v>
      </c>
      <c r="AN139" s="23">
        <f t="shared" si="69"/>
        <v>3.4010117536587073E-2</v>
      </c>
      <c r="AO139" s="23">
        <f t="shared" si="69"/>
        <v>3.0920894139772934E-2</v>
      </c>
      <c r="AP139" s="23">
        <f t="shared" si="69"/>
        <v>2.9294115769167572E-2</v>
      </c>
      <c r="AQ139" s="23">
        <f t="shared" si="69"/>
        <v>2.8405494616973198E-2</v>
      </c>
      <c r="AR139" s="23">
        <f t="shared" si="69"/>
        <v>2.7901345483272083E-2</v>
      </c>
      <c r="AS139" s="23">
        <f t="shared" si="69"/>
        <v>2.7601831208263775E-2</v>
      </c>
      <c r="AT139" s="23">
        <f t="shared" si="69"/>
        <v>2.7413370757938996E-2</v>
      </c>
      <c r="AU139" s="23">
        <f t="shared" si="69"/>
        <v>2.7286561202271215E-2</v>
      </c>
      <c r="AV139" s="23">
        <f t="shared" si="69"/>
        <v>2.7195037236522793E-2</v>
      </c>
      <c r="AW139" s="23">
        <f t="shared" si="69"/>
        <v>2.7124574801721549E-2</v>
      </c>
      <c r="AX139" s="23">
        <f t="shared" si="69"/>
        <v>2.7067393160037853E-2</v>
      </c>
      <c r="AY139" s="23">
        <f t="shared" si="69"/>
        <v>2.701915061137633E-2</v>
      </c>
      <c r="AZ139" s="23">
        <f t="shared" si="69"/>
        <v>2.6977352471775837E-2</v>
      </c>
      <c r="BA139" s="23">
        <f t="shared" si="69"/>
        <v>2.6940504453185007E-2</v>
      </c>
      <c r="BB139" s="23">
        <f t="shared" si="69"/>
        <v>2.6907661018136506E-2</v>
      </c>
      <c r="BC139" s="23">
        <f t="shared" si="69"/>
        <v>2.6878183551241525E-2</v>
      </c>
      <c r="BD139" s="23">
        <f t="shared" si="69"/>
        <v>2.6851610200823925E-2</v>
      </c>
      <c r="BE139" s="23">
        <f t="shared" si="69"/>
        <v>2.6843220604268483E-2</v>
      </c>
      <c r="BF139" s="23">
        <f t="shared" si="69"/>
        <v>2.6821170381891649E-2</v>
      </c>
      <c r="BG139" s="23">
        <f t="shared" si="69"/>
        <v>2.6797063807208296E-2</v>
      </c>
      <c r="BH139" s="23">
        <f t="shared" si="69"/>
        <v>2.6774783255763601E-2</v>
      </c>
      <c r="BI139" s="23">
        <f t="shared" si="69"/>
        <v>2.6755200931986425E-2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70">+B140/(1+C131)^10</f>
        <v>0.92662355619077708</v>
      </c>
      <c r="D140" s="23">
        <f t="shared" si="70"/>
        <v>0.83496622234890938</v>
      </c>
      <c r="E140" s="23">
        <f t="shared" si="70"/>
        <v>0.73448801200596359</v>
      </c>
      <c r="F140" s="23">
        <f t="shared" si="70"/>
        <v>0.6195072886370826</v>
      </c>
      <c r="G140" s="23">
        <f t="shared" si="70"/>
        <v>0.50709207661088251</v>
      </c>
      <c r="H140" s="23">
        <f t="shared" si="70"/>
        <v>0.41373299764365107</v>
      </c>
      <c r="I140" s="23">
        <f t="shared" si="70"/>
        <v>0.34271252789111756</v>
      </c>
      <c r="J140" s="23">
        <f t="shared" si="70"/>
        <v>0.27320242564056746</v>
      </c>
      <c r="K140" s="23">
        <f t="shared" si="70"/>
        <v>0.21379858141176927</v>
      </c>
      <c r="L140" s="23">
        <f t="shared" si="70"/>
        <v>0.17165130822448491</v>
      </c>
      <c r="M140" s="23">
        <f t="shared" si="70"/>
        <v>0.13740292606032581</v>
      </c>
      <c r="N140" s="23">
        <f t="shared" si="70"/>
        <v>0.10945299586843801</v>
      </c>
      <c r="O140" s="23">
        <f t="shared" si="70"/>
        <v>8.6558954319141984E-2</v>
      </c>
      <c r="P140" s="23">
        <f t="shared" si="70"/>
        <v>6.7972525567988329E-2</v>
      </c>
      <c r="Q140" s="23">
        <f t="shared" si="70"/>
        <v>5.3310659457428876E-2</v>
      </c>
      <c r="R140" s="23">
        <f t="shared" si="70"/>
        <v>4.1739778881606314E-2</v>
      </c>
      <c r="S140" s="23">
        <f t="shared" si="70"/>
        <v>3.2864829503303432E-2</v>
      </c>
      <c r="T140" s="23">
        <f t="shared" si="70"/>
        <v>2.6477766322739026E-2</v>
      </c>
      <c r="U140" s="23">
        <f t="shared" si="70"/>
        <v>2.1358791961194275E-2</v>
      </c>
      <c r="V140" s="23">
        <f t="shared" si="70"/>
        <v>1.7456147419575387E-2</v>
      </c>
      <c r="W140" s="23">
        <f t="shared" si="70"/>
        <v>1.4366870718449843E-2</v>
      </c>
      <c r="X140" s="23">
        <f t="shared" si="70"/>
        <v>1.166508150874848E-2</v>
      </c>
      <c r="Y140" s="23">
        <f t="shared" si="70"/>
        <v>9.5715771956647461E-3</v>
      </c>
      <c r="Z140" s="23">
        <f t="shared" si="70"/>
        <v>7.8885858547469018E-3</v>
      </c>
      <c r="AA140" s="23">
        <f t="shared" si="70"/>
        <v>6.5755219765584929E-3</v>
      </c>
      <c r="AB140" s="23">
        <f t="shared" si="70"/>
        <v>5.4602288582238194E-3</v>
      </c>
      <c r="AC140" s="23">
        <f t="shared" si="70"/>
        <v>4.4860714242708202E-3</v>
      </c>
      <c r="AD140" s="23">
        <f t="shared" si="70"/>
        <v>3.712123629591856E-3</v>
      </c>
      <c r="AE140" s="23">
        <f t="shared" si="70"/>
        <v>3.19619326658316E-3</v>
      </c>
      <c r="AF140" s="23">
        <f t="shared" si="70"/>
        <v>2.7074002912226189E-3</v>
      </c>
      <c r="AG140" s="23">
        <f t="shared" si="70"/>
        <v>2.1930326885249199E-3</v>
      </c>
      <c r="AH140" s="23">
        <f t="shared" si="70"/>
        <v>3.0073231824723256E-4</v>
      </c>
      <c r="AI140" s="23">
        <f t="shared" ref="AI140:BG140" si="71">+AH140/(1+AI131)^10</f>
        <v>2.7229320084558877E-5</v>
      </c>
      <c r="AJ140" s="23">
        <f t="shared" si="71"/>
        <v>1.1421924086511489E-5</v>
      </c>
      <c r="AK140" s="23">
        <f t="shared" si="71"/>
        <v>7.2059821034458274E-6</v>
      </c>
      <c r="AL140" s="23">
        <f t="shared" si="71"/>
        <v>5.221578409689202E-6</v>
      </c>
      <c r="AM140" s="23">
        <f t="shared" si="71"/>
        <v>4.0102535325467318E-6</v>
      </c>
      <c r="AN140" s="23">
        <f t="shared" si="71"/>
        <v>3.1668890426061524E-6</v>
      </c>
      <c r="AO140" s="23">
        <f t="shared" si="71"/>
        <v>2.5370809547192512E-6</v>
      </c>
      <c r="AP140" s="23">
        <f t="shared" si="71"/>
        <v>2.0484879527923992E-6</v>
      </c>
      <c r="AQ140" s="23">
        <f t="shared" si="71"/>
        <v>1.6614080071819806E-6</v>
      </c>
      <c r="AR140" s="23">
        <f t="shared" si="71"/>
        <v>1.3511218086789354E-6</v>
      </c>
      <c r="AS140" s="23">
        <f t="shared" si="71"/>
        <v>1.1007042839203194E-6</v>
      </c>
      <c r="AT140" s="23">
        <f t="shared" si="71"/>
        <v>8.9778301901753965E-7</v>
      </c>
      <c r="AU140" s="23">
        <f t="shared" si="71"/>
        <v>7.3292798632505915E-7</v>
      </c>
      <c r="AV140" s="23">
        <f t="shared" si="71"/>
        <v>5.9876715434230556E-7</v>
      </c>
      <c r="AW140" s="23">
        <f t="shared" si="71"/>
        <v>4.8944967981041395E-7</v>
      </c>
      <c r="AX140" s="23">
        <f t="shared" si="71"/>
        <v>4.0028988608919405E-7</v>
      </c>
      <c r="AY140" s="23">
        <f t="shared" si="71"/>
        <v>3.2751433287387705E-7</v>
      </c>
      <c r="AZ140" s="23">
        <f t="shared" si="71"/>
        <v>2.6807333251885126E-7</v>
      </c>
      <c r="BA140" s="23">
        <f t="shared" si="71"/>
        <v>2.1949609887455181E-7</v>
      </c>
      <c r="BB140" s="23">
        <f t="shared" si="71"/>
        <v>1.7977728068719179E-7</v>
      </c>
      <c r="BC140" s="23">
        <f t="shared" si="71"/>
        <v>1.4728702679581401E-7</v>
      </c>
      <c r="BD140" s="23">
        <f t="shared" si="71"/>
        <v>1.2068408754310794E-7</v>
      </c>
      <c r="BE140" s="23">
        <f t="shared" si="71"/>
        <v>9.89009178604167E-8</v>
      </c>
      <c r="BF140" s="23">
        <f t="shared" si="71"/>
        <v>8.107282374539493E-8</v>
      </c>
      <c r="BG140" s="23">
        <f t="shared" si="71"/>
        <v>6.6474852296564523E-8</v>
      </c>
      <c r="BH140" s="23">
        <f>+BG140</f>
        <v>6.6474852296564523E-8</v>
      </c>
      <c r="BI140" s="23">
        <f>+BH140</f>
        <v>6.6474852296564523E-8</v>
      </c>
    </row>
    <row r="141" spans="1:61" ht="18" customHeight="1" x14ac:dyDescent="0.2">
      <c r="A141" s="23" t="s">
        <v>208</v>
      </c>
      <c r="B141" s="23">
        <f t="shared" ref="B141:K141" si="72">+B139-C131</f>
        <v>0.23003992789548172</v>
      </c>
      <c r="C141" s="23">
        <f t="shared" si="72"/>
        <v>1.5560553073664466E-2</v>
      </c>
      <c r="D141" s="23">
        <f t="shared" si="72"/>
        <v>-5.4668315218391501E-3</v>
      </c>
      <c r="E141" s="23">
        <f t="shared" si="72"/>
        <v>-1.292172307323549E-2</v>
      </c>
      <c r="F141" s="23">
        <f t="shared" si="72"/>
        <v>-1.3705255034926096E-2</v>
      </c>
      <c r="G141" s="23">
        <f t="shared" si="72"/>
        <v>-8.6620838873303282E-3</v>
      </c>
      <c r="H141" s="23">
        <f t="shared" si="72"/>
        <v>-7.4391944752547762E-4</v>
      </c>
      <c r="I141" s="23">
        <f t="shared" si="72"/>
        <v>-3.2501888475410523E-3</v>
      </c>
      <c r="J141" s="23">
        <f t="shared" si="72"/>
        <v>-4.8106111476257339E-3</v>
      </c>
      <c r="K141" s="23">
        <f t="shared" si="72"/>
        <v>2.1307002310978658E-3</v>
      </c>
    </row>
    <row r="142" spans="1:61" ht="18" customHeight="1" x14ac:dyDescent="0.2">
      <c r="A142" s="23" t="s">
        <v>13</v>
      </c>
      <c r="B142" s="23"/>
      <c r="C142" s="23">
        <f>+EXP(C128-0.1)</f>
        <v>0.99156642084830859</v>
      </c>
      <c r="D142" s="23">
        <f>+EXP(D128-0.1)</f>
        <v>0.97316409711486662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117.60618160330138</v>
      </c>
    </row>
    <row r="145" spans="1:74" ht="18" customHeight="1" x14ac:dyDescent="0.2">
      <c r="A145" s="23" t="s">
        <v>150</v>
      </c>
      <c r="B145" s="23">
        <f>+SUMPRODUCT(B140:AE140*B84:AE84)*10</f>
        <v>121.10560265880609</v>
      </c>
    </row>
    <row r="146" spans="1:74" ht="18" customHeight="1" x14ac:dyDescent="0.2">
      <c r="A146" s="23" t="s">
        <v>151</v>
      </c>
      <c r="B146" s="23">
        <f>+SUMPRODUCT(B140:BI140*B84:BI84)*10</f>
        <v>121.50136647875692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3">+B148/(1+B79)^10</f>
        <v>1.1854258017855548</v>
      </c>
      <c r="D148" s="23">
        <f t="shared" si="73"/>
        <v>1.2815519271396691</v>
      </c>
      <c r="E148" s="23">
        <f t="shared" si="73"/>
        <v>1.3498263456022002</v>
      </c>
      <c r="F148" s="23">
        <f t="shared" si="73"/>
        <v>1.3109929956353137</v>
      </c>
      <c r="G148" s="23">
        <f t="shared" si="73"/>
        <v>1.1665782411347541</v>
      </c>
      <c r="H148" s="23">
        <f t="shared" si="73"/>
        <v>0.97307452741243383</v>
      </c>
      <c r="I148" s="23">
        <f t="shared" si="73"/>
        <v>0.83066934173058304</v>
      </c>
      <c r="J148" s="23">
        <f t="shared" si="73"/>
        <v>0.71461741197225859</v>
      </c>
      <c r="K148" s="23">
        <f t="shared" si="73"/>
        <v>0.56408782150874937</v>
      </c>
      <c r="L148" s="23">
        <f t="shared" si="73"/>
        <v>0.45429251892903261</v>
      </c>
      <c r="M148" s="23">
        <f t="shared" si="73"/>
        <v>0.35724574499334938</v>
      </c>
      <c r="N148" s="23">
        <f t="shared" si="73"/>
        <v>0.27803975913366297</v>
      </c>
      <c r="O148" s="23">
        <f t="shared" si="73"/>
        <v>0.21647495240697107</v>
      </c>
      <c r="P148" s="23">
        <f t="shared" si="73"/>
        <v>0.16599909304730481</v>
      </c>
      <c r="Q148" s="23">
        <f t="shared" si="73"/>
        <v>0.12738928836916003</v>
      </c>
      <c r="R148" s="23">
        <f t="shared" si="73"/>
        <v>9.7436781268752617E-2</v>
      </c>
      <c r="S148" s="23">
        <f t="shared" si="73"/>
        <v>7.4511662424167568E-2</v>
      </c>
      <c r="T148" s="23">
        <f t="shared" si="73"/>
        <v>5.7653316257208168E-2</v>
      </c>
      <c r="U148" s="23">
        <f t="shared" si="73"/>
        <v>4.6208513030637569E-2</v>
      </c>
      <c r="V148" s="23">
        <f t="shared" si="73"/>
        <v>3.6145029418361931E-2</v>
      </c>
      <c r="W148" s="23">
        <f t="shared" si="73"/>
        <v>3.0252555369794994E-2</v>
      </c>
      <c r="X148" s="23">
        <f t="shared" si="73"/>
        <v>2.4448352585613446E-2</v>
      </c>
      <c r="Y148" s="23">
        <f t="shared" si="73"/>
        <v>2.0104343328316517E-2</v>
      </c>
      <c r="Z148" s="23">
        <f t="shared" si="73"/>
        <v>1.6599889623210629E-2</v>
      </c>
      <c r="AA148" s="23">
        <f t="shared" si="73"/>
        <v>1.3774034897630339E-2</v>
      </c>
      <c r="AB148" s="23">
        <f t="shared" si="73"/>
        <v>1.1638409429498684E-2</v>
      </c>
      <c r="AC148" s="23">
        <f t="shared" si="73"/>
        <v>9.5826889973395068E-3</v>
      </c>
      <c r="AD148" s="23">
        <f t="shared" si="73"/>
        <v>7.9230196897168738E-3</v>
      </c>
      <c r="AE148" s="23">
        <f t="shared" si="73"/>
        <v>6.6192249296294801E-3</v>
      </c>
      <c r="AF148" s="23">
        <f t="shared" si="73"/>
        <v>5.9184416567661987E-3</v>
      </c>
      <c r="AG148" s="23">
        <f t="shared" si="73"/>
        <v>4.7589628471487776E-3</v>
      </c>
      <c r="AH148" s="23">
        <f t="shared" si="73"/>
        <v>3.8745246867233503E-3</v>
      </c>
      <c r="AI148" s="23">
        <f t="shared" ref="AI148:BI148" si="74">+AH148/(1+AH79)^10</f>
        <v>5.8799441847291486E-5</v>
      </c>
      <c r="AJ148" s="23">
        <f t="shared" si="74"/>
        <v>1.7022314887685321E-5</v>
      </c>
      <c r="AK148" s="23">
        <f t="shared" si="74"/>
        <v>9.5939482523917416E-6</v>
      </c>
      <c r="AL148" s="23">
        <f t="shared" si="74"/>
        <v>6.6456310597979902E-6</v>
      </c>
      <c r="AM148" s="23">
        <f t="shared" si="74"/>
        <v>4.9960558030123728E-6</v>
      </c>
      <c r="AN148" s="23">
        <f t="shared" si="74"/>
        <v>3.9011385861009407E-6</v>
      </c>
      <c r="AO148" s="23">
        <f t="shared" si="74"/>
        <v>3.1051076005826076E-6</v>
      </c>
      <c r="AP148" s="23">
        <f t="shared" si="74"/>
        <v>2.4969548139464347E-6</v>
      </c>
      <c r="AQ148" s="23">
        <f t="shared" si="74"/>
        <v>2.0194858823745818E-6</v>
      </c>
      <c r="AR148" s="23">
        <f t="shared" si="74"/>
        <v>1.6388741680903672E-6</v>
      </c>
      <c r="AS148" s="23">
        <f t="shared" si="74"/>
        <v>1.3328332337477723E-6</v>
      </c>
      <c r="AT148" s="23">
        <f t="shared" si="74"/>
        <v>1.085495498077101E-6</v>
      </c>
      <c r="AU148" s="23">
        <f t="shared" si="74"/>
        <v>8.8497101732387374E-7</v>
      </c>
      <c r="AV148" s="23">
        <f t="shared" si="74"/>
        <v>7.2206389032969341E-7</v>
      </c>
      <c r="AW148" s="23">
        <f t="shared" si="74"/>
        <v>5.8952562862430577E-7</v>
      </c>
      <c r="AX148" s="23">
        <f t="shared" si="74"/>
        <v>4.815777768754106E-7</v>
      </c>
      <c r="AY148" s="23">
        <f t="shared" si="74"/>
        <v>3.9358205035328837E-7</v>
      </c>
      <c r="AZ148" s="23">
        <f t="shared" si="74"/>
        <v>3.2179919717026467E-7</v>
      </c>
      <c r="BA148" s="23">
        <f t="shared" si="74"/>
        <v>2.6320601430146435E-7</v>
      </c>
      <c r="BB148" s="23">
        <f t="shared" si="74"/>
        <v>2.153531953709756E-7</v>
      </c>
      <c r="BC148" s="23">
        <f t="shared" si="74"/>
        <v>1.7625328896745924E-7</v>
      </c>
      <c r="BD148" s="23">
        <f t="shared" si="74"/>
        <v>1.4429159006437713E-7</v>
      </c>
      <c r="BE148" s="23">
        <f t="shared" si="74"/>
        <v>1.1812473063024353E-7</v>
      </c>
      <c r="BF148" s="23">
        <f t="shared" si="74"/>
        <v>9.6733481188674016E-8</v>
      </c>
      <c r="BG148" s="23">
        <f t="shared" si="74"/>
        <v>7.9237537717194839E-8</v>
      </c>
      <c r="BH148" s="23">
        <f t="shared" si="74"/>
        <v>6.4921039197129871E-8</v>
      </c>
      <c r="BI148" s="23">
        <f t="shared" si="74"/>
        <v>5.5940332125518335E-8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227.39239809268381</v>
      </c>
    </row>
    <row r="152" spans="1:74" ht="18" customHeight="1" x14ac:dyDescent="0.2">
      <c r="A152" s="23" t="s">
        <v>150</v>
      </c>
      <c r="B152" s="23">
        <f>+SUMPRODUCT(B148:AE148*B84:AE84)*10</f>
        <v>234.74004362376127</v>
      </c>
    </row>
    <row r="153" spans="1:74" ht="18" customHeight="1" x14ac:dyDescent="0.2">
      <c r="A153" s="23" t="s">
        <v>151</v>
      </c>
      <c r="B153" s="23">
        <f>+SUMPRODUCT(B148:BI148*B84:BI84)*10</f>
        <v>235.66765275425749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7.5316499845114095E-3</v>
      </c>
      <c r="C155" s="29">
        <f t="shared" ref="C155:BI155" si="75">+C63*C61</f>
        <v>8.7847518623294218E-3</v>
      </c>
      <c r="D155" s="29">
        <f t="shared" si="75"/>
        <v>6.914746472501925E-3</v>
      </c>
      <c r="E155" s="29">
        <f t="shared" si="75"/>
        <v>7.3984309196291004E-3</v>
      </c>
      <c r="F155" s="29">
        <f t="shared" si="75"/>
        <v>8.9049276567427348E-3</v>
      </c>
      <c r="G155" s="29">
        <f t="shared" si="75"/>
        <v>1.1425165879520277E-2</v>
      </c>
      <c r="H155" s="29">
        <f t="shared" si="75"/>
        <v>1.0933567228218729E-2</v>
      </c>
      <c r="I155" s="29">
        <f t="shared" si="75"/>
        <v>1.3905927871446108E-2</v>
      </c>
      <c r="J155" s="29">
        <f t="shared" si="75"/>
        <v>1.7436177027246817E-2</v>
      </c>
      <c r="K155" s="29">
        <f t="shared" si="75"/>
        <v>1.5507150433229306E-2</v>
      </c>
      <c r="L155" s="29">
        <f t="shared" si="75"/>
        <v>1.7058137540521368E-2</v>
      </c>
      <c r="M155" s="29">
        <f t="shared" si="75"/>
        <v>2.1161563073452135E-2</v>
      </c>
      <c r="N155" s="29">
        <f t="shared" si="75"/>
        <v>2.503712372201709E-2</v>
      </c>
      <c r="O155" s="29">
        <f t="shared" si="75"/>
        <v>2.6727730432051414E-2</v>
      </c>
      <c r="P155" s="29">
        <f t="shared" si="75"/>
        <v>2.6840776882731423E-2</v>
      </c>
      <c r="Q155" s="29">
        <f t="shared" si="75"/>
        <v>3.291320817998606E-2</v>
      </c>
      <c r="R155" s="29">
        <f t="shared" si="75"/>
        <v>3.4987787583572953E-2</v>
      </c>
      <c r="S155" s="29">
        <f t="shared" si="75"/>
        <v>3.8731970668291489E-2</v>
      </c>
      <c r="T155" s="29">
        <f t="shared" si="75"/>
        <v>3.8088391451562544E-2</v>
      </c>
      <c r="U155" s="29">
        <f t="shared" si="75"/>
        <v>4.3685459650185297E-2</v>
      </c>
      <c r="V155" s="29">
        <f t="shared" si="75"/>
        <v>4.9541782032004794E-2</v>
      </c>
      <c r="W155" s="29">
        <f t="shared" si="75"/>
        <v>4.7619746883729011E-2</v>
      </c>
      <c r="X155" s="29">
        <f t="shared" si="75"/>
        <v>5.2432261436910384E-2</v>
      </c>
      <c r="Y155" s="29">
        <f t="shared" si="75"/>
        <v>5.6868300103876314E-2</v>
      </c>
      <c r="Z155" s="29">
        <f t="shared" si="75"/>
        <v>6.2615847441309186E-2</v>
      </c>
      <c r="AA155" s="29">
        <f t="shared" si="75"/>
        <v>7.3195548683563705E-2</v>
      </c>
      <c r="AB155" s="29">
        <f t="shared" si="75"/>
        <v>8.1705064397393404E-2</v>
      </c>
      <c r="AC155" s="29">
        <f t="shared" si="75"/>
        <v>8.1662119571446479E-2</v>
      </c>
      <c r="AD155" s="29">
        <f t="shared" si="75"/>
        <v>8.253349479695242E-2</v>
      </c>
      <c r="AE155" s="29">
        <f t="shared" si="75"/>
        <v>9.3305198774551415E-2</v>
      </c>
      <c r="AF155" s="29">
        <f t="shared" si="75"/>
        <v>9.4632811808967057E-2</v>
      </c>
      <c r="AG155" s="29">
        <f t="shared" si="75"/>
        <v>9.1517444938528689E-2</v>
      </c>
      <c r="AH155" s="29">
        <f t="shared" si="75"/>
        <v>9.9214886929939822E-2</v>
      </c>
      <c r="AI155" s="29">
        <f t="shared" si="75"/>
        <v>1.7429551883269685</v>
      </c>
      <c r="AJ155" s="29">
        <f t="shared" si="75"/>
        <v>3.4286197693654934</v>
      </c>
      <c r="AK155" s="29">
        <f t="shared" si="75"/>
        <v>5.47500908527548</v>
      </c>
      <c r="AL155" s="29">
        <f t="shared" si="75"/>
        <v>6.8151004558448198</v>
      </c>
      <c r="AM155" s="29">
        <f t="shared" si="75"/>
        <v>7.7540809710203318</v>
      </c>
      <c r="AN155" s="29">
        <f t="shared" si="75"/>
        <v>8.4834099748638376</v>
      </c>
      <c r="AO155" s="29">
        <f t="shared" si="75"/>
        <v>9.1056663401298756</v>
      </c>
      <c r="AP155" s="29">
        <f t="shared" si="75"/>
        <v>9.6769211045592716</v>
      </c>
      <c r="AQ155" s="29">
        <f t="shared" si="75"/>
        <v>10.228526116800086</v>
      </c>
      <c r="AR155" s="29">
        <f t="shared" si="75"/>
        <v>10.778397837833033</v>
      </c>
      <c r="AS155" s="29">
        <f t="shared" si="75"/>
        <v>11.33706001725052</v>
      </c>
      <c r="AT155" s="29">
        <f t="shared" si="75"/>
        <v>11.910949603599917</v>
      </c>
      <c r="AU155" s="29">
        <f t="shared" si="75"/>
        <v>12.504247073816103</v>
      </c>
      <c r="AV155" s="29">
        <f t="shared" si="75"/>
        <v>13.119896442048663</v>
      </c>
      <c r="AW155" s="29">
        <f t="shared" si="75"/>
        <v>13.760175907619795</v>
      </c>
      <c r="AX155" s="29">
        <f t="shared" si="75"/>
        <v>14.427018089365857</v>
      </c>
      <c r="AY155" s="29">
        <f t="shared" si="75"/>
        <v>15.122190410574472</v>
      </c>
      <c r="AZ155" s="29">
        <f t="shared" si="75"/>
        <v>15.847397337045262</v>
      </c>
      <c r="BA155" s="29">
        <f t="shared" si="75"/>
        <v>16.604338970149097</v>
      </c>
      <c r="BB155" s="29">
        <f t="shared" si="75"/>
        <v>17.394745302564022</v>
      </c>
      <c r="BC155" s="29">
        <f t="shared" si="75"/>
        <v>18.220396943840928</v>
      </c>
      <c r="BD155" s="29">
        <f t="shared" si="75"/>
        <v>19.083138364674078</v>
      </c>
      <c r="BE155" s="29">
        <f t="shared" si="75"/>
        <v>19.984887045218603</v>
      </c>
      <c r="BF155" s="29">
        <f t="shared" si="75"/>
        <v>20.928348115996528</v>
      </c>
      <c r="BG155" s="29">
        <f t="shared" si="75"/>
        <v>21.915135641971489</v>
      </c>
      <c r="BH155" s="29">
        <f t="shared" si="75"/>
        <v>22.947052979312964</v>
      </c>
      <c r="BI155" s="29">
        <f t="shared" si="75"/>
        <v>24.026293376094639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CE58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11.6640625" defaultRowHeight="18" customHeight="1" x14ac:dyDescent="0.2"/>
  <cols>
    <col min="1" max="1" width="68.5" style="21" customWidth="1"/>
    <col min="2" max="2" width="11.6640625" style="29" customWidth="1"/>
    <col min="3" max="16384" width="11.6640625" style="23"/>
  </cols>
  <sheetData>
    <row r="1" spans="1:61" ht="18" customHeight="1" x14ac:dyDescent="0.2">
      <c r="A1" s="21" t="s">
        <v>58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+Parameters!O35</f>
        <v>0.3</v>
      </c>
    </row>
    <row r="8" spans="1:61" ht="18" customHeight="1" x14ac:dyDescent="0.2">
      <c r="A8" s="21" t="s">
        <v>108</v>
      </c>
      <c r="B8" s="31">
        <f>+Parameters!O36</f>
        <v>0.1</v>
      </c>
    </row>
    <row r="9" spans="1:61" ht="18" customHeight="1" x14ac:dyDescent="0.2">
      <c r="A9" s="23" t="s">
        <v>49</v>
      </c>
      <c r="B9" s="29">
        <f>Parameters!O37</f>
        <v>4.5584762524914142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 x14ac:dyDescent="0.2">
      <c r="A11" s="23" t="s">
        <v>38</v>
      </c>
      <c r="B11" s="29">
        <f>+Parameters!O39</f>
        <v>7.6929611347491704</v>
      </c>
    </row>
    <row r="12" spans="1:61" ht="18" customHeight="1" x14ac:dyDescent="0.2">
      <c r="A12" s="23" t="s">
        <v>162</v>
      </c>
      <c r="B12" s="29">
        <f>+Parameters!O40</f>
        <v>3.7305977748297967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+Parameters!O43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+Parameters!O45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 x14ac:dyDescent="0.2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 x14ac:dyDescent="0.2">
      <c r="A21" s="21" t="s">
        <v>190</v>
      </c>
      <c r="B21" s="29">
        <f>+Parameters!O40</f>
        <v>3.7305977748297967</v>
      </c>
    </row>
    <row r="22" spans="1:103" ht="18" customHeight="1" x14ac:dyDescent="0.2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+Parameters!O51</f>
        <v>6.0898590598525759E-2</v>
      </c>
    </row>
    <row r="25" spans="1:103" ht="18" customHeight="1" x14ac:dyDescent="0.2">
      <c r="A25" s="21" t="s">
        <v>182</v>
      </c>
      <c r="B25" s="29">
        <f>+Parameters!O52</f>
        <v>0.13454323082344966</v>
      </c>
    </row>
    <row r="26" spans="1:103" ht="18" customHeight="1" x14ac:dyDescent="0.2">
      <c r="A26" s="21" t="s">
        <v>47</v>
      </c>
      <c r="B26" s="29">
        <f>+Parameters!O53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+Parameters!O54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+Parameters!O55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2.9935450206465728E-3</v>
      </c>
      <c r="AB31" s="23">
        <f t="shared" si="7"/>
        <v>2.7903195169731343E-3</v>
      </c>
      <c r="AC31" s="23">
        <f t="shared" si="7"/>
        <v>2.6046484309699834E-3</v>
      </c>
      <c r="AD31" s="23">
        <f t="shared" si="7"/>
        <v>2.43465451563125E-3</v>
      </c>
      <c r="AE31" s="23">
        <f t="shared" si="7"/>
        <v>2.2787063467522711E-3</v>
      </c>
      <c r="AF31" s="23">
        <f t="shared" si="7"/>
        <v>2.1353801652590583E-3</v>
      </c>
      <c r="AG31" s="23">
        <f t="shared" si="7"/>
        <v>2.0034284433843052E-3</v>
      </c>
      <c r="AH31" s="23">
        <f t="shared" si="7"/>
        <v>1.8817538718820732E-3</v>
      </c>
      <c r="AI31" s="23">
        <f t="shared" si="7"/>
        <v>1.7693877383969396E-3</v>
      </c>
      <c r="AJ31" s="23">
        <f t="shared" si="7"/>
        <v>1.6654718787305653E-3</v>
      </c>
      <c r="AK31" s="23">
        <f t="shared" si="7"/>
        <v>1.5692435477522269E-3</v>
      </c>
      <c r="AL31" s="23">
        <f t="shared" si="7"/>
        <v>1.4800226860306374E-3</v>
      </c>
      <c r="AM31" s="23">
        <f t="shared" si="7"/>
        <v>1.3972011601459265E-3</v>
      </c>
      <c r="AN31" s="23">
        <f t="shared" si="7"/>
        <v>1.3202336352853242E-3</v>
      </c>
      <c r="AO31" s="23">
        <f t="shared" si="7"/>
        <v>1.2486298028540287E-3</v>
      </c>
      <c r="AP31" s="23">
        <f t="shared" si="7"/>
        <v>1.1819477370503457E-3</v>
      </c>
      <c r="AQ31" s="23">
        <f t="shared" si="7"/>
        <v>1.1197881954316125E-3</v>
      </c>
      <c r="AR31" s="23">
        <f t="shared" si="7"/>
        <v>1.061789711573649E-3</v>
      </c>
      <c r="AS31" s="23">
        <f t="shared" si="7"/>
        <v>1.0076243546613536E-3</v>
      </c>
      <c r="AT31" s="23">
        <f t="shared" si="7"/>
        <v>9.569940525358103E-4</v>
      </c>
      <c r="AU31" s="23">
        <f t="shared" si="7"/>
        <v>9.0962739237780308E-4</v>
      </c>
      <c r="AV31" s="23">
        <f t="shared" si="7"/>
        <v>8.6527682762668984E-4</v>
      </c>
      <c r="AW31" s="23">
        <f t="shared" si="7"/>
        <v>8.2371623154766586E-4</v>
      </c>
      <c r="AX31" s="23">
        <f t="shared" si="7"/>
        <v>7.8473874756974655E-4</v>
      </c>
      <c r="AY31" s="23">
        <f t="shared" si="7"/>
        <v>7.4815489451986964E-4</v>
      </c>
      <c r="AZ31" s="23">
        <f t="shared" si="7"/>
        <v>7.1379089149399663E-4</v>
      </c>
      <c r="BA31" s="23">
        <f t="shared" si="7"/>
        <v>6.8148717258968868E-4</v>
      </c>
      <c r="BB31" s="23">
        <f t="shared" si="7"/>
        <v>6.5109706628227069E-4</v>
      </c>
      <c r="BC31" s="23">
        <f t="shared" si="7"/>
        <v>6.2248561802471809E-4</v>
      </c>
      <c r="BD31" s="23">
        <f t="shared" si="7"/>
        <v>5.9552853782460073E-4</v>
      </c>
      <c r="BE31" s="23">
        <f t="shared" si="7"/>
        <v>2.9029005223197603E-4</v>
      </c>
      <c r="BF31" s="23">
        <f t="shared" si="7"/>
        <v>1.4150768817670331E-4</v>
      </c>
      <c r="BG31" s="23">
        <f t="shared" si="7"/>
        <v>6.8983368005730666E-5</v>
      </c>
      <c r="BH31" s="23">
        <f t="shared" si="7"/>
        <v>3.3629745528121347E-5</v>
      </c>
      <c r="BI31" s="23">
        <f t="shared" si="7"/>
        <v>1.6395177143161937E-5</v>
      </c>
    </row>
    <row r="32" spans="1:103" s="33" customFormat="1" ht="18" customHeight="1" x14ac:dyDescent="0.2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0.57272770869620715</v>
      </c>
      <c r="AB36" s="23">
        <f>+IF(AB4&gt;$B$37,AA36*Parameters!$B$105,$B$33*$B$32+(AA36-$B$33*$B$32)*(1-$B$34))</f>
        <v>0.55228132326139678</v>
      </c>
      <c r="AC36" s="23">
        <f>+IF(AC4&gt;$B$37,AB36*Parameters!$B$105,$B$33*$B$32+(AB36-$B$33*$B$32)*(1-$B$34))</f>
        <v>0.53285725709832688</v>
      </c>
      <c r="AD36" s="23">
        <f>+IF(AD4&gt;$B$37,AC36*Parameters!$B$105,$B$33*$B$32+(AC36-$B$33*$B$32)*(1-$B$34))</f>
        <v>0.51440439424341045</v>
      </c>
      <c r="AE36" s="23">
        <f>+IF(AE4&gt;$B$37,AD36*Parameters!$B$105,$B$33*$B$32+(AD36-$B$33*$B$32)*(1-$B$34))</f>
        <v>0.49687417453123983</v>
      </c>
      <c r="AF36" s="23">
        <f>+IF(AF4&gt;$B$37,AE36*Parameters!$B$105,$B$33*$B$32+(AE36-$B$33*$B$32)*(1-$B$34))</f>
        <v>0.48022046580467781</v>
      </c>
      <c r="AG36" s="23">
        <f>+IF(AG4&gt;$B$37,AF36*Parameters!$B$105,$B$33*$B$32+(AF36-$B$33*$B$32)*(1-$B$34))</f>
        <v>0.46439944251444387</v>
      </c>
      <c r="AH36" s="23">
        <f>+IF(AH4&gt;$B$37,AG36*Parameters!$B$105,$B$33*$B$32+(AG36-$B$33*$B$32)*(1-$B$34))</f>
        <v>0.44936947038872166</v>
      </c>
      <c r="AI36" s="23">
        <f>+IF(AI4&gt;$B$37,AH36*Parameters!$B$105,$B$33*$B$32+(AH36-$B$33*$B$32)*(1-$B$34))</f>
        <v>0.43509099686928554</v>
      </c>
      <c r="AJ36" s="23">
        <f>+IF(AJ4&gt;$B$37,AI36*Parameters!$B$105,$B$33*$B$32+(AI36-$B$33*$B$32)*(1-$B$34))</f>
        <v>0.4215264470258212</v>
      </c>
      <c r="AK36" s="23">
        <f>+IF(AK4&gt;$B$37,AJ36*Parameters!$B$105,$B$33*$B$32+(AJ36-$B$33*$B$32)*(1-$B$34))</f>
        <v>0.40864012467453015</v>
      </c>
      <c r="AL36" s="23">
        <f>+IF(AL4&gt;$B$37,AK36*Parameters!$B$105,$B$33*$B$32+(AK36-$B$33*$B$32)*(1-$B$34))</f>
        <v>0.39639811844080364</v>
      </c>
      <c r="AM36" s="23">
        <f>+IF(AM4&gt;$B$37,AL36*Parameters!$B$105,$B$33*$B$32+(AL36-$B$33*$B$32)*(1-$B$34))</f>
        <v>0.38476821251876347</v>
      </c>
      <c r="AN36" s="23">
        <f>+IF(AN4&gt;$B$37,AM36*Parameters!$B$105,$B$33*$B$32+(AM36-$B$33*$B$32)*(1-$B$34))</f>
        <v>0.37371980189282528</v>
      </c>
      <c r="AO36" s="23">
        <f>+IF(AO4&gt;$B$37,AN36*Parameters!$B$105,$B$33*$B$32+(AN36-$B$33*$B$32)*(1-$B$34))</f>
        <v>0.36322381179818397</v>
      </c>
      <c r="AP36" s="23">
        <f>+IF(AP4&gt;$B$37,AO36*Parameters!$B$105,$B$33*$B$32+(AO36-$B$33*$B$32)*(1-$B$34))</f>
        <v>0.35325262120827478</v>
      </c>
      <c r="AQ36" s="23">
        <f>+IF(AQ4&gt;$B$37,AP36*Parameters!$B$105,$B$33*$B$32+(AP36-$B$33*$B$32)*(1-$B$34))</f>
        <v>0.34377999014786104</v>
      </c>
      <c r="AR36" s="23">
        <f>+IF(AR4&gt;$B$37,AQ36*Parameters!$B$105,$B$33*$B$32+(AQ36-$B$33*$B$32)*(1-$B$34))</f>
        <v>0.33478099064046796</v>
      </c>
      <c r="AS36" s="23">
        <f>+IF(AS4&gt;$B$37,AR36*Parameters!$B$105,$B$33*$B$32+(AR36-$B$33*$B$32)*(1-$B$34))</f>
        <v>0.32623194110844456</v>
      </c>
      <c r="AT36" s="23">
        <f>+IF(AT4&gt;$B$37,AS36*Parameters!$B$105,$B$33*$B$32+(AS36-$B$33*$B$32)*(1-$B$34))</f>
        <v>0.3181103440530223</v>
      </c>
      <c r="AU36" s="23">
        <f>+IF(AU4&gt;$B$37,AT36*Parameters!$B$105,$B$33*$B$32+(AT36-$B$33*$B$32)*(1-$B$34))</f>
        <v>0.31039482685037117</v>
      </c>
      <c r="AV36" s="23">
        <f>+IF(AV4&gt;$B$37,AU36*Parameters!$B$105,$B$33*$B$32+(AU36-$B$33*$B$32)*(1-$B$34))</f>
        <v>0.30306508550785261</v>
      </c>
      <c r="AW36" s="23">
        <f>+IF(AW4&gt;$B$37,AV36*Parameters!$B$105,$B$33*$B$32+(AV36-$B$33*$B$32)*(1-$B$34))</f>
        <v>0.29610183123245998</v>
      </c>
      <c r="AX36" s="23">
        <f>+IF(AX4&gt;$B$37,AW36*Parameters!$B$105,$B$33*$B$32+(AW36-$B$33*$B$32)*(1-$B$34))</f>
        <v>0.28948673967083693</v>
      </c>
      <c r="AY36" s="23">
        <f>+IF(AY4&gt;$B$37,AX36*Parameters!$B$105,$B$33*$B$32+(AX36-$B$33*$B$32)*(1-$B$34))</f>
        <v>0.28320240268729507</v>
      </c>
      <c r="AZ36" s="23">
        <f>+IF(AZ4&gt;$B$37,AY36*Parameters!$B$105,$B$33*$B$32+(AY36-$B$33*$B$32)*(1-$B$34))</f>
        <v>0.27723228255293031</v>
      </c>
      <c r="BA36" s="23">
        <f>+IF(BA4&gt;$B$37,AZ36*Parameters!$B$105,$B$33*$B$32+(AZ36-$B$33*$B$32)*(1-$B$34))</f>
        <v>0.27156066842528381</v>
      </c>
      <c r="BB36" s="23">
        <f>+IF(BB4&gt;$B$37,BA36*Parameters!$B$105,$B$33*$B$32+(BA36-$B$33*$B$32)*(1-$B$34))</f>
        <v>0.26617263500401961</v>
      </c>
      <c r="BC36" s="23">
        <f>+IF(BC4&gt;$B$37,BB36*Parameters!$B$105,$B$33*$B$32+(BB36-$B$33*$B$32)*(1-$B$34))</f>
        <v>0.26105400325381861</v>
      </c>
      <c r="BD36" s="23">
        <f>+IF(BD4&gt;$B$37,BC36*Parameters!$B$105,$B$33*$B$32+(BC36-$B$33*$B$32)*(1-$B$34))</f>
        <v>0.2561913030911277</v>
      </c>
      <c r="BE36" s="23">
        <f>+IF(BE4&gt;$B$37,BD36*Parameters!$B$105,$B$33*$B$32+(BD36-$B$33*$B$32)*(1-$B$34))</f>
        <v>0.12809565154556385</v>
      </c>
      <c r="BF36" s="23">
        <f>+IF(BF4&gt;$B$37,BE36*Parameters!$B$105,$B$33*$B$32+(BE36-$B$33*$B$32)*(1-$B$34))</f>
        <v>6.4047825772781924E-2</v>
      </c>
      <c r="BG36" s="23">
        <f>+IF(BG4&gt;$B$37,BF36*Parameters!$B$105,$B$33*$B$32+(BF36-$B$33*$B$32)*(1-$B$34))</f>
        <v>3.2023912886390962E-2</v>
      </c>
      <c r="BH36" s="23">
        <f>+IF(BH4&gt;$B$37,BG36*Parameters!$B$105,$B$33*$B$32+(BG36-$B$33*$B$32)*(1-$B$34))</f>
        <v>1.6011956443195481E-2</v>
      </c>
      <c r="BI36" s="23">
        <f>+IF(BI4&gt;$B$37,BH36*Parameters!$B$105,$B$33*$B$32+(BH36-$B$33*$B$32)*(1-$B$34))</f>
        <v>8.0059782215977406E-3</v>
      </c>
    </row>
    <row r="37" spans="1:61 16384:16384" s="33" customFormat="1" ht="18" customHeight="1" x14ac:dyDescent="0.2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 x14ac:dyDescent="0.2">
      <c r="A41" s="21" t="s">
        <v>92</v>
      </c>
      <c r="B41" s="29">
        <f>+Parameters!O69</f>
        <v>9.0440834978974038E-2</v>
      </c>
    </row>
    <row r="42" spans="1:61 16384:16384" s="45" customFormat="1" ht="18" customHeight="1" x14ac:dyDescent="0.2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 x14ac:dyDescent="0.2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 x14ac:dyDescent="0.2">
      <c r="A44" s="21" t="s">
        <v>23</v>
      </c>
      <c r="B44" s="29">
        <f>+Parameters!O70</f>
        <v>0.6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+Parameters!D140</f>
        <v>0</v>
      </c>
      <c r="C48" s="219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2.0536161322103438E-4</v>
      </c>
      <c r="D50" s="44">
        <f>100*$B$49*(Global!C135*$B$48+Global!C135^2*$C$48)*(C61/$B61)^(1/$C$49)</f>
        <v>2.7853082404136518E-4</v>
      </c>
      <c r="E50" s="44">
        <f>100*$B$49*(Global!D135*$B$48+Global!D135^2*$C$48)*(D61/$B61)^(1/$C$49)</f>
        <v>3.7767926492030977E-4</v>
      </c>
      <c r="F50" s="44">
        <f>100*$B$49*(Global!E135*$B$48+Global!E135^2*$C$48)*(E61/$B61)^(1/$C$49)</f>
        <v>4.951390648952655E-4</v>
      </c>
      <c r="G50" s="44">
        <f>100*$B$49*(Global!F135*$B$48+Global!F135^2*$C$48)*(F61/$B61)^(1/$C$49)</f>
        <v>6.4106932385660524E-4</v>
      </c>
      <c r="H50" s="44">
        <f>100*$B$49*(Global!G135*$B$48+Global!G135^2*$C$48)*(G61/$B61)^(1/$C$49)</f>
        <v>8.1764442610402551E-4</v>
      </c>
      <c r="I50" s="44">
        <f>100*$B$49*(Global!H135*$B$48+Global!H135^2*$C$48)*(H61/$B61)^(1/$C$49)</f>
        <v>1.0033705365267854E-3</v>
      </c>
      <c r="J50" s="44">
        <f>100*$B$49*(Global!I135*$B$48+Global!I135^2*$C$48)*(I61/$B61)^(1/$C$49)</f>
        <v>1.237379259330414E-3</v>
      </c>
      <c r="K50" s="44">
        <f>100*$B$49*(Global!J135*$B$48+Global!J135^2*$C$48)*(J61/$B61)^(1/$C$49)</f>
        <v>1.5174156318028108E-3</v>
      </c>
      <c r="L50" s="44">
        <f>100*$B$49*(Global!K135*$B$48+Global!K135^2*$C$48)*(K61/$B61)^(1/$C$49)</f>
        <v>1.7632837310876241E-3</v>
      </c>
      <c r="M50" s="44">
        <f>100*$B$49*(Global!L135*$B$48+Global!L135^2*$C$48)*(L61/$B61)^(1/$C$49)</f>
        <v>2.0434971558106673E-3</v>
      </c>
      <c r="N50" s="44">
        <f>100*$B$49*(Global!M135*$B$48+Global!M135^2*$C$48)*(M61/$B61)^(1/$C$49)</f>
        <v>2.2941285471480329E-3</v>
      </c>
      <c r="O50" s="44">
        <f>100*$B$49*(Global!N135*$B$48+Global!N135^2*$C$48)*(N61/$B61)^(1/$C$49)</f>
        <v>2.583810512805347E-3</v>
      </c>
      <c r="P50" s="44">
        <f>100*$B$49*(Global!O135*$B$48+Global!O135^2*$C$48)*(O61/$B61)^(1/$C$49)</f>
        <v>2.8978659316882946E-3</v>
      </c>
      <c r="Q50" s="44">
        <f>100*$B$49*(Global!P135*$B$48+Global!P135^2*$C$48)*(P61/$B61)^(1/$C$49)</f>
        <v>3.2218996989632214E-3</v>
      </c>
      <c r="R50" s="44">
        <f>100*$B$49*(Global!Q135*$B$48+Global!Q135^2*$C$48)*(Q61/$B61)^(1/$C$49)</f>
        <v>3.5958792545075875E-3</v>
      </c>
      <c r="S50" s="44">
        <f>100*$B$49*(Global!R135*$B$48+Global!R135^2*$C$48)*(R61/$B61)^(1/$C$49)</f>
        <v>3.9907711114343094E-3</v>
      </c>
      <c r="T50" s="44">
        <f>100*$B$49*(Global!S135*$B$48+Global!S135^2*$C$48)*(S61/$B61)^(1/$C$49)</f>
        <v>4.4124615208218998E-3</v>
      </c>
      <c r="U50" s="44">
        <f>100*$B$49*(Global!T135*$B$48+Global!T135^2*$C$48)*(T61/$B61)^(1/$C$49)</f>
        <v>4.7938022429200025E-3</v>
      </c>
      <c r="V50" s="44">
        <f>100*$B$49*(Global!U135*$B$48+Global!U135^2*$C$48)*(U61/$B61)^(1/$C$49)</f>
        <v>5.1519755431627696E-3</v>
      </c>
      <c r="W50" s="44">
        <f>100*$B$49*(Global!V135*$B$48+Global!V135^2*$C$48)*(V61/$B61)^(1/$C$49)</f>
        <v>5.6634612340378159E-3</v>
      </c>
      <c r="X50" s="44">
        <f>100*$B$49*(Global!W135*$B$48+Global!W135^2*$C$48)*(W61/$B61)^(1/$C$49)</f>
        <v>6.1275025434772206E-3</v>
      </c>
      <c r="Y50" s="44">
        <f>100*$B$49*(Global!X135*$B$48+Global!X135^2*$C$48)*(X61/$B61)^(1/$C$49)</f>
        <v>6.5962337333907387E-3</v>
      </c>
      <c r="Z50" s="44">
        <f>100*$B$49*(Global!Y135*$B$48+Global!Y135^2*$C$48)*(Y61/$B61)^(1/$C$49)</f>
        <v>7.0933045275637877E-3</v>
      </c>
      <c r="AA50" s="44">
        <f>100*$B$49*(Global!Z135*$B$48+Global!Z135^2*$C$48)*(Z61/$B61)^(1/$C$49)</f>
        <v>7.6073994656167742E-3</v>
      </c>
      <c r="AB50" s="44">
        <f>100*$B$49*(Global!AA135*$B$48+Global!AA135^2*$C$48)*(AA61/$B61)^(1/$C$49)</f>
        <v>8.1865924395191948E-3</v>
      </c>
      <c r="AC50" s="44">
        <f>100*$B$49*(Global!AB135*$B$48+Global!AB135^2*$C$48)*(AB61/$B61)^(1/$C$49)</f>
        <v>8.8127585819757093E-3</v>
      </c>
      <c r="AD50" s="44">
        <f>100*$B$49*(Global!AC135*$B$48+Global!AC135^2*$C$48)*(AC61/$B61)^(1/$C$49)</f>
        <v>9.4553517376701167E-3</v>
      </c>
      <c r="AE50" s="44">
        <f>100*$B$49*(Global!AD135*$B$48+Global!AD135^2*$C$48)*(AD61/$B61)^(1/$C$49)</f>
        <v>1.0073578421951959E-2</v>
      </c>
      <c r="AF50" s="44">
        <f>100*$B$49*(Global!AE135*$B$48+Global!AE135^2*$C$48)*(AE61/$B61)^(1/$C$49)</f>
        <v>1.0742541525357301E-2</v>
      </c>
      <c r="AG50" s="44">
        <f>100*$B$49*(Global!AF135*$B$48+Global!AF135^2*$C$48)*(AF61/$B61)^(1/$C$49)</f>
        <v>1.1219991630599899E-2</v>
      </c>
      <c r="AH50" s="44">
        <f>100*$B$49*(Global!AG135*$B$48+Global!AG135^2*$C$48)*(AG61/$B61)^(1/$C$49)</f>
        <v>1.2019333434980954E-2</v>
      </c>
      <c r="AI50" s="44">
        <f>100*$B$49*(Global!AH135*$B$48+Global!AH135^2*$C$48)*(AH61/$B61)^(1/$C$49)</f>
        <v>1.2768771305284031E-2</v>
      </c>
      <c r="AJ50" s="44">
        <f>100*$B$49*(Global!AI135*$B$48+Global!AI135^2*$C$48)*(AI61/$B61)^(1/$C$49)</f>
        <v>2.3862870309837553E-2</v>
      </c>
      <c r="AK50" s="44">
        <f>100*$B$49*(Global!AJ135*$B$48+Global!AJ135^2*$C$48)*(AJ61/$B61)^(1/$C$49)</f>
        <v>2.7738411801039406E-2</v>
      </c>
      <c r="AL50" s="44">
        <f>100*$B$49*(Global!AK135*$B$48+Global!AK135^2*$C$48)*(AK61/$B61)^(1/$C$49)</f>
        <v>2.9541216240272502E-2</v>
      </c>
      <c r="AM50" s="44">
        <f>100*$B$49*(Global!AL135*$B$48+Global!AL135^2*$C$48)*(AL61/$B61)^(1/$C$49)</f>
        <v>3.0571959441404027E-2</v>
      </c>
      <c r="AN50" s="44">
        <f>100*$B$49*(Global!AM135*$B$48+Global!AM135^2*$C$48)*(AM61/$B61)^(1/$C$49)</f>
        <v>3.1273961016611417E-2</v>
      </c>
      <c r="AO50" s="44">
        <f>100*$B$49*(Global!AN135*$B$48+Global!AN135^2*$C$48)*(AN61/$B61)^(1/$C$49)</f>
        <v>3.1823672889089792E-2</v>
      </c>
      <c r="AP50" s="44">
        <f>100*$B$49*(Global!AO135*$B$48+Global!AO135^2*$C$48)*(AO61/$B61)^(1/$C$49)</f>
        <v>3.2301759053007542E-2</v>
      </c>
      <c r="AQ50" s="44">
        <f>100*$B$49*(Global!AP135*$B$48+Global!AP135^2*$C$48)*(AP61/$B61)^(1/$C$49)</f>
        <v>3.2748177268426951E-2</v>
      </c>
      <c r="AR50" s="44">
        <f>100*$B$49*(Global!AQ135*$B$48+Global!AQ135^2*$C$48)*(AQ61/$B61)^(1/$C$49)</f>
        <v>3.3183658958221007E-2</v>
      </c>
      <c r="AS50" s="44">
        <f>100*$B$49*(Global!AR135*$B$48+Global!AR135^2*$C$48)*(AR61/$B61)^(1/$C$49)</f>
        <v>3.361928308207951E-2</v>
      </c>
      <c r="AT50" s="44">
        <f>100*$B$49*(Global!AS135*$B$48+Global!AS135^2*$C$48)*(AS61/$B61)^(1/$C$49)</f>
        <v>3.4061112455095834E-2</v>
      </c>
      <c r="AU50" s="44">
        <f>100*$B$49*(Global!AT135*$B$48+Global!AT135^2*$C$48)*(AT61/$B61)^(1/$C$49)</f>
        <v>3.4512551209649231E-2</v>
      </c>
      <c r="AV50" s="44">
        <f>100*$B$49*(Global!AU135*$B$48+Global!AU135^2*$C$48)*(AU61/$B61)^(1/$C$49)</f>
        <v>3.4975577441575798E-2</v>
      </c>
      <c r="AW50" s="44">
        <f>100*$B$49*(Global!AV135*$B$48+Global!AV135^2*$C$48)*(AV61/$B61)^(1/$C$49)</f>
        <v>3.5451398090586013E-2</v>
      </c>
      <c r="AX50" s="44">
        <f>100*$B$49*(Global!AW135*$B$48+Global!AW135^2*$C$48)*(AW61/$B61)^(1/$C$49)</f>
        <v>3.5940800176181099E-2</v>
      </c>
      <c r="AY50" s="44">
        <f>100*$B$49*(Global!AX135*$B$48+Global!AX135^2*$C$48)*(AX61/$B61)^(1/$C$49)</f>
        <v>3.6444340359874587E-2</v>
      </c>
      <c r="AZ50" s="44">
        <f>100*$B$49*(Global!AY135*$B$48+Global!AY135^2*$C$48)*(AY61/$B61)^(1/$C$49)</f>
        <v>3.6962447772159686E-2</v>
      </c>
      <c r="BA50" s="44">
        <f>100*$B$49*(Global!AZ135*$B$48+Global!AZ135^2*$C$48)*(AZ61/$B61)^(1/$C$49)</f>
        <v>3.7495480089759815E-2</v>
      </c>
      <c r="BB50" s="44">
        <f>100*$B$49*(Global!BA135*$B$48+Global!BA135^2*$C$48)*(BA61/$B61)^(1/$C$49)</f>
        <v>3.8043754331657548E-2</v>
      </c>
      <c r="BC50" s="44">
        <f>100*$B$49*(Global!BB135*$B$48+Global!BB135^2*$C$48)*(BB61/$B61)^(1/$C$49)</f>
        <v>3.8607563943577138E-2</v>
      </c>
      <c r="BD50" s="44">
        <f>100*$B$49*(Global!BC135*$B$48+Global!BC135^2*$C$48)*(BC61/$B61)^(1/$C$49)</f>
        <v>3.918718842130052E-2</v>
      </c>
      <c r="BE50" s="44">
        <f>100*$B$49*(Global!BD135*$B$48+Global!BD135^2*$C$48)*(BD61/$B61)^(1/$C$49)</f>
        <v>3.978289885590832E-2</v>
      </c>
      <c r="BF50" s="44">
        <f>100*$B$49*(Global!BE135*$B$48+Global!BE135^2*$C$48)*(BE61/$B61)^(1/$C$49)</f>
        <v>4.0394961235406722E-2</v>
      </c>
      <c r="BG50" s="44">
        <f>100*$B$49*(Global!BF135*$B$48+Global!BF135^2*$C$48)*(BF61/$B61)^(1/$C$49)</f>
        <v>4.1024209827599016E-2</v>
      </c>
      <c r="BH50" s="44">
        <f>100*$B$49*(Global!BG135*$B$48+Global!BG135^2*$C$48)*(BG61/$B61)^(1/$C$49)</f>
        <v>4.1670341910293632E-2</v>
      </c>
      <c r="BI50" s="44">
        <f>100*$B$49*(Global!BH135*$B$48+Global!BH135^2*$C$48)*(BH61/$B61)^(1/$C$49)</f>
        <v>4.2333465363314567E-2</v>
      </c>
      <c r="BJ50" s="44">
        <f>100*$B$49*(Global!BI135*$B$48+Global!BI135^2*$C$48)*(BI61/$B61)^(1/$C$49)</f>
        <v>4.301383375545606E-2</v>
      </c>
      <c r="BK50" s="44">
        <f>100*$B$49*(Global!BJ80*$B$48+Global!BJ80^2*$C$48)*(BJ61/$B61)^(1/$C$49)</f>
        <v>4.3345691411302317E-2</v>
      </c>
      <c r="BL50" s="44">
        <f>100*$B$49*(Global!BK80*$B$48+Global!BK80^2*$C$48)*(BK61/$B61)^(1/$C$49)</f>
        <v>4.3687264828109959E-2</v>
      </c>
      <c r="BM50" s="44">
        <f>100*$B$49*(Global!BL80*$B$48+Global!BL80^2*$C$48)*(BL61/$B61)^(1/$C$49)</f>
        <v>4.4038439429901675E-2</v>
      </c>
      <c r="BN50" s="44">
        <f>100*$B$49*(Global!BM80*$B$48+Global!BM80^2*$C$48)*(BM61/$B61)^(1/$C$49)</f>
        <v>4.4399104765421152E-2</v>
      </c>
      <c r="BO50" s="44">
        <f>100*$B$49*(Global!BN80*$B$48+Global!BN80^2*$C$48)*(BN61/$B61)^(1/$C$49)</f>
        <v>4.476915429271202E-2</v>
      </c>
      <c r="BP50" s="44">
        <f>100*$B$49*(Global!BO80*$B$48+Global!BO80^2*$C$48)*(BO61/$B61)^(1/$C$49)</f>
        <v>4.5148485175438971E-2</v>
      </c>
      <c r="BQ50" s="44">
        <f>100*$B$49*(Global!BP80*$B$48+Global!BP80^2*$C$48)*(BP61/$B61)^(1/$C$49)</f>
        <v>4.5536998090331328E-2</v>
      </c>
      <c r="BR50" s="44">
        <f>100*$B$49*(Global!BQ80*$B$48+Global!BQ80^2*$C$48)*(BQ61/$B61)^(1/$C$49)</f>
        <v>4.5934597045161021E-2</v>
      </c>
      <c r="BS50" s="44">
        <f>100*$B$49*(Global!BR80*$B$48+Global!BR80^2*$C$48)*(BR61/$B61)^(1/$C$49)</f>
        <v>4.6341189206696859E-2</v>
      </c>
      <c r="BT50" s="44">
        <f>100*$B$49*(Global!BS80*$B$48+Global!BS80^2*$C$48)*(BS61/$B61)^(1/$C$49)</f>
        <v>4.6756684738105868E-2</v>
      </c>
      <c r="BU50" s="44">
        <f>100*$B$49*(Global!BT80*$B$48+Global!BT80^2*$C$48)*(BT61/$B61)^(1/$C$49)</f>
        <v>4.7180996645298456E-2</v>
      </c>
      <c r="BV50" s="44">
        <f>100*$B$49*(Global!BU80*$B$48+Global!BU80^2*$C$48)*(BU61/$B61)^(1/$C$49)</f>
        <v>4.7614040631741635E-2</v>
      </c>
      <c r="BW50" s="44">
        <f>100*$B$49*(Global!BV80*$B$48+Global!BV80^2*$C$48)*(BV61/$B61)^(1/$C$49)</f>
        <v>4.8055734961287316E-2</v>
      </c>
      <c r="BX50" s="44">
        <f>100*$B$49*(Global!BW80*$B$48+Global!BW80^2*$C$48)*(BW61/$B61)^(1/$C$49)</f>
        <v>4.8506000328586908E-2</v>
      </c>
      <c r="BY50" s="44">
        <f>100*$B$49*(Global!BX80*$B$48+Global!BX80^2*$C$48)*(BX61/$B61)^(1/$C$49)</f>
        <v>4.8964759736685251E-2</v>
      </c>
      <c r="BZ50" s="44">
        <f>100*$B$49*(Global!BY80*$B$48+Global!BY80^2*$C$48)*(BY61/$B61)^(1/$C$49)</f>
        <v>4.9431938381407865E-2</v>
      </c>
      <c r="CA50" s="44">
        <f>100*$B$49*(Global!BZ80*$B$48+Global!BZ80^2*$C$48)*(BZ61/$B61)^(1/$C$49)</f>
        <v>4.9907463542175415E-2</v>
      </c>
      <c r="CB50" s="44">
        <f>100*$B$49*(Global!CA80*$B$48+Global!CA80^2*$C$48)*(CA61/$B61)^(1/$C$49)</f>
        <v>5.0391264478898544E-2</v>
      </c>
      <c r="CC50" s="44">
        <f>100*$B$49*(Global!CB80*$B$48+Global!CB80^2*$C$48)*(CB61/$B61)^(1/$C$49)</f>
        <v>5.0883272334623281E-2</v>
      </c>
      <c r="CD50" s="44">
        <f>100*$B$49*(Global!CC80*$B$48+Global!CC80^2*$C$48)*(CC61/$B61)^(1/$C$49)</f>
        <v>5.1383420043615909E-2</v>
      </c>
      <c r="CE50" s="44">
        <f>100*$B$49*(Global!CD80*$B$48+Global!CD80^2*$C$48)*(CD61/$B61)^(1/$C$49)</f>
        <v>5.1891642244590315E-2</v>
      </c>
      <c r="CF50" s="44">
        <f>100*$B$49*(Global!CE80*$B$48+Global!CE80^2*$C$48)*(CE61/$B61)^(1/$C$49)</f>
        <v>5.2407875198798359E-2</v>
      </c>
      <c r="CG50" s="44">
        <f>100*$B$49*(Global!CF80*$B$48+Global!CF80^2*$C$48)*(CF61/$B61)^(1/$C$49)</f>
        <v>5.2932056712716967E-2</v>
      </c>
      <c r="CH50" s="44">
        <f>100*$B$49*(Global!CG80*$B$48+Global!CG80^2*$C$48)*(CG61/$B61)^(1/$C$49)</f>
        <v>5.3464126065079796E-2</v>
      </c>
      <c r="CI50" s="44">
        <f>100*$B$49*(Global!CH80*$B$48+Global!CH80^2*$C$48)*(CH61/$B61)^(1/$C$49)</f>
        <v>5.4004023938015414E-2</v>
      </c>
      <c r="CJ50" s="44">
        <f>100*$B$49*(Global!CI80*$B$48+Global!CI80^2*$C$48)*(CI61/$B61)^(1/$C$49)</f>
        <v>5.4551692352065091E-2</v>
      </c>
      <c r="CK50" s="44">
        <f>100*$B$49*(Global!CJ80*$B$48+Global!CJ80^2*$C$48)*(CJ61/$B61)^(1/$C$49)</f>
        <v>5.5107074604866149E-2</v>
      </c>
      <c r="CL50" s="44">
        <f>100*$B$49*(Global!CK80*$B$48+Global!CK80^2*$C$48)*(CK61/$B61)^(1/$C$49)</f>
        <v>5.5670115213298108E-2</v>
      </c>
      <c r="CM50" s="44">
        <f>100*$B$49*(Global!CL80*$B$48+Global!CL80^2*$C$48)*(CL61/$B61)^(1/$C$49)</f>
        <v>5.6240759858898537E-2</v>
      </c>
      <c r="CN50" s="44">
        <f>100*$B$49*(Global!CM80*$B$48+Global!CM80^2*$C$48)*(CM61/$B61)^(1/$C$49)</f>
        <v>5.6818955336367438E-2</v>
      </c>
      <c r="CO50" s="44">
        <f>100*$B$49*(Global!CN80*$B$48+Global!CN80^2*$C$48)*(CN61/$B61)^(1/$C$49)</f>
        <v>5.7404649504986804E-2</v>
      </c>
      <c r="CP50" s="44">
        <f>100*$B$49*(Global!CO80*$B$48+Global!CO80^2*$C$48)*(CO61/$B61)^(1/$C$49)</f>
        <v>5.7997791242792418E-2</v>
      </c>
      <c r="CQ50" s="44">
        <f>100*$B$49*(Global!CP80*$B$48+Global!CP80^2*$C$48)*(CP61/$B61)^(1/$C$49)</f>
        <v>5.859833040334339E-2</v>
      </c>
      <c r="CR50" s="44">
        <f>100*$B$49*(Global!CQ80*$B$48+Global!CQ80^2*$C$48)*(CQ61/$B61)^(1/$C$49)</f>
        <v>5.9206217774942539E-2</v>
      </c>
      <c r="CS50" s="44">
        <f>100*$B$49*(Global!CR80*$B$48+Global!CR80^2*$C$48)*(CR61/$B61)^(1/$C$49)</f>
        <v>5.982140504216963E-2</v>
      </c>
      <c r="CT50" s="44">
        <f>100*$B$49*(Global!CS80*$B$48+Global!CS80^2*$C$48)*(CS61/$B61)^(1/$C$49)</f>
        <v>6.0443844749595632E-2</v>
      </c>
      <c r="CU50" s="44">
        <f>100*$B$49*(Global!CT80*$B$48+Global!CT80^2*$C$48)*(CT61/$B61)^(1/$C$49)</f>
        <v>6.1073490267554868E-2</v>
      </c>
      <c r="CV50" s="44">
        <f>100*$B$49*(Global!CU80*$B$48+Global!CU80^2*$C$48)*(CU61/$B61)^(1/$C$49)</f>
        <v>6.1710295759856572E-2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82">
        <f>+Data!B243/1000</f>
        <v>1.5678487569688475E-2</v>
      </c>
      <c r="C52" s="114">
        <f>+B95-B92</f>
        <v>-7.6203204409341936</v>
      </c>
    </row>
    <row r="53" spans="1:105" ht="18" customHeight="1" x14ac:dyDescent="0.2">
      <c r="A53" s="21" t="s">
        <v>121</v>
      </c>
      <c r="B53" s="135">
        <f>+Data!O178</f>
        <v>-238.92710235730627</v>
      </c>
      <c r="C53" s="23">
        <f>+Data!Q178</f>
        <v>14.029636873577545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5" x14ac:dyDescent="0.2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5" x14ac:dyDescent="0.2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4.3825455711743508</v>
      </c>
      <c r="C61" s="682">
        <v>4.5271872190907354</v>
      </c>
      <c r="D61" s="682">
        <v>4.6571215177306522</v>
      </c>
      <c r="E61" s="682">
        <v>4.8730923298752042</v>
      </c>
      <c r="F61" s="682">
        <v>5.1290544433332457</v>
      </c>
      <c r="G61" s="682">
        <v>5.1589554477207864</v>
      </c>
      <c r="H61" s="682">
        <v>5.3660769113688094</v>
      </c>
      <c r="I61" s="682">
        <v>5.6602303610634843</v>
      </c>
      <c r="J61" s="682">
        <v>5.833021511871606</v>
      </c>
      <c r="K61" s="682">
        <v>5.8628301634593072</v>
      </c>
      <c r="L61" s="682">
        <v>6.0755902137122586</v>
      </c>
      <c r="M61" s="682">
        <v>6.0918092924524352</v>
      </c>
      <c r="N61" s="682">
        <v>6.1213001790886779</v>
      </c>
      <c r="O61" s="682">
        <v>6.2743277825400918</v>
      </c>
      <c r="P61" s="682">
        <v>6.60468501027042</v>
      </c>
      <c r="Q61" s="682">
        <v>6.8675202642473749</v>
      </c>
      <c r="R61" s="682">
        <v>7.2286999110883015</v>
      </c>
      <c r="S61" s="682">
        <v>7.6076147692002509</v>
      </c>
      <c r="T61" s="682">
        <v>7.888918501422129</v>
      </c>
      <c r="U61" s="682">
        <v>7.6997030865387748</v>
      </c>
      <c r="V61" s="682">
        <v>8.2017265789533234</v>
      </c>
      <c r="W61" s="682">
        <v>8.5772111643013851</v>
      </c>
      <c r="X61" s="682">
        <v>8.8117843546747796</v>
      </c>
      <c r="Y61" s="682">
        <v>9.0608343505528453</v>
      </c>
      <c r="Z61" s="682">
        <v>9.2008274908229826</v>
      </c>
      <c r="AA61" s="682">
        <v>9.2559695164738613</v>
      </c>
      <c r="AB61" s="682">
        <v>9.2452517181244005</v>
      </c>
      <c r="AC61" s="682">
        <v>9.4268768994494501</v>
      </c>
      <c r="AD61" s="682">
        <v>9.5931022120108693</v>
      </c>
      <c r="AE61" s="682">
        <v>9.6651660940484714</v>
      </c>
      <c r="AF61" s="682">
        <v>9.0177395738441426</v>
      </c>
      <c r="AG61" s="682">
        <v>9.6812731390420854</v>
      </c>
      <c r="AH61" s="682">
        <v>10.067818877246319</v>
      </c>
      <c r="AI61" s="45">
        <f t="shared" ref="B61:BI61" si="11">AI20*AI74^$B7*(AI56/1000)^(1-$B7)</f>
        <v>96.616463169695223</v>
      </c>
      <c r="AJ61" s="45">
        <f t="shared" si="11"/>
        <v>176.06150802890127</v>
      </c>
      <c r="AK61" s="45">
        <f t="shared" si="11"/>
        <v>225.70390818901029</v>
      </c>
      <c r="AL61" s="45">
        <f t="shared" si="11"/>
        <v>257.593001760905</v>
      </c>
      <c r="AM61" s="45">
        <f t="shared" si="11"/>
        <v>280.24223639258582</v>
      </c>
      <c r="AN61" s="45">
        <f t="shared" si="11"/>
        <v>298.07653678603339</v>
      </c>
      <c r="AO61" s="45">
        <f t="shared" si="11"/>
        <v>313.42743791898459</v>
      </c>
      <c r="AP61" s="45">
        <f t="shared" si="11"/>
        <v>327.55582672735858</v>
      </c>
      <c r="AQ61" s="45">
        <f t="shared" si="11"/>
        <v>341.15719386197424</v>
      </c>
      <c r="AR61" s="45">
        <f t="shared" si="11"/>
        <v>354.62171454455279</v>
      </c>
      <c r="AS61" s="45">
        <f t="shared" si="11"/>
        <v>368.17259201713176</v>
      </c>
      <c r="AT61" s="45">
        <f t="shared" si="11"/>
        <v>381.94113100507724</v>
      </c>
      <c r="AU61" s="45">
        <f t="shared" si="11"/>
        <v>396.00793738676299</v>
      </c>
      <c r="AV61" s="45">
        <f t="shared" si="11"/>
        <v>410.42566737584866</v>
      </c>
      <c r="AW61" s="45">
        <f t="shared" si="11"/>
        <v>425.23163168829245</v>
      </c>
      <c r="AX61" s="45">
        <f t="shared" si="11"/>
        <v>440.4547936704559</v>
      </c>
      <c r="AY61" s="45">
        <f t="shared" si="11"/>
        <v>456.11966187601035</v>
      </c>
      <c r="AZ61" s="45">
        <f t="shared" si="11"/>
        <v>472.24846035887367</v>
      </c>
      <c r="BA61" s="45">
        <f t="shared" si="11"/>
        <v>488.86234349953611</v>
      </c>
      <c r="BB61" s="45">
        <f t="shared" si="11"/>
        <v>505.98208085586907</v>
      </c>
      <c r="BC61" s="45">
        <f t="shared" si="11"/>
        <v>523.62844821517683</v>
      </c>
      <c r="BD61" s="45">
        <f t="shared" si="11"/>
        <v>541.82245594329652</v>
      </c>
      <c r="BE61" s="45">
        <f t="shared" si="11"/>
        <v>560.58548738631691</v>
      </c>
      <c r="BF61" s="45">
        <f t="shared" si="11"/>
        <v>579.97169516579504</v>
      </c>
      <c r="BG61" s="45">
        <f t="shared" si="11"/>
        <v>599.97275493155871</v>
      </c>
      <c r="BH61" s="45">
        <f t="shared" si="11"/>
        <v>620.60268754066885</v>
      </c>
      <c r="BI61" s="45">
        <f t="shared" si="11"/>
        <v>641.88418120707956</v>
      </c>
      <c r="BJ61" s="45">
        <f>+BI61</f>
        <v>641.88418120707956</v>
      </c>
      <c r="BK61" s="45">
        <f t="shared" ref="BK61:CV61" si="12">+BJ61</f>
        <v>641.88418120707956</v>
      </c>
      <c r="BL61" s="45">
        <f t="shared" si="12"/>
        <v>641.88418120707956</v>
      </c>
      <c r="BM61" s="45">
        <f t="shared" si="12"/>
        <v>641.88418120707956</v>
      </c>
      <c r="BN61" s="45">
        <f t="shared" si="12"/>
        <v>641.88418120707956</v>
      </c>
      <c r="BO61" s="45">
        <f t="shared" si="12"/>
        <v>641.88418120707956</v>
      </c>
      <c r="BP61" s="45">
        <f t="shared" si="12"/>
        <v>641.88418120707956</v>
      </c>
      <c r="BQ61" s="45">
        <f t="shared" si="12"/>
        <v>641.88418120707956</v>
      </c>
      <c r="BR61" s="45">
        <f t="shared" si="12"/>
        <v>641.88418120707956</v>
      </c>
      <c r="BS61" s="45">
        <f t="shared" si="12"/>
        <v>641.88418120707956</v>
      </c>
      <c r="BT61" s="45">
        <f t="shared" si="12"/>
        <v>641.88418120707956</v>
      </c>
      <c r="BU61" s="45">
        <f t="shared" si="12"/>
        <v>641.88418120707956</v>
      </c>
      <c r="BV61" s="45">
        <f t="shared" si="12"/>
        <v>641.88418120707956</v>
      </c>
      <c r="BW61" s="45">
        <f t="shared" si="12"/>
        <v>641.88418120707956</v>
      </c>
      <c r="BX61" s="45">
        <f t="shared" si="12"/>
        <v>641.88418120707956</v>
      </c>
      <c r="BY61" s="45">
        <f t="shared" si="12"/>
        <v>641.88418120707956</v>
      </c>
      <c r="BZ61" s="45">
        <f t="shared" si="12"/>
        <v>641.88418120707956</v>
      </c>
      <c r="CA61" s="45">
        <f t="shared" si="12"/>
        <v>641.88418120707956</v>
      </c>
      <c r="CB61" s="45">
        <f t="shared" si="12"/>
        <v>641.88418120707956</v>
      </c>
      <c r="CC61" s="45">
        <f t="shared" si="12"/>
        <v>641.88418120707956</v>
      </c>
      <c r="CD61" s="45">
        <f t="shared" si="12"/>
        <v>641.88418120707956</v>
      </c>
      <c r="CE61" s="45">
        <f t="shared" si="12"/>
        <v>641.88418120707956</v>
      </c>
      <c r="CF61" s="45">
        <f t="shared" si="12"/>
        <v>641.88418120707956</v>
      </c>
      <c r="CG61" s="45">
        <f t="shared" si="12"/>
        <v>641.88418120707956</v>
      </c>
      <c r="CH61" s="45">
        <f t="shared" si="12"/>
        <v>641.88418120707956</v>
      </c>
      <c r="CI61" s="45">
        <f t="shared" si="12"/>
        <v>641.88418120707956</v>
      </c>
      <c r="CJ61" s="45">
        <f t="shared" si="12"/>
        <v>641.88418120707956</v>
      </c>
      <c r="CK61" s="45">
        <f t="shared" si="12"/>
        <v>641.88418120707956</v>
      </c>
      <c r="CL61" s="45">
        <f t="shared" si="12"/>
        <v>641.88418120707956</v>
      </c>
      <c r="CM61" s="45">
        <f t="shared" si="12"/>
        <v>641.88418120707956</v>
      </c>
      <c r="CN61" s="45">
        <f t="shared" si="12"/>
        <v>641.88418120707956</v>
      </c>
      <c r="CO61" s="45">
        <f t="shared" si="12"/>
        <v>641.88418120707956</v>
      </c>
      <c r="CP61" s="45">
        <f t="shared" si="12"/>
        <v>641.88418120707956</v>
      </c>
      <c r="CQ61" s="45">
        <f t="shared" si="12"/>
        <v>641.88418120707956</v>
      </c>
      <c r="CR61" s="45">
        <f t="shared" si="12"/>
        <v>641.88418120707956</v>
      </c>
      <c r="CS61" s="45">
        <f t="shared" si="12"/>
        <v>641.88418120707956</v>
      </c>
      <c r="CT61" s="45">
        <f t="shared" si="12"/>
        <v>641.88418120707956</v>
      </c>
      <c r="CU61" s="45">
        <f t="shared" si="12"/>
        <v>641.88418120707956</v>
      </c>
      <c r="CV61" s="45">
        <f t="shared" si="12"/>
        <v>641.88418120707956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1.1359419608981483E-3</v>
      </c>
      <c r="C62" s="63">
        <f>($B24*C81+$B25*C81^$B$26+$B$29*(C81/$B$27)^$B$28)*Parameters!$B$116*0.01</f>
        <v>1.011985120176588E-3</v>
      </c>
      <c r="D62" s="63">
        <f>($B24*D81+$B25*D81^$B$26+$B$29*(D81/$B$27)^$B$28)*Parameters!$B$116*0.01</f>
        <v>6.2144139113987887E-4</v>
      </c>
      <c r="E62" s="63">
        <f>($B24*E81+$B25*E81^$B$26+$B$29*(E81/$B$27)^$B$28)*Parameters!$B$116*0.01</f>
        <v>6.4085103005125294E-4</v>
      </c>
      <c r="F62" s="63">
        <f>($B24*F81+$B25*F81^$B$26+$B$29*(F81/$B$27)^$B$28)*Parameters!$B$116*0.01</f>
        <v>8.0581525396153408E-4</v>
      </c>
      <c r="G62" s="63">
        <f>($B24*G81+$B25*G81^$B$26+$B$29*(G81/$B$27)^$B$28)*Parameters!$B$116*0.01</f>
        <v>1.1106124198305425E-3</v>
      </c>
      <c r="H62" s="63">
        <f>($B24*H81+$B25*H81^$B$26+$B$29*(H81/$B$27)^$B$28)*Parameters!$B$116*0.01</f>
        <v>8.4974717455557332E-4</v>
      </c>
      <c r="I62" s="63">
        <f>($B24*I81+$B25*I81^$B$26+$B$29*(I81/$B$27)^$B$28)*Parameters!$B$116*0.01</f>
        <v>1.1615405884274012E-3</v>
      </c>
      <c r="J62" s="63">
        <f>($B24*J81+$B25*J81^$B$26+$B$29*(J81/$B$27)^$B$28)*Parameters!$B$116*0.01</f>
        <v>1.5481754523098646E-3</v>
      </c>
      <c r="K62" s="63">
        <f>($B24*K81+$B25*K81^$B$26+$B$29*(K81/$B$27)^$B$28)*Parameters!$B$116*0.01</f>
        <v>9.6428598911949231E-4</v>
      </c>
      <c r="L62" s="63">
        <f>($B24*L81+$B25*L81^$B$26+$B$29*(L81/$B$27)^$B$28)*Parameters!$B$116*0.01</f>
        <v>9.8800101141721685E-4</v>
      </c>
      <c r="M62" s="63">
        <f>($B24*M81+$B25*M81^$B$26+$B$29*(M81/$B$27)^$B$28)*Parameters!$B$116*0.01</f>
        <v>1.348265402058284E-3</v>
      </c>
      <c r="N62" s="63">
        <f>($B24*N81+$B25*N81^$B$26+$B$29*(N81/$B$27)^$B$28)*Parameters!$B$116*0.01</f>
        <v>1.6378874850566741E-3</v>
      </c>
      <c r="O62" s="63">
        <f>($B24*O81+$B25*O81^$B$26+$B$29*(O81/$B$27)^$B$28)*Parameters!$B$116*0.01</f>
        <v>1.607714387679424E-3</v>
      </c>
      <c r="P62" s="63">
        <f>($B24*P81+$B25*P81^$B$26+$B$29*(P81/$B$27)^$B$28)*Parameters!$B$116*0.01</f>
        <v>1.348265402058284E-3</v>
      </c>
      <c r="Q62" s="63">
        <f>($B24*Q81+$B25*Q81^$B$26+$B$29*(Q81/$B$27)^$B$28)*Parameters!$B$116*0.01</f>
        <v>1.7612707391821431E-3</v>
      </c>
      <c r="R62" s="63">
        <f>($B24*R81+$B25*R81^$B$26+$B$29*(R81/$B$27)^$B$28)*Parameters!$B$116*0.01</f>
        <v>1.6683296688955712E-3</v>
      </c>
      <c r="S62" s="63">
        <f>($B24*S81+$B25*S81^$B$26+$B$29*(S81/$B$27)^$B$28)*Parameters!$B$116*0.01</f>
        <v>1.7300212959583058E-3</v>
      </c>
      <c r="T62" s="63">
        <f>($B24*T81+$B25*T81^$B$26+$B$29*(T81/$B$27)^$B$28)*Parameters!$B$116*0.01</f>
        <v>1.3760167212807121E-3</v>
      </c>
      <c r="U62" s="63">
        <f>($B24*U81+$B25*U81^$B$26+$B$29*(U81/$B$27)^$B$28)*Parameters!$B$116*0.01</f>
        <v>1.6990409391961152E-3</v>
      </c>
      <c r="V62" s="63">
        <f>($B24*V81+$B25*V81^$B$26+$B$29*(V81/$B$27)^$B$28)*Parameters!$B$116*0.01</f>
        <v>1.9215542522260352E-3</v>
      </c>
      <c r="W62" s="63">
        <f>($B24*W81+$B25*W81^$B$26+$B$29*(W81/$B$27)^$B$28)*Parameters!$B$116*0.01</f>
        <v>1.5778103767638207E-3</v>
      </c>
      <c r="X62" s="63">
        <f>($B24*X81+$B25*X81^$B$26+$B$29*(X81/$B$27)^$B$28)*Parameters!$B$116*0.01</f>
        <v>1.6990409391961152E-3</v>
      </c>
      <c r="Y62" s="63">
        <f>($B24*Y81+$B25*Y81^$B$26+$B$29*(Y81/$B$27)^$B$28)*Parameters!$B$116*0.01</f>
        <v>1.7927892688676277E-3</v>
      </c>
      <c r="Z62" s="63">
        <f>($B24*Z81+$B25*Z81^$B$26+$B$29*(Z81/$B$27)^$B$28)*Parameters!$B$116*0.01</f>
        <v>1.9875512626751201E-3</v>
      </c>
      <c r="AA62" s="63">
        <f>($B24*AA81+$B25*AA81^$B$26+$B$29*(AA81/$B$27)^$B$28)*Parameters!$B$116*0.01</f>
        <v>2.5542757967449538E-3</v>
      </c>
      <c r="AB62" s="63">
        <f>($B24*AB81+$B25*AB81^$B$26+$B$29*(AB81/$B$27)^$B$28)*Parameters!$B$116*0.01</f>
        <v>2.9838582534725288E-3</v>
      </c>
      <c r="AC62" s="63">
        <f>($B24*AC81+$B25*AC81^$B$26+$B$29*(AC81/$B$27)^$B$28)*Parameters!$B$116*0.01</f>
        <v>2.6299599198133269E-3</v>
      </c>
      <c r="AD62" s="63">
        <f>($B24*AD81+$B25*AD81^$B$26+$B$29*(AD81/$B$27)^$B$28)*Parameters!$B$116*0.01</f>
        <v>2.3697745021528413E-3</v>
      </c>
      <c r="AE62" s="63">
        <f>($B24*AE81+$B25*AE81^$B$26+$B$29*(AE81/$B$27)^$B$28)*Parameters!$B$116*0.01</f>
        <v>2.863470364097973E-3</v>
      </c>
      <c r="AF62" s="63">
        <f>($B24*AF81+$B25*AF81^$B$26+$B$29*(AF81/$B$27)^$B$28)*Parameters!$B$116*0.01</f>
        <v>2.9838582534725288E-3</v>
      </c>
      <c r="AG62" s="63">
        <f>($B24*AG81+$B25*AG81^$B$26+$B$29*(AG81/$B$27)^$B$28)*Parameters!$B$116*0.01</f>
        <v>2.3697745021528413E-3</v>
      </c>
      <c r="AH62" s="63">
        <f>($B24*AH81+$B25*AH81^$B$26+$B$29*(AH81/$B$27)^$B$28)*Parameters!$B$116*0.01</f>
        <v>2.516837364903237E-3</v>
      </c>
      <c r="AI62" s="63">
        <f>($B24*AI81+$B25*AI81^$B$26+$B$29*(AI81/$B$27)^$B$28)*Parameters!$B$116*0.01</f>
        <v>3.6668281389738229E-3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1.1359419608981483E-3</v>
      </c>
      <c r="C63" s="63">
        <f t="shared" si="13"/>
        <v>1.0140387363087983E-3</v>
      </c>
      <c r="D63" s="63">
        <f t="shared" si="13"/>
        <v>6.2422669938029247E-4</v>
      </c>
      <c r="E63" s="63">
        <f t="shared" si="13"/>
        <v>6.4462782270045609E-4</v>
      </c>
      <c r="F63" s="63">
        <f t="shared" si="13"/>
        <v>8.1076664461048672E-4</v>
      </c>
      <c r="G63" s="63">
        <f t="shared" si="13"/>
        <v>1.1170231130691085E-3</v>
      </c>
      <c r="H63" s="63">
        <f t="shared" si="13"/>
        <v>8.5792361881661353E-4</v>
      </c>
      <c r="I63" s="63">
        <f t="shared" si="13"/>
        <v>1.1715742937926691E-3</v>
      </c>
      <c r="J63" s="63">
        <f t="shared" si="13"/>
        <v>1.5605492449031688E-3</v>
      </c>
      <c r="K63" s="63">
        <f t="shared" si="13"/>
        <v>9.7946014543752046E-4</v>
      </c>
      <c r="L63" s="63">
        <f t="shared" si="13"/>
        <v>1.0056338487280931E-3</v>
      </c>
      <c r="M63" s="63">
        <f t="shared" si="13"/>
        <v>1.3687003736163907E-3</v>
      </c>
      <c r="N63" s="63">
        <f t="shared" si="13"/>
        <v>1.6608287705281543E-3</v>
      </c>
      <c r="O63" s="63">
        <f t="shared" si="13"/>
        <v>1.6335524928074775E-3</v>
      </c>
      <c r="P63" s="63">
        <f t="shared" si="13"/>
        <v>1.377244061375167E-3</v>
      </c>
      <c r="Q63" s="63">
        <f t="shared" si="13"/>
        <v>1.7934897361717753E-3</v>
      </c>
      <c r="R63" s="63">
        <f t="shared" si="13"/>
        <v>1.704288461440647E-3</v>
      </c>
      <c r="S63" s="63">
        <f t="shared" si="13"/>
        <v>1.7699290070726488E-3</v>
      </c>
      <c r="T63" s="63">
        <f t="shared" si="13"/>
        <v>1.4201413364889311E-3</v>
      </c>
      <c r="U63" s="63">
        <f t="shared" si="13"/>
        <v>1.7469789616253151E-3</v>
      </c>
      <c r="V63" s="63">
        <f t="shared" si="13"/>
        <v>1.9730740076576627E-3</v>
      </c>
      <c r="W63" s="63">
        <f t="shared" si="13"/>
        <v>1.6344449891041988E-3</v>
      </c>
      <c r="X63" s="63">
        <f t="shared" si="13"/>
        <v>1.7603159646308875E-3</v>
      </c>
      <c r="Y63" s="63">
        <f t="shared" si="13"/>
        <v>1.8587516062015352E-3</v>
      </c>
      <c r="Z63" s="63">
        <f t="shared" si="13"/>
        <v>2.058484307950758E-3</v>
      </c>
      <c r="AA63" s="63">
        <f t="shared" si="13"/>
        <v>2.6303497914011214E-3</v>
      </c>
      <c r="AB63" s="63">
        <f t="shared" si="13"/>
        <v>3.0657241778677207E-3</v>
      </c>
      <c r="AC63" s="63">
        <f t="shared" si="13"/>
        <v>2.7180875056330841E-3</v>
      </c>
      <c r="AD63" s="63">
        <f t="shared" si="13"/>
        <v>2.4643280195295425E-3</v>
      </c>
      <c r="AE63" s="63">
        <f t="shared" si="13"/>
        <v>2.9642061483174924E-3</v>
      </c>
      <c r="AF63" s="63">
        <f t="shared" si="13"/>
        <v>3.0912836687261016E-3</v>
      </c>
      <c r="AG63" s="63">
        <f t="shared" si="13"/>
        <v>2.4819744184588401E-3</v>
      </c>
      <c r="AH63" s="63">
        <f t="shared" si="13"/>
        <v>2.6370306992530464E-3</v>
      </c>
      <c r="AI63" s="63">
        <f t="shared" si="13"/>
        <v>3.7945158520266632E-3</v>
      </c>
      <c r="AJ63" s="63">
        <f t="shared" si="13"/>
        <v>2.3862870309837553E-4</v>
      </c>
      <c r="AK63" s="63">
        <f t="shared" si="13"/>
        <v>2.7738411801039409E-4</v>
      </c>
      <c r="AL63" s="63">
        <f t="shared" si="13"/>
        <v>2.95412162402725E-4</v>
      </c>
      <c r="AM63" s="63">
        <f t="shared" si="13"/>
        <v>3.0571959441404027E-4</v>
      </c>
      <c r="AN63" s="63">
        <f t="shared" si="13"/>
        <v>3.1273961016611417E-4</v>
      </c>
      <c r="AO63" s="63">
        <f t="shared" si="13"/>
        <v>3.182367288908979E-4</v>
      </c>
      <c r="AP63" s="63">
        <f t="shared" si="13"/>
        <v>3.230175905300754E-4</v>
      </c>
      <c r="AQ63" s="63">
        <f t="shared" si="13"/>
        <v>3.274817726842695E-4</v>
      </c>
      <c r="AR63" s="63">
        <f t="shared" si="13"/>
        <v>3.3183658958221005E-4</v>
      </c>
      <c r="AS63" s="63">
        <f t="shared" si="13"/>
        <v>3.3619283082079511E-4</v>
      </c>
      <c r="AT63" s="63">
        <f t="shared" si="13"/>
        <v>3.4061112455095836E-4</v>
      </c>
      <c r="AU63" s="63">
        <f t="shared" si="13"/>
        <v>3.4512551209649233E-4</v>
      </c>
      <c r="AV63" s="63">
        <f t="shared" si="13"/>
        <v>3.4975577441575796E-4</v>
      </c>
      <c r="AW63" s="63">
        <f t="shared" si="13"/>
        <v>3.545139809058601E-4</v>
      </c>
      <c r="AX63" s="63">
        <f t="shared" si="13"/>
        <v>3.5940800176181099E-4</v>
      </c>
      <c r="AY63" s="63">
        <f t="shared" si="13"/>
        <v>3.6444340359874589E-4</v>
      </c>
      <c r="AZ63" s="63">
        <f t="shared" si="13"/>
        <v>3.6962447772159686E-4</v>
      </c>
      <c r="BA63" s="63">
        <f t="shared" si="13"/>
        <v>3.7495480089759818E-4</v>
      </c>
      <c r="BB63" s="63">
        <f t="shared" si="13"/>
        <v>3.804375433165755E-4</v>
      </c>
      <c r="BC63" s="63">
        <f t="shared" si="13"/>
        <v>3.8607563943577136E-4</v>
      </c>
      <c r="BD63" s="63">
        <f t="shared" si="13"/>
        <v>3.9187188421300519E-4</v>
      </c>
      <c r="BE63" s="63">
        <f t="shared" si="13"/>
        <v>3.978289885590832E-4</v>
      </c>
      <c r="BF63" s="63">
        <f t="shared" si="13"/>
        <v>4.0394961235406721E-4</v>
      </c>
      <c r="BG63" s="63">
        <f t="shared" si="13"/>
        <v>4.1024209827599016E-4</v>
      </c>
      <c r="BH63" s="63">
        <f t="shared" si="13"/>
        <v>4.1670341910293631E-4</v>
      </c>
      <c r="BI63" s="63">
        <f t="shared" si="13"/>
        <v>4.2333465363314569E-4</v>
      </c>
      <c r="BJ63" s="63">
        <f t="shared" si="13"/>
        <v>4.3013833755456058E-4</v>
      </c>
      <c r="BK63" s="63">
        <f t="shared" si="13"/>
        <v>4.3345691411302316E-4</v>
      </c>
      <c r="BL63" s="63">
        <f t="shared" si="13"/>
        <v>4.3687264828109958E-4</v>
      </c>
      <c r="BM63" s="63">
        <f t="shared" si="13"/>
        <v>4.4038439429901677E-4</v>
      </c>
      <c r="BN63" s="63">
        <f t="shared" ref="BN63:CV63" si="14">+BN62+BN50/100</f>
        <v>4.4399104765421149E-4</v>
      </c>
      <c r="BO63" s="63">
        <f t="shared" si="14"/>
        <v>4.4769154292712021E-4</v>
      </c>
      <c r="BP63" s="63">
        <f t="shared" si="14"/>
        <v>4.5148485175438972E-4</v>
      </c>
      <c r="BQ63" s="63">
        <f t="shared" si="14"/>
        <v>4.5536998090331328E-4</v>
      </c>
      <c r="BR63" s="63">
        <f t="shared" si="14"/>
        <v>4.5934597045161024E-4</v>
      </c>
      <c r="BS63" s="63">
        <f t="shared" si="14"/>
        <v>4.6341189206696858E-4</v>
      </c>
      <c r="BT63" s="63">
        <f t="shared" si="14"/>
        <v>4.675668473810587E-4</v>
      </c>
      <c r="BU63" s="63">
        <f t="shared" si="14"/>
        <v>4.7180996645298454E-4</v>
      </c>
      <c r="BV63" s="63">
        <f t="shared" si="14"/>
        <v>4.7614040631741635E-4</v>
      </c>
      <c r="BW63" s="63">
        <f t="shared" si="14"/>
        <v>4.8055734961287316E-4</v>
      </c>
      <c r="BX63" s="63">
        <f t="shared" si="14"/>
        <v>4.8506000328586908E-4</v>
      </c>
      <c r="BY63" s="63">
        <f t="shared" si="14"/>
        <v>4.8964759736685255E-4</v>
      </c>
      <c r="BZ63" s="63">
        <f t="shared" si="14"/>
        <v>4.9431938381407862E-4</v>
      </c>
      <c r="CA63" s="63">
        <f t="shared" si="14"/>
        <v>4.9907463542175413E-4</v>
      </c>
      <c r="CB63" s="63">
        <f t="shared" si="14"/>
        <v>5.0391264478898547E-4</v>
      </c>
      <c r="CC63" s="63">
        <f t="shared" si="14"/>
        <v>5.0883272334623282E-4</v>
      </c>
      <c r="CD63" s="63">
        <f t="shared" si="14"/>
        <v>5.1383420043615911E-4</v>
      </c>
      <c r="CE63" s="63">
        <f t="shared" si="14"/>
        <v>5.1891642244590315E-4</v>
      </c>
      <c r="CF63" s="63">
        <f t="shared" si="14"/>
        <v>5.2407875198798358E-4</v>
      </c>
      <c r="CG63" s="63">
        <f t="shared" si="14"/>
        <v>5.2932056712716967E-4</v>
      </c>
      <c r="CH63" s="63">
        <f t="shared" si="14"/>
        <v>5.3464126065079802E-4</v>
      </c>
      <c r="CI63" s="63">
        <f t="shared" si="14"/>
        <v>5.4004023938015414E-4</v>
      </c>
      <c r="CJ63" s="63">
        <f t="shared" si="14"/>
        <v>5.4551692352065092E-4</v>
      </c>
      <c r="CK63" s="63">
        <f t="shared" si="14"/>
        <v>5.5107074604866151E-4</v>
      </c>
      <c r="CL63" s="63">
        <f t="shared" si="14"/>
        <v>5.5670115213298107E-4</v>
      </c>
      <c r="CM63" s="63">
        <f t="shared" si="14"/>
        <v>5.6240759858898536E-4</v>
      </c>
      <c r="CN63" s="63">
        <f t="shared" si="14"/>
        <v>5.6818955336367441E-4</v>
      </c>
      <c r="CO63" s="63">
        <f t="shared" si="14"/>
        <v>5.74046495049868E-4</v>
      </c>
      <c r="CP63" s="63">
        <f t="shared" si="14"/>
        <v>5.799779124279242E-4</v>
      </c>
      <c r="CQ63" s="63">
        <f t="shared" si="14"/>
        <v>5.8598330403343394E-4</v>
      </c>
      <c r="CR63" s="63">
        <f t="shared" si="14"/>
        <v>5.9206217774942539E-4</v>
      </c>
      <c r="CS63" s="63">
        <f t="shared" si="14"/>
        <v>5.9821405042169635E-4</v>
      </c>
      <c r="CT63" s="63">
        <f t="shared" si="14"/>
        <v>6.0443844749595631E-4</v>
      </c>
      <c r="CU63" s="63">
        <f t="shared" si="14"/>
        <v>6.1073490267554871E-4</v>
      </c>
      <c r="CV63" s="63">
        <f t="shared" si="14"/>
        <v>6.1710295759856567E-4</v>
      </c>
    </row>
    <row r="64" spans="1:105" s="143" customFormat="1" ht="18" customHeight="1" x14ac:dyDescent="0.2">
      <c r="A64" s="559" t="s">
        <v>1133</v>
      </c>
      <c r="B64" s="143">
        <f>+B61-B65</f>
        <v>4.9726687467579467E-3</v>
      </c>
      <c r="C64" s="143">
        <f>+C63*C61/(1+C63^Parameters!$B$125)</f>
        <v>4.5907432066801118E-3</v>
      </c>
      <c r="D64" s="143">
        <f>+D63*D61/(1+D63^Parameters!$B$125)</f>
        <v>2.9070995936259433E-3</v>
      </c>
      <c r="E64" s="143">
        <f>+E63*E61/(1+E63^Parameters!$B$125)</f>
        <v>3.1413308984257456E-3</v>
      </c>
      <c r="F64" s="143">
        <f>+F63*F61/(1+F63^Parameters!$B$125)</f>
        <v>4.1584662610458034E-3</v>
      </c>
      <c r="G64" s="143">
        <f>+G63*G61/(1+G63^Parameters!$B$125)</f>
        <v>5.7626724743979098E-3</v>
      </c>
      <c r="H64" s="143">
        <f>+H63*H61/(1+H63^Parameters!$B$125)</f>
        <v>4.6036841226498055E-3</v>
      </c>
      <c r="I64" s="143">
        <f>+I63*I61/(1+I63^Parameters!$B$125)</f>
        <v>6.631380387966776E-3</v>
      </c>
      <c r="J64" s="143">
        <f>+J63*J61/(1+J63^Parameters!$B$125)</f>
        <v>9.1027173158551751E-3</v>
      </c>
      <c r="K64" s="143">
        <f>+K63*K61/(1+K63^Parameters!$B$125)</f>
        <v>5.7424084845773349E-3</v>
      </c>
      <c r="L64" s="143">
        <f>+L63*L61/(1+L63^Parameters!$B$125)</f>
        <v>6.1098191699101969E-3</v>
      </c>
      <c r="M64" s="143">
        <f>+M63*M61/(1+M63^Parameters!$B$125)</f>
        <v>8.3378616545794482E-3</v>
      </c>
      <c r="N64" s="143">
        <f>+N63*N61/(1+N63^Parameters!$B$125)</f>
        <v>1.016643145046962E-2</v>
      </c>
      <c r="O64" s="143">
        <f>+O63*O61/(1+O63^Parameters!$B$125)</f>
        <v>1.0249443789859579E-2</v>
      </c>
      <c r="P64" s="143">
        <f>+P63*P61/(1+P63^Parameters!$B$125)</f>
        <v>9.0962632076485202E-3</v>
      </c>
      <c r="Q64" s="143">
        <f>+Q63*Q61/(1+Q63^Parameters!$B$125)</f>
        <v>1.2316827106879345E-2</v>
      </c>
      <c r="R64" s="143">
        <f>+R63*R61/(1+R63^Parameters!$B$125)</f>
        <v>1.2319789849684824E-2</v>
      </c>
      <c r="S64" s="143">
        <f>+S63*S61/(1+S63^Parameters!$B$125)</f>
        <v>1.3464938054641818E-2</v>
      </c>
      <c r="T64" s="143">
        <f>+T63*T61/(1+T63^Parameters!$B$125)</f>
        <v>1.1203379264061878E-2</v>
      </c>
      <c r="U64" s="143">
        <f>+U63*U61/(1+U63^Parameters!$B$125)</f>
        <v>1.3451219302944743E-2</v>
      </c>
      <c r="V64" s="143">
        <f>+V63*V61/(1+V63^Parameters!$B$125)</f>
        <v>1.6182613530847805E-2</v>
      </c>
      <c r="W64" s="143">
        <f>+W63*W61/(1+W63^Parameters!$B$125)</f>
        <v>1.401897980798099E-2</v>
      </c>
      <c r="X64" s="143">
        <f>+X63*X61/(1+X63^Parameters!$B$125)</f>
        <v>1.5511524676418698E-2</v>
      </c>
      <c r="Y64" s="143">
        <f>+Y63*Y61/(1+Y63^Parameters!$B$125)</f>
        <v>1.6841840402616146E-2</v>
      </c>
      <c r="Z64" s="143">
        <f>+Z63*Z61/(1+Z63^Parameters!$B$125)</f>
        <v>1.8939759010021057E-2</v>
      </c>
      <c r="AA64" s="143">
        <f>+AA63*AA61/(1+AA63^Parameters!$B$125)</f>
        <v>2.4346437486872159E-2</v>
      </c>
      <c r="AB64" s="143">
        <f>+AB63*AB61/(1+AB63^Parameters!$B$125)</f>
        <v>2.8343391722727061E-2</v>
      </c>
      <c r="AC64" s="143">
        <f>+AC63*AC61/(1+AC63^Parameters!$B$125)</f>
        <v>2.5623076317534698E-2</v>
      </c>
      <c r="AD64" s="143">
        <f>+AD63*AD61/(1+AD63^Parameters!$B$125)</f>
        <v>2.3640550575269217E-2</v>
      </c>
      <c r="AE64" s="143">
        <f>+AE63*AE61/(1+AE63^Parameters!$B$125)</f>
        <v>2.8649544760488241E-2</v>
      </c>
      <c r="AF64" s="143">
        <f>+AF63*AF61/(1+AF63^Parameters!$B$125)</f>
        <v>2.7876391073449473E-2</v>
      </c>
      <c r="AG64" s="143">
        <f>+AG63*AG61/(1+AG63^Parameters!$B$125)</f>
        <v>2.4028672269215168E-2</v>
      </c>
      <c r="AH64" s="143">
        <f>+AH63*AH61/(1+AH63^Parameters!$B$125)</f>
        <v>2.6549147453817881E-2</v>
      </c>
      <c r="AI64" s="143">
        <f>+AI63*AI61/(1+AI63^Parameters!$B$125)</f>
        <v>0.36661270106415877</v>
      </c>
      <c r="AJ64" s="143">
        <f>+AJ63*AJ61/(1+AJ63^Parameters!$B$125)</f>
        <v>4.2013329326480942E-2</v>
      </c>
      <c r="AK64" s="143">
        <f>+AK63*AK61/(1+AK63^Parameters!$B$125)</f>
        <v>6.2606679504507587E-2</v>
      </c>
      <c r="AL64" s="143">
        <f>+AL63*AL61/(1+AL63^Parameters!$B$125)</f>
        <v>7.6096105669997888E-2</v>
      </c>
      <c r="AM64" s="143">
        <f>+AM63*AM61/(1+AM63^Parameters!$B$125)</f>
        <v>8.5675542847624936E-2</v>
      </c>
      <c r="AN64" s="143">
        <f>+AN63*AN61/(1+AN63^Parameters!$B$125)</f>
        <v>9.3220339914129466E-2</v>
      </c>
      <c r="AO64" s="143">
        <f>+AO63*AO61/(1+AO63^Parameters!$B$125)</f>
        <v>9.9744122587992631E-2</v>
      </c>
      <c r="AP64" s="143">
        <f>+AP63*AP61/(1+AP63^Parameters!$B$125)</f>
        <v>0.10580629391355824</v>
      </c>
      <c r="AQ64" s="143">
        <f>+AQ63*AQ61/(1+AQ63^Parameters!$B$125)</f>
        <v>0.11172276260991031</v>
      </c>
      <c r="AR64" s="143">
        <f>+AR63*AR61/(1+AR63^Parameters!$B$125)</f>
        <v>0.11767646034626041</v>
      </c>
      <c r="AS64" s="143">
        <f>+AS63*AS61/(1+AS63^Parameters!$B$125)</f>
        <v>0.12377698594086919</v>
      </c>
      <c r="AT64" s="143">
        <f>+AT63*AT61/(1+AT63^Parameters!$B$125)</f>
        <v>0.13009339814390428</v>
      </c>
      <c r="AU64" s="143">
        <f>+AU63*AU61/(1+AU63^Parameters!$B$125)</f>
        <v>0.13667244218488225</v>
      </c>
      <c r="AV64" s="143">
        <f>+AV63*AV61/(1+AV63^Parameters!$B$125)</f>
        <v>0.14354874713314425</v>
      </c>
      <c r="AW64" s="143">
        <f>+AW63*AW61/(1+AW63^Parameters!$B$125)</f>
        <v>0.15075055855691105</v>
      </c>
      <c r="AX64" s="143">
        <f>+AX63*AX61/(1+AX63^Parameters!$B$125)</f>
        <v>0.15830297725950931</v>
      </c>
      <c r="AY64" s="143">
        <f>+AY63*AY61/(1+AY63^Parameters!$B$125)</f>
        <v>0.16622980202240234</v>
      </c>
      <c r="AZ64" s="143">
        <f>+AZ63*AZ61/(1+AZ63^Parameters!$B$125)</f>
        <v>0.1745545905149769</v>
      </c>
      <c r="BA64" s="143">
        <f>+BA63*BA61/(1+BA63^Parameters!$B$125)</f>
        <v>0.18330128267320181</v>
      </c>
      <c r="BB64" s="143">
        <f>+BB63*BB61/(1+BB63^Parameters!$B$125)</f>
        <v>0.19249457980301571</v>
      </c>
      <c r="BC64" s="143">
        <f>+BC63*BC61/(1+BC63^Parameters!$B$125)</f>
        <v>0.20216018797143509</v>
      </c>
      <c r="BD64" s="143">
        <f>+BD63*BD61/(1+BD63^Parameters!$B$125)</f>
        <v>0.2123249867194176</v>
      </c>
      <c r="BE64" s="143">
        <f>+BE63*BE61/(1+BE63^Parameters!$B$125)</f>
        <v>0.22301715744779915</v>
      </c>
      <c r="BF64" s="143">
        <f>+BF63*BF61/(1+BF63^Parameters!$B$125)</f>
        <v>0.23427934143855414</v>
      </c>
      <c r="BG64" s="143">
        <f>+BG63*BG61/(1+BG63^Parameters!$B$125)</f>
        <v>0.24613408189154906</v>
      </c>
      <c r="BH64" s="143">
        <f>+BH63*BH61/(1+BH63^Parameters!$B$125)</f>
        <v>0.25860726180266796</v>
      </c>
      <c r="BI64" s="143">
        <f>+BI63*BI61/(1+BI63^Parameters!$B$125)</f>
        <v>0.27173181752389436</v>
      </c>
      <c r="BJ64" s="143">
        <f>+BJ63*BJ61/(1+BJ63^Parameters!$B$125)</f>
        <v>0.27609899460698351</v>
      </c>
      <c r="BK64" s="143">
        <f>+BK63*BK61/(1+BK63^Parameters!$B$125)</f>
        <v>0.27822913640398528</v>
      </c>
      <c r="BL64" s="143">
        <f>+BL63*BL61/(1+BL63^Parameters!$B$125)</f>
        <v>0.28042164213368204</v>
      </c>
      <c r="BM64" s="143">
        <f>+BM63*BM61/(1+BM63^Parameters!$B$125)</f>
        <v>0.28267577635100005</v>
      </c>
      <c r="BN64" s="143">
        <f>+BN63*BN61/(1+BN63^Parameters!$B$125)</f>
        <v>0.28499083008679699</v>
      </c>
      <c r="BO64" s="143">
        <f>+BO63*BO61/(1+BO63^Parameters!$B$125)</f>
        <v>0.28736611946510865</v>
      </c>
      <c r="BP64" s="143">
        <f>+BP63*BP61/(1+BP63^Parameters!$B$125)</f>
        <v>0.28980098439576613</v>
      </c>
      <c r="BQ64" s="143">
        <f>+BQ63*BQ61/(1+BQ63^Parameters!$B$125)</f>
        <v>0.29229478733840669</v>
      </c>
      <c r="BR64" s="143">
        <f>+BR63*BR61/(1+BR63^Parameters!$B$125)</f>
        <v>0.29484691213410319</v>
      </c>
      <c r="BS64" s="143">
        <f>+BS63*BS61/(1+BS63^Parameters!$B$125)</f>
        <v>0.29745676290102968</v>
      </c>
      <c r="BT64" s="143">
        <f>+BT63*BT61/(1+BT63^Parameters!$B$125)</f>
        <v>0.30012376299076637</v>
      </c>
      <c r="BU64" s="143">
        <f>+BU63*BU61/(1+BU63^Parameters!$B$125)</f>
        <v>0.30284735400201368</v>
      </c>
      <c r="BV64" s="143">
        <f>+BV63*BV61/(1+BV63^Parameters!$B$125)</f>
        <v>0.30562699484866096</v>
      </c>
      <c r="BW64" s="143">
        <f>+BW63*BW61/(1+BW63^Parameters!$B$125)</f>
        <v>0.30846216087930334</v>
      </c>
      <c r="BX64" s="143">
        <f>+BX63*BX61/(1+BX63^Parameters!$B$125)</f>
        <v>0.31135234304545339</v>
      </c>
      <c r="BY64" s="143">
        <f>+BY63*BY61/(1+BY63^Parameters!$B$125)</f>
        <v>0.31429704711583589</v>
      </c>
      <c r="BZ64" s="143">
        <f>+BZ63*BZ61/(1+BZ63^Parameters!$B$125)</f>
        <v>0.31729579293428795</v>
      </c>
      <c r="CA64" s="143">
        <f>+CA63*CA61/(1+CA63^Parameters!$B$125)</f>
        <v>0.32034811371891442</v>
      </c>
      <c r="CB64" s="143">
        <f>+CB63*CB61/(1+CB63^Parameters!$B$125)</f>
        <v>0.32345355540027187</v>
      </c>
      <c r="CC64" s="143">
        <f>+CC63*CC61/(1+CC63^Parameters!$B$125)</f>
        <v>0.32661167599646507</v>
      </c>
      <c r="CD64" s="143">
        <f>+CD63*CD61/(1+CD63^Parameters!$B$125)</f>
        <v>0.32982204502315837</v>
      </c>
      <c r="CE64" s="143">
        <f>+CE63*CE61/(1+CE63^Parameters!$B$125)</f>
        <v>0.33308424293659555</v>
      </c>
      <c r="CF64" s="143">
        <f>+CF63*CF61/(1+CF63^Parameters!$B$125)</f>
        <v>0.33639786060783494</v>
      </c>
      <c r="CG64" s="143">
        <f>+CG63*CG61/(1+CG63^Parameters!$B$125)</f>
        <v>0.33976249882649029</v>
      </c>
      <c r="CH64" s="143">
        <f>+CH63*CH61/(1+CH63^Parameters!$B$125)</f>
        <v>0.34317776783235832</v>
      </c>
      <c r="CI64" s="143">
        <f>+CI63*CI61/(1+CI63^Parameters!$B$125)</f>
        <v>0.34664328687340551</v>
      </c>
      <c r="CJ64" s="143">
        <f>+CJ63*CJ61/(1+CJ63^Parameters!$B$125)</f>
        <v>0.35015868378865805</v>
      </c>
      <c r="CK64" s="143">
        <f>+CK63*CK61/(1+CK63^Parameters!$B$125)</f>
        <v>0.35372359461461955</v>
      </c>
      <c r="CL64" s="143">
        <f>+CL63*CL61/(1+CL63^Parameters!$B$125)</f>
        <v>0.35733766321391641</v>
      </c>
      <c r="CM64" s="143">
        <f>+CM63*CM61/(1+CM63^Parameters!$B$125)</f>
        <v>0.36100054092493072</v>
      </c>
      <c r="CN64" s="143">
        <f>+CN63*CN61/(1+CN63^Parameters!$B$125)</f>
        <v>0.36471188623125839</v>
      </c>
      <c r="CO64" s="143">
        <f>+CO63*CO61/(1+CO63^Parameters!$B$125)</f>
        <v>0.36847136444987838</v>
      </c>
      <c r="CP64" s="143">
        <f>+CP63*CP61/(1+CP63^Parameters!$B$125)</f>
        <v>0.37227864743698941</v>
      </c>
      <c r="CQ64" s="143">
        <f>+CQ63*CQ61/(1+CQ63^Parameters!$B$125)</f>
        <v>0.37613341331051992</v>
      </c>
      <c r="CR64" s="143">
        <f>+CR63*CR61/(1+CR63^Parameters!$B$125)</f>
        <v>0.38003534618837032</v>
      </c>
      <c r="CS64" s="143">
        <f>+CS63*CS61/(1+CS63^Parameters!$B$125)</f>
        <v>0.38398413594150116</v>
      </c>
      <c r="CT64" s="143">
        <f>+CT63*CT61/(1+CT63^Parameters!$B$125)</f>
        <v>0.38797947796102028</v>
      </c>
      <c r="CU64" s="143">
        <f>+CU63*CU61/(1+CU63^Parameters!$B$125)</f>
        <v>0.39202107293847999</v>
      </c>
      <c r="CV64" s="143">
        <f>+CV63*CV61/(1+CV63^Parameters!$B$125)</f>
        <v>0.39610862665862245</v>
      </c>
    </row>
    <row r="65" spans="1:237" s="45" customFormat="1" ht="18" customHeight="1" x14ac:dyDescent="0.2">
      <c r="A65" s="555" t="s">
        <v>21</v>
      </c>
      <c r="B65" s="45">
        <f>+B61/(1+B63)</f>
        <v>4.3775729024275929</v>
      </c>
      <c r="C65" s="45">
        <f t="shared" ref="C65:BN65" si="15">+C61-C64</f>
        <v>4.5225964758840549</v>
      </c>
      <c r="D65" s="45">
        <f t="shared" si="15"/>
        <v>4.654214418137026</v>
      </c>
      <c r="E65" s="45">
        <f t="shared" si="15"/>
        <v>4.8699509989767789</v>
      </c>
      <c r="F65" s="45">
        <f t="shared" si="15"/>
        <v>5.1248959770721996</v>
      </c>
      <c r="G65" s="45">
        <f t="shared" si="15"/>
        <v>5.1531927752463886</v>
      </c>
      <c r="H65" s="45">
        <f t="shared" si="15"/>
        <v>5.3614732272461598</v>
      </c>
      <c r="I65" s="45">
        <f t="shared" si="15"/>
        <v>5.6535989806755174</v>
      </c>
      <c r="J65" s="45">
        <f t="shared" si="15"/>
        <v>5.8239187945557509</v>
      </c>
      <c r="K65" s="45">
        <f t="shared" si="15"/>
        <v>5.8570877549747298</v>
      </c>
      <c r="L65" s="45">
        <f t="shared" si="15"/>
        <v>6.0694803945423486</v>
      </c>
      <c r="M65" s="45">
        <f t="shared" si="15"/>
        <v>6.0834714307978555</v>
      </c>
      <c r="N65" s="45">
        <f t="shared" si="15"/>
        <v>6.1111337476382079</v>
      </c>
      <c r="O65" s="45">
        <f t="shared" si="15"/>
        <v>6.2640783387502319</v>
      </c>
      <c r="P65" s="45">
        <f t="shared" si="15"/>
        <v>6.5955887470627719</v>
      </c>
      <c r="Q65" s="45">
        <f t="shared" si="15"/>
        <v>6.8552034371404957</v>
      </c>
      <c r="R65" s="45">
        <f t="shared" si="15"/>
        <v>7.2163801212386165</v>
      </c>
      <c r="S65" s="45">
        <f t="shared" si="15"/>
        <v>7.594149831145609</v>
      </c>
      <c r="T65" s="45">
        <f t="shared" si="15"/>
        <v>7.877715122158067</v>
      </c>
      <c r="U65" s="45">
        <f t="shared" si="15"/>
        <v>7.6862518672358302</v>
      </c>
      <c r="V65" s="45">
        <f t="shared" si="15"/>
        <v>8.1855439654224753</v>
      </c>
      <c r="W65" s="45">
        <f t="shared" si="15"/>
        <v>8.5631921844934045</v>
      </c>
      <c r="X65" s="45">
        <f t="shared" si="15"/>
        <v>8.7962728299983617</v>
      </c>
      <c r="Y65" s="45">
        <f t="shared" si="15"/>
        <v>9.043992510150229</v>
      </c>
      <c r="Z65" s="45">
        <f t="shared" si="15"/>
        <v>9.1818877318129619</v>
      </c>
      <c r="AA65" s="45">
        <f t="shared" si="15"/>
        <v>9.2316230789869884</v>
      </c>
      <c r="AB65" s="45">
        <f t="shared" si="15"/>
        <v>9.2169083264016738</v>
      </c>
      <c r="AC65" s="45">
        <f t="shared" si="15"/>
        <v>9.4012538231319152</v>
      </c>
      <c r="AD65" s="45">
        <f t="shared" si="15"/>
        <v>9.5694616614356001</v>
      </c>
      <c r="AE65" s="45">
        <f t="shared" si="15"/>
        <v>9.6365165492879825</v>
      </c>
      <c r="AF65" s="45">
        <f t="shared" si="15"/>
        <v>8.9898631827706925</v>
      </c>
      <c r="AG65" s="45">
        <f t="shared" si="15"/>
        <v>9.6572444667728696</v>
      </c>
      <c r="AH65" s="45">
        <f t="shared" si="15"/>
        <v>10.041269729792502</v>
      </c>
      <c r="AI65" s="45">
        <f t="shared" si="15"/>
        <v>96.249850468631067</v>
      </c>
      <c r="AJ65" s="45">
        <f t="shared" si="15"/>
        <v>176.01949469957478</v>
      </c>
      <c r="AK65" s="45">
        <f t="shared" si="15"/>
        <v>225.64130150950578</v>
      </c>
      <c r="AL65" s="45">
        <f t="shared" si="15"/>
        <v>257.51690565523501</v>
      </c>
      <c r="AM65" s="45">
        <f t="shared" si="15"/>
        <v>280.15656084973818</v>
      </c>
      <c r="AN65" s="45">
        <f t="shared" si="15"/>
        <v>297.98331644611926</v>
      </c>
      <c r="AO65" s="45">
        <f t="shared" si="15"/>
        <v>313.3276937963966</v>
      </c>
      <c r="AP65" s="45">
        <f t="shared" si="15"/>
        <v>327.45002043344505</v>
      </c>
      <c r="AQ65" s="45">
        <f t="shared" si="15"/>
        <v>341.04547109936431</v>
      </c>
      <c r="AR65" s="45">
        <f t="shared" si="15"/>
        <v>354.50403808420651</v>
      </c>
      <c r="AS65" s="45">
        <f t="shared" si="15"/>
        <v>368.04881503119088</v>
      </c>
      <c r="AT65" s="45">
        <f t="shared" si="15"/>
        <v>381.81103760693333</v>
      </c>
      <c r="AU65" s="45">
        <f t="shared" si="15"/>
        <v>395.87126494457812</v>
      </c>
      <c r="AV65" s="45">
        <f t="shared" si="15"/>
        <v>410.28211862871552</v>
      </c>
      <c r="AW65" s="45">
        <f t="shared" si="15"/>
        <v>425.08088112973553</v>
      </c>
      <c r="AX65" s="45">
        <f t="shared" si="15"/>
        <v>440.2964906931964</v>
      </c>
      <c r="AY65" s="45">
        <f t="shared" si="15"/>
        <v>455.95343207398793</v>
      </c>
      <c r="AZ65" s="45">
        <f t="shared" si="15"/>
        <v>472.07390576835871</v>
      </c>
      <c r="BA65" s="45">
        <f t="shared" si="15"/>
        <v>488.67904221686291</v>
      </c>
      <c r="BB65" s="45">
        <f t="shared" si="15"/>
        <v>505.78958627606607</v>
      </c>
      <c r="BC65" s="45">
        <f t="shared" si="15"/>
        <v>523.42628802720537</v>
      </c>
      <c r="BD65" s="45">
        <f t="shared" si="15"/>
        <v>541.61013095657711</v>
      </c>
      <c r="BE65" s="45">
        <f t="shared" si="15"/>
        <v>560.36247022886914</v>
      </c>
      <c r="BF65" s="45">
        <f t="shared" si="15"/>
        <v>579.7374158243565</v>
      </c>
      <c r="BG65" s="45">
        <f t="shared" si="15"/>
        <v>599.72662084966714</v>
      </c>
      <c r="BH65" s="45">
        <f t="shared" si="15"/>
        <v>620.34408027886616</v>
      </c>
      <c r="BI65" s="45">
        <f t="shared" si="15"/>
        <v>641.61244938955565</v>
      </c>
      <c r="BJ65" s="45">
        <f t="shared" si="15"/>
        <v>641.6080822124726</v>
      </c>
      <c r="BK65" s="45">
        <f t="shared" si="15"/>
        <v>641.60595207067558</v>
      </c>
      <c r="BL65" s="45">
        <f t="shared" si="15"/>
        <v>641.6037595649459</v>
      </c>
      <c r="BM65" s="45">
        <f t="shared" si="15"/>
        <v>641.60150543072859</v>
      </c>
      <c r="BN65" s="45">
        <f t="shared" si="15"/>
        <v>641.59919037699274</v>
      </c>
      <c r="BO65" s="45">
        <f t="shared" ref="BO65:CV65" si="16">+BO61-BO64</f>
        <v>641.59681508761446</v>
      </c>
      <c r="BP65" s="45">
        <f t="shared" si="16"/>
        <v>641.59438022268375</v>
      </c>
      <c r="BQ65" s="45">
        <f t="shared" si="16"/>
        <v>641.59188641974117</v>
      </c>
      <c r="BR65" s="45">
        <f t="shared" si="16"/>
        <v>641.5893342949455</v>
      </c>
      <c r="BS65" s="45">
        <f t="shared" si="16"/>
        <v>641.58672444417857</v>
      </c>
      <c r="BT65" s="45">
        <f t="shared" si="16"/>
        <v>641.58405744408878</v>
      </c>
      <c r="BU65" s="45">
        <f t="shared" si="16"/>
        <v>641.58133385307758</v>
      </c>
      <c r="BV65" s="45">
        <f t="shared" si="16"/>
        <v>641.57855421223087</v>
      </c>
      <c r="BW65" s="45">
        <f t="shared" si="16"/>
        <v>641.57571904620022</v>
      </c>
      <c r="BX65" s="45">
        <f t="shared" si="16"/>
        <v>641.57282886403414</v>
      </c>
      <c r="BY65" s="45">
        <f t="shared" si="16"/>
        <v>641.56988415996375</v>
      </c>
      <c r="BZ65" s="45">
        <f t="shared" si="16"/>
        <v>641.5668854141453</v>
      </c>
      <c r="CA65" s="45">
        <f t="shared" si="16"/>
        <v>641.5638330933607</v>
      </c>
      <c r="CB65" s="45">
        <f t="shared" si="16"/>
        <v>641.56072765167926</v>
      </c>
      <c r="CC65" s="45">
        <f t="shared" si="16"/>
        <v>641.55756953108312</v>
      </c>
      <c r="CD65" s="45">
        <f t="shared" si="16"/>
        <v>641.55435916205636</v>
      </c>
      <c r="CE65" s="45">
        <f t="shared" si="16"/>
        <v>641.55109696414297</v>
      </c>
      <c r="CF65" s="45">
        <f t="shared" si="16"/>
        <v>641.54778334647176</v>
      </c>
      <c r="CG65" s="45">
        <f t="shared" si="16"/>
        <v>641.54441870825303</v>
      </c>
      <c r="CH65" s="45">
        <f t="shared" si="16"/>
        <v>641.54100343924722</v>
      </c>
      <c r="CI65" s="45">
        <f t="shared" si="16"/>
        <v>641.5375379202062</v>
      </c>
      <c r="CJ65" s="45">
        <f t="shared" si="16"/>
        <v>641.5340225232909</v>
      </c>
      <c r="CK65" s="45">
        <f t="shared" si="16"/>
        <v>641.53045761246494</v>
      </c>
      <c r="CL65" s="45">
        <f t="shared" si="16"/>
        <v>641.52684354386565</v>
      </c>
      <c r="CM65" s="45">
        <f t="shared" si="16"/>
        <v>641.52318066615464</v>
      </c>
      <c r="CN65" s="45">
        <f t="shared" si="16"/>
        <v>641.51946932084832</v>
      </c>
      <c r="CO65" s="45">
        <f t="shared" si="16"/>
        <v>641.51570984262969</v>
      </c>
      <c r="CP65" s="45">
        <f t="shared" si="16"/>
        <v>641.51190255964252</v>
      </c>
      <c r="CQ65" s="45">
        <f t="shared" si="16"/>
        <v>641.50804779376904</v>
      </c>
      <c r="CR65" s="45">
        <f t="shared" si="16"/>
        <v>641.50414586089119</v>
      </c>
      <c r="CS65" s="45">
        <f t="shared" si="16"/>
        <v>641.50019707113802</v>
      </c>
      <c r="CT65" s="45">
        <f t="shared" si="16"/>
        <v>641.49620172911852</v>
      </c>
      <c r="CU65" s="45">
        <f t="shared" si="16"/>
        <v>641.49216013414105</v>
      </c>
      <c r="CV65" s="45">
        <f t="shared" si="16"/>
        <v>641.48807258042098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8.6572884758622519E-12</v>
      </c>
      <c r="E66" s="33">
        <f t="shared" si="17"/>
        <v>7.828154122544673E-12</v>
      </c>
      <c r="F66" s="33">
        <f t="shared" si="17"/>
        <v>7.1492035069382059E-12</v>
      </c>
      <c r="G66" s="33">
        <f t="shared" si="17"/>
        <v>6.5877279432524909E-12</v>
      </c>
      <c r="H66" s="33">
        <f t="shared" si="17"/>
        <v>6.1192195214542257E-12</v>
      </c>
      <c r="I66" s="33">
        <f t="shared" si="17"/>
        <v>5.7250709941307155E-12</v>
      </c>
      <c r="J66" s="33">
        <f t="shared" si="17"/>
        <v>5.390980106632426E-12</v>
      </c>
      <c r="K66" s="33">
        <f t="shared" si="17"/>
        <v>5.1058264321953794E-12</v>
      </c>
      <c r="L66" s="33">
        <f t="shared" si="17"/>
        <v>4.8608699800276777E-12</v>
      </c>
      <c r="M66" s="33">
        <f t="shared" si="17"/>
        <v>4.6491720663624258E-12</v>
      </c>
      <c r="N66" s="33">
        <f t="shared" si="17"/>
        <v>4.4651717758616046E-12</v>
      </c>
      <c r="O66" s="33">
        <f t="shared" si="17"/>
        <v>4.3043727172300669E-12</v>
      </c>
      <c r="P66" s="33">
        <f t="shared" si="17"/>
        <v>4.1631088923043274E-12</v>
      </c>
      <c r="Q66" s="33">
        <f t="shared" si="17"/>
        <v>4.0383679484902018E-12</v>
      </c>
      <c r="R66" s="33">
        <f t="shared" si="17"/>
        <v>3.9276564916117333E-12</v>
      </c>
      <c r="S66" s="33">
        <f t="shared" si="17"/>
        <v>3.8288965373596196E-12</v>
      </c>
      <c r="T66" s="33">
        <f t="shared" si="17"/>
        <v>3.7403452295091711E-12</v>
      </c>
      <c r="U66" s="33">
        <f t="shared" si="17"/>
        <v>3.6605320969713634E-12</v>
      </c>
      <c r="V66" s="33">
        <f t="shared" si="17"/>
        <v>3.5882096467803306E-12</v>
      </c>
      <c r="W66" s="33">
        <f t="shared" si="17"/>
        <v>3.522314203442923E-12</v>
      </c>
      <c r="X66" s="33">
        <f t="shared" si="17"/>
        <v>3.4619345958946418E-12</v>
      </c>
      <c r="Y66" s="33">
        <f t="shared" si="17"/>
        <v>3.4062870129721225E-12</v>
      </c>
      <c r="Z66" s="33">
        <f t="shared" si="17"/>
        <v>3.3546946608806239E-12</v>
      </c>
      <c r="AA66" s="33">
        <f t="shared" si="17"/>
        <v>3.3065712071256496E-12</v>
      </c>
      <c r="AB66" s="33">
        <f t="shared" si="17"/>
        <v>2.7903195169731343E-3</v>
      </c>
      <c r="AC66" s="33">
        <f t="shared" si="17"/>
        <v>2.6046484309699834E-3</v>
      </c>
      <c r="AD66" s="33">
        <f t="shared" si="17"/>
        <v>2.43465451563125E-3</v>
      </c>
      <c r="AE66" s="33">
        <f t="shared" si="17"/>
        <v>2.2787063467522711E-3</v>
      </c>
      <c r="AF66" s="33">
        <f t="shared" si="17"/>
        <v>2.1353801652590583E-3</v>
      </c>
      <c r="AG66" s="33">
        <f t="shared" si="17"/>
        <v>2.0034284433843052E-3</v>
      </c>
      <c r="AH66" s="33">
        <f t="shared" ref="AH66:BI66" si="18">(AH31*(AH103)^$B38)</f>
        <v>1.8817538718820732E-3</v>
      </c>
      <c r="AI66" s="33">
        <f t="shared" si="18"/>
        <v>1.7693877383969396E-3</v>
      </c>
      <c r="AJ66" s="33">
        <f t="shared" si="18"/>
        <v>1.6654718787305653E-3</v>
      </c>
      <c r="AK66" s="33">
        <f t="shared" si="18"/>
        <v>1.5692435477522269E-3</v>
      </c>
      <c r="AL66" s="33">
        <f t="shared" si="18"/>
        <v>1.4800226860306374E-3</v>
      </c>
      <c r="AM66" s="33">
        <f t="shared" si="18"/>
        <v>1.3972011601459265E-3</v>
      </c>
      <c r="AN66" s="33">
        <f t="shared" si="18"/>
        <v>1.3202336352853242E-3</v>
      </c>
      <c r="AO66" s="33">
        <f t="shared" si="18"/>
        <v>1.2486298028540287E-3</v>
      </c>
      <c r="AP66" s="33">
        <f t="shared" si="18"/>
        <v>1.1819477370503457E-3</v>
      </c>
      <c r="AQ66" s="33">
        <f t="shared" si="18"/>
        <v>1.1197881954316125E-3</v>
      </c>
      <c r="AR66" s="33">
        <f t="shared" si="18"/>
        <v>1.061789711573649E-3</v>
      </c>
      <c r="AS66" s="33">
        <f t="shared" si="18"/>
        <v>1.0076243546613536E-3</v>
      </c>
      <c r="AT66" s="33">
        <f t="shared" si="18"/>
        <v>9.569940525358103E-4</v>
      </c>
      <c r="AU66" s="33">
        <f t="shared" si="18"/>
        <v>9.0962739237780308E-4</v>
      </c>
      <c r="AV66" s="33">
        <f t="shared" si="18"/>
        <v>8.6527682762668984E-4</v>
      </c>
      <c r="AW66" s="33">
        <f t="shared" si="18"/>
        <v>8.2371623154766586E-4</v>
      </c>
      <c r="AX66" s="33">
        <f t="shared" si="18"/>
        <v>7.8473874756974655E-4</v>
      </c>
      <c r="AY66" s="33">
        <f t="shared" si="18"/>
        <v>7.4815489451986964E-4</v>
      </c>
      <c r="AZ66" s="33">
        <f t="shared" si="18"/>
        <v>7.1379089149399663E-4</v>
      </c>
      <c r="BA66" s="33">
        <f t="shared" si="18"/>
        <v>6.8148717258968868E-4</v>
      </c>
      <c r="BB66" s="33">
        <f t="shared" si="18"/>
        <v>6.5109706628227069E-4</v>
      </c>
      <c r="BC66" s="33">
        <f t="shared" si="18"/>
        <v>6.2248561802471809E-4</v>
      </c>
      <c r="BD66" s="33">
        <f t="shared" si="18"/>
        <v>5.9552853782460073E-4</v>
      </c>
      <c r="BE66" s="33">
        <f t="shared" si="18"/>
        <v>2.9029005223197603E-4</v>
      </c>
      <c r="BF66" s="33">
        <f t="shared" si="18"/>
        <v>1.4150768817670331E-4</v>
      </c>
      <c r="BG66" s="33">
        <f t="shared" si="18"/>
        <v>6.8983368005730666E-5</v>
      </c>
      <c r="BH66" s="33">
        <f t="shared" si="18"/>
        <v>3.3629745528121347E-5</v>
      </c>
      <c r="BI66" s="33">
        <f t="shared" si="18"/>
        <v>1.6395177143161937E-5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4.995010010641157E-11</v>
      </c>
      <c r="C67" s="23">
        <f>+C61*C66</f>
        <v>4.3827172070258719E-11</v>
      </c>
      <c r="D67" s="23">
        <f t="shared" ref="D67:BI67" si="19">+D61*D66</f>
        <v>4.0318044446139693E-11</v>
      </c>
      <c r="E67" s="23">
        <f t="shared" si="19"/>
        <v>3.8147317811653406E-11</v>
      </c>
      <c r="F67" s="23">
        <f t="shared" si="19"/>
        <v>3.6668654013555028E-11</v>
      </c>
      <c r="G67" s="23">
        <f t="shared" si="19"/>
        <v>3.3985794960944887E-11</v>
      </c>
      <c r="H67" s="23">
        <f t="shared" si="19"/>
        <v>3.2836202589672817E-11</v>
      </c>
      <c r="I67" s="23">
        <f t="shared" si="19"/>
        <v>3.2405220660222582E-11</v>
      </c>
      <c r="J67" s="23">
        <f t="shared" si="19"/>
        <v>3.1445702932058822E-11</v>
      </c>
      <c r="K67" s="23">
        <f t="shared" si="19"/>
        <v>2.9934593216062887E-11</v>
      </c>
      <c r="L67" s="23">
        <f t="shared" si="19"/>
        <v>2.9532654080783862E-11</v>
      </c>
      <c r="M67" s="23">
        <f t="shared" si="19"/>
        <v>2.8321869596076914E-11</v>
      </c>
      <c r="N67" s="23">
        <f t="shared" si="19"/>
        <v>2.7332656791243349E-11</v>
      </c>
      <c r="O67" s="23">
        <f t="shared" si="19"/>
        <v>2.7007045326124195E-11</v>
      </c>
      <c r="P67" s="23">
        <f t="shared" si="19"/>
        <v>2.7496022897125884E-11</v>
      </c>
      <c r="Q67" s="23">
        <f t="shared" si="19"/>
        <v>2.7733573720743559E-11</v>
      </c>
      <c r="R67" s="23">
        <f t="shared" si="19"/>
        <v>2.8391850131699125E-11</v>
      </c>
      <c r="S67" s="23">
        <f t="shared" si="19"/>
        <v>2.9128769847356744E-11</v>
      </c>
      <c r="T67" s="23">
        <f t="shared" si="19"/>
        <v>2.9507278682780897E-11</v>
      </c>
      <c r="U67" s="23">
        <f t="shared" si="19"/>
        <v>2.8185010285424661E-11</v>
      </c>
      <c r="V67" s="23">
        <f t="shared" si="19"/>
        <v>2.9429514430854954E-11</v>
      </c>
      <c r="W67" s="23">
        <f t="shared" si="19"/>
        <v>3.0211632709947978E-11</v>
      </c>
      <c r="X67" s="23">
        <f t="shared" si="19"/>
        <v>3.0505821109011759E-11</v>
      </c>
      <c r="Y67" s="23">
        <f t="shared" si="19"/>
        <v>3.0863802374979856E-11</v>
      </c>
      <c r="Z67" s="23">
        <f t="shared" si="19"/>
        <v>3.0865966859147528E-11</v>
      </c>
      <c r="AA67" s="23">
        <f t="shared" si="19"/>
        <v>3.0605522297205191E-11</v>
      </c>
      <c r="AB67" s="23">
        <f t="shared" si="19"/>
        <v>2.5797206308411917E-2</v>
      </c>
      <c r="AC67" s="23">
        <f t="shared" si="19"/>
        <v>2.4553700125098193E-2</v>
      </c>
      <c r="AD67" s="23">
        <f t="shared" si="19"/>
        <v>2.3355889619384396E-2</v>
      </c>
      <c r="AE67" s="23">
        <f t="shared" si="19"/>
        <v>2.2024075320923112E-2</v>
      </c>
      <c r="AF67" s="23">
        <f t="shared" si="19"/>
        <v>1.9256302221458455E-2</v>
      </c>
      <c r="AG67" s="23">
        <f t="shared" si="19"/>
        <v>1.9395737974929373E-2</v>
      </c>
      <c r="AH67" s="23">
        <f t="shared" si="19"/>
        <v>1.8945157153665688E-2</v>
      </c>
      <c r="AI67" s="23">
        <f t="shared" si="19"/>
        <v>0.17095198525973823</v>
      </c>
      <c r="AJ67" s="23">
        <f t="shared" si="19"/>
        <v>0.29322549054903069</v>
      </c>
      <c r="AK67" s="23">
        <f t="shared" si="19"/>
        <v>0.35418440162806542</v>
      </c>
      <c r="AL67" s="23">
        <f t="shared" si="19"/>
        <v>0.38124348636886929</v>
      </c>
      <c r="AM67" s="23">
        <f t="shared" si="19"/>
        <v>0.3915547778096099</v>
      </c>
      <c r="AN67" s="23">
        <f t="shared" si="19"/>
        <v>0.39353066975428452</v>
      </c>
      <c r="AO67" s="23">
        <f t="shared" si="19"/>
        <v>0.39135484001782506</v>
      </c>
      <c r="AP67" s="23">
        <f t="shared" si="19"/>
        <v>0.38715386815805664</v>
      </c>
      <c r="AQ67" s="23">
        <f t="shared" si="19"/>
        <v>0.38202379847321294</v>
      </c>
      <c r="AR67" s="23">
        <f t="shared" si="19"/>
        <v>0.3765336880040136</v>
      </c>
      <c r="AS67" s="23">
        <f t="shared" si="19"/>
        <v>0.3709796704352602</v>
      </c>
      <c r="AT67" s="23">
        <f t="shared" si="19"/>
        <v>0.3655153907906597</v>
      </c>
      <c r="AU67" s="23">
        <f t="shared" si="19"/>
        <v>0.36021966744603351</v>
      </c>
      <c r="AV67" s="23">
        <f t="shared" si="19"/>
        <v>0.35513181944354133</v>
      </c>
      <c r="AW67" s="23">
        <f t="shared" si="19"/>
        <v>0.35027019718914526</v>
      </c>
      <c r="AX67" s="23">
        <f t="shared" si="19"/>
        <v>0.34564194314604468</v>
      </c>
      <c r="AY67" s="23">
        <f t="shared" si="19"/>
        <v>0.34124815751928511</v>
      </c>
      <c r="AZ67" s="23">
        <f t="shared" si="19"/>
        <v>0.33708664952622774</v>
      </c>
      <c r="BA67" s="23">
        <f t="shared" si="19"/>
        <v>0.33315341625706801</v>
      </c>
      <c r="BB67" s="23">
        <f t="shared" si="19"/>
        <v>0.32944344843665502</v>
      </c>
      <c r="BC67" s="23">
        <f t="shared" si="19"/>
        <v>0.32595117820254843</v>
      </c>
      <c r="BD67" s="23">
        <f t="shared" si="19"/>
        <v>0.3226707349484455</v>
      </c>
      <c r="BE67" s="23">
        <f t="shared" si="19"/>
        <v>0.16273239041386167</v>
      </c>
      <c r="BF67" s="23">
        <f t="shared" si="19"/>
        <v>8.2070453790835357E-2</v>
      </c>
      <c r="BG67" s="23">
        <f t="shared" si="19"/>
        <v>4.138814134685577E-2</v>
      </c>
      <c r="BH67" s="23">
        <f t="shared" si="19"/>
        <v>2.0870710456060898E-2</v>
      </c>
      <c r="BI67" s="23">
        <f t="shared" si="19"/>
        <v>1.0523804856283526E-2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4.3775729023776426</v>
      </c>
      <c r="C68" s="23">
        <f>+C65-C67</f>
        <v>4.5225964758402277</v>
      </c>
      <c r="D68" s="23">
        <f>+D65-D67</f>
        <v>4.654214418096708</v>
      </c>
      <c r="E68" s="23">
        <f>+E65-E67</f>
        <v>4.8699509989386316</v>
      </c>
      <c r="F68" s="23">
        <f>+F65-F67</f>
        <v>5.1248959770355311</v>
      </c>
      <c r="G68" s="23">
        <f t="shared" ref="G68:BI68" si="20">+G65-G67</f>
        <v>5.1531927752124025</v>
      </c>
      <c r="H68" s="23">
        <f t="shared" si="20"/>
        <v>5.3614732272133239</v>
      </c>
      <c r="I68" s="23">
        <f t="shared" si="20"/>
        <v>5.6535989806431122</v>
      </c>
      <c r="J68" s="23">
        <f t="shared" si="20"/>
        <v>5.8239187945243049</v>
      </c>
      <c r="K68" s="23">
        <f t="shared" si="20"/>
        <v>5.8570877549447955</v>
      </c>
      <c r="L68" s="23">
        <f t="shared" si="20"/>
        <v>6.0694803945128157</v>
      </c>
      <c r="M68" s="23">
        <f t="shared" si="20"/>
        <v>6.0834714307695332</v>
      </c>
      <c r="N68" s="23">
        <f t="shared" si="20"/>
        <v>6.1111337476108751</v>
      </c>
      <c r="O68" s="23">
        <f t="shared" si="20"/>
        <v>6.2640783387232251</v>
      </c>
      <c r="P68" s="23">
        <f t="shared" si="20"/>
        <v>6.5955887470352756</v>
      </c>
      <c r="Q68" s="23">
        <f t="shared" si="20"/>
        <v>6.8552034371127624</v>
      </c>
      <c r="R68" s="23">
        <f t="shared" si="20"/>
        <v>7.216380121210225</v>
      </c>
      <c r="S68" s="23">
        <f t="shared" si="20"/>
        <v>7.5941498311164803</v>
      </c>
      <c r="T68" s="23">
        <f t="shared" si="20"/>
        <v>7.87771512212856</v>
      </c>
      <c r="U68" s="23">
        <f t="shared" si="20"/>
        <v>7.6862518672076448</v>
      </c>
      <c r="V68" s="23">
        <f t="shared" si="20"/>
        <v>8.1855439653930464</v>
      </c>
      <c r="W68" s="23">
        <f t="shared" si="20"/>
        <v>8.5631921844631922</v>
      </c>
      <c r="X68" s="23">
        <f t="shared" si="20"/>
        <v>8.7962728299678563</v>
      </c>
      <c r="Y68" s="23">
        <f t="shared" si="20"/>
        <v>9.0439925101193648</v>
      </c>
      <c r="Z68" s="23">
        <f t="shared" si="20"/>
        <v>9.1818877317820959</v>
      </c>
      <c r="AA68" s="23">
        <f t="shared" si="20"/>
        <v>9.2316230789563836</v>
      </c>
      <c r="AB68" s="23">
        <f t="shared" si="20"/>
        <v>9.1911111200932627</v>
      </c>
      <c r="AC68" s="23">
        <f t="shared" si="20"/>
        <v>9.3767001230068168</v>
      </c>
      <c r="AD68" s="23">
        <f t="shared" si="20"/>
        <v>9.5461057718162152</v>
      </c>
      <c r="AE68" s="23">
        <f t="shared" si="20"/>
        <v>9.6144924739670596</v>
      </c>
      <c r="AF68" s="23">
        <f t="shared" si="20"/>
        <v>8.9706068805492336</v>
      </c>
      <c r="AG68" s="23">
        <f t="shared" si="20"/>
        <v>9.6378487287979411</v>
      </c>
      <c r="AH68" s="23">
        <f t="shared" si="20"/>
        <v>10.022324572638835</v>
      </c>
      <c r="AI68" s="23">
        <f t="shared" si="20"/>
        <v>96.078898483371333</v>
      </c>
      <c r="AJ68" s="23">
        <f t="shared" si="20"/>
        <v>175.72626920902576</v>
      </c>
      <c r="AK68" s="23">
        <f t="shared" si="20"/>
        <v>225.28711710787772</v>
      </c>
      <c r="AL68" s="23">
        <f t="shared" si="20"/>
        <v>257.13566216886613</v>
      </c>
      <c r="AM68" s="23">
        <f t="shared" si="20"/>
        <v>279.76500607192855</v>
      </c>
      <c r="AN68" s="23">
        <f t="shared" si="20"/>
        <v>297.58978577636498</v>
      </c>
      <c r="AO68" s="23">
        <f t="shared" si="20"/>
        <v>312.93633895637879</v>
      </c>
      <c r="AP68" s="23">
        <f t="shared" si="20"/>
        <v>327.06286656528698</v>
      </c>
      <c r="AQ68" s="23">
        <f t="shared" si="20"/>
        <v>340.66344730089111</v>
      </c>
      <c r="AR68" s="23">
        <f t="shared" si="20"/>
        <v>354.12750439620248</v>
      </c>
      <c r="AS68" s="23">
        <f t="shared" si="20"/>
        <v>367.67783536075564</v>
      </c>
      <c r="AT68" s="23">
        <f t="shared" si="20"/>
        <v>381.44552221614265</v>
      </c>
      <c r="AU68" s="23">
        <f t="shared" si="20"/>
        <v>395.5110452771321</v>
      </c>
      <c r="AV68" s="23">
        <f t="shared" si="20"/>
        <v>409.92698680927197</v>
      </c>
      <c r="AW68" s="23">
        <f t="shared" si="20"/>
        <v>424.73061093254637</v>
      </c>
      <c r="AX68" s="23">
        <f t="shared" si="20"/>
        <v>439.95084875005034</v>
      </c>
      <c r="AY68" s="23">
        <f t="shared" si="20"/>
        <v>455.61218391646867</v>
      </c>
      <c r="AZ68" s="23">
        <f t="shared" si="20"/>
        <v>471.7368191188325</v>
      </c>
      <c r="BA68" s="23">
        <f t="shared" si="20"/>
        <v>488.34588880060585</v>
      </c>
      <c r="BB68" s="23">
        <f t="shared" si="20"/>
        <v>505.4601428276294</v>
      </c>
      <c r="BC68" s="23">
        <f t="shared" si="20"/>
        <v>523.10033684900282</v>
      </c>
      <c r="BD68" s="23">
        <f t="shared" si="20"/>
        <v>541.28746022162863</v>
      </c>
      <c r="BE68" s="23">
        <f t="shared" si="20"/>
        <v>560.19973783845523</v>
      </c>
      <c r="BF68" s="23">
        <f t="shared" si="20"/>
        <v>579.65534537056567</v>
      </c>
      <c r="BG68" s="23">
        <f t="shared" si="20"/>
        <v>599.68523270832031</v>
      </c>
      <c r="BH68" s="23">
        <f t="shared" si="20"/>
        <v>620.32320956841011</v>
      </c>
      <c r="BI68" s="23">
        <f t="shared" si="20"/>
        <v>641.60192558469942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0.99622122051011508</v>
      </c>
      <c r="C70" s="45">
        <f t="shared" si="21"/>
        <v>0.81886881765913677</v>
      </c>
      <c r="D70" s="45">
        <f t="shared" si="21"/>
        <v>0.68790219924495455</v>
      </c>
      <c r="E70" s="45">
        <f t="shared" si="21"/>
        <v>0.58755383342368628</v>
      </c>
      <c r="F70" s="45">
        <f t="shared" si="21"/>
        <v>0.5085506837182131</v>
      </c>
      <c r="G70" s="45">
        <f t="shared" si="21"/>
        <v>0.43415629211639278</v>
      </c>
      <c r="H70" s="45">
        <f t="shared" si="21"/>
        <v>0.381167026450067</v>
      </c>
      <c r="I70" s="45">
        <f t="shared" si="21"/>
        <v>0.34138506764944671</v>
      </c>
      <c r="J70" s="45">
        <f t="shared" si="21"/>
        <v>0.30477263518004599</v>
      </c>
      <c r="K70" s="45">
        <f t="shared" si="21"/>
        <v>0.27016166495391336</v>
      </c>
      <c r="L70" s="45">
        <f t="shared" si="21"/>
        <v>0.24704680375947669</v>
      </c>
      <c r="M70" s="45">
        <f t="shared" si="21"/>
        <v>0.22253021300555814</v>
      </c>
      <c r="N70" s="45">
        <f t="shared" si="21"/>
        <v>0.2023770844868153</v>
      </c>
      <c r="O70" s="45">
        <f t="shared" si="21"/>
        <v>0.18850618925412257</v>
      </c>
      <c r="P70" s="45">
        <f t="shared" si="21"/>
        <v>0.18107379384568756</v>
      </c>
      <c r="Q70" s="45">
        <f t="shared" si="21"/>
        <v>0.17356844637253435</v>
      </c>
      <c r="R70" s="45">
        <f t="shared" si="21"/>
        <v>0.16943444030634619</v>
      </c>
      <c r="S70" s="45">
        <f t="shared" si="21"/>
        <v>0.16651180650288047</v>
      </c>
      <c r="T70" s="45">
        <f t="shared" si="21"/>
        <v>0.16236414419038475</v>
      </c>
      <c r="U70" s="45">
        <f t="shared" si="21"/>
        <v>0.1502391759998844</v>
      </c>
      <c r="V70" s="45">
        <f t="shared" si="21"/>
        <v>0.15155961893910516</v>
      </c>
      <c r="W70" s="45">
        <f t="shared" si="21"/>
        <v>0.15084239817493833</v>
      </c>
      <c r="X70" s="45">
        <f t="shared" si="21"/>
        <v>0.14804946231432042</v>
      </c>
      <c r="Y70" s="45">
        <f t="shared" si="21"/>
        <v>0.14581778710779042</v>
      </c>
      <c r="Z70" s="45">
        <f t="shared" si="21"/>
        <v>0.14219053163142051</v>
      </c>
      <c r="AA70" s="45">
        <f t="shared" si="21"/>
        <v>0.13764306006298635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0.39622122051011505</v>
      </c>
      <c r="C71" s="46">
        <f t="shared" si="23"/>
        <v>0.33886881765913685</v>
      </c>
      <c r="D71" s="46">
        <f t="shared" si="23"/>
        <v>0.3039021992449546</v>
      </c>
      <c r="E71" s="46">
        <f t="shared" si="23"/>
        <v>0.2803538334236863</v>
      </c>
      <c r="F71" s="46">
        <f t="shared" si="23"/>
        <v>0.26279068371821307</v>
      </c>
      <c r="G71" s="46">
        <f t="shared" si="23"/>
        <v>0.23754829211639275</v>
      </c>
      <c r="H71" s="46">
        <f t="shared" si="23"/>
        <v>0.22388062645006696</v>
      </c>
      <c r="I71" s="46">
        <f t="shared" si="23"/>
        <v>0.21555594764944666</v>
      </c>
      <c r="J71" s="46">
        <f t="shared" si="23"/>
        <v>0.20410933918004595</v>
      </c>
      <c r="K71" s="46">
        <f t="shared" si="23"/>
        <v>0.18963102815391331</v>
      </c>
      <c r="L71" s="46">
        <f t="shared" si="23"/>
        <v>0.18262229431947666</v>
      </c>
      <c r="M71" s="46">
        <f t="shared" si="23"/>
        <v>0.1709906054535581</v>
      </c>
      <c r="N71" s="46">
        <f t="shared" si="23"/>
        <v>0.16114539844521525</v>
      </c>
      <c r="O71" s="46">
        <f t="shared" si="23"/>
        <v>0.15552084042084255</v>
      </c>
      <c r="P71" s="46">
        <f t="shared" si="23"/>
        <v>0.15468551477906353</v>
      </c>
      <c r="Q71" s="46">
        <f t="shared" si="23"/>
        <v>0.15245782311923514</v>
      </c>
      <c r="R71" s="46">
        <f t="shared" si="23"/>
        <v>0.15254594170370681</v>
      </c>
      <c r="S71" s="46">
        <f t="shared" si="23"/>
        <v>0.15300100762076896</v>
      </c>
      <c r="T71" s="46">
        <f t="shared" si="23"/>
        <v>0.15155550508469556</v>
      </c>
      <c r="U71" s="46">
        <f t="shared" si="23"/>
        <v>0.14159226471533304</v>
      </c>
      <c r="V71" s="46">
        <f t="shared" si="23"/>
        <v>0.14464208991146407</v>
      </c>
      <c r="W71" s="46">
        <f t="shared" si="23"/>
        <v>0.14530837495282545</v>
      </c>
      <c r="X71" s="46">
        <f t="shared" si="23"/>
        <v>0.14362224373663013</v>
      </c>
      <c r="Y71" s="46">
        <f t="shared" si="23"/>
        <v>0.14227601224563818</v>
      </c>
      <c r="Z71" s="46">
        <f t="shared" si="23"/>
        <v>0.13935711174169871</v>
      </c>
      <c r="AA71" s="46">
        <f t="shared" si="23"/>
        <v>0.13537632415120893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1.0318109446909076</v>
      </c>
      <c r="C73" s="45">
        <f>(C97)*C68</f>
        <v>1.0759664985684856</v>
      </c>
      <c r="D73" s="45">
        <f>(D97)*D68</f>
        <v>1.0663861836884332</v>
      </c>
      <c r="E73" s="45">
        <f>(E97)*E68</f>
        <v>1.0747836576164032</v>
      </c>
      <c r="F73" s="45">
        <f>(F97)*F68</f>
        <v>1.0975532564616133</v>
      </c>
      <c r="G73" s="45">
        <f t="shared" ref="G73:BI73" si="25">(G97)*G68</f>
        <v>1.0961913818994662</v>
      </c>
      <c r="H73" s="45">
        <f t="shared" si="25"/>
        <v>1.1425087060818298</v>
      </c>
      <c r="I73" s="45">
        <f t="shared" si="25"/>
        <v>1.2086599859344271</v>
      </c>
      <c r="J73" s="45">
        <f t="shared" si="25"/>
        <v>1.25162141885176</v>
      </c>
      <c r="K73" s="45">
        <f t="shared" si="25"/>
        <v>1.2698182728113245</v>
      </c>
      <c r="L73" s="45">
        <f t="shared" si="25"/>
        <v>1.3209955075252684</v>
      </c>
      <c r="M73" s="45">
        <f t="shared" si="25"/>
        <v>1.3760074554867279</v>
      </c>
      <c r="N73" s="45">
        <f t="shared" si="25"/>
        <v>1.3822643360594222</v>
      </c>
      <c r="O73" s="45">
        <f t="shared" si="25"/>
        <v>1.4168585476114834</v>
      </c>
      <c r="P73" s="45">
        <f t="shared" si="25"/>
        <v>1.4918421813147043</v>
      </c>
      <c r="Q73" s="45">
        <f t="shared" si="25"/>
        <v>1.5505638755259501</v>
      </c>
      <c r="R73" s="45">
        <f t="shared" si="25"/>
        <v>1.6322576610104027</v>
      </c>
      <c r="S73" s="45">
        <f t="shared" si="25"/>
        <v>1.7177045876876456</v>
      </c>
      <c r="T73" s="45">
        <f t="shared" si="25"/>
        <v>1.781843617350275</v>
      </c>
      <c r="U73" s="45">
        <f t="shared" si="25"/>
        <v>1.7385369512105426</v>
      </c>
      <c r="V73" s="45">
        <f t="shared" si="25"/>
        <v>1.8514707682568106</v>
      </c>
      <c r="W73" s="45">
        <f t="shared" si="25"/>
        <v>1.9368902151804026</v>
      </c>
      <c r="X73" s="45">
        <f t="shared" si="25"/>
        <v>1.9896102303220708</v>
      </c>
      <c r="Y73" s="45">
        <f t="shared" si="25"/>
        <v>2.0456414175542834</v>
      </c>
      <c r="Z73" s="45">
        <f t="shared" si="25"/>
        <v>2.0768316442600758</v>
      </c>
      <c r="AA73" s="45">
        <f t="shared" si="25"/>
        <v>2.0880811765857965</v>
      </c>
      <c r="AB73" s="45">
        <f t="shared" si="25"/>
        <v>2.0789178628320615</v>
      </c>
      <c r="AC73" s="45">
        <f t="shared" si="25"/>
        <v>2.1208958444124062</v>
      </c>
      <c r="AD73" s="45">
        <f t="shared" si="25"/>
        <v>2.1592133475709296</v>
      </c>
      <c r="AE73" s="45">
        <f t="shared" si="25"/>
        <v>2.1746815901831598</v>
      </c>
      <c r="AF73" s="45">
        <f t="shared" si="25"/>
        <v>2.0290424781882916</v>
      </c>
      <c r="AG73" s="45">
        <f t="shared" si="25"/>
        <v>2.1799644917542902</v>
      </c>
      <c r="AH73" s="45">
        <f t="shared" si="25"/>
        <v>2.2669282645935587</v>
      </c>
      <c r="AI73" s="45">
        <f t="shared" si="25"/>
        <v>21.731881563442801</v>
      </c>
      <c r="AJ73" s="45">
        <f t="shared" si="25"/>
        <v>39.747150834552457</v>
      </c>
      <c r="AK73" s="45">
        <f t="shared" si="25"/>
        <v>50.957213540548842</v>
      </c>
      <c r="AL73" s="45">
        <f t="shared" si="25"/>
        <v>58.160968164704535</v>
      </c>
      <c r="AM73" s="45">
        <f t="shared" si="25"/>
        <v>63.279451300154747</v>
      </c>
      <c r="AN73" s="45">
        <f t="shared" si="25"/>
        <v>67.31120028506129</v>
      </c>
      <c r="AO73" s="45">
        <f t="shared" si="25"/>
        <v>70.782404486812808</v>
      </c>
      <c r="AP73" s="45">
        <f t="shared" si="25"/>
        <v>73.977653701213725</v>
      </c>
      <c r="AQ73" s="45">
        <f t="shared" si="25"/>
        <v>77.053940111713587</v>
      </c>
      <c r="AR73" s="45">
        <f t="shared" si="25"/>
        <v>80.0993465305786</v>
      </c>
      <c r="AS73" s="45">
        <f t="shared" si="25"/>
        <v>83.164267052310919</v>
      </c>
      <c r="AT73" s="45">
        <f t="shared" si="25"/>
        <v>86.278350840392875</v>
      </c>
      <c r="AU73" s="45">
        <f t="shared" si="25"/>
        <v>89.459801565935891</v>
      </c>
      <c r="AV73" s="45">
        <f t="shared" si="25"/>
        <v>92.720512699673563</v>
      </c>
      <c r="AW73" s="45">
        <f t="shared" si="25"/>
        <v>96.068912933595925</v>
      </c>
      <c r="AX73" s="45">
        <f t="shared" si="25"/>
        <v>99.511546132338069</v>
      </c>
      <c r="AY73" s="45">
        <f t="shared" si="25"/>
        <v>103.05395020164461</v>
      </c>
      <c r="AZ73" s="45">
        <f t="shared" si="25"/>
        <v>106.7011471200412</v>
      </c>
      <c r="BA73" s="45">
        <f t="shared" si="25"/>
        <v>110.45791724231459</v>
      </c>
      <c r="BB73" s="45">
        <f t="shared" si="25"/>
        <v>114.32895393645737</v>
      </c>
      <c r="BC73" s="45">
        <f t="shared" si="25"/>
        <v>118.3189518785652</v>
      </c>
      <c r="BD73" s="45">
        <f t="shared" si="25"/>
        <v>122.43265860660426</v>
      </c>
      <c r="BE73" s="45">
        <f t="shared" si="25"/>
        <v>126.71038642979491</v>
      </c>
      <c r="BF73" s="45">
        <f t="shared" si="25"/>
        <v>131.11100889015572</v>
      </c>
      <c r="BG73" s="45">
        <f t="shared" si="25"/>
        <v>135.64152647751672</v>
      </c>
      <c r="BH73" s="45">
        <f t="shared" si="25"/>
        <v>140.30958653973909</v>
      </c>
      <c r="BI73" s="45">
        <f t="shared" si="25"/>
        <v>145.12257402801851</v>
      </c>
    </row>
    <row r="74" spans="1:237" s="45" customFormat="1" ht="18" customHeight="1" x14ac:dyDescent="0.2">
      <c r="A74" s="43" t="s">
        <v>35</v>
      </c>
      <c r="B74" s="44">
        <f>+B11</f>
        <v>7.6929611347491704</v>
      </c>
      <c r="C74" s="45">
        <f t="shared" ref="C74:BI74" si="26">+B74*(1-$B$8)^10+10*B73</f>
        <v>13.000479135123344</v>
      </c>
      <c r="D74" s="45">
        <f t="shared" si="26"/>
        <v>15.292651771072261</v>
      </c>
      <c r="E74" s="45">
        <f t="shared" si="26"/>
        <v>15.996079801414311</v>
      </c>
      <c r="F74" s="45">
        <f t="shared" si="26"/>
        <v>16.325324729036293</v>
      </c>
      <c r="G74" s="45">
        <f t="shared" si="26"/>
        <v>16.667821325262466</v>
      </c>
      <c r="H74" s="45">
        <f t="shared" si="26"/>
        <v>16.773623758552695</v>
      </c>
      <c r="I74" s="45">
        <f t="shared" si="26"/>
        <v>17.273688027774753</v>
      </c>
      <c r="J74" s="45">
        <f t="shared" si="26"/>
        <v>18.10956245564282</v>
      </c>
      <c r="K74" s="45">
        <f t="shared" si="26"/>
        <v>18.830628176444669</v>
      </c>
      <c r="L74" s="45">
        <f t="shared" si="26"/>
        <v>19.264016786779084</v>
      </c>
      <c r="M74" s="45">
        <f t="shared" si="26"/>
        <v>19.92690239852703</v>
      </c>
      <c r="N74" s="45">
        <f t="shared" si="26"/>
        <v>20.708155799210637</v>
      </c>
      <c r="O74" s="45">
        <f t="shared" si="26"/>
        <v>21.04313082201076</v>
      </c>
      <c r="P74" s="45">
        <f t="shared" si="26"/>
        <v>21.505871505953781</v>
      </c>
      <c r="Q74" s="45">
        <f t="shared" si="26"/>
        <v>22.417055542834049</v>
      </c>
      <c r="R74" s="45">
        <f t="shared" si="26"/>
        <v>23.321982713569938</v>
      </c>
      <c r="S74" s="45">
        <f t="shared" si="26"/>
        <v>24.454449162710759</v>
      </c>
      <c r="T74" s="45">
        <f t="shared" si="26"/>
        <v>25.703785064435198</v>
      </c>
      <c r="U74" s="45">
        <f t="shared" si="26"/>
        <v>26.780791854435698</v>
      </c>
      <c r="V74" s="45">
        <f t="shared" si="26"/>
        <v>26.723254240552855</v>
      </c>
      <c r="W74" s="45">
        <f t="shared" si="26"/>
        <v>27.832530285559788</v>
      </c>
      <c r="X74" s="45">
        <f t="shared" si="26"/>
        <v>29.073505395809022</v>
      </c>
      <c r="Y74" s="45">
        <f t="shared" si="26"/>
        <v>30.033406812870336</v>
      </c>
      <c r="Z74" s="45">
        <f t="shared" si="26"/>
        <v>30.92841561394318</v>
      </c>
      <c r="AA74" s="45">
        <f t="shared" si="26"/>
        <v>31.552388153634951</v>
      </c>
      <c r="AB74" s="45">
        <f t="shared" si="26"/>
        <v>31.882449248697121</v>
      </c>
      <c r="AC74" s="45">
        <f t="shared" si="26"/>
        <v>31.905901298923744</v>
      </c>
      <c r="AD74" s="45">
        <f t="shared" si="26"/>
        <v>32.333858339017361</v>
      </c>
      <c r="AE74" s="45">
        <f t="shared" si="26"/>
        <v>32.866252763772252</v>
      </c>
      <c r="AF74" s="45">
        <f t="shared" si="26"/>
        <v>33.206569647436027</v>
      </c>
      <c r="AG74" s="45">
        <f t="shared" si="26"/>
        <v>31.868839687622923</v>
      </c>
      <c r="AH74" s="45">
        <f t="shared" si="26"/>
        <v>32.911622227620242</v>
      </c>
      <c r="AI74" s="45">
        <f t="shared" si="26"/>
        <v>34.144855745422703</v>
      </c>
      <c r="AJ74" s="45">
        <f t="shared" si="26"/>
        <v>229.22439067318152</v>
      </c>
      <c r="AK74" s="45">
        <f t="shared" si="26"/>
        <v>477.39711131832252</v>
      </c>
      <c r="AL74" s="45">
        <f t="shared" si="26"/>
        <v>676.0302154882072</v>
      </c>
      <c r="AM74" s="45">
        <f t="shared" si="26"/>
        <v>817.32684264394038</v>
      </c>
      <c r="AN74" s="45">
        <f t="shared" si="26"/>
        <v>917.77876154649493</v>
      </c>
      <c r="AO74" s="45">
        <f t="shared" si="26"/>
        <v>993.12166978355481</v>
      </c>
      <c r="AP74" s="45">
        <f t="shared" si="26"/>
        <v>1054.1041595177655</v>
      </c>
      <c r="AQ74" s="45">
        <f t="shared" si="26"/>
        <v>1107.3199310557134</v>
      </c>
      <c r="AR74" s="45">
        <f t="shared" si="26"/>
        <v>1156.6379873692817</v>
      </c>
      <c r="AS74" s="45">
        <f t="shared" si="26"/>
        <v>1204.2881945021109</v>
      </c>
      <c r="AT74" s="45">
        <f t="shared" si="26"/>
        <v>1251.5519996129508</v>
      </c>
      <c r="AU74" s="45">
        <f t="shared" si="26"/>
        <v>1299.1727073330085</v>
      </c>
      <c r="AV74" s="45">
        <f t="shared" si="26"/>
        <v>1347.5915286727263</v>
      </c>
      <c r="AW74" s="45">
        <f t="shared" si="26"/>
        <v>1397.0812391063164</v>
      </c>
      <c r="AX74" s="45">
        <f t="shared" si="26"/>
        <v>1447.8212364805249</v>
      </c>
      <c r="AY74" s="45">
        <f t="shared" si="26"/>
        <v>1499.9395116030637</v>
      </c>
      <c r="AZ74" s="45">
        <f t="shared" si="26"/>
        <v>1553.5360711665585</v>
      </c>
      <c r="BA74" s="45">
        <f t="shared" si="26"/>
        <v>1608.6960051338503</v>
      </c>
      <c r="BB74" s="45">
        <f t="shared" si="26"/>
        <v>1665.4967860883189</v>
      </c>
      <c r="BC74" s="45">
        <f t="shared" si="26"/>
        <v>1724.0123607294122</v>
      </c>
      <c r="BD74" s="45">
        <f t="shared" si="26"/>
        <v>1784.3154594379023</v>
      </c>
      <c r="BE74" s="45">
        <f t="shared" si="26"/>
        <v>1846.4789171091656</v>
      </c>
      <c r="BF74" s="45">
        <f t="shared" si="26"/>
        <v>1910.9312527931104</v>
      </c>
      <c r="BG74" s="45">
        <f t="shared" si="26"/>
        <v>1977.410617263798</v>
      </c>
      <c r="BH74" s="45">
        <f t="shared" si="26"/>
        <v>2045.8957142398867</v>
      </c>
      <c r="BI74" s="45">
        <f t="shared" si="26"/>
        <v>2116.4555916458303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0.17090475934078317</v>
      </c>
      <c r="C77" s="23">
        <f t="shared" si="28"/>
        <v>0.10446970081724875</v>
      </c>
      <c r="D77" s="23">
        <f t="shared" si="28"/>
        <v>9.135998623613685E-2</v>
      </c>
      <c r="E77" s="23">
        <f t="shared" si="28"/>
        <v>9.1392873573517885E-2</v>
      </c>
      <c r="F77" s="23">
        <f t="shared" si="28"/>
        <v>9.425333698037909E-2</v>
      </c>
      <c r="G77" s="23">
        <f t="shared" si="28"/>
        <v>9.2854765125811353E-2</v>
      </c>
      <c r="H77" s="23">
        <f t="shared" si="28"/>
        <v>9.5973481734369454E-2</v>
      </c>
      <c r="I77" s="23">
        <f t="shared" si="28"/>
        <v>9.8303796247140834E-2</v>
      </c>
      <c r="J77" s="23">
        <f t="shared" si="28"/>
        <v>9.6628864327764158E-2</v>
      </c>
      <c r="K77" s="23">
        <f t="shared" si="28"/>
        <v>9.3403631177739768E-2</v>
      </c>
      <c r="L77" s="23">
        <f t="shared" si="28"/>
        <v>9.4615628935943552E-2</v>
      </c>
      <c r="M77" s="23">
        <f t="shared" si="28"/>
        <v>9.1712336979721434E-2</v>
      </c>
      <c r="N77" s="23">
        <f t="shared" si="28"/>
        <v>8.8679555607583546E-2</v>
      </c>
      <c r="O77" s="23">
        <f t="shared" si="28"/>
        <v>8.944953822143116E-2</v>
      </c>
      <c r="P77" s="23">
        <f t="shared" si="28"/>
        <v>9.2133234523073607E-2</v>
      </c>
      <c r="Q77" s="23">
        <f t="shared" si="28"/>
        <v>9.190574004411585E-2</v>
      </c>
      <c r="R77" s="23">
        <f t="shared" si="28"/>
        <v>9.2985660780233792E-2</v>
      </c>
      <c r="S77" s="23">
        <f t="shared" si="28"/>
        <v>9.3327983614540172E-2</v>
      </c>
      <c r="T77" s="23">
        <f t="shared" si="28"/>
        <v>9.2074982127876071E-2</v>
      </c>
      <c r="U77" s="23">
        <f t="shared" si="28"/>
        <v>8.6252525262020666E-2</v>
      </c>
      <c r="V77" s="23">
        <f t="shared" si="28"/>
        <v>9.2074039768410082E-2</v>
      </c>
      <c r="W77" s="23">
        <f t="shared" si="28"/>
        <v>9.245165002570524E-2</v>
      </c>
      <c r="X77" s="23">
        <f t="shared" si="28"/>
        <v>9.0925922774468815E-2</v>
      </c>
      <c r="Y77" s="23">
        <f t="shared" si="28"/>
        <v>9.0507557870557351E-2</v>
      </c>
      <c r="Z77" s="23">
        <f t="shared" si="28"/>
        <v>8.9246351371536692E-2</v>
      </c>
      <c r="AA77" s="23">
        <f t="shared" si="28"/>
        <v>8.8005726901602604E-2</v>
      </c>
      <c r="AB77" s="23">
        <f t="shared" si="28"/>
        <v>8.6993803198813613E-2</v>
      </c>
      <c r="AC77" s="23">
        <f t="shared" si="28"/>
        <v>8.8637617327871315E-2</v>
      </c>
      <c r="AD77" s="23">
        <f t="shared" si="28"/>
        <v>8.9006719625862082E-2</v>
      </c>
      <c r="AE77" s="23">
        <f t="shared" si="28"/>
        <v>8.8222708230694655E-2</v>
      </c>
      <c r="AF77" s="23">
        <f t="shared" si="28"/>
        <v>8.1469477301523319E-2</v>
      </c>
      <c r="AG77" s="23">
        <f t="shared" si="28"/>
        <v>9.1135478109063889E-2</v>
      </c>
      <c r="AH77" s="23">
        <f t="shared" si="28"/>
        <v>9.1771400458016544E-2</v>
      </c>
      <c r="AI77" s="23">
        <f t="shared" si="28"/>
        <v>0.8488815758079209</v>
      </c>
      <c r="AJ77" s="23">
        <f t="shared" si="28"/>
        <v>0.23042247927262116</v>
      </c>
      <c r="AK77" s="23">
        <f t="shared" si="28"/>
        <v>0.14183406403469859</v>
      </c>
      <c r="AL77" s="23">
        <f t="shared" si="28"/>
        <v>0.11431131147365048</v>
      </c>
      <c r="AM77" s="23">
        <f t="shared" si="28"/>
        <v>0.10286297541117354</v>
      </c>
      <c r="AN77" s="23">
        <f t="shared" si="28"/>
        <v>9.7434114606366196E-2</v>
      </c>
      <c r="AO77" s="23">
        <f t="shared" si="28"/>
        <v>9.4679468021464361E-2</v>
      </c>
      <c r="AP77" s="23">
        <f t="shared" si="28"/>
        <v>9.322299616307643E-2</v>
      </c>
      <c r="AQ77" s="23">
        <f t="shared" si="28"/>
        <v>9.2427811771630439E-2</v>
      </c>
      <c r="AR77" s="23">
        <f t="shared" si="28"/>
        <v>9.1979094172185125E-2</v>
      </c>
      <c r="AS77" s="23">
        <f t="shared" si="28"/>
        <v>9.1715403430325609E-2</v>
      </c>
      <c r="AT77" s="23">
        <f t="shared" si="28"/>
        <v>9.1552200257726701E-2</v>
      </c>
      <c r="AU77" s="23">
        <f t="shared" si="28"/>
        <v>9.1444640535830665E-2</v>
      </c>
      <c r="AV77" s="23">
        <f t="shared" si="28"/>
        <v>9.1368710468242464E-2</v>
      </c>
      <c r="AW77" s="23">
        <f t="shared" si="28"/>
        <v>9.1311432675233159E-2</v>
      </c>
      <c r="AX77" s="23">
        <f t="shared" si="28"/>
        <v>9.126571345392348E-2</v>
      </c>
      <c r="AY77" s="23">
        <f t="shared" si="28"/>
        <v>9.1227611183173268E-2</v>
      </c>
      <c r="AZ77" s="23">
        <f t="shared" si="28"/>
        <v>9.119488162336517E-2</v>
      </c>
      <c r="BA77" s="23">
        <f t="shared" si="28"/>
        <v>9.1166200812227538E-2</v>
      </c>
      <c r="BB77" s="23">
        <f t="shared" si="28"/>
        <v>9.1140748829227264E-2</v>
      </c>
      <c r="BC77" s="23">
        <f t="shared" si="28"/>
        <v>9.1117986183167785E-2</v>
      </c>
      <c r="BD77" s="23">
        <f t="shared" si="28"/>
        <v>9.1097533187430135E-2</v>
      </c>
      <c r="BE77" s="23">
        <f t="shared" si="28"/>
        <v>9.1079104482378631E-2</v>
      </c>
      <c r="BF77" s="23">
        <f t="shared" si="28"/>
        <v>9.1050637376631965E-2</v>
      </c>
      <c r="BG77" s="23">
        <f t="shared" si="28"/>
        <v>9.1024001240838717E-2</v>
      </c>
      <c r="BH77" s="23">
        <f t="shared" si="28"/>
        <v>9.1002099943971265E-2</v>
      </c>
      <c r="BI77" s="23">
        <f t="shared" si="28"/>
        <v>9.0984783768781247E-2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0.11131395444817296</v>
      </c>
      <c r="C78" s="23">
        <f t="shared" si="29"/>
        <v>6.8043368498576742E-2</v>
      </c>
      <c r="D78" s="23">
        <f t="shared" si="29"/>
        <v>5.9504728747763171E-2</v>
      </c>
      <c r="E78" s="23">
        <f t="shared" si="29"/>
        <v>5.9526148979647142E-2</v>
      </c>
      <c r="F78" s="23">
        <f t="shared" si="29"/>
        <v>6.1389230467840852E-2</v>
      </c>
      <c r="G78" s="23">
        <f t="shared" si="29"/>
        <v>6.0478310465891548E-2</v>
      </c>
      <c r="H78" s="23">
        <f t="shared" si="29"/>
        <v>6.2509597832263647E-2</v>
      </c>
      <c r="I78" s="23">
        <f t="shared" si="29"/>
        <v>6.4027381915779516E-2</v>
      </c>
      <c r="J78" s="23">
        <f t="shared" si="29"/>
        <v>6.2936462645324792E-2</v>
      </c>
      <c r="K78" s="23">
        <f t="shared" si="29"/>
        <v>6.083579875900972E-2</v>
      </c>
      <c r="L78" s="23">
        <f t="shared" si="29"/>
        <v>6.1625199029478307E-2</v>
      </c>
      <c r="M78" s="23">
        <f t="shared" si="29"/>
        <v>5.9734222383706605E-2</v>
      </c>
      <c r="N78" s="23">
        <f t="shared" si="29"/>
        <v>5.7758906489570085E-2</v>
      </c>
      <c r="O78" s="23">
        <f t="shared" si="29"/>
        <v>5.8260412766717194E-2</v>
      </c>
      <c r="P78" s="23">
        <f t="shared" si="29"/>
        <v>6.0008362028200812E-2</v>
      </c>
      <c r="Q78" s="23">
        <f t="shared" si="29"/>
        <v>5.9860189969297407E-2</v>
      </c>
      <c r="R78" s="23">
        <f t="shared" si="29"/>
        <v>6.056356562771411E-2</v>
      </c>
      <c r="S78" s="23">
        <f t="shared" si="29"/>
        <v>6.0786527870143922E-2</v>
      </c>
      <c r="T78" s="23">
        <f t="shared" si="29"/>
        <v>5.9970420987292848E-2</v>
      </c>
      <c r="U78" s="23">
        <f t="shared" si="29"/>
        <v>5.6178129298973443E-2</v>
      </c>
      <c r="V78" s="23">
        <f t="shared" si="29"/>
        <v>5.9969807208255475E-2</v>
      </c>
      <c r="W78" s="23">
        <f t="shared" si="29"/>
        <v>6.0215752910071196E-2</v>
      </c>
      <c r="X78" s="23">
        <f t="shared" si="29"/>
        <v>5.922201385681395E-2</v>
      </c>
      <c r="Y78" s="23">
        <f t="shared" si="29"/>
        <v>5.8949523774990922E-2</v>
      </c>
      <c r="Z78" s="23">
        <f t="shared" si="29"/>
        <v>5.8128072790692764E-2</v>
      </c>
      <c r="AA78" s="23">
        <f t="shared" si="29"/>
        <v>5.7320027325685183E-2</v>
      </c>
      <c r="AB78" s="23">
        <f t="shared" si="29"/>
        <v>5.666093960108487E-2</v>
      </c>
      <c r="AC78" s="23">
        <f t="shared" si="29"/>
        <v>5.7731591183808398E-2</v>
      </c>
      <c r="AD78" s="23">
        <f t="shared" si="29"/>
        <v>5.7971995468298419E-2</v>
      </c>
      <c r="AE78" s="23">
        <f t="shared" si="29"/>
        <v>5.7461351943418594E-2</v>
      </c>
      <c r="AF78" s="23">
        <f t="shared" si="29"/>
        <v>5.3062827040265791E-2</v>
      </c>
      <c r="AG78" s="23">
        <f t="shared" si="29"/>
        <v>5.9358501764227779E-2</v>
      </c>
      <c r="AH78" s="23">
        <f t="shared" si="29"/>
        <v>5.9772691700522892E-2</v>
      </c>
      <c r="AI78" s="23">
        <f t="shared" si="29"/>
        <v>0.55289487212558497</v>
      </c>
      <c r="AJ78" s="23">
        <f t="shared" si="29"/>
        <v>0.15007912863586897</v>
      </c>
      <c r="AK78" s="23">
        <f t="shared" si="29"/>
        <v>9.2379583834036355E-2</v>
      </c>
      <c r="AL78" s="23">
        <f t="shared" si="29"/>
        <v>7.4453421703232783E-2</v>
      </c>
      <c r="AM78" s="23">
        <f t="shared" si="29"/>
        <v>6.699687360076087E-2</v>
      </c>
      <c r="AN78" s="23">
        <f t="shared" si="29"/>
        <v>6.3460939512893791E-2</v>
      </c>
      <c r="AO78" s="23">
        <f t="shared" si="29"/>
        <v>6.166677880224232E-2</v>
      </c>
      <c r="AP78" s="23">
        <f t="shared" si="29"/>
        <v>6.0718147279486635E-2</v>
      </c>
      <c r="AQ78" s="23">
        <f t="shared" si="29"/>
        <v>6.0200226541241908E-2</v>
      </c>
      <c r="AR78" s="23">
        <f t="shared" si="29"/>
        <v>5.9907967094416592E-2</v>
      </c>
      <c r="AS78" s="23">
        <f t="shared" si="29"/>
        <v>5.9736219629097476E-2</v>
      </c>
      <c r="AT78" s="23">
        <f t="shared" si="29"/>
        <v>5.9629921884139715E-2</v>
      </c>
      <c r="AU78" s="23">
        <f t="shared" si="29"/>
        <v>5.9559865918291988E-2</v>
      </c>
      <c r="AV78" s="23">
        <f t="shared" si="29"/>
        <v>5.9510411028227128E-2</v>
      </c>
      <c r="AW78" s="23">
        <f t="shared" si="29"/>
        <v>5.9473104766736673E-2</v>
      </c>
      <c r="AX78" s="23">
        <f t="shared" si="29"/>
        <v>5.9443326852195846E-2</v>
      </c>
      <c r="AY78" s="23">
        <f t="shared" si="29"/>
        <v>5.9418510021775083E-2</v>
      </c>
      <c r="AZ78" s="23">
        <f t="shared" si="29"/>
        <v>5.9397192553826028E-2</v>
      </c>
      <c r="BA78" s="23">
        <f t="shared" si="29"/>
        <v>5.9378512123176665E-2</v>
      </c>
      <c r="BB78" s="23">
        <f t="shared" si="29"/>
        <v>5.9361934697906384E-2</v>
      </c>
      <c r="BC78" s="23">
        <f t="shared" si="29"/>
        <v>5.9347108895767477E-2</v>
      </c>
      <c r="BD78" s="23">
        <f t="shared" si="29"/>
        <v>5.9333787418678993E-2</v>
      </c>
      <c r="BE78" s="23">
        <f t="shared" si="29"/>
        <v>5.9321784405757916E-2</v>
      </c>
      <c r="BF78" s="23">
        <f t="shared" si="29"/>
        <v>5.9303243166037155E-2</v>
      </c>
      <c r="BG78" s="23">
        <f t="shared" si="29"/>
        <v>5.9285894476522591E-2</v>
      </c>
      <c r="BH78" s="23">
        <f t="shared" si="29"/>
        <v>5.9271629689683046E-2</v>
      </c>
      <c r="BI78" s="23">
        <f t="shared" si="29"/>
        <v>5.9260351291446779E-2</v>
      </c>
    </row>
    <row r="79" spans="1:237" s="37" customFormat="1" ht="18" customHeight="1" x14ac:dyDescent="0.2">
      <c r="A79" s="35" t="s">
        <v>70</v>
      </c>
      <c r="B79" s="29">
        <f>+C134</f>
        <v>3.5077182438043586E-3</v>
      </c>
      <c r="C79" s="23">
        <f t="shared" ref="C79:BI79" si="30">+D134</f>
        <v>9.0522649878674866E-3</v>
      </c>
      <c r="D79" s="23">
        <f t="shared" si="30"/>
        <v>1.5443217481390992E-2</v>
      </c>
      <c r="E79" s="23">
        <f t="shared" si="30"/>
        <v>1.9881055272777282E-2</v>
      </c>
      <c r="F79" s="23">
        <f t="shared" si="30"/>
        <v>1.6111136896238332E-2</v>
      </c>
      <c r="G79" s="23">
        <f t="shared" si="30"/>
        <v>2.2417538764642586E-2</v>
      </c>
      <c r="H79" s="23">
        <f t="shared" si="30"/>
        <v>2.4417934658692575E-2</v>
      </c>
      <c r="I79" s="23">
        <f t="shared" si="30"/>
        <v>2.0747871423973274E-2</v>
      </c>
      <c r="J79" s="23">
        <f t="shared" si="30"/>
        <v>1.6930214803527965E-2</v>
      </c>
      <c r="K79" s="23">
        <f t="shared" si="30"/>
        <v>2.1554018223209015E-2</v>
      </c>
      <c r="L79" s="23">
        <f t="shared" si="30"/>
        <v>1.4796683656483234E-2</v>
      </c>
      <c r="M79" s="23">
        <f t="shared" si="30"/>
        <v>1.6809967669992654E-2</v>
      </c>
      <c r="N79" s="23">
        <f t="shared" si="30"/>
        <v>1.9892871397126477E-2</v>
      </c>
      <c r="O79" s="23">
        <f t="shared" si="30"/>
        <v>2.4008839796598958E-2</v>
      </c>
      <c r="P79" s="23">
        <f t="shared" si="30"/>
        <v>2.2019693538962049E-2</v>
      </c>
      <c r="Q79" s="23">
        <f t="shared" si="30"/>
        <v>2.3974415252968173E-2</v>
      </c>
      <c r="R79" s="23">
        <f t="shared" si="30"/>
        <v>2.3925152576889763E-2</v>
      </c>
      <c r="S79" s="23">
        <f t="shared" si="30"/>
        <v>2.1721221792165846E-2</v>
      </c>
      <c r="T79" s="23">
        <f t="shared" si="30"/>
        <v>1.2374968632284045E-2</v>
      </c>
      <c r="U79" s="23">
        <f t="shared" si="30"/>
        <v>2.4732571984814378E-2</v>
      </c>
      <c r="V79" s="23">
        <f t="shared" si="30"/>
        <v>2.0975159633415785E-2</v>
      </c>
      <c r="W79" s="23">
        <f t="shared" si="30"/>
        <v>1.8184318526524024E-2</v>
      </c>
      <c r="X79" s="23">
        <f t="shared" si="30"/>
        <v>1.8324468954197703E-2</v>
      </c>
      <c r="Y79" s="23">
        <f t="shared" si="30"/>
        <v>1.6395472006644152E-2</v>
      </c>
      <c r="Z79" s="23">
        <f t="shared" si="30"/>
        <v>1.4913120253009726E-2</v>
      </c>
      <c r="AA79" s="23">
        <f t="shared" si="30"/>
        <v>1.3422277367532987E-2</v>
      </c>
      <c r="AB79" s="23">
        <f t="shared" si="30"/>
        <v>1.7136538057716866E-2</v>
      </c>
      <c r="AC79" s="23">
        <f t="shared" si="30"/>
        <v>1.6818376064189566E-2</v>
      </c>
      <c r="AD79" s="23">
        <f t="shared" si="30"/>
        <v>1.5177473306805966E-2</v>
      </c>
      <c r="AE79" s="23">
        <f t="shared" si="30"/>
        <v>4.0511023374500965E-3</v>
      </c>
      <c r="AF79" s="23">
        <f t="shared" si="30"/>
        <v>2.5982101170065386E-2</v>
      </c>
      <c r="AG79" s="23">
        <f t="shared" si="30"/>
        <v>2.0973091077287176E-2</v>
      </c>
      <c r="AH79" s="23">
        <f t="shared" si="30"/>
        <v>0.42467228261398104</v>
      </c>
      <c r="AI79" s="23">
        <f t="shared" si="30"/>
        <v>0.11121307604176622</v>
      </c>
      <c r="AJ79" s="23">
        <f t="shared" si="30"/>
        <v>5.3539911110843219E-2</v>
      </c>
      <c r="AK79" s="23">
        <f t="shared" si="30"/>
        <v>3.5332710912725274E-2</v>
      </c>
      <c r="AL79" s="23">
        <f t="shared" si="30"/>
        <v>2.7923284638681656E-2</v>
      </c>
      <c r="AM79" s="23">
        <f t="shared" si="30"/>
        <v>2.444757034123235E-2</v>
      </c>
      <c r="AN79" s="23">
        <f t="shared" si="30"/>
        <v>2.2684653067129856E-2</v>
      </c>
      <c r="AO79" s="23">
        <f t="shared" si="30"/>
        <v>2.1744546707634926E-2</v>
      </c>
      <c r="AP79" s="23">
        <f t="shared" si="30"/>
        <v>2.1222058311797243E-2</v>
      </c>
      <c r="AQ79" s="23">
        <f t="shared" si="30"/>
        <v>2.0918704132661725E-2</v>
      </c>
      <c r="AR79" s="23">
        <f t="shared" si="30"/>
        <v>2.0733130050913484E-2</v>
      </c>
      <c r="AS79" s="23">
        <f t="shared" si="30"/>
        <v>2.0612311557800522E-2</v>
      </c>
      <c r="AT79" s="23">
        <f t="shared" si="30"/>
        <v>2.0528074455698597E-2</v>
      </c>
      <c r="AU79" s="23">
        <f t="shared" si="30"/>
        <v>2.0465264332557576E-2</v>
      </c>
      <c r="AV79" s="23">
        <f t="shared" si="30"/>
        <v>2.0415624967722756E-2</v>
      </c>
      <c r="AW79" s="23">
        <f t="shared" si="30"/>
        <v>2.0374582665542151E-2</v>
      </c>
      <c r="AX79" s="23">
        <f t="shared" si="30"/>
        <v>2.0339542360102492E-2</v>
      </c>
      <c r="AY79" s="23">
        <f t="shared" si="30"/>
        <v>2.0308979950652617E-2</v>
      </c>
      <c r="AZ79" s="23">
        <f t="shared" si="30"/>
        <v>2.0281956940821466E-2</v>
      </c>
      <c r="BA79" s="23">
        <f t="shared" si="30"/>
        <v>2.025785997770746E-2</v>
      </c>
      <c r="BB79" s="23">
        <f t="shared" si="30"/>
        <v>2.0236260477480617E-2</v>
      </c>
      <c r="BC79" s="23">
        <f t="shared" si="30"/>
        <v>2.0216838501597945E-2</v>
      </c>
      <c r="BD79" s="23">
        <f t="shared" si="30"/>
        <v>2.0242198477165241E-2</v>
      </c>
      <c r="BE79" s="23">
        <f t="shared" si="30"/>
        <v>2.0211192654355559E-2</v>
      </c>
      <c r="BF79" s="23">
        <f t="shared" si="30"/>
        <v>2.0185316957521238E-2</v>
      </c>
      <c r="BG79" s="23">
        <f t="shared" si="30"/>
        <v>2.0164586789953143E-2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3.3457619576867348</v>
      </c>
      <c r="C84" s="381">
        <f t="shared" ref="C84:BH84" si="31">C68-C73</f>
        <v>3.4466299772717424</v>
      </c>
      <c r="D84" s="381">
        <f>D68-D73</f>
        <v>3.587828234408275</v>
      </c>
      <c r="E84" s="381">
        <f>E68-E73</f>
        <v>3.7951673413222284</v>
      </c>
      <c r="F84" s="381">
        <f t="shared" si="31"/>
        <v>4.0273427205739178</v>
      </c>
      <c r="G84" s="381">
        <f t="shared" si="31"/>
        <v>4.0570013933129365</v>
      </c>
      <c r="H84" s="381">
        <f t="shared" si="31"/>
        <v>4.2189645211314941</v>
      </c>
      <c r="I84" s="381">
        <f t="shared" si="31"/>
        <v>4.4449389947086848</v>
      </c>
      <c r="J84" s="381">
        <f>J68-J73</f>
        <v>4.5722973756725445</v>
      </c>
      <c r="K84" s="381">
        <f t="shared" si="31"/>
        <v>4.587269482133471</v>
      </c>
      <c r="L84" s="381">
        <f>L68-L73</f>
        <v>4.7484848869875478</v>
      </c>
      <c r="M84" s="381">
        <f t="shared" si="31"/>
        <v>4.7074639752828054</v>
      </c>
      <c r="N84" s="381">
        <f t="shared" si="31"/>
        <v>4.7288694115514529</v>
      </c>
      <c r="O84" s="381">
        <f t="shared" si="31"/>
        <v>4.8472197911117414</v>
      </c>
      <c r="P84" s="381">
        <f t="shared" si="31"/>
        <v>5.1037465657205718</v>
      </c>
      <c r="Q84" s="381">
        <f t="shared" si="31"/>
        <v>5.3046395615868125</v>
      </c>
      <c r="R84" s="381">
        <f t="shared" si="31"/>
        <v>5.5841224601998221</v>
      </c>
      <c r="S84" s="381">
        <f t="shared" si="31"/>
        <v>5.8764452434288348</v>
      </c>
      <c r="T84" s="381">
        <f t="shared" si="31"/>
        <v>6.0958715047782848</v>
      </c>
      <c r="U84" s="381">
        <f t="shared" si="31"/>
        <v>5.9477149159971017</v>
      </c>
      <c r="V84" s="381">
        <f t="shared" si="31"/>
        <v>6.3340731971362363</v>
      </c>
      <c r="W84" s="381">
        <f t="shared" si="31"/>
        <v>6.6263019692827898</v>
      </c>
      <c r="X84" s="381">
        <f t="shared" si="31"/>
        <v>6.8066625996457857</v>
      </c>
      <c r="Y84" s="381">
        <f t="shared" si="31"/>
        <v>6.9983510925650814</v>
      </c>
      <c r="Z84" s="381">
        <f t="shared" si="31"/>
        <v>7.1050560875220201</v>
      </c>
      <c r="AA84" s="381">
        <f t="shared" si="31"/>
        <v>7.1435419023705871</v>
      </c>
      <c r="AB84" s="381">
        <f t="shared" si="31"/>
        <v>7.1121932572612012</v>
      </c>
      <c r="AC84" s="381">
        <f t="shared" si="31"/>
        <v>7.255804278594411</v>
      </c>
      <c r="AD84" s="381">
        <f t="shared" si="31"/>
        <v>7.3868924242452856</v>
      </c>
      <c r="AE84" s="381">
        <f t="shared" si="31"/>
        <v>7.4398108837838999</v>
      </c>
      <c r="AF84" s="381">
        <f t="shared" si="31"/>
        <v>6.9415644023609424</v>
      </c>
      <c r="AG84" s="381">
        <f t="shared" si="31"/>
        <v>7.4578842370436504</v>
      </c>
      <c r="AH84" s="381">
        <f t="shared" si="31"/>
        <v>7.7553963080452766</v>
      </c>
      <c r="AI84" s="381">
        <f t="shared" si="31"/>
        <v>74.347016919928535</v>
      </c>
      <c r="AJ84" s="381">
        <f t="shared" si="31"/>
        <v>135.9791183744733</v>
      </c>
      <c r="AK84" s="381">
        <f t="shared" si="31"/>
        <v>174.32990356732887</v>
      </c>
      <c r="AL84" s="381">
        <f t="shared" si="31"/>
        <v>198.97469400416159</v>
      </c>
      <c r="AM84" s="381">
        <f t="shared" si="31"/>
        <v>216.48555477177382</v>
      </c>
      <c r="AN84" s="381">
        <f t="shared" si="31"/>
        <v>230.27858549130369</v>
      </c>
      <c r="AO84" s="381">
        <f t="shared" si="31"/>
        <v>242.15393446956597</v>
      </c>
      <c r="AP84" s="381">
        <f t="shared" si="31"/>
        <v>253.08521286407324</v>
      </c>
      <c r="AQ84" s="381">
        <f t="shared" si="31"/>
        <v>263.60950718917752</v>
      </c>
      <c r="AR84" s="381">
        <f t="shared" si="31"/>
        <v>274.02815786562388</v>
      </c>
      <c r="AS84" s="381">
        <f t="shared" si="31"/>
        <v>284.51356830844475</v>
      </c>
      <c r="AT84" s="381">
        <f t="shared" si="31"/>
        <v>295.16717137574977</v>
      </c>
      <c r="AU84" s="381">
        <f t="shared" si="31"/>
        <v>306.05124371119621</v>
      </c>
      <c r="AV84" s="381">
        <f t="shared" si="31"/>
        <v>317.20647410959839</v>
      </c>
      <c r="AW84" s="381">
        <f t="shared" si="31"/>
        <v>328.66169799895044</v>
      </c>
      <c r="AX84" s="381">
        <f t="shared" si="31"/>
        <v>340.43930261771226</v>
      </c>
      <c r="AY84" s="381">
        <f t="shared" si="31"/>
        <v>352.55823371482404</v>
      </c>
      <c r="AZ84" s="381">
        <f t="shared" si="31"/>
        <v>365.03567199879132</v>
      </c>
      <c r="BA84" s="381">
        <f t="shared" si="31"/>
        <v>377.88797155829127</v>
      </c>
      <c r="BB84" s="381">
        <f t="shared" si="31"/>
        <v>391.13118889117203</v>
      </c>
      <c r="BC84" s="381">
        <f t="shared" si="31"/>
        <v>404.78138497043761</v>
      </c>
      <c r="BD84" s="381">
        <f t="shared" si="31"/>
        <v>418.85480161502437</v>
      </c>
      <c r="BE84" s="381">
        <f t="shared" si="31"/>
        <v>433.48935140866035</v>
      </c>
      <c r="BF84" s="381">
        <f t="shared" si="31"/>
        <v>448.54433648040992</v>
      </c>
      <c r="BG84" s="381">
        <f t="shared" si="31"/>
        <v>464.04370623080359</v>
      </c>
      <c r="BH84" s="381">
        <f t="shared" si="31"/>
        <v>480.01362302867102</v>
      </c>
      <c r="BI84" s="381">
        <f>+BH84</f>
        <v>480.01362302867102</v>
      </c>
    </row>
    <row r="85" spans="1:103" s="381" customFormat="1" ht="18" customHeight="1" x14ac:dyDescent="0.2">
      <c r="A85" s="411" t="s">
        <v>970</v>
      </c>
      <c r="B85" s="383">
        <f>+C85/C84*B84</f>
        <v>0.51521898006138689</v>
      </c>
      <c r="C85" s="383">
        <f>+(C74-B74)/10</f>
        <v>0.5307518000374174</v>
      </c>
      <c r="D85" s="383">
        <f t="shared" ref="D85:BI85" si="32">+(D74-C74)/10</f>
        <v>0.22921726359489175</v>
      </c>
      <c r="E85" s="383">
        <f t="shared" si="32"/>
        <v>7.0342803034204954E-2</v>
      </c>
      <c r="F85" s="383">
        <f t="shared" si="32"/>
        <v>3.29244927621982E-2</v>
      </c>
      <c r="G85" s="383">
        <f t="shared" si="32"/>
        <v>3.42496596226173E-2</v>
      </c>
      <c r="H85" s="383">
        <f t="shared" si="32"/>
        <v>1.058024332902292E-2</v>
      </c>
      <c r="I85" s="383">
        <f t="shared" si="32"/>
        <v>5.0006426922205804E-2</v>
      </c>
      <c r="J85" s="383">
        <f t="shared" si="32"/>
        <v>8.3587442786806673E-2</v>
      </c>
      <c r="K85" s="383">
        <f t="shared" si="32"/>
        <v>7.2106572080184964E-2</v>
      </c>
      <c r="L85" s="383">
        <f t="shared" si="32"/>
        <v>4.3338861033441492E-2</v>
      </c>
      <c r="M85" s="383">
        <f t="shared" si="32"/>
        <v>6.6288561174794577E-2</v>
      </c>
      <c r="N85" s="383">
        <f t="shared" si="32"/>
        <v>7.8125340068360666E-2</v>
      </c>
      <c r="O85" s="383">
        <f t="shared" si="32"/>
        <v>3.3497502280012269E-2</v>
      </c>
      <c r="P85" s="383">
        <f t="shared" si="32"/>
        <v>4.6274068394302148E-2</v>
      </c>
      <c r="Q85" s="383">
        <f t="shared" si="32"/>
        <v>9.1118403688026817E-2</v>
      </c>
      <c r="R85" s="383">
        <f t="shared" si="32"/>
        <v>9.049271707358883E-2</v>
      </c>
      <c r="S85" s="383">
        <f t="shared" si="32"/>
        <v>0.11324664491408214</v>
      </c>
      <c r="T85" s="383">
        <f t="shared" si="32"/>
        <v>0.12493359017244395</v>
      </c>
      <c r="U85" s="383">
        <f t="shared" si="32"/>
        <v>0.10770067900004995</v>
      </c>
      <c r="V85" s="383">
        <f t="shared" si="32"/>
        <v>-5.7537613882843175E-3</v>
      </c>
      <c r="W85" s="383">
        <f t="shared" si="32"/>
        <v>0.11092760450069328</v>
      </c>
      <c r="X85" s="383">
        <f t="shared" si="32"/>
        <v>0.12409751102492343</v>
      </c>
      <c r="Y85" s="383">
        <f t="shared" si="32"/>
        <v>9.5990141706131377E-2</v>
      </c>
      <c r="Z85" s="383">
        <f t="shared" si="32"/>
        <v>8.9500880107284436E-2</v>
      </c>
      <c r="AA85" s="383">
        <f t="shared" si="32"/>
        <v>6.2397253969177058E-2</v>
      </c>
      <c r="AB85" s="383">
        <f t="shared" si="32"/>
        <v>3.3006109506217032E-2</v>
      </c>
      <c r="AC85" s="383">
        <f t="shared" si="32"/>
        <v>2.3452050226623554E-3</v>
      </c>
      <c r="AD85" s="383">
        <f t="shared" si="32"/>
        <v>4.2795704009361654E-2</v>
      </c>
      <c r="AE85" s="383">
        <f t="shared" si="32"/>
        <v>5.3239442475489084E-2</v>
      </c>
      <c r="AF85" s="383">
        <f t="shared" si="32"/>
        <v>3.4031688366377467E-2</v>
      </c>
      <c r="AG85" s="383">
        <f t="shared" si="32"/>
        <v>-0.13377299598131032</v>
      </c>
      <c r="AH85" s="383">
        <f t="shared" si="32"/>
        <v>0.10427825399973187</v>
      </c>
      <c r="AI85" s="383">
        <f t="shared" si="32"/>
        <v>0.12332335178024607</v>
      </c>
      <c r="AJ85" s="383">
        <f t="shared" si="32"/>
        <v>19.507953492775879</v>
      </c>
      <c r="AK85" s="383">
        <f t="shared" si="32"/>
        <v>24.8172720645141</v>
      </c>
      <c r="AL85" s="383">
        <f t="shared" si="32"/>
        <v>19.863310416988469</v>
      </c>
      <c r="AM85" s="383">
        <f t="shared" si="32"/>
        <v>14.129662715573318</v>
      </c>
      <c r="AN85" s="383">
        <f t="shared" si="32"/>
        <v>10.045191890255456</v>
      </c>
      <c r="AO85" s="383">
        <f t="shared" si="32"/>
        <v>7.5342908237059873</v>
      </c>
      <c r="AP85" s="383">
        <f t="shared" si="32"/>
        <v>6.0982489734210734</v>
      </c>
      <c r="AQ85" s="383">
        <f t="shared" si="32"/>
        <v>5.3215771537947827</v>
      </c>
      <c r="AR85" s="383">
        <f t="shared" si="32"/>
        <v>4.9318056313568377</v>
      </c>
      <c r="AS85" s="383">
        <f t="shared" si="32"/>
        <v>4.7650207132829108</v>
      </c>
      <c r="AT85" s="383">
        <f t="shared" si="32"/>
        <v>4.7263805110839936</v>
      </c>
      <c r="AU85" s="383">
        <f t="shared" si="32"/>
        <v>4.7620707720057682</v>
      </c>
      <c r="AV85" s="383">
        <f t="shared" si="32"/>
        <v>4.8418821339717848</v>
      </c>
      <c r="AW85" s="383">
        <f t="shared" si="32"/>
        <v>4.9489710433590064</v>
      </c>
      <c r="AX85" s="383">
        <f t="shared" si="32"/>
        <v>5.0739997374208539</v>
      </c>
      <c r="AY85" s="383">
        <f t="shared" si="32"/>
        <v>5.2118275122538762</v>
      </c>
      <c r="AZ85" s="383">
        <f t="shared" si="32"/>
        <v>5.3596559563494797</v>
      </c>
      <c r="BA85" s="383">
        <f t="shared" si="32"/>
        <v>5.5159933967291863</v>
      </c>
      <c r="BB85" s="383">
        <f t="shared" si="32"/>
        <v>5.6800780954468566</v>
      </c>
      <c r="BC85" s="383">
        <f t="shared" si="32"/>
        <v>5.8515574641093284</v>
      </c>
      <c r="BD85" s="383">
        <f t="shared" si="32"/>
        <v>6.0303098708490097</v>
      </c>
      <c r="BE85" s="383">
        <f t="shared" si="32"/>
        <v>6.2163457671263362</v>
      </c>
      <c r="BF85" s="383">
        <f t="shared" si="32"/>
        <v>6.4452335683944737</v>
      </c>
      <c r="BG85" s="383">
        <f t="shared" si="32"/>
        <v>6.6479364470687639</v>
      </c>
      <c r="BH85" s="383">
        <f t="shared" si="32"/>
        <v>6.8485096976088702</v>
      </c>
      <c r="BI85" s="383">
        <f t="shared" si="32"/>
        <v>7.0559877405943556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3.8609809377481215</v>
      </c>
      <c r="C87" s="383">
        <f>+SUM(C84:C86)</f>
        <v>3.9773817773091595</v>
      </c>
      <c r="D87" s="383">
        <f t="shared" ref="D87:BI87" si="35">+SUM(D84:D86)</f>
        <v>3.8170454980031669</v>
      </c>
      <c r="E87" s="383">
        <f t="shared" si="35"/>
        <v>3.8655101443564335</v>
      </c>
      <c r="F87" s="383">
        <f t="shared" si="35"/>
        <v>4.0602672133361164</v>
      </c>
      <c r="G87" s="383">
        <f t="shared" si="35"/>
        <v>4.0912510529355535</v>
      </c>
      <c r="H87" s="383">
        <f t="shared" si="35"/>
        <v>4.2295447644605169</v>
      </c>
      <c r="I87" s="383">
        <f t="shared" si="35"/>
        <v>4.4949454216308906</v>
      </c>
      <c r="J87" s="383">
        <f t="shared" si="35"/>
        <v>4.6558848184593513</v>
      </c>
      <c r="K87" s="383">
        <f t="shared" si="35"/>
        <v>4.6593760542136557</v>
      </c>
      <c r="L87" s="383">
        <f t="shared" si="35"/>
        <v>4.7918237480209891</v>
      </c>
      <c r="M87" s="383">
        <f t="shared" si="35"/>
        <v>4.7737525364576001</v>
      </c>
      <c r="N87" s="383">
        <f t="shared" si="35"/>
        <v>4.8069947516198139</v>
      </c>
      <c r="O87" s="383">
        <f t="shared" si="35"/>
        <v>4.8807172933917533</v>
      </c>
      <c r="P87" s="383">
        <f t="shared" si="35"/>
        <v>5.150020634114874</v>
      </c>
      <c r="Q87" s="383">
        <f t="shared" si="35"/>
        <v>5.3957579652748393</v>
      </c>
      <c r="R87" s="383">
        <f t="shared" si="35"/>
        <v>5.6746151772734112</v>
      </c>
      <c r="S87" s="383">
        <f t="shared" si="35"/>
        <v>5.9896918883429171</v>
      </c>
      <c r="T87" s="383">
        <f t="shared" si="35"/>
        <v>6.2208050949507285</v>
      </c>
      <c r="U87" s="383">
        <f t="shared" si="35"/>
        <v>6.055415594997152</v>
      </c>
      <c r="V87" s="383">
        <f t="shared" si="35"/>
        <v>6.328319435747952</v>
      </c>
      <c r="W87" s="383">
        <f t="shared" si="35"/>
        <v>6.7372295737834831</v>
      </c>
      <c r="X87" s="383">
        <f t="shared" si="35"/>
        <v>6.9307601106707093</v>
      </c>
      <c r="Y87" s="383">
        <f t="shared" si="35"/>
        <v>7.0943412342712131</v>
      </c>
      <c r="Z87" s="383">
        <f t="shared" si="35"/>
        <v>7.1945569676293042</v>
      </c>
      <c r="AA87" s="383">
        <f t="shared" si="35"/>
        <v>7.2059391563397641</v>
      </c>
      <c r="AB87" s="383">
        <f t="shared" si="35"/>
        <v>7.1451993667674181</v>
      </c>
      <c r="AC87" s="383">
        <f t="shared" si="35"/>
        <v>7.258149483617073</v>
      </c>
      <c r="AD87" s="383">
        <f t="shared" si="35"/>
        <v>7.4296881282546474</v>
      </c>
      <c r="AE87" s="383">
        <f t="shared" si="35"/>
        <v>7.4930503262593886</v>
      </c>
      <c r="AF87" s="383">
        <f t="shared" si="35"/>
        <v>6.9755960907273202</v>
      </c>
      <c r="AG87" s="383">
        <f t="shared" si="35"/>
        <v>7.3241112410623401</v>
      </c>
      <c r="AH87" s="383">
        <f t="shared" si="35"/>
        <v>7.8596745620450088</v>
      </c>
      <c r="AI87" s="383">
        <f t="shared" si="35"/>
        <v>74.470340271708778</v>
      </c>
      <c r="AJ87" s="383">
        <f t="shared" si="35"/>
        <v>155.48707186724917</v>
      </c>
      <c r="AK87" s="383">
        <f t="shared" si="35"/>
        <v>199.14717563184297</v>
      </c>
      <c r="AL87" s="383">
        <f t="shared" si="35"/>
        <v>218.83800442115006</v>
      </c>
      <c r="AM87" s="383">
        <f t="shared" si="35"/>
        <v>230.61521748734714</v>
      </c>
      <c r="AN87" s="383">
        <f t="shared" si="35"/>
        <v>240.32377738155915</v>
      </c>
      <c r="AO87" s="383">
        <f t="shared" si="35"/>
        <v>249.68822529327196</v>
      </c>
      <c r="AP87" s="383">
        <f t="shared" si="35"/>
        <v>259.18346183749429</v>
      </c>
      <c r="AQ87" s="383">
        <f t="shared" si="35"/>
        <v>268.93108434297233</v>
      </c>
      <c r="AR87" s="383">
        <f t="shared" si="35"/>
        <v>278.95996349698072</v>
      </c>
      <c r="AS87" s="383">
        <f t="shared" si="35"/>
        <v>289.27858902172767</v>
      </c>
      <c r="AT87" s="383">
        <f t="shared" si="35"/>
        <v>299.89355188683379</v>
      </c>
      <c r="AU87" s="383">
        <f t="shared" si="35"/>
        <v>310.81331448320196</v>
      </c>
      <c r="AV87" s="383">
        <f t="shared" si="35"/>
        <v>322.0483562435702</v>
      </c>
      <c r="AW87" s="383">
        <f t="shared" si="35"/>
        <v>333.61066904230944</v>
      </c>
      <c r="AX87" s="383">
        <f t="shared" si="35"/>
        <v>345.51330235513313</v>
      </c>
      <c r="AY87" s="383">
        <f t="shared" si="35"/>
        <v>357.77006122707792</v>
      </c>
      <c r="AZ87" s="383">
        <f t="shared" si="35"/>
        <v>370.39532795514077</v>
      </c>
      <c r="BA87" s="383">
        <f t="shared" si="35"/>
        <v>383.40396495502046</v>
      </c>
      <c r="BB87" s="383">
        <f t="shared" si="35"/>
        <v>396.81126698661888</v>
      </c>
      <c r="BC87" s="383">
        <f t="shared" si="35"/>
        <v>410.63294243454692</v>
      </c>
      <c r="BD87" s="383">
        <f t="shared" si="35"/>
        <v>424.88511148587338</v>
      </c>
      <c r="BE87" s="383">
        <f t="shared" si="35"/>
        <v>439.70569717578667</v>
      </c>
      <c r="BF87" s="383">
        <f t="shared" si="35"/>
        <v>454.98957004880441</v>
      </c>
      <c r="BG87" s="383">
        <f t="shared" si="35"/>
        <v>470.69164267787238</v>
      </c>
      <c r="BH87" s="383">
        <f t="shared" si="35"/>
        <v>486.86213272627987</v>
      </c>
      <c r="BI87" s="383">
        <f t="shared" si="35"/>
        <v>487.06961076926535</v>
      </c>
    </row>
    <row r="88" spans="1:103" ht="18" customHeight="1" x14ac:dyDescent="0.2">
      <c r="A88" s="21" t="s">
        <v>153</v>
      </c>
      <c r="B88" s="29">
        <f t="shared" ref="B88:AG88" si="36">(B84/B56)*1000</f>
        <v>6.0242743425992407</v>
      </c>
      <c r="C88" s="23">
        <f t="shared" si="36"/>
        <v>5.5838778195152692</v>
      </c>
      <c r="D88" s="23">
        <f t="shared" si="36"/>
        <v>5.3693292490954061</v>
      </c>
      <c r="E88" s="23">
        <f t="shared" si="36"/>
        <v>5.3849793437433195</v>
      </c>
      <c r="F88" s="23">
        <f t="shared" si="36"/>
        <v>5.5599888982692907</v>
      </c>
      <c r="G88" s="23">
        <f t="shared" si="36"/>
        <v>5.6006923693019379</v>
      </c>
      <c r="H88" s="23">
        <f t="shared" si="36"/>
        <v>5.8792696058373535</v>
      </c>
      <c r="I88" s="23">
        <f t="shared" si="36"/>
        <v>6.2526518639046058</v>
      </c>
      <c r="J88" s="23">
        <f t="shared" si="36"/>
        <v>6.4925283303054853</v>
      </c>
      <c r="K88" s="23">
        <f t="shared" si="36"/>
        <v>6.5752849685642483</v>
      </c>
      <c r="L88" s="23">
        <f t="shared" si="36"/>
        <v>6.863566944875525</v>
      </c>
      <c r="M88" s="23">
        <f t="shared" si="36"/>
        <v>6.8544064615927134</v>
      </c>
      <c r="N88" s="23">
        <f t="shared" si="36"/>
        <v>6.9363053797526337</v>
      </c>
      <c r="O88" s="23">
        <f t="shared" si="36"/>
        <v>7.1622855554866121</v>
      </c>
      <c r="P88" s="23">
        <f t="shared" si="36"/>
        <v>7.5968937985482912</v>
      </c>
      <c r="Q88" s="23">
        <f t="shared" si="36"/>
        <v>7.9540967555033548</v>
      </c>
      <c r="R88" s="23">
        <f t="shared" si="36"/>
        <v>8.4348615530621007</v>
      </c>
      <c r="S88" s="23">
        <f t="shared" si="36"/>
        <v>8.9418165099462517</v>
      </c>
      <c r="T88" s="23">
        <f t="shared" si="36"/>
        <v>9.3440445205070759</v>
      </c>
      <c r="U88" s="23">
        <f t="shared" si="36"/>
        <v>9.1841141746631365</v>
      </c>
      <c r="V88" s="23">
        <f t="shared" si="36"/>
        <v>9.7873983533079798</v>
      </c>
      <c r="W88" s="23">
        <f t="shared" si="36"/>
        <v>10.177977547722033</v>
      </c>
      <c r="X88" s="23">
        <f t="shared" si="36"/>
        <v>10.39275207039298</v>
      </c>
      <c r="Y88" s="23">
        <f t="shared" si="36"/>
        <v>10.621800688146005</v>
      </c>
      <c r="Z88" s="23">
        <f t="shared" si="36"/>
        <v>10.71953657339983</v>
      </c>
      <c r="AA88" s="23">
        <f t="shared" si="36"/>
        <v>10.713421073941007</v>
      </c>
      <c r="AB88" s="23">
        <f t="shared" si="36"/>
        <v>10.602888764486258</v>
      </c>
      <c r="AC88" s="23">
        <f t="shared" si="36"/>
        <v>10.752570376178658</v>
      </c>
      <c r="AD88" s="23">
        <f t="shared" si="36"/>
        <v>10.881645839218741</v>
      </c>
      <c r="AE88" s="23">
        <f t="shared" si="36"/>
        <v>10.894336536540559</v>
      </c>
      <c r="AF88" s="23">
        <f t="shared" si="36"/>
        <v>10.134429064068451</v>
      </c>
      <c r="AG88" s="23">
        <f t="shared" si="36"/>
        <v>10.888237058298651</v>
      </c>
      <c r="AH88" s="23">
        <f t="shared" ref="AH88:BI88" si="37">(AH84/AH56)*1000</f>
        <v>11.322593754354742</v>
      </c>
      <c r="AI88" s="23">
        <f t="shared" si="37"/>
        <v>108.54391394018425</v>
      </c>
      <c r="AJ88" s="23">
        <f t="shared" si="37"/>
        <v>198.52451831923676</v>
      </c>
      <c r="AK88" s="23">
        <f t="shared" si="37"/>
        <v>254.51525607802361</v>
      </c>
      <c r="AL88" s="23">
        <f t="shared" si="37"/>
        <v>290.49574491364774</v>
      </c>
      <c r="AM88" s="23">
        <f t="shared" si="37"/>
        <v>316.06095846115687</v>
      </c>
      <c r="AN88" s="23">
        <f t="shared" si="37"/>
        <v>336.1982766942125</v>
      </c>
      <c r="AO88" s="23">
        <f t="shared" si="37"/>
        <v>353.53585002138982</v>
      </c>
      <c r="AP88" s="23">
        <f t="shared" si="37"/>
        <v>369.49511497195903</v>
      </c>
      <c r="AQ88" s="23">
        <f t="shared" si="37"/>
        <v>384.86019812970824</v>
      </c>
      <c r="AR88" s="23">
        <f t="shared" si="37"/>
        <v>400.07104544070376</v>
      </c>
      <c r="AS88" s="23">
        <f t="shared" si="37"/>
        <v>415.37935955852259</v>
      </c>
      <c r="AT88" s="23">
        <f t="shared" si="37"/>
        <v>430.93322873038005</v>
      </c>
      <c r="AU88" s="23">
        <f t="shared" si="37"/>
        <v>446.82357456859711</v>
      </c>
      <c r="AV88" s="23">
        <f t="shared" si="37"/>
        <v>463.1098012191049</v>
      </c>
      <c r="AW88" s="23">
        <f t="shared" si="37"/>
        <v>479.83400734765075</v>
      </c>
      <c r="AX88" s="23">
        <f t="shared" si="37"/>
        <v>497.02887750010376</v>
      </c>
      <c r="AY88" s="23">
        <f t="shared" si="37"/>
        <v>514.72207177404005</v>
      </c>
      <c r="AZ88" s="23">
        <f t="shared" si="37"/>
        <v>532.93867337283098</v>
      </c>
      <c r="BA88" s="23">
        <f t="shared" si="37"/>
        <v>551.7025586652602</v>
      </c>
      <c r="BB88" s="23">
        <f t="shared" si="37"/>
        <v>571.03716954843139</v>
      </c>
      <c r="BC88" s="23">
        <f t="shared" si="37"/>
        <v>590.96595445301159</v>
      </c>
      <c r="BD88" s="23">
        <f t="shared" si="37"/>
        <v>611.51262583808659</v>
      </c>
      <c r="BE88" s="23">
        <f t="shared" si="37"/>
        <v>632.8785310103757</v>
      </c>
      <c r="BF88" s="23">
        <f t="shared" si="37"/>
        <v>654.85825624613994</v>
      </c>
      <c r="BG88" s="23">
        <f t="shared" si="37"/>
        <v>677.48676679049333</v>
      </c>
      <c r="BH88" s="23">
        <f t="shared" si="37"/>
        <v>700.8022587409846</v>
      </c>
      <c r="BI88" s="23">
        <f t="shared" si="37"/>
        <v>700.8022587409846</v>
      </c>
    </row>
    <row r="89" spans="1:103" ht="18" customHeight="1" x14ac:dyDescent="0.2">
      <c r="A89" s="21" t="s">
        <v>166</v>
      </c>
      <c r="C89" s="23">
        <f>+LN(C88/B88)/10</f>
        <v>-7.5913546299354083E-3</v>
      </c>
      <c r="D89" s="23">
        <f>+LN(D88/C88)/10</f>
        <v>-3.9180491100737225E-3</v>
      </c>
      <c r="E89" s="23">
        <f>+LN(E88/D88)/10</f>
        <v>2.9104810523784353E-4</v>
      </c>
      <c r="F89" s="23">
        <f>+LN(F88/E88)/10</f>
        <v>3.1982636833309242E-3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0.18515008410089862</v>
      </c>
      <c r="C90" s="33">
        <f t="shared" si="38"/>
        <v>0.15362652909729169</v>
      </c>
      <c r="D90" s="33">
        <f t="shared" si="38"/>
        <v>0.13688238957145282</v>
      </c>
      <c r="E90" s="33">
        <f t="shared" si="38"/>
        <v>0.13813751981731459</v>
      </c>
      <c r="F90" s="33">
        <f t="shared" si="38"/>
        <v>0.15181022352333939</v>
      </c>
      <c r="G90" s="33">
        <f t="shared" si="38"/>
        <v>0.15489798675419209</v>
      </c>
      <c r="H90" s="33">
        <f t="shared" si="38"/>
        <v>0.17516267028346788</v>
      </c>
      <c r="I90" s="33">
        <f t="shared" si="38"/>
        <v>0.20016966530028912</v>
      </c>
      <c r="J90" s="33">
        <f t="shared" si="38"/>
        <v>0.21508420422697649</v>
      </c>
      <c r="K90" s="33">
        <f t="shared" si="38"/>
        <v>0.22003932607594678</v>
      </c>
      <c r="L90" s="33">
        <f t="shared" si="38"/>
        <v>0.23659489701728875</v>
      </c>
      <c r="M90" s="33">
        <f t="shared" si="38"/>
        <v>0.23608494587830431</v>
      </c>
      <c r="N90" s="33">
        <f t="shared" si="38"/>
        <v>0.24060821789488795</v>
      </c>
      <c r="O90" s="33">
        <f t="shared" si="38"/>
        <v>0.25268417369379603</v>
      </c>
      <c r="P90" s="33">
        <f t="shared" si="38"/>
        <v>0.27437544947016734</v>
      </c>
      <c r="Q90" s="33">
        <f t="shared" si="38"/>
        <v>0.29085579071502821</v>
      </c>
      <c r="R90" s="33">
        <f t="shared" si="38"/>
        <v>0.31136194870261868</v>
      </c>
      <c r="S90" s="33">
        <f t="shared" si="38"/>
        <v>0.33116788413314546</v>
      </c>
      <c r="T90" s="33">
        <f t="shared" si="38"/>
        <v>0.34572165545064104</v>
      </c>
      <c r="U90" s="33">
        <f t="shared" si="38"/>
        <v>0.34004950552431901</v>
      </c>
      <c r="V90" s="33">
        <f t="shared" si="38"/>
        <v>0.36071227839492248</v>
      </c>
      <c r="W90" s="33">
        <f t="shared" si="38"/>
        <v>0.37309858310353372</v>
      </c>
      <c r="X90" s="33">
        <f t="shared" si="38"/>
        <v>0.37961010945986828</v>
      </c>
      <c r="Y90" s="33">
        <f t="shared" si="38"/>
        <v>0.38633561120120252</v>
      </c>
      <c r="Z90" s="33">
        <f t="shared" si="38"/>
        <v>0.38913957429917267</v>
      </c>
      <c r="AA90" s="33">
        <f t="shared" si="38"/>
        <v>0.388965251661331</v>
      </c>
      <c r="AB90" s="33">
        <f t="shared" si="38"/>
        <v>0.38578857143455259</v>
      </c>
      <c r="AC90" s="33">
        <f t="shared" si="38"/>
        <v>0.39007863186278824</v>
      </c>
      <c r="AD90" s="33">
        <f t="shared" si="38"/>
        <v>0.3937067932641054</v>
      </c>
      <c r="AE90" s="33">
        <f t="shared" si="38"/>
        <v>0.39406002843370846</v>
      </c>
      <c r="AF90" s="33">
        <f t="shared" si="38"/>
        <v>0.37175310322820965</v>
      </c>
      <c r="AG90" s="33">
        <f t="shared" si="38"/>
        <v>0.39389033153080955</v>
      </c>
      <c r="AH90" s="33">
        <f t="shared" si="38"/>
        <v>0.40562979191728821</v>
      </c>
      <c r="AI90" s="33">
        <f t="shared" si="38"/>
        <v>0.80803269988811444</v>
      </c>
      <c r="AJ90" s="33">
        <f t="shared" si="38"/>
        <v>0.85805407796863153</v>
      </c>
      <c r="AK90" s="33">
        <f t="shared" si="38"/>
        <v>0.87463592927545697</v>
      </c>
      <c r="AL90" s="33">
        <f t="shared" si="38"/>
        <v>0.88265621083300949</v>
      </c>
      <c r="AM90" s="33">
        <f t="shared" si="38"/>
        <v>0.88750206017733901</v>
      </c>
      <c r="AN90" s="33">
        <f t="shared" si="38"/>
        <v>0.8909232337375721</v>
      </c>
      <c r="AO90" s="33">
        <f t="shared" si="38"/>
        <v>0.89363144343776357</v>
      </c>
      <c r="AP90" s="33">
        <f t="shared" si="38"/>
        <v>0.89595393854320426</v>
      </c>
      <c r="AQ90" s="33">
        <f t="shared" si="38"/>
        <v>0.89805205027334689</v>
      </c>
      <c r="AR90" s="33">
        <f t="shared" si="38"/>
        <v>0.90000887949726582</v>
      </c>
      <c r="AS90" s="33">
        <f t="shared" si="38"/>
        <v>0.90186870288204024</v>
      </c>
      <c r="AT90" s="33">
        <f t="shared" si="38"/>
        <v>0.90365592664341299</v>
      </c>
      <c r="AU90" s="33">
        <f t="shared" si="38"/>
        <v>0.90538457241330383</v>
      </c>
      <c r="AV90" s="33">
        <f t="shared" si="38"/>
        <v>0.90706313694441321</v>
      </c>
      <c r="AW90" s="33">
        <f t="shared" si="38"/>
        <v>0.90869711862628111</v>
      </c>
      <c r="AX90" s="33">
        <f t="shared" si="38"/>
        <v>0.91029034538681997</v>
      </c>
      <c r="AY90" s="33">
        <f t="shared" si="38"/>
        <v>0.9118456799772009</v>
      </c>
      <c r="AZ90" s="33">
        <f t="shared" si="38"/>
        <v>0.91336539943188821</v>
      </c>
      <c r="BA90" s="33">
        <f t="shared" si="38"/>
        <v>0.91485140297027401</v>
      </c>
      <c r="BB90" s="33">
        <f t="shared" si="38"/>
        <v>0.91630532896647598</v>
      </c>
      <c r="BC90" s="33">
        <f t="shared" si="38"/>
        <v>0.91772862329652538</v>
      </c>
      <c r="BD90" s="33">
        <f t="shared" si="38"/>
        <v>0.91912258134823865</v>
      </c>
      <c r="BE90" s="33">
        <f t="shared" si="38"/>
        <v>0.9204995084431481</v>
      </c>
      <c r="BF90" s="33">
        <f t="shared" si="38"/>
        <v>0.92184507655864156</v>
      </c>
      <c r="BG90" s="33">
        <f t="shared" si="38"/>
        <v>0.92316137453493929</v>
      </c>
      <c r="BH90" s="33">
        <f t="shared" si="38"/>
        <v>0.92445038609954078</v>
      </c>
      <c r="BI90" s="33">
        <f t="shared" si="38"/>
        <v>0.92445038609954078</v>
      </c>
    </row>
    <row r="91" spans="1:103" ht="18" customHeight="1" x14ac:dyDescent="0.2">
      <c r="A91" s="21" t="s">
        <v>115</v>
      </c>
      <c r="B91" s="29">
        <f t="shared" ref="B91:AG91" si="39">B17*B56*B90</f>
        <v>102.82866825417676</v>
      </c>
      <c r="C91" s="23">
        <f t="shared" si="39"/>
        <v>81.707994341948037</v>
      </c>
      <c r="D91" s="23">
        <f t="shared" si="39"/>
        <v>67.910720868537041</v>
      </c>
      <c r="E91" s="23">
        <f t="shared" si="39"/>
        <v>62.284111734883993</v>
      </c>
      <c r="F91" s="23">
        <f t="shared" si="39"/>
        <v>60.618333720616413</v>
      </c>
      <c r="G91" s="23">
        <f t="shared" si="39"/>
        <v>53.297531979096121</v>
      </c>
      <c r="H91" s="23">
        <f t="shared" si="39"/>
        <v>51.447173467899141</v>
      </c>
      <c r="I91" s="23">
        <f t="shared" si="39"/>
        <v>50.185338951052103</v>
      </c>
      <c r="J91" s="23">
        <f t="shared" si="39"/>
        <v>46.030506342850131</v>
      </c>
      <c r="K91" s="23">
        <f t="shared" si="39"/>
        <v>40.197234730944785</v>
      </c>
      <c r="L91" s="23">
        <f t="shared" si="39"/>
        <v>36.932298287750285</v>
      </c>
      <c r="M91" s="23">
        <f t="shared" si="39"/>
        <v>31.522510526051494</v>
      </c>
      <c r="N91" s="23">
        <f t="shared" si="39"/>
        <v>27.479859147533986</v>
      </c>
      <c r="O91" s="23">
        <f t="shared" si="39"/>
        <v>24.685028329625109</v>
      </c>
      <c r="P91" s="23">
        <f t="shared" si="39"/>
        <v>22.927271806943203</v>
      </c>
      <c r="Q91" s="23">
        <f t="shared" si="39"/>
        <v>20.789133477672451</v>
      </c>
      <c r="R91" s="23">
        <f t="shared" si="39"/>
        <v>19.036002449862259</v>
      </c>
      <c r="S91" s="23">
        <f t="shared" si="39"/>
        <v>17.318487919542843</v>
      </c>
      <c r="T91" s="23">
        <f t="shared" si="39"/>
        <v>15.464642470984716</v>
      </c>
      <c r="U91" s="23">
        <f t="shared" si="39"/>
        <v>13.010889547629162</v>
      </c>
      <c r="V91" s="23">
        <f t="shared" si="39"/>
        <v>11.884154490785424</v>
      </c>
      <c r="W91" s="23">
        <f t="shared" si="39"/>
        <v>10.655270079720955</v>
      </c>
      <c r="X91" s="23">
        <f t="shared" si="39"/>
        <v>9.3974956100337526</v>
      </c>
      <c r="Y91" s="23">
        <f t="shared" si="39"/>
        <v>8.2903449822944104</v>
      </c>
      <c r="Z91" s="23">
        <f t="shared" si="39"/>
        <v>7.238469685025855</v>
      </c>
      <c r="AA91" s="23">
        <f t="shared" si="39"/>
        <v>6.2717056145624683</v>
      </c>
      <c r="AB91" s="23">
        <f t="shared" si="39"/>
        <v>5.3920972581238686</v>
      </c>
      <c r="AC91" s="23">
        <f t="shared" si="39"/>
        <v>4.726003283850007</v>
      </c>
      <c r="AD91" s="23">
        <f t="shared" si="39"/>
        <v>4.1347405766629501</v>
      </c>
      <c r="AE91" s="23">
        <f t="shared" si="39"/>
        <v>3.5873292717980156</v>
      </c>
      <c r="AF91" s="23">
        <f t="shared" si="39"/>
        <v>2.9248257518849079</v>
      </c>
      <c r="AG91" s="23">
        <f t="shared" si="39"/>
        <v>2.6703014621845917</v>
      </c>
      <c r="AH91" s="23">
        <f t="shared" ref="AH91:BI91" si="40">AH17*AH56*AH90</f>
        <v>2.3694873533703786</v>
      </c>
      <c r="AI91" s="23">
        <f t="shared" si="40"/>
        <v>4.0671769187572364</v>
      </c>
      <c r="AJ91" s="23">
        <f t="shared" si="40"/>
        <v>3.7215029282518226</v>
      </c>
      <c r="AK91" s="23">
        <f t="shared" si="40"/>
        <v>3.2686663844922905</v>
      </c>
      <c r="AL91" s="23">
        <f t="shared" si="40"/>
        <v>2.8423296264961491</v>
      </c>
      <c r="AM91" s="23">
        <f t="shared" si="40"/>
        <v>2.4625882773420886</v>
      </c>
      <c r="AN91" s="23">
        <f t="shared" si="40"/>
        <v>2.130111319038579</v>
      </c>
      <c r="AO91" s="23">
        <f t="shared" si="40"/>
        <v>1.8410264770829405</v>
      </c>
      <c r="AP91" s="23">
        <f t="shared" si="40"/>
        <v>1.590475023259234</v>
      </c>
      <c r="AQ91" s="23">
        <f t="shared" si="40"/>
        <v>1.3736695033479558</v>
      </c>
      <c r="AR91" s="23">
        <f t="shared" si="40"/>
        <v>1.1862251283576197</v>
      </c>
      <c r="AS91" s="23">
        <f t="shared" si="40"/>
        <v>1.0242435058632755</v>
      </c>
      <c r="AT91" s="23">
        <f t="shared" si="40"/>
        <v>0.88430602040009576</v>
      </c>
      <c r="AU91" s="23">
        <f t="shared" si="40"/>
        <v>0.76343514310092819</v>
      </c>
      <c r="AV91" s="23">
        <f t="shared" si="40"/>
        <v>0.65904664428216608</v>
      </c>
      <c r="AW91" s="23">
        <f t="shared" si="40"/>
        <v>0.56890187344035381</v>
      </c>
      <c r="AX91" s="23">
        <f t="shared" si="40"/>
        <v>0.49106358163260161</v>
      </c>
      <c r="AY91" s="23">
        <f t="shared" si="40"/>
        <v>0.42385636852035802</v>
      </c>
      <c r="AZ91" s="23">
        <f t="shared" si="40"/>
        <v>0.36583183959974924</v>
      </c>
      <c r="BA91" s="23">
        <f t="shared" si="40"/>
        <v>0.31573816559699752</v>
      </c>
      <c r="BB91" s="23">
        <f t="shared" si="40"/>
        <v>0.27249360393591582</v>
      </c>
      <c r="BC91" s="23">
        <f t="shared" si="40"/>
        <v>0.23516352165459503</v>
      </c>
      <c r="BD91" s="23">
        <f t="shared" si="40"/>
        <v>0.20294048394132869</v>
      </c>
      <c r="BE91" s="23">
        <f t="shared" si="40"/>
        <v>0.17512913151491763</v>
      </c>
      <c r="BF91" s="23">
        <f t="shared" si="40"/>
        <v>0.1511236210397324</v>
      </c>
      <c r="BG91" s="23">
        <f t="shared" si="40"/>
        <v>0.13040421020900578</v>
      </c>
      <c r="BH91" s="23">
        <f t="shared" si="40"/>
        <v>0.11252193027660273</v>
      </c>
      <c r="BI91" s="23">
        <f t="shared" si="40"/>
        <v>9.6956460169476968E-2</v>
      </c>
    </row>
    <row r="92" spans="1:103" ht="18" customHeight="1" x14ac:dyDescent="0.2">
      <c r="A92" s="57" t="s">
        <v>62</v>
      </c>
      <c r="B92" s="194">
        <f>SUM(B91:AO91)*10*B52+B53</f>
        <v>-90.679262589609834</v>
      </c>
      <c r="C92" s="174">
        <v>121.82862643433896</v>
      </c>
      <c r="D92" s="195">
        <f>+B92-C92</f>
        <v>-212.50788902394879</v>
      </c>
      <c r="I92" s="33"/>
    </row>
    <row r="93" spans="1:103" s="33" customFormat="1" ht="18" customHeight="1" x14ac:dyDescent="0.2">
      <c r="A93" s="32" t="s">
        <v>270</v>
      </c>
      <c r="B93" s="33">
        <f>+B90*Data!B368</f>
        <v>0.18515008410089862</v>
      </c>
      <c r="C93" s="33">
        <f>+C90*Data!C368</f>
        <v>0.15283336736703734</v>
      </c>
      <c r="D93" s="33">
        <f>+D90*Data!D368</f>
        <v>0.14070774121007781</v>
      </c>
      <c r="E93" s="33">
        <f>+E90*Data!E368</f>
        <v>0.14501021268907172</v>
      </c>
      <c r="F93" s="33">
        <f>+F90*Data!F368</f>
        <v>0.16069667020638459</v>
      </c>
      <c r="G93" s="33">
        <f>+G90*Data!G368</f>
        <v>0.1636266071275867</v>
      </c>
      <c r="H93" s="33">
        <f>+H90*Data!H368</f>
        <v>0.18393073367860069</v>
      </c>
      <c r="I93" s="33">
        <f>+I90*Data!I368</f>
        <v>0.208182970670996</v>
      </c>
      <c r="J93" s="33">
        <f>+J90*Data!J368</f>
        <v>0.22102201481649553</v>
      </c>
      <c r="K93" s="33">
        <f>+K90*Data!K368</f>
        <v>0.22313326190814975</v>
      </c>
      <c r="L93" s="33">
        <f>+L90*Data!L368</f>
        <v>0.23778746911654439</v>
      </c>
      <c r="M93" s="33">
        <f>+M90*Data!M368</f>
        <v>0.23266509960254039</v>
      </c>
      <c r="N93" s="33">
        <f>+N90*Data!N368</f>
        <v>0.23984269082954243</v>
      </c>
      <c r="O93" s="33">
        <f>+O90*Data!O368</f>
        <v>0.25271060786591704</v>
      </c>
      <c r="P93" s="33">
        <f>+P90*Data!P368</f>
        <v>0.27444025040786668</v>
      </c>
      <c r="Q93" s="33">
        <f>+Q90*Data!Q368</f>
        <v>0.29077278722600547</v>
      </c>
      <c r="R93" s="33">
        <f>+R90*Data!R368</f>
        <v>0.31130485881269676</v>
      </c>
      <c r="S93" s="33">
        <f>+S90*Data!S368</f>
        <v>0.33156073744158798</v>
      </c>
      <c r="T93" s="33">
        <f>+T90*Data!T368</f>
        <v>0.3471534888316124</v>
      </c>
      <c r="U93" s="33">
        <f>+U90*Data!U368</f>
        <v>0.34305367468446551</v>
      </c>
      <c r="V93" s="33">
        <f>+V90*Data!V368</f>
        <v>0.36581506929879387</v>
      </c>
      <c r="W93" s="33">
        <f>+W90*Data!W368</f>
        <v>0.3803248757743527</v>
      </c>
      <c r="X93" s="33">
        <f>+X90*Data!X368</f>
        <v>0.38940609080786226</v>
      </c>
      <c r="Y93" s="33">
        <f>+Y90*Data!Y368</f>
        <v>0.39897994824218808</v>
      </c>
      <c r="Z93" s="33">
        <f>+Z90*Data!Z368</f>
        <v>0.40498996293136585</v>
      </c>
      <c r="AA93" s="33">
        <f>+AA90*Data!AA368</f>
        <v>0.40844859523972987</v>
      </c>
      <c r="AB93" s="33">
        <f>+AB90*Data!AB368</f>
        <v>0.40911417206565781</v>
      </c>
      <c r="AC93" s="33">
        <f>+AC90*Data!AC368</f>
        <v>0.41792493966644029</v>
      </c>
      <c r="AD93" s="33">
        <f>+AD90*Data!AD368</f>
        <v>0.42624762249805487</v>
      </c>
      <c r="AE93" s="33">
        <f>+AE90*Data!AE368</f>
        <v>0.43123121516684632</v>
      </c>
      <c r="AF93" s="33">
        <f>+AF90*Data!AF368</f>
        <v>0.41140248821187114</v>
      </c>
      <c r="AG93" s="33">
        <f>+AG90*Data!AG368</f>
        <v>0.44097460723949505</v>
      </c>
      <c r="AH93" s="33">
        <f>+AH90*Data!AH368</f>
        <v>0.45948018805003937</v>
      </c>
      <c r="AI93" s="33">
        <f>+AI90*Data!AI368</f>
        <v>0.92637448140763401</v>
      </c>
      <c r="AJ93" s="33">
        <f>+AJ90*Data!AJ368</f>
        <v>0.99594661902889281</v>
      </c>
      <c r="AK93" s="33">
        <f>+AK90*Data!AK368</f>
        <v>1.0281629049156484</v>
      </c>
      <c r="AL93" s="33">
        <f>+AL90*Data!AL368</f>
        <v>1.0512017056102907</v>
      </c>
      <c r="AM93" s="33">
        <f>+AM90*Data!AM368</f>
        <v>1.0711784038888241</v>
      </c>
      <c r="AN93" s="33">
        <f>+AN90*Data!AN368</f>
        <v>1.0900760451375318</v>
      </c>
      <c r="AO93" s="33">
        <f>+AO90*Data!AO368</f>
        <v>1.1086925588837027</v>
      </c>
      <c r="AP93" s="33">
        <f>+AP90*Data!AP368</f>
        <v>1.1273832311461933</v>
      </c>
      <c r="AQ93" s="33">
        <f>+AQ90*Data!AQ368</f>
        <v>1.1463098320158671</v>
      </c>
      <c r="AR93" s="33">
        <f>+AR90*Data!AR368</f>
        <v>1.1655412073565274</v>
      </c>
      <c r="AS93" s="33">
        <f>+AS90*Data!AS368</f>
        <v>1.1850989335637556</v>
      </c>
      <c r="AT93" s="33">
        <f>+AT90*Data!AT368</f>
        <v>1.2049795927641269</v>
      </c>
      <c r="AU93" s="33">
        <f>+AU90*Data!AU368</f>
        <v>1.2251661512580749</v>
      </c>
      <c r="AV93" s="33">
        <f>+AV90*Data!AV368</f>
        <v>1.2456339648298282</v>
      </c>
      <c r="AW93" s="33">
        <f>+AW90*Data!AW368</f>
        <v>1.2663540337103274</v>
      </c>
      <c r="AX93" s="33">
        <f>+AX90*Data!AX368</f>
        <v>1.2872947930165639</v>
      </c>
      <c r="AY93" s="33">
        <f>+AY90*Data!AY368</f>
        <v>1.308423055967419</v>
      </c>
      <c r="AZ93" s="33">
        <f>+AZ90*Data!AZ368</f>
        <v>1.329704360747044</v>
      </c>
      <c r="BA93" s="33">
        <f>+BA90*Data!BA368</f>
        <v>1.3511027407454805</v>
      </c>
      <c r="BB93" s="33">
        <f>+BB90*Data!BB368</f>
        <v>1.3725797623306271</v>
      </c>
      <c r="BC93" s="33">
        <f>+BC90*Data!BC368</f>
        <v>1.3940925234879913</v>
      </c>
      <c r="BD93" s="33">
        <f>+BD90*Data!BD368</f>
        <v>1.4155901920801948</v>
      </c>
      <c r="BE93" s="33">
        <f>+BE90*Data!BE368</f>
        <v>1.4370260271134405</v>
      </c>
      <c r="BF93" s="33">
        <f>+BF90*Data!BF368</f>
        <v>1.45829147321648</v>
      </c>
      <c r="BG93" s="33">
        <f>+BG90*Data!BG368</f>
        <v>1.4792731411505082</v>
      </c>
      <c r="BH93" s="33">
        <f>+BH90*Data!BH368</f>
        <v>1.4998182222461258</v>
      </c>
      <c r="BI93" s="33">
        <f>+BI90*Data!BI368</f>
        <v>1.4990886214231078</v>
      </c>
    </row>
    <row r="94" spans="1:103" ht="18" customHeight="1" x14ac:dyDescent="0.2">
      <c r="A94" s="21" t="s">
        <v>271</v>
      </c>
      <c r="B94" s="29">
        <f>B$17*B$56*B93</f>
        <v>102.82866825417676</v>
      </c>
      <c r="C94" s="29">
        <f t="shared" ref="C94:BH94" si="41">C$17*C$56*C93</f>
        <v>81.286142370490495</v>
      </c>
      <c r="D94" s="29">
        <f t="shared" si="41"/>
        <v>69.80857192277405</v>
      </c>
      <c r="E94" s="29">
        <f t="shared" si="41"/>
        <v>65.382904671880155</v>
      </c>
      <c r="F94" s="29">
        <f t="shared" si="41"/>
        <v>64.166721820713519</v>
      </c>
      <c r="G94" s="29">
        <f t="shared" si="41"/>
        <v>56.300888789812049</v>
      </c>
      <c r="H94" s="29">
        <f t="shared" si="41"/>
        <v>54.022448654883483</v>
      </c>
      <c r="I94" s="29">
        <f t="shared" si="41"/>
        <v>52.194386853210084</v>
      </c>
      <c r="J94" s="29">
        <f t="shared" si="41"/>
        <v>47.301266457410037</v>
      </c>
      <c r="K94" s="29">
        <f t="shared" si="41"/>
        <v>40.762441265192294</v>
      </c>
      <c r="L94" s="29">
        <f t="shared" si="41"/>
        <v>37.118457960061981</v>
      </c>
      <c r="M94" s="29">
        <f t="shared" si="41"/>
        <v>31.065886153734191</v>
      </c>
      <c r="N94" s="29">
        <f t="shared" si="41"/>
        <v>27.39242831863973</v>
      </c>
      <c r="O94" s="29">
        <f t="shared" si="41"/>
        <v>24.687610716476403</v>
      </c>
      <c r="P94" s="29">
        <f t="shared" si="41"/>
        <v>22.932686681761073</v>
      </c>
      <c r="Q94" s="29">
        <f t="shared" si="41"/>
        <v>20.783200741699879</v>
      </c>
      <c r="R94" s="29">
        <f t="shared" si="41"/>
        <v>19.032512096307677</v>
      </c>
      <c r="S94" s="29">
        <f t="shared" si="41"/>
        <v>17.339032258539433</v>
      </c>
      <c r="T94" s="29">
        <f t="shared" si="41"/>
        <v>15.528690502010949</v>
      </c>
      <c r="U94" s="29">
        <f t="shared" si="41"/>
        <v>13.125834320346277</v>
      </c>
      <c r="V94" s="29">
        <f t="shared" si="41"/>
        <v>12.052272847348236</v>
      </c>
      <c r="W94" s="29">
        <f t="shared" si="41"/>
        <v>10.861644758075919</v>
      </c>
      <c r="X94" s="29">
        <f t="shared" si="41"/>
        <v>9.6400015112720805</v>
      </c>
      <c r="Y94" s="29">
        <f t="shared" si="41"/>
        <v>8.5616787995841168</v>
      </c>
      <c r="Z94" s="29">
        <f t="shared" si="41"/>
        <v>7.5333062043303691</v>
      </c>
      <c r="AA94" s="29">
        <f t="shared" si="41"/>
        <v>6.5858565439557371</v>
      </c>
      <c r="AB94" s="29">
        <f t="shared" si="41"/>
        <v>5.7181149696890019</v>
      </c>
      <c r="AC94" s="29">
        <f t="shared" si="41"/>
        <v>5.0633756272021779</v>
      </c>
      <c r="AD94" s="29">
        <f t="shared" si="41"/>
        <v>4.4764869964195784</v>
      </c>
      <c r="AE94" s="29">
        <f t="shared" si="41"/>
        <v>3.9257175289507904</v>
      </c>
      <c r="AF94" s="29">
        <f t="shared" si="41"/>
        <v>3.2367734968790427</v>
      </c>
      <c r="AG94" s="29">
        <f t="shared" si="41"/>
        <v>2.9894999806711291</v>
      </c>
      <c r="AH94" s="29">
        <f t="shared" si="41"/>
        <v>2.6840545650325769</v>
      </c>
      <c r="AI94" s="29">
        <f t="shared" si="41"/>
        <v>4.6628421218949905</v>
      </c>
      <c r="AJ94" s="29">
        <f t="shared" si="41"/>
        <v>4.3195625477046269</v>
      </c>
      <c r="AK94" s="29">
        <f t="shared" si="41"/>
        <v>3.8424233587839507</v>
      </c>
      <c r="AL94" s="29">
        <f t="shared" si="41"/>
        <v>3.3850798471803745</v>
      </c>
      <c r="AM94" s="29">
        <f t="shared" si="41"/>
        <v>2.9722425431119932</v>
      </c>
      <c r="AN94" s="29">
        <f t="shared" si="41"/>
        <v>2.6062664373665019</v>
      </c>
      <c r="AO94" s="29">
        <f t="shared" si="41"/>
        <v>2.2840874398930961</v>
      </c>
      <c r="AP94" s="29">
        <f t="shared" si="41"/>
        <v>2.0013025152775166</v>
      </c>
      <c r="AQ94" s="29">
        <f t="shared" si="41"/>
        <v>1.7534071183834239</v>
      </c>
      <c r="AR94" s="29">
        <f t="shared" si="41"/>
        <v>1.5362006973474442</v>
      </c>
      <c r="AS94" s="29">
        <f t="shared" si="41"/>
        <v>1.3459053215054662</v>
      </c>
      <c r="AT94" s="29">
        <f t="shared" si="41"/>
        <v>1.1791774689052112</v>
      </c>
      <c r="AU94" s="29">
        <f t="shared" si="41"/>
        <v>1.0330802230426628</v>
      </c>
      <c r="AV94" s="29">
        <f t="shared" si="41"/>
        <v>0.90504271542819459</v>
      </c>
      <c r="AW94" s="29">
        <f t="shared" si="41"/>
        <v>0.79281772490449065</v>
      </c>
      <c r="AX94" s="29">
        <f t="shared" si="41"/>
        <v>0.69444171838062119</v>
      </c>
      <c r="AY94" s="29">
        <f t="shared" si="41"/>
        <v>0.60819879631883078</v>
      </c>
      <c r="AZ94" s="29">
        <f t="shared" si="41"/>
        <v>0.53258881135465574</v>
      </c>
      <c r="BA94" s="29">
        <f t="shared" si="41"/>
        <v>0.46629944438082149</v>
      </c>
      <c r="BB94" s="29">
        <f t="shared" si="41"/>
        <v>0.40818185194758294</v>
      </c>
      <c r="BC94" s="29">
        <f t="shared" si="41"/>
        <v>0.35722946741942219</v>
      </c>
      <c r="BD94" s="29">
        <f t="shared" si="41"/>
        <v>0.31255956982576605</v>
      </c>
      <c r="BE94" s="29">
        <f t="shared" si="41"/>
        <v>0.27340060237332831</v>
      </c>
      <c r="BF94" s="29">
        <f t="shared" si="41"/>
        <v>0.2390665129834548</v>
      </c>
      <c r="BG94" s="29">
        <f t="shared" si="41"/>
        <v>0.20895961527019702</v>
      </c>
      <c r="BH94" s="29">
        <f t="shared" si="41"/>
        <v>0.18255435226026856</v>
      </c>
      <c r="BI94" s="29">
        <f>BI$17*BI$56*BI93/(1-(BJ17/BI17))</f>
        <v>1.1365678912681378</v>
      </c>
    </row>
    <row r="95" spans="1:103" ht="39" customHeight="1" x14ac:dyDescent="0.2">
      <c r="A95" s="57" t="s">
        <v>62</v>
      </c>
      <c r="B95" s="191">
        <f>SUM(B94:BI94)*10*B52+B53-C53</f>
        <v>-98.299583030544028</v>
      </c>
      <c r="C95" s="84">
        <v>171.48199353527403</v>
      </c>
      <c r="D95" s="183">
        <f>+B95-C95</f>
        <v>-269.78157656581806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+Controls!B37</f>
        <v>0.23570388608045523</v>
      </c>
      <c r="C97" s="385">
        <f>+Controls!C37</f>
        <v>0.23790902069559233</v>
      </c>
      <c r="D97" s="385">
        <f>+Controls!D37</f>
        <v>0.22912270211317867</v>
      </c>
      <c r="E97" s="385">
        <f>+Controls!E37</f>
        <v>0.22069701683870002</v>
      </c>
      <c r="F97" s="385">
        <f>+Controls!F37</f>
        <v>0.21416107983063631</v>
      </c>
      <c r="G97" s="385">
        <f>+Controls!G37</f>
        <v>0.21272081789222094</v>
      </c>
      <c r="H97" s="385">
        <f>+Controls!H37</f>
        <v>0.21309603865646073</v>
      </c>
      <c r="I97" s="385">
        <f>+Controls!I37</f>
        <v>0.21378594238336635</v>
      </c>
      <c r="J97" s="385">
        <f>+Controls!J37</f>
        <v>0.21491052039196434</v>
      </c>
      <c r="K97" s="385">
        <f>+Controls!K37</f>
        <v>0.21680028128984263</v>
      </c>
      <c r="L97" s="385">
        <f>+Controls!L37</f>
        <v>0.21764556793354661</v>
      </c>
      <c r="M97" s="385">
        <f>+Controls!M37</f>
        <v>0.226187871702172</v>
      </c>
      <c r="N97" s="385">
        <f>+Controls!N37</f>
        <v>0.226187871702172</v>
      </c>
      <c r="O97" s="385">
        <f>+Controls!O37</f>
        <v>0.226187871702172</v>
      </c>
      <c r="P97" s="385">
        <f>+Controls!P37</f>
        <v>0.226187871702172</v>
      </c>
      <c r="Q97" s="385">
        <f>+Controls!Q37</f>
        <v>0.226187871702172</v>
      </c>
      <c r="R97" s="385">
        <f>+Controls!R37</f>
        <v>0.226187871702172</v>
      </c>
      <c r="S97" s="385">
        <f>+Controls!S37</f>
        <v>0.226187871702172</v>
      </c>
      <c r="T97" s="385">
        <f>+Controls!T37</f>
        <v>0.226187871702172</v>
      </c>
      <c r="U97" s="385">
        <f>+Controls!U37</f>
        <v>0.226187871702172</v>
      </c>
      <c r="V97" s="385">
        <f>+Controls!V37</f>
        <v>0.226187871702172</v>
      </c>
      <c r="W97" s="385">
        <f>+Controls!W37</f>
        <v>0.226187871702172</v>
      </c>
      <c r="X97" s="385">
        <f>+Controls!X37</f>
        <v>0.226187871702172</v>
      </c>
      <c r="Y97" s="385">
        <f>+Controls!Y37</f>
        <v>0.226187871702172</v>
      </c>
      <c r="Z97" s="385">
        <f>+Controls!Z37</f>
        <v>0.226187871702172</v>
      </c>
      <c r="AA97" s="385">
        <f>+Controls!AA37</f>
        <v>0.226187871702172</v>
      </c>
      <c r="AB97" s="385">
        <f>+Controls!AB37</f>
        <v>0.226187871702172</v>
      </c>
      <c r="AC97" s="385">
        <f>+Controls!AC37</f>
        <v>0.226187871702172</v>
      </c>
      <c r="AD97" s="385">
        <f>+Controls!AD37</f>
        <v>0.226187871702172</v>
      </c>
      <c r="AE97" s="385">
        <f>+Controls!AE37</f>
        <v>0.226187871702172</v>
      </c>
      <c r="AF97" s="385">
        <f>+Controls!AF37</f>
        <v>0.226187871702172</v>
      </c>
      <c r="AG97" s="385">
        <f>+Controls!AG37</f>
        <v>0.226187871702172</v>
      </c>
      <c r="AH97" s="385">
        <f>+Controls!AH37</f>
        <v>0.226187871702172</v>
      </c>
      <c r="AI97" s="385">
        <f>+Controls!AI37</f>
        <v>0.226187871702172</v>
      </c>
      <c r="AJ97" s="385">
        <f>+Controls!AJ37</f>
        <v>0.226187871702172</v>
      </c>
      <c r="AK97" s="385">
        <f>+Controls!AK37</f>
        <v>0.226187871702172</v>
      </c>
      <c r="AL97" s="385">
        <f>+Controls!AL37</f>
        <v>0.226187871702172</v>
      </c>
      <c r="AM97" s="385">
        <f>+Controls!AM37</f>
        <v>0.226187871702172</v>
      </c>
      <c r="AN97" s="385">
        <f>+Controls!AN37</f>
        <v>0.226187871702172</v>
      </c>
      <c r="AO97" s="385">
        <f>+Controls!AO37</f>
        <v>0.226187871702172</v>
      </c>
      <c r="AP97" s="385">
        <f>+Controls!AP37</f>
        <v>0.226187871702172</v>
      </c>
      <c r="AQ97" s="385">
        <f>+Controls!AQ37</f>
        <v>0.226187871702172</v>
      </c>
      <c r="AR97" s="385">
        <f>+Controls!AR37</f>
        <v>0.226187871702172</v>
      </c>
      <c r="AS97" s="385">
        <f>+Controls!AS37</f>
        <v>0.226187871702172</v>
      </c>
      <c r="AT97" s="385">
        <f>+Controls!AT37</f>
        <v>0.226187871702172</v>
      </c>
      <c r="AU97" s="385">
        <f>+Controls!AU37</f>
        <v>0.226187871702172</v>
      </c>
      <c r="AV97" s="385">
        <f>+Controls!AV37</f>
        <v>0.226187871702172</v>
      </c>
      <c r="AW97" s="385">
        <f>+Controls!AW37</f>
        <v>0.226187871702172</v>
      </c>
      <c r="AX97" s="385">
        <f>+Controls!AX37</f>
        <v>0.226187871702172</v>
      </c>
      <c r="AY97" s="385">
        <f>+Controls!AY37</f>
        <v>0.226187871702172</v>
      </c>
      <c r="AZ97" s="385">
        <f>+Controls!AZ37</f>
        <v>0.226187871702172</v>
      </c>
      <c r="BA97" s="385">
        <f>+Controls!BA37</f>
        <v>0.226187871702172</v>
      </c>
      <c r="BB97" s="385">
        <f>+Controls!BB37</f>
        <v>0.226187871702172</v>
      </c>
      <c r="BC97" s="385">
        <f>+Controls!BC37</f>
        <v>0.226187871702172</v>
      </c>
      <c r="BD97" s="385">
        <f>+Controls!BD37</f>
        <v>0.226187871702172</v>
      </c>
      <c r="BE97" s="385">
        <f>+Controls!BE37</f>
        <v>0.226187871702172</v>
      </c>
      <c r="BF97" s="385">
        <f>+Controls!BF37</f>
        <v>0.226187871702172</v>
      </c>
      <c r="BG97" s="385">
        <f>+Controls!BG37</f>
        <v>0.226187871702172</v>
      </c>
      <c r="BH97" s="385">
        <f>+Controls!BH37</f>
        <v>0.226187871702172</v>
      </c>
      <c r="BI97" s="385">
        <f>+Controls!BI37</f>
        <v>0.226187871702172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2">+B$36*1000*B103^($B$38-1)</f>
        <v>1.0000000000000018E-3</v>
      </c>
      <c r="C101" s="463">
        <f t="shared" si="42"/>
        <v>1.0000000000000002E-3</v>
      </c>
      <c r="D101" s="463">
        <f t="shared" si="42"/>
        <v>1.0000000000000005E-3</v>
      </c>
      <c r="E101" s="463">
        <f t="shared" si="42"/>
        <v>1.000000000000023E-3</v>
      </c>
      <c r="F101" s="463">
        <f t="shared" si="42"/>
        <v>1.0000000000002999E-3</v>
      </c>
      <c r="G101" s="463">
        <f t="shared" si="42"/>
        <v>1.0000000000020108E-3</v>
      </c>
      <c r="H101" s="463">
        <f t="shared" si="42"/>
        <v>1.0000000000091719E-3</v>
      </c>
      <c r="I101" s="463">
        <f t="shared" si="42"/>
        <v>1.0000000000319846E-3</v>
      </c>
      <c r="J101" s="463">
        <f t="shared" si="42"/>
        <v>1.0000000000922246E-3</v>
      </c>
      <c r="K101" s="463">
        <f t="shared" si="42"/>
        <v>1.0000000002275569E-3</v>
      </c>
      <c r="L101" s="463">
        <f t="shared" si="42"/>
        <v>1.0000000005053198E-3</v>
      </c>
      <c r="M101" s="463">
        <f t="shared" si="42"/>
        <v>1.0000000010417323E-3</v>
      </c>
      <c r="N101" s="463">
        <f t="shared" si="42"/>
        <v>1.00000000199215E-3</v>
      </c>
      <c r="O101" s="463">
        <f t="shared" si="42"/>
        <v>1.0000000035927906E-3</v>
      </c>
      <c r="P101" s="463">
        <f t="shared" si="42"/>
        <v>1.0000000062096893E-3</v>
      </c>
      <c r="Q101" s="463">
        <f t="shared" si="42"/>
        <v>1.0000000104204642E-3</v>
      </c>
      <c r="R101" s="463">
        <f t="shared" si="42"/>
        <v>1.0000000170144584E-3</v>
      </c>
      <c r="S101" s="463">
        <f t="shared" si="42"/>
        <v>1.0000000272142192E-3</v>
      </c>
      <c r="T101" s="463">
        <f t="shared" si="42"/>
        <v>1.0000000427819876E-3</v>
      </c>
      <c r="U101" s="463">
        <f t="shared" si="42"/>
        <v>1.0000000656043375E-3</v>
      </c>
      <c r="V101" s="463">
        <f t="shared" si="42"/>
        <v>1.0000000970886362E-3</v>
      </c>
      <c r="W101" s="463">
        <f t="shared" si="42"/>
        <v>1.0000001421883787E-3</v>
      </c>
      <c r="X101" s="463">
        <f t="shared" si="42"/>
        <v>1.0000002055977513E-3</v>
      </c>
      <c r="Y101" s="463">
        <f t="shared" si="42"/>
        <v>1.0000002932497466E-3</v>
      </c>
      <c r="Z101" s="463">
        <f t="shared" si="42"/>
        <v>1.0000004131003597E-3</v>
      </c>
      <c r="AA101" s="463">
        <f t="shared" si="42"/>
        <v>1.0000005755955608E-3</v>
      </c>
      <c r="AB101" s="463">
        <f t="shared" si="42"/>
        <v>552.28132326139678</v>
      </c>
      <c r="AC101" s="463">
        <f t="shared" si="42"/>
        <v>532.85725709832684</v>
      </c>
      <c r="AD101" s="463">
        <f t="shared" si="42"/>
        <v>514.40439424341048</v>
      </c>
      <c r="AE101" s="463">
        <f t="shared" si="42"/>
        <v>496.87417453123982</v>
      </c>
      <c r="AF101" s="463">
        <f t="shared" si="42"/>
        <v>480.22046580467781</v>
      </c>
      <c r="AG101" s="463">
        <f t="shared" si="42"/>
        <v>464.39944251444388</v>
      </c>
      <c r="AH101" s="463">
        <f t="shared" ref="AH101:BI101" si="43">+AH$36*1000*AH103^($B$38-1)</f>
        <v>449.36947038872165</v>
      </c>
      <c r="AI101" s="463">
        <f t="shared" si="43"/>
        <v>435.09099686928556</v>
      </c>
      <c r="AJ101" s="463">
        <f t="shared" si="43"/>
        <v>421.5264470258212</v>
      </c>
      <c r="AK101" s="463">
        <f t="shared" si="43"/>
        <v>408.64012467453017</v>
      </c>
      <c r="AL101" s="463">
        <f t="shared" si="43"/>
        <v>396.39811844080361</v>
      </c>
      <c r="AM101" s="463">
        <f t="shared" si="43"/>
        <v>384.76821251876345</v>
      </c>
      <c r="AN101" s="463">
        <f t="shared" si="43"/>
        <v>373.71980189282527</v>
      </c>
      <c r="AO101" s="463">
        <f t="shared" si="43"/>
        <v>363.22381179818399</v>
      </c>
      <c r="AP101" s="463">
        <f t="shared" si="43"/>
        <v>353.25262120827477</v>
      </c>
      <c r="AQ101" s="463">
        <f t="shared" si="43"/>
        <v>343.77999014786104</v>
      </c>
      <c r="AR101" s="463">
        <f t="shared" si="43"/>
        <v>334.78099064046796</v>
      </c>
      <c r="AS101" s="463">
        <f t="shared" si="43"/>
        <v>326.23194110844457</v>
      </c>
      <c r="AT101" s="463">
        <f t="shared" si="43"/>
        <v>318.11034405302229</v>
      </c>
      <c r="AU101" s="463">
        <f t="shared" si="43"/>
        <v>310.3948268503712</v>
      </c>
      <c r="AV101" s="463">
        <f t="shared" si="43"/>
        <v>303.06508550785259</v>
      </c>
      <c r="AW101" s="463">
        <f t="shared" si="43"/>
        <v>296.10183123245997</v>
      </c>
      <c r="AX101" s="463">
        <f t="shared" si="43"/>
        <v>289.48673967083693</v>
      </c>
      <c r="AY101" s="463">
        <f t="shared" si="43"/>
        <v>283.20240268729509</v>
      </c>
      <c r="AZ101" s="463">
        <f t="shared" si="43"/>
        <v>277.23228255293031</v>
      </c>
      <c r="BA101" s="463">
        <f t="shared" si="43"/>
        <v>271.56066842528384</v>
      </c>
      <c r="BB101" s="463">
        <f t="shared" si="43"/>
        <v>266.17263500401958</v>
      </c>
      <c r="BC101" s="463">
        <f t="shared" si="43"/>
        <v>261.05400325381862</v>
      </c>
      <c r="BD101" s="463">
        <f t="shared" si="43"/>
        <v>256.19130309112768</v>
      </c>
      <c r="BE101" s="463">
        <f t="shared" si="43"/>
        <v>128.09565154556384</v>
      </c>
      <c r="BF101" s="463">
        <f t="shared" si="43"/>
        <v>64.04782577278192</v>
      </c>
      <c r="BG101" s="463">
        <f t="shared" si="43"/>
        <v>32.02391288639096</v>
      </c>
      <c r="BH101" s="463">
        <f t="shared" si="43"/>
        <v>16.01195644319548</v>
      </c>
      <c r="BI101" s="463">
        <f t="shared" si="43"/>
        <v>8.00597822159774</v>
      </c>
    </row>
    <row r="102" spans="1:61" s="467" customFormat="1" ht="18" customHeight="1" x14ac:dyDescent="0.2">
      <c r="A102" s="612" t="s">
        <v>955</v>
      </c>
      <c r="B102" s="465">
        <f>+B119*(1-MIN(B103,1))</f>
        <v>0.39622122051011505</v>
      </c>
      <c r="C102" s="465">
        <f>+C119*(1-MIN(C103,1))</f>
        <v>0.33886881765913685</v>
      </c>
      <c r="D102" s="465">
        <f t="shared" ref="D102:BI102" si="44">+D119*(1-MIN(D103,1))</f>
        <v>0.3039021992449546</v>
      </c>
      <c r="E102" s="465">
        <f t="shared" si="44"/>
        <v>0.2803538334236863</v>
      </c>
      <c r="F102" s="465">
        <f t="shared" si="44"/>
        <v>0.26279068371821307</v>
      </c>
      <c r="G102" s="465">
        <f t="shared" si="44"/>
        <v>0.23754829211639275</v>
      </c>
      <c r="H102" s="465">
        <f t="shared" si="44"/>
        <v>0.22388062645006696</v>
      </c>
      <c r="I102" s="465">
        <f t="shared" si="44"/>
        <v>0.21555594764944666</v>
      </c>
      <c r="J102" s="465">
        <f t="shared" si="44"/>
        <v>0.20410933918004595</v>
      </c>
      <c r="K102" s="465">
        <f t="shared" si="44"/>
        <v>0.18963102815391331</v>
      </c>
      <c r="L102" s="465">
        <f t="shared" si="44"/>
        <v>0.18262229431947666</v>
      </c>
      <c r="M102" s="465">
        <f t="shared" si="44"/>
        <v>0.1709906054535581</v>
      </c>
      <c r="N102" s="465">
        <f t="shared" si="44"/>
        <v>0.16114539844521525</v>
      </c>
      <c r="O102" s="465">
        <f t="shared" si="44"/>
        <v>0.15552084042084255</v>
      </c>
      <c r="P102" s="465">
        <f t="shared" si="44"/>
        <v>0.15468551477906353</v>
      </c>
      <c r="Q102" s="465">
        <f t="shared" si="44"/>
        <v>0.15245782311923514</v>
      </c>
      <c r="R102" s="465">
        <f t="shared" si="44"/>
        <v>0.15254594170370681</v>
      </c>
      <c r="S102" s="465">
        <f t="shared" si="44"/>
        <v>0.15300100762076896</v>
      </c>
      <c r="T102" s="465">
        <f t="shared" si="44"/>
        <v>0.15155550508469556</v>
      </c>
      <c r="U102" s="465">
        <f t="shared" si="44"/>
        <v>0.14159226471533304</v>
      </c>
      <c r="V102" s="465">
        <f t="shared" si="44"/>
        <v>0.14464208991146407</v>
      </c>
      <c r="W102" s="465">
        <f t="shared" si="44"/>
        <v>0.14530837495282545</v>
      </c>
      <c r="X102" s="465">
        <f t="shared" si="44"/>
        <v>0.14362224373663013</v>
      </c>
      <c r="Y102" s="465">
        <f t="shared" si="44"/>
        <v>0.14227601224563818</v>
      </c>
      <c r="Z102" s="465">
        <f t="shared" si="44"/>
        <v>0.13935711174169871</v>
      </c>
      <c r="AA102" s="465">
        <f t="shared" si="44"/>
        <v>0.13537632415120893</v>
      </c>
      <c r="AB102" s="465">
        <f t="shared" si="44"/>
        <v>0</v>
      </c>
      <c r="AC102" s="465">
        <f t="shared" si="44"/>
        <v>0</v>
      </c>
      <c r="AD102" s="465">
        <f t="shared" si="44"/>
        <v>0</v>
      </c>
      <c r="AE102" s="465">
        <f t="shared" si="44"/>
        <v>0</v>
      </c>
      <c r="AF102" s="465">
        <f t="shared" si="44"/>
        <v>0</v>
      </c>
      <c r="AG102" s="465">
        <f t="shared" si="44"/>
        <v>0</v>
      </c>
      <c r="AH102" s="465">
        <f t="shared" si="44"/>
        <v>0</v>
      </c>
      <c r="AI102" s="465">
        <f t="shared" si="44"/>
        <v>0</v>
      </c>
      <c r="AJ102" s="465">
        <f t="shared" si="44"/>
        <v>0</v>
      </c>
      <c r="AK102" s="465">
        <f t="shared" si="44"/>
        <v>0</v>
      </c>
      <c r="AL102" s="465">
        <f t="shared" si="44"/>
        <v>0</v>
      </c>
      <c r="AM102" s="465">
        <f t="shared" si="44"/>
        <v>0</v>
      </c>
      <c r="AN102" s="465">
        <f t="shared" si="44"/>
        <v>0</v>
      </c>
      <c r="AO102" s="465">
        <f t="shared" si="44"/>
        <v>0</v>
      </c>
      <c r="AP102" s="465">
        <f t="shared" si="44"/>
        <v>0</v>
      </c>
      <c r="AQ102" s="465">
        <f t="shared" si="44"/>
        <v>0</v>
      </c>
      <c r="AR102" s="465">
        <f t="shared" si="44"/>
        <v>0</v>
      </c>
      <c r="AS102" s="465">
        <f t="shared" si="44"/>
        <v>0</v>
      </c>
      <c r="AT102" s="465">
        <f t="shared" si="44"/>
        <v>0</v>
      </c>
      <c r="AU102" s="465">
        <f t="shared" si="44"/>
        <v>0</v>
      </c>
      <c r="AV102" s="465">
        <f t="shared" si="44"/>
        <v>0</v>
      </c>
      <c r="AW102" s="465">
        <f t="shared" si="44"/>
        <v>0</v>
      </c>
      <c r="AX102" s="465">
        <f t="shared" si="44"/>
        <v>0</v>
      </c>
      <c r="AY102" s="465">
        <f t="shared" si="44"/>
        <v>0</v>
      </c>
      <c r="AZ102" s="465">
        <f t="shared" si="44"/>
        <v>0</v>
      </c>
      <c r="BA102" s="465">
        <f t="shared" si="44"/>
        <v>0</v>
      </c>
      <c r="BB102" s="465">
        <f t="shared" si="44"/>
        <v>0</v>
      </c>
      <c r="BC102" s="465">
        <f t="shared" si="44"/>
        <v>0</v>
      </c>
      <c r="BD102" s="465">
        <f t="shared" si="44"/>
        <v>0</v>
      </c>
      <c r="BE102" s="465">
        <f t="shared" si="44"/>
        <v>0</v>
      </c>
      <c r="BF102" s="465">
        <f t="shared" si="44"/>
        <v>0</v>
      </c>
      <c r="BG102" s="465">
        <f t="shared" si="44"/>
        <v>0</v>
      </c>
      <c r="BH102" s="465">
        <f t="shared" si="44"/>
        <v>0</v>
      </c>
      <c r="BI102" s="465">
        <f t="shared" si="44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3.5286078042538017E-4</v>
      </c>
      <c r="C103" s="468">
        <f>+IF($B$98&gt;0,C109,IF($B$99&gt;0,C114,C122))</f>
        <v>3.6200338233375267E-4</v>
      </c>
      <c r="D103" s="468">
        <f t="shared" ref="D103:BI103" si="45">+IF($B$98&gt;0,D109,IF($B$99&gt;0,D114,D122))</f>
        <v>3.7133197741868313E-4</v>
      </c>
      <c r="E103" s="468">
        <f t="shared" si="45"/>
        <v>3.80846622971651E-4</v>
      </c>
      <c r="F103" s="468">
        <f t="shared" si="45"/>
        <v>3.9054707513287224E-4</v>
      </c>
      <c r="G103" s="468">
        <f t="shared" si="45"/>
        <v>4.0043276998599114E-4</v>
      </c>
      <c r="H103" s="468">
        <f t="shared" si="45"/>
        <v>4.105028046346839E-4</v>
      </c>
      <c r="I103" s="468">
        <f t="shared" si="45"/>
        <v>4.2075591839273624E-4</v>
      </c>
      <c r="J103" s="468">
        <f t="shared" si="45"/>
        <v>4.3119047423325572E-4</v>
      </c>
      <c r="K103" s="468">
        <f t="shared" si="45"/>
        <v>4.4180444065576607E-4</v>
      </c>
      <c r="L103" s="468">
        <f t="shared" si="45"/>
        <v>4.5259537414686895E-4</v>
      </c>
      <c r="M103" s="468">
        <f t="shared" si="45"/>
        <v>4.6356040242002299E-4</v>
      </c>
      <c r="N103" s="468">
        <f t="shared" si="45"/>
        <v>4.7469620862401827E-4</v>
      </c>
      <c r="O103" s="468">
        <f t="shared" si="45"/>
        <v>4.8599901675002642E-4</v>
      </c>
      <c r="P103" s="468">
        <f t="shared" si="45"/>
        <v>4.9746457844608777E-4</v>
      </c>
      <c r="Q103" s="468">
        <f t="shared" si="45"/>
        <v>5.0908816147298308E-4</v>
      </c>
      <c r="R103" s="468">
        <f t="shared" si="45"/>
        <v>5.2086454000136654E-4</v>
      </c>
      <c r="S103" s="468">
        <f t="shared" si="45"/>
        <v>5.3278798706997215E-4</v>
      </c>
      <c r="T103" s="468">
        <f t="shared" si="45"/>
        <v>5.4485226934643282E-4</v>
      </c>
      <c r="U103" s="468">
        <f t="shared" si="45"/>
        <v>5.5705064428832832E-4</v>
      </c>
      <c r="V103" s="468">
        <f t="shared" si="45"/>
        <v>5.6937586000556243E-4</v>
      </c>
      <c r="W103" s="468">
        <f t="shared" si="45"/>
        <v>5.8182015957937948E-4</v>
      </c>
      <c r="X103" s="468">
        <f t="shared" si="45"/>
        <v>5.9437528614017759E-4</v>
      </c>
      <c r="Y103" s="468">
        <f t="shared" si="45"/>
        <v>6.0703249292275087E-4</v>
      </c>
      <c r="Z103" s="468">
        <f t="shared" si="45"/>
        <v>6.1978255662890349E-4</v>
      </c>
      <c r="AA103" s="468">
        <f t="shared" si="45"/>
        <v>6.3261579431560363E-4</v>
      </c>
      <c r="AB103" s="468">
        <f t="shared" si="45"/>
        <v>1</v>
      </c>
      <c r="AC103" s="468">
        <f t="shared" si="45"/>
        <v>1</v>
      </c>
      <c r="AD103" s="468">
        <f t="shared" si="45"/>
        <v>1</v>
      </c>
      <c r="AE103" s="468">
        <f t="shared" si="45"/>
        <v>1</v>
      </c>
      <c r="AF103" s="468">
        <f t="shared" si="45"/>
        <v>1</v>
      </c>
      <c r="AG103" s="468">
        <f t="shared" si="45"/>
        <v>1</v>
      </c>
      <c r="AH103" s="468">
        <f t="shared" si="45"/>
        <v>1</v>
      </c>
      <c r="AI103" s="468">
        <f t="shared" si="45"/>
        <v>1</v>
      </c>
      <c r="AJ103" s="468">
        <f t="shared" si="45"/>
        <v>1</v>
      </c>
      <c r="AK103" s="468">
        <f t="shared" si="45"/>
        <v>1</v>
      </c>
      <c r="AL103" s="468">
        <f t="shared" si="45"/>
        <v>1</v>
      </c>
      <c r="AM103" s="468">
        <f t="shared" si="45"/>
        <v>1</v>
      </c>
      <c r="AN103" s="468">
        <f t="shared" si="45"/>
        <v>1</v>
      </c>
      <c r="AO103" s="468">
        <f t="shared" si="45"/>
        <v>1</v>
      </c>
      <c r="AP103" s="468">
        <f t="shared" si="45"/>
        <v>1</v>
      </c>
      <c r="AQ103" s="468">
        <f t="shared" si="45"/>
        <v>1</v>
      </c>
      <c r="AR103" s="468">
        <f t="shared" si="45"/>
        <v>1</v>
      </c>
      <c r="AS103" s="468">
        <f t="shared" si="45"/>
        <v>1</v>
      </c>
      <c r="AT103" s="468">
        <f t="shared" si="45"/>
        <v>1</v>
      </c>
      <c r="AU103" s="468">
        <f t="shared" si="45"/>
        <v>1</v>
      </c>
      <c r="AV103" s="468">
        <f t="shared" si="45"/>
        <v>1</v>
      </c>
      <c r="AW103" s="468">
        <f t="shared" si="45"/>
        <v>1</v>
      </c>
      <c r="AX103" s="468">
        <f t="shared" si="45"/>
        <v>1</v>
      </c>
      <c r="AY103" s="468">
        <f t="shared" si="45"/>
        <v>1</v>
      </c>
      <c r="AZ103" s="468">
        <f t="shared" si="45"/>
        <v>1</v>
      </c>
      <c r="BA103" s="468">
        <f t="shared" si="45"/>
        <v>1</v>
      </c>
      <c r="BB103" s="468">
        <f t="shared" si="45"/>
        <v>1</v>
      </c>
      <c r="BC103" s="468">
        <f t="shared" si="45"/>
        <v>1</v>
      </c>
      <c r="BD103" s="468">
        <f t="shared" si="45"/>
        <v>1</v>
      </c>
      <c r="BE103" s="468">
        <f t="shared" si="45"/>
        <v>1</v>
      </c>
      <c r="BF103" s="468">
        <f t="shared" si="45"/>
        <v>1</v>
      </c>
      <c r="BG103" s="468">
        <f t="shared" si="45"/>
        <v>1</v>
      </c>
      <c r="BH103" s="468">
        <f t="shared" si="45"/>
        <v>1</v>
      </c>
      <c r="BI103" s="468">
        <f t="shared" si="45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6">+MIN(B107+B108,B36*1000)</f>
        <v>1E-3</v>
      </c>
      <c r="C106" s="373">
        <f t="shared" si="46"/>
        <v>1E-3</v>
      </c>
      <c r="D106" s="373">
        <f t="shared" si="46"/>
        <v>1.0000000000000005E-3</v>
      </c>
      <c r="E106" s="373">
        <f t="shared" si="46"/>
        <v>1.000000000000023E-3</v>
      </c>
      <c r="F106" s="373">
        <f t="shared" si="46"/>
        <v>1.0000000000003001E-3</v>
      </c>
      <c r="G106" s="373">
        <f t="shared" si="46"/>
        <v>1.0000000000020112E-3</v>
      </c>
      <c r="H106" s="373">
        <f t="shared" si="46"/>
        <v>1.0000000000091702E-3</v>
      </c>
      <c r="I106" s="373">
        <f t="shared" si="46"/>
        <v>1.0000000000319844E-3</v>
      </c>
      <c r="J106" s="373">
        <f t="shared" si="46"/>
        <v>1.0000000000922251E-3</v>
      </c>
      <c r="K106" s="373">
        <f t="shared" si="46"/>
        <v>1.0000000002275561E-3</v>
      </c>
      <c r="L106" s="373">
        <f t="shared" si="46"/>
        <v>1.0000000005053185E-3</v>
      </c>
      <c r="M106" s="450">
        <f t="shared" si="46"/>
        <v>1.0000000010417327E-3</v>
      </c>
      <c r="N106" s="373">
        <f t="shared" si="46"/>
        <v>1.0000000019921491E-3</v>
      </c>
      <c r="O106" s="373">
        <f t="shared" si="46"/>
        <v>1.0000000035927906E-3</v>
      </c>
      <c r="P106" s="373">
        <f t="shared" si="46"/>
        <v>1.0000000062096877E-3</v>
      </c>
      <c r="Q106" s="373">
        <f t="shared" si="46"/>
        <v>1.0000000104204644E-3</v>
      </c>
      <c r="R106" s="373">
        <f t="shared" si="46"/>
        <v>1.0000000170144582E-3</v>
      </c>
      <c r="S106" s="373">
        <f t="shared" si="46"/>
        <v>1.0000000272142174E-3</v>
      </c>
      <c r="T106" s="373">
        <f t="shared" si="46"/>
        <v>1.0000000427819878E-3</v>
      </c>
      <c r="U106" s="373">
        <f t="shared" si="46"/>
        <v>1.0000000656043364E-3</v>
      </c>
      <c r="V106" s="373">
        <f t="shared" si="46"/>
        <v>1.0000000970886349E-3</v>
      </c>
      <c r="W106" s="373">
        <f t="shared" si="46"/>
        <v>1.0000001421883765E-3</v>
      </c>
      <c r="X106" s="373">
        <f t="shared" si="46"/>
        <v>1.0000002055977509E-3</v>
      </c>
      <c r="Y106" s="373">
        <f t="shared" si="46"/>
        <v>1.0000002932497453E-3</v>
      </c>
      <c r="Z106" s="373">
        <f t="shared" si="46"/>
        <v>1.0000004131003601E-3</v>
      </c>
      <c r="AA106" s="373">
        <f t="shared" si="46"/>
        <v>1.0000005755955613E-3</v>
      </c>
      <c r="AB106" s="373">
        <f t="shared" si="46"/>
        <v>552.28132326139678</v>
      </c>
      <c r="AC106" s="373">
        <f t="shared" si="46"/>
        <v>532.85725709832684</v>
      </c>
      <c r="AD106" s="373">
        <f t="shared" si="46"/>
        <v>514.40439424341048</v>
      </c>
      <c r="AE106" s="373">
        <f t="shared" si="46"/>
        <v>496.87417453123982</v>
      </c>
      <c r="AF106" s="373">
        <f t="shared" si="46"/>
        <v>480.22046580467781</v>
      </c>
      <c r="AG106" s="373">
        <f t="shared" si="46"/>
        <v>464.39944251444388</v>
      </c>
      <c r="AH106" s="373">
        <f t="shared" si="46"/>
        <v>449.36947038872165</v>
      </c>
      <c r="AI106" s="373">
        <f t="shared" si="46"/>
        <v>435.09099686928556</v>
      </c>
      <c r="AJ106" s="373">
        <f t="shared" si="46"/>
        <v>421.5264470258212</v>
      </c>
      <c r="AK106" s="373">
        <f t="shared" si="46"/>
        <v>408.64012467453017</v>
      </c>
      <c r="AL106" s="373">
        <f t="shared" si="46"/>
        <v>396.39811844080361</v>
      </c>
      <c r="AM106" s="373">
        <f t="shared" si="46"/>
        <v>384.76821251876345</v>
      </c>
      <c r="AN106" s="373">
        <f t="shared" si="46"/>
        <v>373.71980189282527</v>
      </c>
      <c r="AO106" s="373">
        <f t="shared" si="46"/>
        <v>363.22381179818399</v>
      </c>
      <c r="AP106" s="373">
        <f t="shared" si="46"/>
        <v>353.25262120827477</v>
      </c>
      <c r="AQ106" s="373">
        <f t="shared" si="46"/>
        <v>343.77999014786104</v>
      </c>
      <c r="AR106" s="373">
        <f t="shared" si="46"/>
        <v>334.78099064046796</v>
      </c>
      <c r="AS106" s="373">
        <f t="shared" si="46"/>
        <v>326.23194110844457</v>
      </c>
      <c r="AT106" s="373">
        <f t="shared" si="46"/>
        <v>318.11034405302229</v>
      </c>
      <c r="AU106" s="373">
        <f t="shared" si="46"/>
        <v>310.3948268503712</v>
      </c>
      <c r="AV106" s="373">
        <f t="shared" si="46"/>
        <v>303.06508550785259</v>
      </c>
      <c r="AW106" s="373">
        <f t="shared" si="46"/>
        <v>296.10183123245997</v>
      </c>
      <c r="AX106" s="373">
        <f t="shared" si="46"/>
        <v>289.48673967083693</v>
      </c>
      <c r="AY106" s="373">
        <f t="shared" si="46"/>
        <v>283.20240268729509</v>
      </c>
      <c r="AZ106" s="373">
        <f t="shared" si="46"/>
        <v>277.23228255293031</v>
      </c>
      <c r="BA106" s="373">
        <f t="shared" si="46"/>
        <v>271.56066842528384</v>
      </c>
      <c r="BB106" s="373">
        <f t="shared" si="46"/>
        <v>266.17263500401958</v>
      </c>
      <c r="BC106" s="373">
        <f t="shared" si="46"/>
        <v>261.05400325381862</v>
      </c>
      <c r="BD106" s="373">
        <f t="shared" si="46"/>
        <v>256.19130309112768</v>
      </c>
      <c r="BE106" s="373">
        <f t="shared" si="46"/>
        <v>128.09565154556384</v>
      </c>
      <c r="BF106" s="373">
        <f t="shared" si="46"/>
        <v>64.04782577278192</v>
      </c>
      <c r="BG106" s="373">
        <f t="shared" si="46"/>
        <v>32.02391288639096</v>
      </c>
      <c r="BH106" s="373">
        <f t="shared" si="46"/>
        <v>16.01195644319548</v>
      </c>
      <c r="BI106" s="373">
        <f t="shared" si="46"/>
        <v>8.00597822159774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+Controls!B20</f>
        <v>1E-3</v>
      </c>
      <c r="C108" s="373">
        <f>+Controls!C20</f>
        <v>1E-3</v>
      </c>
      <c r="D108" s="373">
        <f>+Controls!D20</f>
        <v>1E-3</v>
      </c>
      <c r="E108" s="373">
        <f>+Controls!E20</f>
        <v>1E-3</v>
      </c>
      <c r="F108" s="373">
        <f>+Controls!F20</f>
        <v>1E-3</v>
      </c>
      <c r="G108" s="373">
        <f>+Controls!G20</f>
        <v>1E-3</v>
      </c>
      <c r="H108" s="373">
        <f>+Controls!H20</f>
        <v>1E-3</v>
      </c>
      <c r="I108" s="373">
        <f>+Controls!I20</f>
        <v>1E-3</v>
      </c>
      <c r="J108" s="373">
        <f>+Controls!J20</f>
        <v>1E-3</v>
      </c>
      <c r="K108" s="373">
        <f>+Controls!K20</f>
        <v>1E-3</v>
      </c>
      <c r="L108" s="373">
        <f>+Controls!L20</f>
        <v>1E-3</v>
      </c>
      <c r="M108" s="373">
        <f>+Controls!M20</f>
        <v>1E-3</v>
      </c>
      <c r="N108" s="373">
        <f>+Controls!N20</f>
        <v>1E-3</v>
      </c>
      <c r="O108" s="373">
        <f>+Controls!O20</f>
        <v>1E-3</v>
      </c>
      <c r="P108" s="373">
        <f>+Controls!P20</f>
        <v>1E-3</v>
      </c>
      <c r="Q108" s="373">
        <f>+Controls!Q20</f>
        <v>1E-3</v>
      </c>
      <c r="R108" s="373">
        <f>+Controls!R20</f>
        <v>1E-3</v>
      </c>
      <c r="S108" s="373">
        <f>+Controls!S20</f>
        <v>1E-3</v>
      </c>
      <c r="T108" s="373">
        <f>+Controls!T20</f>
        <v>1E-3</v>
      </c>
      <c r="U108" s="373">
        <f>+Controls!U20</f>
        <v>1E-3</v>
      </c>
      <c r="V108" s="373">
        <f>+Controls!V20</f>
        <v>1E-3</v>
      </c>
      <c r="W108" s="373">
        <f>+Controls!W20</f>
        <v>1E-3</v>
      </c>
      <c r="X108" s="373">
        <f>+Controls!X20</f>
        <v>1E-3</v>
      </c>
      <c r="Y108" s="373">
        <f>+Controls!Y20</f>
        <v>1E-3</v>
      </c>
      <c r="Z108" s="373">
        <f>+Controls!Z20</f>
        <v>1E-3</v>
      </c>
      <c r="AA108" s="373">
        <f>+Controls!AA20</f>
        <v>1E-3</v>
      </c>
      <c r="AB108" s="373">
        <f>+Controls!AB20</f>
        <v>1200</v>
      </c>
      <c r="AC108" s="373">
        <f>+Controls!AC20</f>
        <v>1200</v>
      </c>
      <c r="AD108" s="373">
        <f>+Controls!AD20</f>
        <v>1200</v>
      </c>
      <c r="AE108" s="373">
        <f>+Controls!AE20</f>
        <v>1200</v>
      </c>
      <c r="AF108" s="373">
        <f>+Controls!AF20</f>
        <v>1200</v>
      </c>
      <c r="AG108" s="373">
        <f>+Controls!AG20</f>
        <v>1200</v>
      </c>
      <c r="AH108" s="373">
        <f>+Controls!AH20</f>
        <v>1200</v>
      </c>
      <c r="AI108" s="373">
        <f>+Controls!AI20</f>
        <v>1200</v>
      </c>
      <c r="AJ108" s="373">
        <f>+Controls!AJ20</f>
        <v>1200</v>
      </c>
      <c r="AK108" s="373">
        <f>+Controls!AK20</f>
        <v>1200</v>
      </c>
      <c r="AL108" s="373">
        <f>+Controls!AL20</f>
        <v>1200</v>
      </c>
      <c r="AM108" s="373">
        <f>+Controls!AM20</f>
        <v>1200</v>
      </c>
      <c r="AN108" s="373">
        <f>+Controls!AN20</f>
        <v>1200</v>
      </c>
      <c r="AO108" s="373">
        <f>+Controls!AO20</f>
        <v>1200</v>
      </c>
      <c r="AP108" s="373">
        <f>+Controls!AP20</f>
        <v>1200</v>
      </c>
      <c r="AQ108" s="373">
        <f>+Controls!AQ20</f>
        <v>1200</v>
      </c>
      <c r="AR108" s="373">
        <f>+Controls!AR20</f>
        <v>1200</v>
      </c>
      <c r="AS108" s="373">
        <f>+Controls!AS20</f>
        <v>1200</v>
      </c>
      <c r="AT108" s="373">
        <f>+Controls!AT20</f>
        <v>1200</v>
      </c>
      <c r="AU108" s="373">
        <f>+Controls!AU20</f>
        <v>1200</v>
      </c>
      <c r="AV108" s="373">
        <f>+Controls!AV20</f>
        <v>1200</v>
      </c>
      <c r="AW108" s="373">
        <f>+Controls!AW20</f>
        <v>1200</v>
      </c>
      <c r="AX108" s="373">
        <f>+Controls!AX20</f>
        <v>1200</v>
      </c>
      <c r="AY108" s="373">
        <f>+Controls!AY20</f>
        <v>1200</v>
      </c>
      <c r="AZ108" s="373">
        <f>+Controls!AZ20</f>
        <v>1200</v>
      </c>
      <c r="BA108" s="373">
        <f>+Controls!BA20</f>
        <v>1200</v>
      </c>
      <c r="BB108" s="373">
        <f>+Controls!BB20</f>
        <v>1200</v>
      </c>
      <c r="BC108" s="373">
        <f>+Controls!BC20</f>
        <v>1200</v>
      </c>
      <c r="BD108" s="373">
        <f>+Controls!BD20</f>
        <v>1200</v>
      </c>
      <c r="BE108" s="373">
        <f>+Controls!BE20</f>
        <v>1200</v>
      </c>
      <c r="BF108" s="373">
        <f>+Controls!BF20</f>
        <v>1200</v>
      </c>
      <c r="BG108" s="373">
        <f>+Controls!BG20</f>
        <v>1200</v>
      </c>
      <c r="BH108" s="373">
        <f>+Controls!BH20</f>
        <v>1200</v>
      </c>
      <c r="BI108" s="373">
        <f>+Controls!BI20</f>
        <v>1200</v>
      </c>
    </row>
    <row r="109" spans="1:61" ht="18" customHeight="1" x14ac:dyDescent="0.2">
      <c r="A109" s="372" t="s">
        <v>193</v>
      </c>
      <c r="B109" s="375">
        <f>+(B106/(1000*B$36))^(1/($B$38-1))</f>
        <v>3.5286078042538017E-4</v>
      </c>
      <c r="C109" s="375">
        <f t="shared" ref="C109:BI109" si="47">+(C106/(1000*C$36))^(1/($B$38-1))</f>
        <v>3.6200338233375267E-4</v>
      </c>
      <c r="D109" s="375">
        <f t="shared" si="47"/>
        <v>3.7133197741868313E-4</v>
      </c>
      <c r="E109" s="375">
        <f t="shared" si="47"/>
        <v>3.80846622971651E-4</v>
      </c>
      <c r="F109" s="375">
        <f t="shared" si="47"/>
        <v>3.9054707513287224E-4</v>
      </c>
      <c r="G109" s="375">
        <f t="shared" si="47"/>
        <v>4.0043276998599114E-4</v>
      </c>
      <c r="H109" s="375">
        <f t="shared" si="47"/>
        <v>4.105028046346839E-4</v>
      </c>
      <c r="I109" s="375">
        <f t="shared" si="47"/>
        <v>4.2075591839273624E-4</v>
      </c>
      <c r="J109" s="375">
        <f t="shared" si="47"/>
        <v>4.3119047423325572E-4</v>
      </c>
      <c r="K109" s="375">
        <f t="shared" si="47"/>
        <v>4.4180444065576607E-4</v>
      </c>
      <c r="L109" s="375">
        <f t="shared" si="47"/>
        <v>4.5259537414686895E-4</v>
      </c>
      <c r="M109" s="375">
        <f t="shared" si="47"/>
        <v>4.6356040242002299E-4</v>
      </c>
      <c r="N109" s="375">
        <f t="shared" si="47"/>
        <v>4.7469620862401827E-4</v>
      </c>
      <c r="O109" s="375">
        <f t="shared" si="47"/>
        <v>4.8599901675002642E-4</v>
      </c>
      <c r="P109" s="375">
        <f t="shared" si="47"/>
        <v>4.9746457844608777E-4</v>
      </c>
      <c r="Q109" s="375">
        <f t="shared" si="47"/>
        <v>5.0908816147298308E-4</v>
      </c>
      <c r="R109" s="375">
        <f t="shared" si="47"/>
        <v>5.2086454000136654E-4</v>
      </c>
      <c r="S109" s="375">
        <f t="shared" si="47"/>
        <v>5.3278798706997215E-4</v>
      </c>
      <c r="T109" s="375">
        <f t="shared" si="47"/>
        <v>5.4485226934643282E-4</v>
      </c>
      <c r="U109" s="375">
        <f t="shared" si="47"/>
        <v>5.5705064428832832E-4</v>
      </c>
      <c r="V109" s="375">
        <f t="shared" si="47"/>
        <v>5.6937586000556243E-4</v>
      </c>
      <c r="W109" s="375">
        <f t="shared" si="47"/>
        <v>5.8182015957937948E-4</v>
      </c>
      <c r="X109" s="375">
        <f t="shared" si="47"/>
        <v>5.9437528614017759E-4</v>
      </c>
      <c r="Y109" s="375">
        <f t="shared" si="47"/>
        <v>6.0703249292275087E-4</v>
      </c>
      <c r="Z109" s="375">
        <f t="shared" si="47"/>
        <v>6.1978255662890349E-4</v>
      </c>
      <c r="AA109" s="375">
        <f t="shared" si="47"/>
        <v>6.3261579431560363E-4</v>
      </c>
      <c r="AB109" s="375">
        <f t="shared" si="47"/>
        <v>1</v>
      </c>
      <c r="AC109" s="375">
        <f t="shared" si="47"/>
        <v>1</v>
      </c>
      <c r="AD109" s="375">
        <f t="shared" si="47"/>
        <v>1</v>
      </c>
      <c r="AE109" s="375">
        <f t="shared" si="47"/>
        <v>1</v>
      </c>
      <c r="AF109" s="375">
        <f t="shared" si="47"/>
        <v>1</v>
      </c>
      <c r="AG109" s="375">
        <f t="shared" si="47"/>
        <v>1</v>
      </c>
      <c r="AH109" s="375">
        <f t="shared" si="47"/>
        <v>1</v>
      </c>
      <c r="AI109" s="375">
        <f t="shared" si="47"/>
        <v>1</v>
      </c>
      <c r="AJ109" s="375">
        <f t="shared" si="47"/>
        <v>1</v>
      </c>
      <c r="AK109" s="375">
        <f t="shared" si="47"/>
        <v>1</v>
      </c>
      <c r="AL109" s="375">
        <f t="shared" si="47"/>
        <v>1</v>
      </c>
      <c r="AM109" s="375">
        <f t="shared" si="47"/>
        <v>1</v>
      </c>
      <c r="AN109" s="375">
        <f t="shared" si="47"/>
        <v>1</v>
      </c>
      <c r="AO109" s="375">
        <f t="shared" si="47"/>
        <v>1</v>
      </c>
      <c r="AP109" s="375">
        <f t="shared" si="47"/>
        <v>1</v>
      </c>
      <c r="AQ109" s="375">
        <f t="shared" si="47"/>
        <v>1</v>
      </c>
      <c r="AR109" s="375">
        <f t="shared" si="47"/>
        <v>1</v>
      </c>
      <c r="AS109" s="375">
        <f t="shared" si="47"/>
        <v>1</v>
      </c>
      <c r="AT109" s="375">
        <f t="shared" si="47"/>
        <v>1</v>
      </c>
      <c r="AU109" s="375">
        <f t="shared" si="47"/>
        <v>1</v>
      </c>
      <c r="AV109" s="375">
        <f t="shared" si="47"/>
        <v>1</v>
      </c>
      <c r="AW109" s="375">
        <f t="shared" si="47"/>
        <v>1</v>
      </c>
      <c r="AX109" s="375">
        <f t="shared" si="47"/>
        <v>1</v>
      </c>
      <c r="AY109" s="375">
        <f t="shared" si="47"/>
        <v>1</v>
      </c>
      <c r="AZ109" s="375">
        <f t="shared" si="47"/>
        <v>1</v>
      </c>
      <c r="BA109" s="375">
        <f t="shared" si="47"/>
        <v>1</v>
      </c>
      <c r="BB109" s="375">
        <f t="shared" si="47"/>
        <v>1</v>
      </c>
      <c r="BC109" s="375">
        <f t="shared" si="47"/>
        <v>1</v>
      </c>
      <c r="BD109" s="375">
        <f t="shared" si="47"/>
        <v>1</v>
      </c>
      <c r="BE109" s="375">
        <f t="shared" si="47"/>
        <v>1</v>
      </c>
      <c r="BF109" s="375">
        <f t="shared" si="47"/>
        <v>1</v>
      </c>
      <c r="BG109" s="375">
        <f t="shared" si="47"/>
        <v>1</v>
      </c>
      <c r="BH109" s="375">
        <f t="shared" si="47"/>
        <v>1</v>
      </c>
      <c r="BI109" s="375">
        <f t="shared" si="47"/>
        <v>1</v>
      </c>
    </row>
    <row r="110" spans="1:61" s="40" customFormat="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0.39636108079041299</v>
      </c>
      <c r="C112" s="455">
        <f>+C40*C61</f>
        <v>0.33899153374093355</v>
      </c>
      <c r="D112" s="455">
        <f t="shared" ref="D112:BI112" si="48">+D40*D61</f>
        <v>0.30401508976940378</v>
      </c>
      <c r="E112" s="455">
        <f t="shared" si="48"/>
        <v>0.28046064591355896</v>
      </c>
      <c r="F112" s="455">
        <f t="shared" si="48"/>
        <v>0.26289335594945101</v>
      </c>
      <c r="G112" s="455">
        <f t="shared" si="48"/>
        <v>0.23764345234228321</v>
      </c>
      <c r="H112" s="455">
        <f t="shared" si="48"/>
        <v>0.2239725678173172</v>
      </c>
      <c r="I112" s="455">
        <f t="shared" si="48"/>
        <v>0.21564668226729239</v>
      </c>
      <c r="J112" s="455">
        <f t="shared" si="48"/>
        <v>0.20419738714824759</v>
      </c>
      <c r="K112" s="455">
        <f t="shared" si="48"/>
        <v>0.18971484501489921</v>
      </c>
      <c r="L112" s="455">
        <f t="shared" si="48"/>
        <v>0.18270498575086108</v>
      </c>
      <c r="M112" s="455">
        <f t="shared" si="48"/>
        <v>0.17106990668834451</v>
      </c>
      <c r="N112" s="455">
        <f t="shared" si="48"/>
        <v>0.16122192988407827</v>
      </c>
      <c r="O112" s="455">
        <f t="shared" si="48"/>
        <v>0.15559646014748402</v>
      </c>
      <c r="P112" s="455">
        <f t="shared" si="48"/>
        <v>0.15476250364269742</v>
      </c>
      <c r="Q112" s="455">
        <f t="shared" si="48"/>
        <v>0.15253547712484403</v>
      </c>
      <c r="R112" s="455">
        <f t="shared" si="48"/>
        <v>0.15262543888272295</v>
      </c>
      <c r="S112" s="455">
        <f t="shared" si="48"/>
        <v>0.15308256817412197</v>
      </c>
      <c r="T112" s="455">
        <f t="shared" si="48"/>
        <v>0.15163812546147268</v>
      </c>
      <c r="U112" s="455">
        <f t="shared" si="48"/>
        <v>0.14167118273895488</v>
      </c>
      <c r="V112" s="455">
        <f t="shared" si="48"/>
        <v>0.14472449254387013</v>
      </c>
      <c r="W112" s="455">
        <f t="shared" si="48"/>
        <v>0.14539296751238523</v>
      </c>
      <c r="X112" s="455">
        <f t="shared" si="48"/>
        <v>0.14370766001817395</v>
      </c>
      <c r="Y112" s="455">
        <f t="shared" si="48"/>
        <v>0.14236243086694589</v>
      </c>
      <c r="Z112" s="455">
        <f t="shared" si="48"/>
        <v>0.13944353641320226</v>
      </c>
      <c r="AA112" s="455">
        <f t="shared" si="48"/>
        <v>0.13546201956431519</v>
      </c>
      <c r="AB112" s="455">
        <f t="shared" si="48"/>
        <v>0.13078873867578827</v>
      </c>
      <c r="AC112" s="455">
        <f t="shared" si="48"/>
        <v>0.12902209632023198</v>
      </c>
      <c r="AD112" s="455">
        <f t="shared" si="48"/>
        <v>0.12713050601066875</v>
      </c>
      <c r="AE112" s="455">
        <f t="shared" si="48"/>
        <v>0.12411071868801163</v>
      </c>
      <c r="AF112" s="455">
        <f t="shared" si="48"/>
        <v>0.11227686044104132</v>
      </c>
      <c r="AG112" s="455">
        <f t="shared" si="48"/>
        <v>0.11694257434022035</v>
      </c>
      <c r="AH112" s="455">
        <f t="shared" si="48"/>
        <v>0.11804638170985836</v>
      </c>
      <c r="AI112" s="455">
        <f t="shared" si="48"/>
        <v>1.1001504562758686</v>
      </c>
      <c r="AJ112" s="455">
        <f t="shared" si="48"/>
        <v>1.9477576776742371</v>
      </c>
      <c r="AK112" s="455">
        <f t="shared" si="48"/>
        <v>2.4268696701002037</v>
      </c>
      <c r="AL112" s="455">
        <f t="shared" si="48"/>
        <v>2.6929536548550672</v>
      </c>
      <c r="AM112" s="455">
        <f t="shared" si="48"/>
        <v>2.8493865714373254</v>
      </c>
      <c r="AN112" s="455">
        <f t="shared" si="48"/>
        <v>2.9484278588695001</v>
      </c>
      <c r="AO112" s="455">
        <f t="shared" si="48"/>
        <v>3.0168549430309919</v>
      </c>
      <c r="AP112" s="455">
        <f t="shared" si="48"/>
        <v>3.0687127731273733</v>
      </c>
      <c r="AQ112" s="455">
        <f t="shared" si="48"/>
        <v>3.1114860270515705</v>
      </c>
      <c r="AR112" s="455">
        <f t="shared" si="48"/>
        <v>3.1492060657155965</v>
      </c>
      <c r="AS112" s="455">
        <f t="shared" si="48"/>
        <v>3.1840630739263944</v>
      </c>
      <c r="AT112" s="455">
        <f t="shared" si="48"/>
        <v>3.217258141229324</v>
      </c>
      <c r="AU112" s="455">
        <f t="shared" si="48"/>
        <v>3.2494583723687716</v>
      </c>
      <c r="AV112" s="455">
        <f t="shared" si="48"/>
        <v>3.2810414065864109</v>
      </c>
      <c r="AW112" s="455">
        <f t="shared" si="48"/>
        <v>3.3122272430650606</v>
      </c>
      <c r="AX112" s="455">
        <f t="shared" si="48"/>
        <v>3.3431494717490908</v>
      </c>
      <c r="AY112" s="455">
        <f t="shared" si="48"/>
        <v>3.3738938370132106</v>
      </c>
      <c r="AZ112" s="455">
        <f t="shared" si="48"/>
        <v>3.4045191634319698</v>
      </c>
      <c r="BA112" s="455">
        <f t="shared" si="48"/>
        <v>3.4350687488326228</v>
      </c>
      <c r="BB112" s="455">
        <f t="shared" si="48"/>
        <v>3.4655766007226991</v>
      </c>
      <c r="BC112" s="455">
        <f t="shared" si="48"/>
        <v>3.4960708803219074</v>
      </c>
      <c r="BD112" s="455">
        <f t="shared" si="48"/>
        <v>3.526575832022989</v>
      </c>
      <c r="BE112" s="455">
        <f t="shared" si="48"/>
        <v>3.5571128891657731</v>
      </c>
      <c r="BF112" s="455">
        <f t="shared" si="48"/>
        <v>3.587901194797384</v>
      </c>
      <c r="BG112" s="455">
        <f t="shared" si="48"/>
        <v>3.6187581505832775</v>
      </c>
      <c r="BH112" s="455">
        <f t="shared" si="48"/>
        <v>3.649647029973317</v>
      </c>
      <c r="BI112" s="455">
        <f t="shared" si="48"/>
        <v>3.6805812833841633</v>
      </c>
    </row>
    <row r="113" spans="1:61" s="40" customFormat="1" ht="18" customHeight="1" x14ac:dyDescent="0.2">
      <c r="A113" s="382" t="s">
        <v>949</v>
      </c>
      <c r="B113" s="383">
        <f>+Controls!B79</f>
        <v>0.41227239850714797</v>
      </c>
      <c r="C113" s="383">
        <f>+Controls!C79</f>
        <v>0.53297093331331402</v>
      </c>
      <c r="D113" s="383">
        <f>+Controls!D79</f>
        <v>0.67605785971701871</v>
      </c>
      <c r="E113" s="383">
        <f>+Controls!E79</f>
        <v>0.53219249351146902</v>
      </c>
      <c r="F113" s="383">
        <f>+Controls!F79</f>
        <v>0.3826106878161033</v>
      </c>
      <c r="G113" s="383">
        <f>+Controls!G79</f>
        <v>0.26940566508182101</v>
      </c>
      <c r="H113" s="383">
        <f>+Controls!H79</f>
        <v>0.21885786547482852</v>
      </c>
      <c r="I113" s="383">
        <f>+Controls!I79</f>
        <v>0.18142271855389636</v>
      </c>
      <c r="J113" s="383">
        <f>+Controls!J79</f>
        <v>0.15373608675921629</v>
      </c>
      <c r="K113" s="383">
        <f>+Controls!K79</f>
        <v>0.13323925152141808</v>
      </c>
      <c r="L113" s="383">
        <f>+Controls!L79</f>
        <v>0.11867006323685927</v>
      </c>
      <c r="M113" s="383">
        <f>+Controls!M79</f>
        <v>0.1070997320712655</v>
      </c>
      <c r="N113" s="383">
        <f>+Controls!N79</f>
        <v>9.6657508194317107E-2</v>
      </c>
      <c r="O113" s="383">
        <f>+Controls!O79</f>
        <v>8.7233401145371176E-2</v>
      </c>
      <c r="P113" s="383">
        <f>+Controls!P79</f>
        <v>7.8728144533697475E-2</v>
      </c>
      <c r="Q113" s="383">
        <f>+Controls!Q79</f>
        <v>7.1052150441661965E-2</v>
      </c>
      <c r="R113" s="383">
        <f>+Controls!R79</f>
        <v>6.4124565773599915E-2</v>
      </c>
      <c r="S113" s="383">
        <f>+Controls!S79</f>
        <v>5.7872420610673915E-2</v>
      </c>
      <c r="T113" s="383">
        <f>+Controls!T79</f>
        <v>5.2229859601133202E-2</v>
      </c>
      <c r="U113" s="383">
        <f>+Controls!U79</f>
        <v>4.7137448290022713E-2</v>
      </c>
      <c r="V113" s="383">
        <f>+Controls!V79</f>
        <v>4.2541547081745491E-2</v>
      </c>
      <c r="W113" s="383">
        <f>+Controls!W79</f>
        <v>4.0414469727658213E-2</v>
      </c>
      <c r="X113" s="383">
        <f>+Controls!X79</f>
        <v>3.8393746241275298E-2</v>
      </c>
      <c r="Y113" s="383">
        <f>+Controls!Y79</f>
        <v>3.6474058929211531E-2</v>
      </c>
      <c r="Z113" s="383">
        <f>+Controls!Z79</f>
        <v>3.4650355982750951E-2</v>
      </c>
      <c r="AA113" s="383">
        <f>+Controls!AA79</f>
        <v>3.29178381836134E-2</v>
      </c>
      <c r="AB113" s="383">
        <f>+Controls!AB79</f>
        <v>3.1271946274432728E-2</v>
      </c>
      <c r="AC113" s="383">
        <f>+Controls!AC79</f>
        <v>2.970834896071109E-2</v>
      </c>
      <c r="AD113" s="383">
        <f>+Controls!AD79</f>
        <v>2.8222931512675534E-2</v>
      </c>
      <c r="AE113" s="383">
        <f>+Controls!AE79</f>
        <v>2.6811784937041755E-2</v>
      </c>
      <c r="AF113" s="383">
        <f>+Controls!AF79</f>
        <v>2.5471195690189664E-2</v>
      </c>
      <c r="AG113" s="383">
        <f>+Controls!AG79</f>
        <v>2.4197635905680179E-2</v>
      </c>
      <c r="AH113" s="383">
        <f>+Controls!AH79</f>
        <v>2.2987754110396167E-2</v>
      </c>
      <c r="AI113" s="383">
        <f>+Controls!AI79</f>
        <v>2.1838366404876356E-2</v>
      </c>
      <c r="AJ113" s="383">
        <f>+Controls!AJ79</f>
        <v>2.0746448084632538E-2</v>
      </c>
      <c r="AK113" s="383">
        <f>+Controls!AK79</f>
        <v>1.970912568040091E-2</v>
      </c>
      <c r="AL113" s="383">
        <f>+Controls!AL79</f>
        <v>1.8723669396380864E-2</v>
      </c>
      <c r="AM113" s="383">
        <f>+Controls!AM79</f>
        <v>1.7787485926561819E-2</v>
      </c>
      <c r="AN113" s="383">
        <f>+Controls!AN79</f>
        <v>1.6898111630233727E-2</v>
      </c>
      <c r="AO113" s="383">
        <f>+Controls!AO79</f>
        <v>1.6053206048722041E-2</v>
      </c>
      <c r="AP113" s="383">
        <f>+Controls!AP79</f>
        <v>1.5250545746285938E-2</v>
      </c>
      <c r="AQ113" s="383">
        <f>+Controls!AQ79</f>
        <v>1.448801845897164E-2</v>
      </c>
      <c r="AR113" s="383">
        <f>+Controls!AR79</f>
        <v>1.3763617536023058E-2</v>
      </c>
      <c r="AS113" s="383">
        <f>+Controls!AS79</f>
        <v>1.3075436659221904E-2</v>
      </c>
      <c r="AT113" s="383">
        <f>+Controls!AT79</f>
        <v>1.2421664826260809E-2</v>
      </c>
      <c r="AU113" s="383">
        <f>+Controls!AU79</f>
        <v>1.1800581584947768E-2</v>
      </c>
      <c r="AV113" s="383">
        <f>+Controls!AV79</f>
        <v>1.121055250570038E-2</v>
      </c>
      <c r="AW113" s="383">
        <f>+Controls!AW79</f>
        <v>1.065002488041536E-2</v>
      </c>
      <c r="AX113" s="383">
        <f>+Controls!AX79</f>
        <v>1.0117523636394591E-2</v>
      </c>
      <c r="AY113" s="383">
        <f>+Controls!AY79</f>
        <v>9.6116474545748613E-3</v>
      </c>
      <c r="AZ113" s="383">
        <f>+Controls!AZ79</f>
        <v>9.1310650818461174E-3</v>
      </c>
      <c r="BA113" s="383">
        <f>+Controls!BA79</f>
        <v>8.674511827753811E-3</v>
      </c>
      <c r="BB113" s="383">
        <f>+Controls!BB79</f>
        <v>8.2407862363661193E-3</v>
      </c>
      <c r="BC113" s="383">
        <f>+Controls!BC79</f>
        <v>7.8287469245478126E-3</v>
      </c>
      <c r="BD113" s="383">
        <f>+Controls!BD79</f>
        <v>7.4373095783204215E-3</v>
      </c>
      <c r="BE113" s="383">
        <f>+Controls!BE79</f>
        <v>7.0654440994044002E-3</v>
      </c>
      <c r="BF113" s="383">
        <f>+Controls!BF79</f>
        <v>6.7121718944341798E-3</v>
      </c>
      <c r="BG113" s="383">
        <f>+Controls!BG79</f>
        <v>6.3765632997124701E-3</v>
      </c>
      <c r="BH113" s="383">
        <f>+Controls!BH79</f>
        <v>6.0577351347268467E-3</v>
      </c>
      <c r="BI113" s="383">
        <f>+Controls!BI79</f>
        <v>5.7548483779905043E-3</v>
      </c>
    </row>
    <row r="114" spans="1:61" ht="18" customHeight="1" x14ac:dyDescent="0.2">
      <c r="A114" s="382" t="s">
        <v>951</v>
      </c>
      <c r="B114" s="383">
        <f>IF(1-(B113/B112)&lt;0,0,1-(B113/B112))</f>
        <v>0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9">IF(1-(F113/F112)&lt;0,0,1-(F113/F112))</f>
        <v>0</v>
      </c>
      <c r="G114" s="383">
        <f t="shared" si="49"/>
        <v>0</v>
      </c>
      <c r="H114" s="383">
        <f t="shared" si="49"/>
        <v>2.2836289248871156E-2</v>
      </c>
      <c r="I114" s="383">
        <f t="shared" si="49"/>
        <v>0.15870387317610435</v>
      </c>
      <c r="J114" s="383">
        <f t="shared" si="49"/>
        <v>0.24712020606020935</v>
      </c>
      <c r="K114" s="383">
        <f t="shared" si="49"/>
        <v>0.29768673868956241</v>
      </c>
      <c r="L114" s="383">
        <f t="shared" si="49"/>
        <v>0.35048262230413718</v>
      </c>
      <c r="M114" s="383">
        <f t="shared" si="49"/>
        <v>0.37394171690068201</v>
      </c>
      <c r="N114" s="383">
        <f t="shared" si="49"/>
        <v>0.40046922733268508</v>
      </c>
      <c r="O114" s="383">
        <f t="shared" si="49"/>
        <v>0.43936127426879812</v>
      </c>
      <c r="P114" s="383">
        <f t="shared" si="49"/>
        <v>0.49129703461338181</v>
      </c>
      <c r="Q114" s="383">
        <f t="shared" si="49"/>
        <v>0.53419262337568396</v>
      </c>
      <c r="R114" s="383">
        <f t="shared" si="49"/>
        <v>0.579856633055299</v>
      </c>
      <c r="S114" s="383">
        <f t="shared" si="49"/>
        <v>0.62195290227397015</v>
      </c>
      <c r="T114" s="383">
        <f t="shared" si="49"/>
        <v>0.65556248178230447</v>
      </c>
      <c r="U114" s="383">
        <f t="shared" si="49"/>
        <v>0.66727567753225592</v>
      </c>
      <c r="V114" s="383">
        <f t="shared" si="49"/>
        <v>0.7060515028660409</v>
      </c>
      <c r="W114" s="383">
        <f t="shared" si="49"/>
        <v>0.72203284368471587</v>
      </c>
      <c r="X114" s="383">
        <f t="shared" si="49"/>
        <v>0.73283437892997605</v>
      </c>
      <c r="Y114" s="383">
        <f t="shared" si="49"/>
        <v>0.74379435145146722</v>
      </c>
      <c r="Z114" s="383">
        <f t="shared" si="49"/>
        <v>0.75150977324560797</v>
      </c>
      <c r="AA114" s="383">
        <f t="shared" si="49"/>
        <v>0.75699581115439862</v>
      </c>
      <c r="AB114" s="383">
        <f t="shared" si="49"/>
        <v>0.7608972562083296</v>
      </c>
      <c r="AC114" s="383">
        <f t="shared" si="49"/>
        <v>0.76974216193964817</v>
      </c>
      <c r="AD114" s="383">
        <f t="shared" si="49"/>
        <v>0.77800032110068784</v>
      </c>
      <c r="AE114" s="383">
        <f t="shared" si="49"/>
        <v>0.78396882057833395</v>
      </c>
      <c r="AF114" s="383">
        <f t="shared" si="49"/>
        <v>0.77313940209821719</v>
      </c>
      <c r="AG114" s="383">
        <f t="shared" si="49"/>
        <v>0.79308103962820131</v>
      </c>
      <c r="AH114" s="383">
        <f t="shared" si="49"/>
        <v>0.80526506803997699</v>
      </c>
      <c r="AI114" s="383">
        <f t="shared" si="49"/>
        <v>0.98014965473104321</v>
      </c>
      <c r="AJ114" s="383">
        <f t="shared" si="49"/>
        <v>0.9893485476543441</v>
      </c>
      <c r="AK114" s="383">
        <f t="shared" si="49"/>
        <v>0.99187878693148479</v>
      </c>
      <c r="AL114" s="383">
        <f t="shared" si="49"/>
        <v>0.99304716241119695</v>
      </c>
      <c r="AM114" s="383">
        <f t="shared" si="49"/>
        <v>0.99375743322971122</v>
      </c>
      <c r="AN114" s="383">
        <f t="shared" si="49"/>
        <v>0.99426877222740906</v>
      </c>
      <c r="AO114" s="383">
        <f t="shared" si="49"/>
        <v>0.9946788273377859</v>
      </c>
      <c r="AP114" s="383">
        <f t="shared" si="49"/>
        <v>0.9950303117711653</v>
      </c>
      <c r="AQ114" s="383">
        <f t="shared" si="49"/>
        <v>0.99534369804877432</v>
      </c>
      <c r="AR114" s="383">
        <f t="shared" si="49"/>
        <v>0.99562949605430295</v>
      </c>
      <c r="AS114" s="383">
        <f t="shared" si="49"/>
        <v>0.99589347435787501</v>
      </c>
      <c r="AT114" s="383">
        <f t="shared" si="49"/>
        <v>0.99613905248476131</v>
      </c>
      <c r="AU114" s="383">
        <f t="shared" si="49"/>
        <v>0.99636844660473511</v>
      </c>
      <c r="AV114" s="383">
        <f t="shared" si="49"/>
        <v>0.99658323345654942</v>
      </c>
      <c r="AW114" s="383">
        <f t="shared" si="49"/>
        <v>0.99678463339050372</v>
      </c>
      <c r="AX114" s="383">
        <f t="shared" si="49"/>
        <v>0.9969736550154602</v>
      </c>
      <c r="AY114" s="383">
        <f t="shared" si="49"/>
        <v>0.99715117074843007</v>
      </c>
      <c r="AZ114" s="383">
        <f t="shared" si="49"/>
        <v>0.99731795750192187</v>
      </c>
      <c r="BA114" s="383">
        <f t="shared" si="49"/>
        <v>0.99747471958728573</v>
      </c>
      <c r="BB114" s="383">
        <f t="shared" si="49"/>
        <v>0.99762210241301619</v>
      </c>
      <c r="BC114" s="383">
        <f t="shared" si="49"/>
        <v>0.99776070131512118</v>
      </c>
      <c r="BD114" s="383">
        <f t="shared" si="49"/>
        <v>0.99789106772898906</v>
      </c>
      <c r="BE114" s="383">
        <f t="shared" si="49"/>
        <v>0.99801371384053505</v>
      </c>
      <c r="BF114" s="383">
        <f t="shared" si="49"/>
        <v>0.99812922053032926</v>
      </c>
      <c r="BG114" s="383">
        <f t="shared" si="49"/>
        <v>0.99823791393777317</v>
      </c>
      <c r="BH114" s="383">
        <f t="shared" si="49"/>
        <v>0.99834018602758656</v>
      </c>
      <c r="BI114" s="383">
        <f t="shared" si="49"/>
        <v>0.99843642948357902</v>
      </c>
    </row>
    <row r="115" spans="1:61" s="40" customFormat="1" ht="18" customHeight="1" x14ac:dyDescent="0.2">
      <c r="A115" s="382" t="s">
        <v>952</v>
      </c>
      <c r="B115" s="384">
        <f t="shared" ref="B115:BI115" si="50">+B$36*1000*B114^($B$38-1)</f>
        <v>0</v>
      </c>
      <c r="C115" s="384">
        <f t="shared" si="50"/>
        <v>0</v>
      </c>
      <c r="D115" s="384">
        <f t="shared" si="50"/>
        <v>0</v>
      </c>
      <c r="E115" s="384">
        <f t="shared" si="50"/>
        <v>0</v>
      </c>
      <c r="F115" s="384">
        <f t="shared" si="50"/>
        <v>0</v>
      </c>
      <c r="G115" s="384">
        <f t="shared" si="50"/>
        <v>0</v>
      </c>
      <c r="H115" s="384">
        <f t="shared" si="50"/>
        <v>1.3853417790522611</v>
      </c>
      <c r="I115" s="384">
        <f t="shared" si="50"/>
        <v>43.431329724488734</v>
      </c>
      <c r="J115" s="384">
        <f t="shared" si="50"/>
        <v>92.22111719881201</v>
      </c>
      <c r="K115" s="384">
        <f t="shared" si="50"/>
        <v>123.41073552782807</v>
      </c>
      <c r="L115" s="384">
        <f t="shared" si="50"/>
        <v>158.53365847300933</v>
      </c>
      <c r="M115" s="384">
        <f t="shared" si="50"/>
        <v>170.63010426314347</v>
      </c>
      <c r="N115" s="384">
        <f t="shared" si="50"/>
        <v>184.95926763869397</v>
      </c>
      <c r="O115" s="384">
        <f t="shared" si="50"/>
        <v>209.47658909919613</v>
      </c>
      <c r="P115" s="384">
        <f t="shared" si="50"/>
        <v>245.610860731564</v>
      </c>
      <c r="Q115" s="384">
        <f t="shared" si="50"/>
        <v>273.92319220958365</v>
      </c>
      <c r="R115" s="384">
        <f t="shared" si="50"/>
        <v>304.70004246743906</v>
      </c>
      <c r="S115" s="384">
        <f t="shared" si="50"/>
        <v>331.86812845892581</v>
      </c>
      <c r="T115" s="384">
        <f t="shared" si="50"/>
        <v>350.43187827904887</v>
      </c>
      <c r="U115" s="384">
        <f t="shared" si="50"/>
        <v>347.64751853504413</v>
      </c>
      <c r="V115" s="384">
        <f t="shared" si="50"/>
        <v>369.98765942789322</v>
      </c>
      <c r="W115" s="384">
        <f t="shared" si="50"/>
        <v>370.49538288293371</v>
      </c>
      <c r="X115" s="384">
        <f t="shared" si="50"/>
        <v>366.18559331189221</v>
      </c>
      <c r="Y115" s="384">
        <f t="shared" si="50"/>
        <v>362.10441070131361</v>
      </c>
      <c r="Z115" s="384">
        <f t="shared" si="50"/>
        <v>355.34621193328235</v>
      </c>
      <c r="AA115" s="384">
        <f t="shared" si="50"/>
        <v>346.9895952134371</v>
      </c>
      <c r="AB115" s="384">
        <f t="shared" si="50"/>
        <v>337.71254154375373</v>
      </c>
      <c r="AC115" s="384">
        <f t="shared" si="50"/>
        <v>332.68435689678302</v>
      </c>
      <c r="AD115" s="384">
        <f t="shared" si="50"/>
        <v>327.39215384606672</v>
      </c>
      <c r="AE115" s="384">
        <f t="shared" si="50"/>
        <v>320.61530309805954</v>
      </c>
      <c r="AF115" s="384">
        <f t="shared" si="50"/>
        <v>302.20713766077751</v>
      </c>
      <c r="AG115" s="384">
        <f t="shared" si="50"/>
        <v>305.95905489644969</v>
      </c>
      <c r="AH115" s="384">
        <f t="shared" si="50"/>
        <v>304.29408590482234</v>
      </c>
      <c r="AI115" s="384">
        <f t="shared" si="50"/>
        <v>419.6685274392608</v>
      </c>
      <c r="AJ115" s="384">
        <f t="shared" si="50"/>
        <v>413.47914061126528</v>
      </c>
      <c r="AK115" s="384">
        <f t="shared" si="50"/>
        <v>402.6859639434013</v>
      </c>
      <c r="AL115" s="384">
        <f t="shared" si="50"/>
        <v>391.45095683493889</v>
      </c>
      <c r="AM115" s="384">
        <f t="shared" si="50"/>
        <v>380.4555186368645</v>
      </c>
      <c r="AN115" s="384">
        <f t="shared" si="50"/>
        <v>369.87327172757171</v>
      </c>
      <c r="AO115" s="384">
        <f t="shared" si="50"/>
        <v>359.75222145699291</v>
      </c>
      <c r="AP115" s="384">
        <f t="shared" si="50"/>
        <v>350.09890526976397</v>
      </c>
      <c r="AQ115" s="384">
        <f t="shared" si="50"/>
        <v>340.90402017828126</v>
      </c>
      <c r="AR115" s="384">
        <f t="shared" si="50"/>
        <v>332.1519052534598</v>
      </c>
      <c r="AS115" s="384">
        <f t="shared" si="50"/>
        <v>323.82447952688949</v>
      </c>
      <c r="AT115" s="384">
        <f t="shared" si="50"/>
        <v>315.90298598820834</v>
      </c>
      <c r="AU115" s="384">
        <f t="shared" si="50"/>
        <v>308.3687872184002</v>
      </c>
      <c r="AV115" s="384">
        <f t="shared" si="50"/>
        <v>301.20372873930683</v>
      </c>
      <c r="AW115" s="384">
        <f t="shared" si="50"/>
        <v>294.39029912800339</v>
      </c>
      <c r="AX115" s="384">
        <f t="shared" si="50"/>
        <v>287.91169288480262</v>
      </c>
      <c r="AY115" s="384">
        <f t="shared" si="50"/>
        <v>281.7518263457099</v>
      </c>
      <c r="AZ115" s="384">
        <f t="shared" si="50"/>
        <v>275.89533088046335</v>
      </c>
      <c r="BA115" s="384">
        <f t="shared" si="50"/>
        <v>270.32753519161031</v>
      </c>
      <c r="BB115" s="384">
        <f t="shared" si="50"/>
        <v>265.03444252915841</v>
      </c>
      <c r="BC115" s="384">
        <f t="shared" si="50"/>
        <v>260.00270571154812</v>
      </c>
      <c r="BD115" s="384">
        <f t="shared" si="50"/>
        <v>255.21960140796406</v>
      </c>
      <c r="BE115" s="384">
        <f t="shared" si="50"/>
        <v>127.63803315179557</v>
      </c>
      <c r="BF115" s="384">
        <f t="shared" si="50"/>
        <v>63.832312341390619</v>
      </c>
      <c r="BG115" s="384">
        <f t="shared" si="50"/>
        <v>31.922412483250611</v>
      </c>
      <c r="BH115" s="384">
        <f t="shared" si="50"/>
        <v>15.964149843571732</v>
      </c>
      <c r="BI115" s="384">
        <f t="shared" si="50"/>
        <v>7.9834600746619593</v>
      </c>
    </row>
    <row r="116" spans="1:61" s="379" customFormat="1" ht="18" customHeight="1" x14ac:dyDescent="0.2">
      <c r="A116" s="382" t="s">
        <v>969</v>
      </c>
      <c r="B116" s="383">
        <f t="shared" ref="B116:AG116" si="51">+B112*(1-B103)</f>
        <v>0.39622122051011505</v>
      </c>
      <c r="C116" s="383">
        <f t="shared" si="51"/>
        <v>0.33886881765913685</v>
      </c>
      <c r="D116" s="383">
        <f t="shared" si="51"/>
        <v>0.3039021992449546</v>
      </c>
      <c r="E116" s="383">
        <f t="shared" si="51"/>
        <v>0.2803538334236863</v>
      </c>
      <c r="F116" s="383">
        <f t="shared" si="51"/>
        <v>0.26279068371821307</v>
      </c>
      <c r="G116" s="383">
        <f t="shared" si="51"/>
        <v>0.23754829211639275</v>
      </c>
      <c r="H116" s="383">
        <f t="shared" si="51"/>
        <v>0.22388062645006696</v>
      </c>
      <c r="I116" s="383">
        <f t="shared" si="51"/>
        <v>0.21555594764944666</v>
      </c>
      <c r="J116" s="383">
        <f t="shared" si="51"/>
        <v>0.20410933918004595</v>
      </c>
      <c r="K116" s="383">
        <f t="shared" si="51"/>
        <v>0.18963102815391331</v>
      </c>
      <c r="L116" s="383">
        <f t="shared" si="51"/>
        <v>0.18262229431947666</v>
      </c>
      <c r="M116" s="383">
        <f t="shared" si="51"/>
        <v>0.1709906054535581</v>
      </c>
      <c r="N116" s="383">
        <f t="shared" si="51"/>
        <v>0.16114539844521525</v>
      </c>
      <c r="O116" s="383">
        <f t="shared" si="51"/>
        <v>0.15552084042084255</v>
      </c>
      <c r="P116" s="383">
        <f t="shared" si="51"/>
        <v>0.15468551477906353</v>
      </c>
      <c r="Q116" s="383">
        <f t="shared" si="51"/>
        <v>0.15245782311923514</v>
      </c>
      <c r="R116" s="383">
        <f t="shared" si="51"/>
        <v>0.15254594170370681</v>
      </c>
      <c r="S116" s="383">
        <f t="shared" si="51"/>
        <v>0.15300100762076896</v>
      </c>
      <c r="T116" s="383">
        <f t="shared" si="51"/>
        <v>0.15155550508469556</v>
      </c>
      <c r="U116" s="383">
        <f t="shared" si="51"/>
        <v>0.14159226471533304</v>
      </c>
      <c r="V116" s="383">
        <f t="shared" si="51"/>
        <v>0.14464208991146407</v>
      </c>
      <c r="W116" s="383">
        <f t="shared" si="51"/>
        <v>0.14530837495282545</v>
      </c>
      <c r="X116" s="383">
        <f t="shared" si="51"/>
        <v>0.14362224373663013</v>
      </c>
      <c r="Y116" s="383">
        <f t="shared" si="51"/>
        <v>0.14227601224563818</v>
      </c>
      <c r="Z116" s="383">
        <f t="shared" si="51"/>
        <v>0.13935711174169871</v>
      </c>
      <c r="AA116" s="383">
        <f t="shared" si="51"/>
        <v>0.13537632415120893</v>
      </c>
      <c r="AB116" s="383">
        <f t="shared" si="51"/>
        <v>0</v>
      </c>
      <c r="AC116" s="383">
        <f t="shared" si="51"/>
        <v>0</v>
      </c>
      <c r="AD116" s="383">
        <f t="shared" si="51"/>
        <v>0</v>
      </c>
      <c r="AE116" s="383">
        <f t="shared" si="51"/>
        <v>0</v>
      </c>
      <c r="AF116" s="383">
        <f t="shared" si="51"/>
        <v>0</v>
      </c>
      <c r="AG116" s="383">
        <f t="shared" si="51"/>
        <v>0</v>
      </c>
      <c r="AH116" s="383">
        <f t="shared" ref="AH116:BI116" si="52">+AH112*(1-AH103)</f>
        <v>0</v>
      </c>
      <c r="AI116" s="383">
        <f t="shared" si="52"/>
        <v>0</v>
      </c>
      <c r="AJ116" s="383">
        <f t="shared" si="52"/>
        <v>0</v>
      </c>
      <c r="AK116" s="383">
        <f t="shared" si="52"/>
        <v>0</v>
      </c>
      <c r="AL116" s="383">
        <f t="shared" si="52"/>
        <v>0</v>
      </c>
      <c r="AM116" s="383">
        <f t="shared" si="52"/>
        <v>0</v>
      </c>
      <c r="AN116" s="383">
        <f t="shared" si="52"/>
        <v>0</v>
      </c>
      <c r="AO116" s="383">
        <f t="shared" si="52"/>
        <v>0</v>
      </c>
      <c r="AP116" s="383">
        <f t="shared" si="52"/>
        <v>0</v>
      </c>
      <c r="AQ116" s="383">
        <f t="shared" si="52"/>
        <v>0</v>
      </c>
      <c r="AR116" s="383">
        <f t="shared" si="52"/>
        <v>0</v>
      </c>
      <c r="AS116" s="383">
        <f t="shared" si="52"/>
        <v>0</v>
      </c>
      <c r="AT116" s="383">
        <f t="shared" si="52"/>
        <v>0</v>
      </c>
      <c r="AU116" s="383">
        <f t="shared" si="52"/>
        <v>0</v>
      </c>
      <c r="AV116" s="383">
        <f t="shared" si="52"/>
        <v>0</v>
      </c>
      <c r="AW116" s="383">
        <f t="shared" si="52"/>
        <v>0</v>
      </c>
      <c r="AX116" s="383">
        <f t="shared" si="52"/>
        <v>0</v>
      </c>
      <c r="AY116" s="383">
        <f t="shared" si="52"/>
        <v>0</v>
      </c>
      <c r="AZ116" s="383">
        <f t="shared" si="52"/>
        <v>0</v>
      </c>
      <c r="BA116" s="383">
        <f t="shared" si="52"/>
        <v>0</v>
      </c>
      <c r="BB116" s="383">
        <f t="shared" si="52"/>
        <v>0</v>
      </c>
      <c r="BC116" s="383">
        <f t="shared" si="52"/>
        <v>0</v>
      </c>
      <c r="BD116" s="383">
        <f t="shared" si="52"/>
        <v>0</v>
      </c>
      <c r="BE116" s="383">
        <f t="shared" si="52"/>
        <v>0</v>
      </c>
      <c r="BF116" s="383">
        <f t="shared" si="52"/>
        <v>0</v>
      </c>
      <c r="BG116" s="383">
        <f t="shared" si="52"/>
        <v>0</v>
      </c>
      <c r="BH116" s="383">
        <f t="shared" si="52"/>
        <v>0</v>
      </c>
      <c r="BI116" s="383">
        <f t="shared" si="52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0.39636108079041299</v>
      </c>
      <c r="C119" s="405">
        <f t="shared" ref="C119:BI120" si="53">+C112</f>
        <v>0.33899153374093355</v>
      </c>
      <c r="D119" s="405">
        <f t="shared" si="53"/>
        <v>0.30401508976940378</v>
      </c>
      <c r="E119" s="405">
        <f t="shared" si="53"/>
        <v>0.28046064591355896</v>
      </c>
      <c r="F119" s="405">
        <f t="shared" si="53"/>
        <v>0.26289335594945101</v>
      </c>
      <c r="G119" s="405">
        <f t="shared" si="53"/>
        <v>0.23764345234228321</v>
      </c>
      <c r="H119" s="405">
        <f t="shared" si="53"/>
        <v>0.2239725678173172</v>
      </c>
      <c r="I119" s="405">
        <f t="shared" si="53"/>
        <v>0.21564668226729239</v>
      </c>
      <c r="J119" s="405">
        <f t="shared" si="53"/>
        <v>0.20419738714824759</v>
      </c>
      <c r="K119" s="405">
        <f t="shared" si="53"/>
        <v>0.18971484501489921</v>
      </c>
      <c r="L119" s="405">
        <f t="shared" si="53"/>
        <v>0.18270498575086108</v>
      </c>
      <c r="M119" s="405">
        <f t="shared" si="53"/>
        <v>0.17106990668834451</v>
      </c>
      <c r="N119" s="405">
        <f t="shared" si="53"/>
        <v>0.16122192988407827</v>
      </c>
      <c r="O119" s="405">
        <f t="shared" si="53"/>
        <v>0.15559646014748402</v>
      </c>
      <c r="P119" s="405">
        <f t="shared" si="53"/>
        <v>0.15476250364269742</v>
      </c>
      <c r="Q119" s="405">
        <f t="shared" si="53"/>
        <v>0.15253547712484403</v>
      </c>
      <c r="R119" s="405">
        <f t="shared" si="53"/>
        <v>0.15262543888272295</v>
      </c>
      <c r="S119" s="405">
        <f t="shared" si="53"/>
        <v>0.15308256817412197</v>
      </c>
      <c r="T119" s="405">
        <f t="shared" si="53"/>
        <v>0.15163812546147268</v>
      </c>
      <c r="U119" s="405">
        <f t="shared" si="53"/>
        <v>0.14167118273895488</v>
      </c>
      <c r="V119" s="405">
        <f t="shared" si="53"/>
        <v>0.14472449254387013</v>
      </c>
      <c r="W119" s="405">
        <f t="shared" si="53"/>
        <v>0.14539296751238523</v>
      </c>
      <c r="X119" s="405">
        <f t="shared" si="53"/>
        <v>0.14370766001817395</v>
      </c>
      <c r="Y119" s="405">
        <f t="shared" si="53"/>
        <v>0.14236243086694589</v>
      </c>
      <c r="Z119" s="405">
        <f t="shared" si="53"/>
        <v>0.13944353641320226</v>
      </c>
      <c r="AA119" s="405">
        <f t="shared" si="53"/>
        <v>0.13546201956431519</v>
      </c>
      <c r="AB119" s="405">
        <f t="shared" si="53"/>
        <v>0.13078873867578827</v>
      </c>
      <c r="AC119" s="405">
        <f t="shared" si="53"/>
        <v>0.12902209632023198</v>
      </c>
      <c r="AD119" s="405">
        <f t="shared" si="53"/>
        <v>0.12713050601066875</v>
      </c>
      <c r="AE119" s="405">
        <f t="shared" si="53"/>
        <v>0.12411071868801163</v>
      </c>
      <c r="AF119" s="405">
        <f t="shared" si="53"/>
        <v>0.11227686044104132</v>
      </c>
      <c r="AG119" s="405">
        <f t="shared" si="53"/>
        <v>0.11694257434022035</v>
      </c>
      <c r="AH119" s="405">
        <f t="shared" si="53"/>
        <v>0.11804638170985836</v>
      </c>
      <c r="AI119" s="405">
        <f t="shared" si="53"/>
        <v>1.1001504562758686</v>
      </c>
      <c r="AJ119" s="405">
        <f t="shared" si="53"/>
        <v>1.9477576776742371</v>
      </c>
      <c r="AK119" s="405">
        <f t="shared" si="53"/>
        <v>2.4268696701002037</v>
      </c>
      <c r="AL119" s="405">
        <f t="shared" si="53"/>
        <v>2.6929536548550672</v>
      </c>
      <c r="AM119" s="405">
        <f t="shared" si="53"/>
        <v>2.8493865714373254</v>
      </c>
      <c r="AN119" s="405">
        <f t="shared" si="53"/>
        <v>2.9484278588695001</v>
      </c>
      <c r="AO119" s="405">
        <f t="shared" si="53"/>
        <v>3.0168549430309919</v>
      </c>
      <c r="AP119" s="405">
        <f t="shared" si="53"/>
        <v>3.0687127731273733</v>
      </c>
      <c r="AQ119" s="405">
        <f t="shared" si="53"/>
        <v>3.1114860270515705</v>
      </c>
      <c r="AR119" s="405">
        <f t="shared" si="53"/>
        <v>3.1492060657155965</v>
      </c>
      <c r="AS119" s="405">
        <f t="shared" si="53"/>
        <v>3.1840630739263944</v>
      </c>
      <c r="AT119" s="405">
        <f t="shared" si="53"/>
        <v>3.217258141229324</v>
      </c>
      <c r="AU119" s="405">
        <f t="shared" si="53"/>
        <v>3.2494583723687716</v>
      </c>
      <c r="AV119" s="405">
        <f t="shared" si="53"/>
        <v>3.2810414065864109</v>
      </c>
      <c r="AW119" s="405">
        <f t="shared" si="53"/>
        <v>3.3122272430650606</v>
      </c>
      <c r="AX119" s="405">
        <f t="shared" si="53"/>
        <v>3.3431494717490908</v>
      </c>
      <c r="AY119" s="405">
        <f t="shared" si="53"/>
        <v>3.3738938370132106</v>
      </c>
      <c r="AZ119" s="405">
        <f t="shared" si="53"/>
        <v>3.4045191634319698</v>
      </c>
      <c r="BA119" s="405">
        <f t="shared" si="53"/>
        <v>3.4350687488326228</v>
      </c>
      <c r="BB119" s="405">
        <f t="shared" si="53"/>
        <v>3.4655766007226991</v>
      </c>
      <c r="BC119" s="405">
        <f t="shared" si="53"/>
        <v>3.4960708803219074</v>
      </c>
      <c r="BD119" s="405">
        <f t="shared" si="53"/>
        <v>3.526575832022989</v>
      </c>
      <c r="BE119" s="405">
        <f t="shared" si="53"/>
        <v>3.5571128891657731</v>
      </c>
      <c r="BF119" s="405">
        <f t="shared" si="53"/>
        <v>3.587901194797384</v>
      </c>
      <c r="BG119" s="405">
        <f t="shared" si="53"/>
        <v>3.6187581505832775</v>
      </c>
      <c r="BH119" s="405">
        <f t="shared" si="53"/>
        <v>3.649647029973317</v>
      </c>
      <c r="BI119" s="405">
        <f t="shared" si="53"/>
        <v>3.6805812833841633</v>
      </c>
    </row>
    <row r="120" spans="1:61" s="401" customFormat="1" ht="18" customHeight="1" x14ac:dyDescent="0.2">
      <c r="A120" s="403" t="s">
        <v>949</v>
      </c>
      <c r="B120" s="405">
        <f>+B113</f>
        <v>0.41227239850714797</v>
      </c>
      <c r="C120" s="405">
        <f t="shared" si="53"/>
        <v>0.53297093331331402</v>
      </c>
      <c r="D120" s="405">
        <f t="shared" si="53"/>
        <v>0.67605785971701871</v>
      </c>
      <c r="E120" s="405">
        <f t="shared" si="53"/>
        <v>0.53219249351146902</v>
      </c>
      <c r="F120" s="405">
        <f t="shared" si="53"/>
        <v>0.3826106878161033</v>
      </c>
      <c r="G120" s="405">
        <f t="shared" si="53"/>
        <v>0.26940566508182101</v>
      </c>
      <c r="H120" s="405">
        <f t="shared" si="53"/>
        <v>0.21885786547482852</v>
      </c>
      <c r="I120" s="405">
        <f t="shared" si="53"/>
        <v>0.18142271855389636</v>
      </c>
      <c r="J120" s="405">
        <f t="shared" si="53"/>
        <v>0.15373608675921629</v>
      </c>
      <c r="K120" s="405">
        <f t="shared" si="53"/>
        <v>0.13323925152141808</v>
      </c>
      <c r="L120" s="405">
        <f t="shared" si="53"/>
        <v>0.11867006323685927</v>
      </c>
      <c r="M120" s="405">
        <f t="shared" si="53"/>
        <v>0.1070997320712655</v>
      </c>
      <c r="N120" s="405">
        <f t="shared" si="53"/>
        <v>9.6657508194317107E-2</v>
      </c>
      <c r="O120" s="405">
        <f t="shared" si="53"/>
        <v>8.7233401145371176E-2</v>
      </c>
      <c r="P120" s="405">
        <f t="shared" si="53"/>
        <v>7.8728144533697475E-2</v>
      </c>
      <c r="Q120" s="405">
        <f t="shared" si="53"/>
        <v>7.1052150441661965E-2</v>
      </c>
      <c r="R120" s="405">
        <f t="shared" si="53"/>
        <v>6.4124565773599915E-2</v>
      </c>
      <c r="S120" s="405">
        <f t="shared" si="53"/>
        <v>5.7872420610673915E-2</v>
      </c>
      <c r="T120" s="405">
        <f t="shared" si="53"/>
        <v>5.2229859601133202E-2</v>
      </c>
      <c r="U120" s="405">
        <f t="shared" si="53"/>
        <v>4.7137448290022713E-2</v>
      </c>
      <c r="V120" s="405">
        <f t="shared" si="53"/>
        <v>4.2541547081745491E-2</v>
      </c>
      <c r="W120" s="405">
        <f t="shared" si="53"/>
        <v>4.0414469727658213E-2</v>
      </c>
      <c r="X120" s="405">
        <f t="shared" si="53"/>
        <v>3.8393746241275298E-2</v>
      </c>
      <c r="Y120" s="405">
        <f t="shared" si="53"/>
        <v>3.6474058929211531E-2</v>
      </c>
      <c r="Z120" s="405">
        <f t="shared" si="53"/>
        <v>3.4650355982750951E-2</v>
      </c>
      <c r="AA120" s="405">
        <f t="shared" si="53"/>
        <v>3.29178381836134E-2</v>
      </c>
      <c r="AB120" s="405">
        <f t="shared" si="53"/>
        <v>3.1271946274432728E-2</v>
      </c>
      <c r="AC120" s="405">
        <f t="shared" si="53"/>
        <v>2.970834896071109E-2</v>
      </c>
      <c r="AD120" s="405">
        <f t="shared" si="53"/>
        <v>2.8222931512675534E-2</v>
      </c>
      <c r="AE120" s="405">
        <f t="shared" si="53"/>
        <v>2.6811784937041755E-2</v>
      </c>
      <c r="AF120" s="405">
        <f t="shared" si="53"/>
        <v>2.5471195690189664E-2</v>
      </c>
      <c r="AG120" s="405">
        <f t="shared" si="53"/>
        <v>2.4197635905680179E-2</v>
      </c>
      <c r="AH120" s="405">
        <f t="shared" si="53"/>
        <v>2.2987754110396167E-2</v>
      </c>
      <c r="AI120" s="405">
        <f t="shared" si="53"/>
        <v>2.1838366404876356E-2</v>
      </c>
      <c r="AJ120" s="405">
        <f t="shared" si="53"/>
        <v>2.0746448084632538E-2</v>
      </c>
      <c r="AK120" s="405">
        <f t="shared" si="53"/>
        <v>1.970912568040091E-2</v>
      </c>
      <c r="AL120" s="405">
        <f t="shared" si="53"/>
        <v>1.8723669396380864E-2</v>
      </c>
      <c r="AM120" s="405">
        <f t="shared" si="53"/>
        <v>1.7787485926561819E-2</v>
      </c>
      <c r="AN120" s="405">
        <f t="shared" si="53"/>
        <v>1.6898111630233727E-2</v>
      </c>
      <c r="AO120" s="405">
        <f t="shared" si="53"/>
        <v>1.6053206048722041E-2</v>
      </c>
      <c r="AP120" s="405">
        <f t="shared" si="53"/>
        <v>1.5250545746285938E-2</v>
      </c>
      <c r="AQ120" s="405">
        <f t="shared" si="53"/>
        <v>1.448801845897164E-2</v>
      </c>
      <c r="AR120" s="405">
        <f t="shared" si="53"/>
        <v>1.3763617536023058E-2</v>
      </c>
      <c r="AS120" s="405">
        <f t="shared" si="53"/>
        <v>1.3075436659221904E-2</v>
      </c>
      <c r="AT120" s="405">
        <f t="shared" si="53"/>
        <v>1.2421664826260809E-2</v>
      </c>
      <c r="AU120" s="405">
        <f t="shared" si="53"/>
        <v>1.1800581584947768E-2</v>
      </c>
      <c r="AV120" s="405">
        <f t="shared" si="53"/>
        <v>1.121055250570038E-2</v>
      </c>
      <c r="AW120" s="405">
        <f t="shared" si="53"/>
        <v>1.065002488041536E-2</v>
      </c>
      <c r="AX120" s="405">
        <f t="shared" si="53"/>
        <v>1.0117523636394591E-2</v>
      </c>
      <c r="AY120" s="405">
        <f t="shared" si="53"/>
        <v>9.6116474545748613E-3</v>
      </c>
      <c r="AZ120" s="405">
        <f t="shared" si="53"/>
        <v>9.1310650818461174E-3</v>
      </c>
      <c r="BA120" s="405">
        <f t="shared" si="53"/>
        <v>8.674511827753811E-3</v>
      </c>
      <c r="BB120" s="405">
        <f t="shared" si="53"/>
        <v>8.2407862363661193E-3</v>
      </c>
      <c r="BC120" s="405">
        <f t="shared" si="53"/>
        <v>7.8287469245478126E-3</v>
      </c>
      <c r="BD120" s="405">
        <f t="shared" si="53"/>
        <v>7.4373095783204215E-3</v>
      </c>
      <c r="BE120" s="405">
        <f t="shared" si="53"/>
        <v>7.0654440994044002E-3</v>
      </c>
      <c r="BF120" s="405">
        <f t="shared" si="53"/>
        <v>6.7121718944341798E-3</v>
      </c>
      <c r="BG120" s="405">
        <f t="shared" si="53"/>
        <v>6.3765632997124701E-3</v>
      </c>
      <c r="BH120" s="405">
        <f t="shared" si="53"/>
        <v>6.0577351347268467E-3</v>
      </c>
      <c r="BI120" s="405">
        <f t="shared" si="53"/>
        <v>5.7548483779905043E-3</v>
      </c>
    </row>
    <row r="121" spans="1:61" s="402" customFormat="1" ht="18" customHeight="1" x14ac:dyDescent="0.2">
      <c r="A121" s="404" t="s">
        <v>965</v>
      </c>
      <c r="B121" s="405">
        <f>+B119*(1-B122)</f>
        <v>0.39636108079041299</v>
      </c>
      <c r="C121" s="405">
        <f t="shared" ref="C121:BI121" si="54">+C119*(1-C122)</f>
        <v>0.33899153374093355</v>
      </c>
      <c r="D121" s="405">
        <f t="shared" si="54"/>
        <v>0.30401508976940378</v>
      </c>
      <c r="E121" s="405">
        <f t="shared" si="54"/>
        <v>0.21274405232047183</v>
      </c>
      <c r="F121" s="405">
        <f t="shared" si="54"/>
        <v>0.16419760075122666</v>
      </c>
      <c r="G121" s="405">
        <f t="shared" si="54"/>
        <v>0.12509626290733819</v>
      </c>
      <c r="H121" s="405">
        <f t="shared" si="54"/>
        <v>0.10560991425835677</v>
      </c>
      <c r="I121" s="405">
        <f t="shared" si="54"/>
        <v>0.10233582512269443</v>
      </c>
      <c r="J121" s="405">
        <f t="shared" si="54"/>
        <v>8.9615965838267697E-2</v>
      </c>
      <c r="K121" s="405">
        <f t="shared" si="54"/>
        <v>7.8214677132253788E-2</v>
      </c>
      <c r="L121" s="405">
        <f t="shared" si="54"/>
        <v>7.1838695253641199E-2</v>
      </c>
      <c r="M121" s="405">
        <f t="shared" si="54"/>
        <v>6.4748544119389281E-2</v>
      </c>
      <c r="N121" s="405">
        <f t="shared" si="54"/>
        <v>5.8993240418251498E-2</v>
      </c>
      <c r="O121" s="405">
        <f t="shared" si="54"/>
        <v>5.5190316726360961E-2</v>
      </c>
      <c r="P121" s="405">
        <f t="shared" si="54"/>
        <v>5.3432295442953755E-2</v>
      </c>
      <c r="Q121" s="405">
        <f t="shared" si="54"/>
        <v>5.1419408914609395E-2</v>
      </c>
      <c r="R121" s="405">
        <f t="shared" si="54"/>
        <v>5.039686026513876E-2</v>
      </c>
      <c r="S121" s="405">
        <f t="shared" si="54"/>
        <v>4.9684149797933279E-2</v>
      </c>
      <c r="T121" s="405">
        <f t="shared" si="54"/>
        <v>4.841638003766751E-2</v>
      </c>
      <c r="U121" s="405">
        <f t="shared" si="54"/>
        <v>4.4544425968220377E-2</v>
      </c>
      <c r="V121" s="405">
        <f t="shared" si="54"/>
        <v>4.4862262888436762E-2</v>
      </c>
      <c r="W121" s="405">
        <f t="shared" si="54"/>
        <v>4.8705207361164127E-2</v>
      </c>
      <c r="X121" s="405">
        <f t="shared" si="54"/>
        <v>5.1628965863611181E-2</v>
      </c>
      <c r="Y121" s="405">
        <f t="shared" si="54"/>
        <v>5.4499643940171955E-2</v>
      </c>
      <c r="Z121" s="405">
        <f t="shared" si="54"/>
        <v>5.6570257617375691E-2</v>
      </c>
      <c r="AA121" s="405">
        <f t="shared" si="54"/>
        <v>5.7959915426173028E-2</v>
      </c>
      <c r="AB121" s="405">
        <f t="shared" si="54"/>
        <v>5.8774812030053226E-2</v>
      </c>
      <c r="AC121" s="405">
        <f t="shared" si="54"/>
        <v>6.0673751494777398E-2</v>
      </c>
      <c r="AD121" s="405">
        <f t="shared" si="54"/>
        <v>6.2357163558544593E-2</v>
      </c>
      <c r="AE121" s="405">
        <f t="shared" si="54"/>
        <v>6.3311123612483561E-2</v>
      </c>
      <c r="AF121" s="405">
        <f t="shared" si="54"/>
        <v>5.9409667620949375E-2</v>
      </c>
      <c r="AG121" s="405">
        <f t="shared" si="54"/>
        <v>6.4033449714983884E-2</v>
      </c>
      <c r="AH121" s="405">
        <f t="shared" si="54"/>
        <v>6.6745169675709856E-2</v>
      </c>
      <c r="AI121" s="405">
        <f t="shared" si="54"/>
        <v>0.64106131988022386</v>
      </c>
      <c r="AJ121" s="405">
        <f t="shared" si="54"/>
        <v>1.1675668402552088</v>
      </c>
      <c r="AK121" s="405">
        <f t="shared" si="54"/>
        <v>1.4940825134722169</v>
      </c>
      <c r="AL121" s="405">
        <f t="shared" si="54"/>
        <v>1.7001057500841756</v>
      </c>
      <c r="AM121" s="405">
        <f t="shared" si="54"/>
        <v>1.8420628637869421</v>
      </c>
      <c r="AN121" s="405">
        <f t="shared" si="54"/>
        <v>1.9493097130401413</v>
      </c>
      <c r="AO121" s="405">
        <f t="shared" si="54"/>
        <v>2.0372901613151395</v>
      </c>
      <c r="AP121" s="405">
        <f t="shared" si="54"/>
        <v>2.1143132524321859</v>
      </c>
      <c r="AQ121" s="405">
        <f t="shared" si="54"/>
        <v>2.1849139255738526</v>
      </c>
      <c r="AR121" s="405">
        <f t="shared" si="54"/>
        <v>2.2515881598980947</v>
      </c>
      <c r="AS121" s="405">
        <f t="shared" si="54"/>
        <v>2.3157175989008354</v>
      </c>
      <c r="AT121" s="405">
        <f t="shared" si="54"/>
        <v>2.3780714868156698</v>
      </c>
      <c r="AU121" s="405">
        <f t="shared" si="54"/>
        <v>2.4390818048109972</v>
      </c>
      <c r="AV121" s="405">
        <f t="shared" si="54"/>
        <v>2.4989947725030346</v>
      </c>
      <c r="AW121" s="405">
        <f t="shared" si="54"/>
        <v>2.5579544090632975</v>
      </c>
      <c r="AX121" s="405">
        <f t="shared" si="54"/>
        <v>2.6160486238438136</v>
      </c>
      <c r="AY121" s="405">
        <f t="shared" si="54"/>
        <v>2.6733346162600489</v>
      </c>
      <c r="AZ121" s="405">
        <f t="shared" si="54"/>
        <v>2.7298528515580553</v>
      </c>
      <c r="BA121" s="405">
        <f t="shared" si="54"/>
        <v>2.7856347340181205</v>
      </c>
      <c r="BB121" s="405">
        <f t="shared" si="54"/>
        <v>2.8407068074002062</v>
      </c>
      <c r="BC121" s="405">
        <f t="shared" si="54"/>
        <v>2.8950930448145362</v>
      </c>
      <c r="BD121" s="405">
        <f t="shared" si="54"/>
        <v>2.9488160893618591</v>
      </c>
      <c r="BE121" s="405">
        <f t="shared" si="54"/>
        <v>2.7493018990593328</v>
      </c>
      <c r="BF121" s="405">
        <f t="shared" si="54"/>
        <v>2.458441747898112</v>
      </c>
      <c r="BG121" s="405">
        <f t="shared" si="54"/>
        <v>2.0396648713864822</v>
      </c>
      <c r="BH121" s="405">
        <f t="shared" si="54"/>
        <v>1.4420634829044372</v>
      </c>
      <c r="BI121" s="405">
        <f t="shared" si="54"/>
        <v>0.59454693209262965</v>
      </c>
    </row>
    <row r="122" spans="1:61" s="401" customFormat="1" ht="18" customHeight="1" x14ac:dyDescent="0.2">
      <c r="A122" s="403" t="s">
        <v>951</v>
      </c>
      <c r="B122" s="406">
        <f t="shared" ref="B122:L122" si="55">+(B123/(1000*B$36))^(1/($B$38-1))</f>
        <v>0</v>
      </c>
      <c r="C122" s="406">
        <f t="shared" si="55"/>
        <v>0</v>
      </c>
      <c r="D122" s="406">
        <f t="shared" si="55"/>
        <v>0</v>
      </c>
      <c r="E122" s="406">
        <f t="shared" si="55"/>
        <v>0.24144775596772358</v>
      </c>
      <c r="F122" s="406">
        <f t="shared" si="55"/>
        <v>0.37542126099680329</v>
      </c>
      <c r="G122" s="406">
        <f t="shared" si="55"/>
        <v>0.47359684571843691</v>
      </c>
      <c r="H122" s="406">
        <f t="shared" si="55"/>
        <v>0.52846942244955064</v>
      </c>
      <c r="I122" s="406">
        <f t="shared" si="55"/>
        <v>0.5254467908026984</v>
      </c>
      <c r="J122" s="406">
        <f t="shared" si="55"/>
        <v>0.56113069275853966</v>
      </c>
      <c r="K122" s="406">
        <f t="shared" si="55"/>
        <v>0.58772505585363544</v>
      </c>
      <c r="L122" s="406">
        <f t="shared" si="55"/>
        <v>0.60680495412642221</v>
      </c>
      <c r="M122" s="406">
        <f t="shared" ref="M122:BI122" si="56">+(M123/(1000*M$36))^(1/($B$38-1))</f>
        <v>0.62150827475841031</v>
      </c>
      <c r="N122" s="406">
        <f t="shared" si="56"/>
        <v>0.63408674948458443</v>
      </c>
      <c r="O122" s="406">
        <f t="shared" si="56"/>
        <v>0.64529837842038218</v>
      </c>
      <c r="P122" s="406">
        <f t="shared" si="56"/>
        <v>0.65474650393150968</v>
      </c>
      <c r="Q122" s="406">
        <f t="shared" si="56"/>
        <v>0.66290196953640679</v>
      </c>
      <c r="R122" s="406">
        <f t="shared" si="56"/>
        <v>0.66980039085185794</v>
      </c>
      <c r="S122" s="406">
        <f t="shared" si="56"/>
        <v>0.67544214608798159</v>
      </c>
      <c r="T122" s="406">
        <f t="shared" si="56"/>
        <v>0.68071103562956625</v>
      </c>
      <c r="U122" s="406">
        <f t="shared" si="56"/>
        <v>0.68557878104047099</v>
      </c>
      <c r="V122" s="406">
        <f t="shared" si="56"/>
        <v>0.69001609817469056</v>
      </c>
      <c r="W122" s="406">
        <f t="shared" si="56"/>
        <v>0.66500988187743537</v>
      </c>
      <c r="X122" s="406">
        <f t="shared" si="56"/>
        <v>0.64073615938717576</v>
      </c>
      <c r="Y122" s="406">
        <f t="shared" si="56"/>
        <v>0.61717678176549151</v>
      </c>
      <c r="Z122" s="406">
        <f t="shared" si="56"/>
        <v>0.59431423590875221</v>
      </c>
      <c r="AA122" s="406">
        <f t="shared" si="56"/>
        <v>0.57213161583897254</v>
      </c>
      <c r="AB122" s="406">
        <f t="shared" si="56"/>
        <v>0.55061259382774619</v>
      </c>
      <c r="AC122" s="406">
        <f t="shared" si="56"/>
        <v>0.52974139139558274</v>
      </c>
      <c r="AD122" s="406">
        <f t="shared" si="56"/>
        <v>0.50950275024224634</v>
      </c>
      <c r="AE122" s="406">
        <f t="shared" si="56"/>
        <v>0.48988190317683628</v>
      </c>
      <c r="AF122" s="406">
        <f t="shared" si="56"/>
        <v>0.47086454512907855</v>
      </c>
      <c r="AG122" s="406">
        <f t="shared" si="56"/>
        <v>0.45243680433533351</v>
      </c>
      <c r="AH122" s="406">
        <f t="shared" si="56"/>
        <v>0.43458521380383996</v>
      </c>
      <c r="AI122" s="406">
        <f t="shared" si="56"/>
        <v>0.41729668317342011</v>
      </c>
      <c r="AJ122" s="406">
        <f t="shared" si="56"/>
        <v>0.40055847108796017</v>
      </c>
      <c r="AK122" s="406">
        <f t="shared" si="56"/>
        <v>0.38435815821517622</v>
      </c>
      <c r="AL122" s="406">
        <f t="shared" si="56"/>
        <v>0.36868362104223656</v>
      </c>
      <c r="AM122" s="406">
        <f t="shared" si="56"/>
        <v>0.35352300658252056</v>
      </c>
      <c r="AN122" s="406">
        <f t="shared" si="56"/>
        <v>0.33886470812701014</v>
      </c>
      <c r="AO122" s="406">
        <f t="shared" si="56"/>
        <v>0.3246973421704184</v>
      </c>
      <c r="AP122" s="406">
        <f t="shared" si="56"/>
        <v>0.3110097266361439</v>
      </c>
      <c r="AQ122" s="406">
        <f t="shared" si="56"/>
        <v>0.29779086051552461</v>
      </c>
      <c r="AR122" s="406">
        <f t="shared" si="56"/>
        <v>0.28502990502577213</v>
      </c>
      <c r="AS122" s="406">
        <f t="shared" si="56"/>
        <v>0.27271616637756108</v>
      </c>
      <c r="AT122" s="406">
        <f t="shared" si="56"/>
        <v>0.26083908022779861</v>
      </c>
      <c r="AU122" s="406">
        <f t="shared" si="56"/>
        <v>0.24938819787589117</v>
      </c>
      <c r="AV122" s="406">
        <f t="shared" si="56"/>
        <v>0.23835317424324004</v>
      </c>
      <c r="AW122" s="406">
        <f t="shared" si="56"/>
        <v>0.2277237576561251</v>
      </c>
      <c r="AX122" s="406">
        <f t="shared" si="56"/>
        <v>0.21748978143201819</v>
      </c>
      <c r="AY122" s="406">
        <f t="shared" si="56"/>
        <v>0.20764115724913926</v>
      </c>
      <c r="AZ122" s="406">
        <f t="shared" si="56"/>
        <v>0.19816787025919042</v>
      </c>
      <c r="BA122" s="406">
        <f t="shared" si="56"/>
        <v>0.18905997588409448</v>
      </c>
      <c r="BB122" s="406">
        <f t="shared" si="56"/>
        <v>0.18030759821963954</v>
      </c>
      <c r="BC122" s="406">
        <f t="shared" si="56"/>
        <v>0.17190092995255146</v>
      </c>
      <c r="BD122" s="406">
        <f t="shared" si="56"/>
        <v>0.16383023368299526</v>
      </c>
      <c r="BE122" s="406">
        <f t="shared" si="56"/>
        <v>0.22709737230068369</v>
      </c>
      <c r="BF122" s="406">
        <f t="shared" si="56"/>
        <v>0.3147966974500408</v>
      </c>
      <c r="BG122" s="406">
        <f t="shared" si="56"/>
        <v>0.43636330848533628</v>
      </c>
      <c r="BH122" s="406">
        <f t="shared" si="56"/>
        <v>0.60487590414600167</v>
      </c>
      <c r="BI122" s="406">
        <f t="shared" si="56"/>
        <v>0.83846384950749819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0</v>
      </c>
      <c r="D123" s="400">
        <f>+Global!D118*D46</f>
        <v>0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0.39636108079041299</v>
      </c>
      <c r="C124" s="405">
        <f t="shared" ref="C124:BI124" si="57">+C119*(1-C122)</f>
        <v>0.33899153374093355</v>
      </c>
      <c r="D124" s="405">
        <f t="shared" si="57"/>
        <v>0.30401508976940378</v>
      </c>
      <c r="E124" s="405">
        <f t="shared" si="57"/>
        <v>0.21274405232047183</v>
      </c>
      <c r="F124" s="405">
        <f t="shared" si="57"/>
        <v>0.16419760075122666</v>
      </c>
      <c r="G124" s="405">
        <f t="shared" si="57"/>
        <v>0.12509626290733819</v>
      </c>
      <c r="H124" s="405">
        <f t="shared" si="57"/>
        <v>0.10560991425835677</v>
      </c>
      <c r="I124" s="405">
        <f t="shared" si="57"/>
        <v>0.10233582512269443</v>
      </c>
      <c r="J124" s="405">
        <f t="shared" si="57"/>
        <v>8.9615965838267697E-2</v>
      </c>
      <c r="K124" s="405">
        <f t="shared" si="57"/>
        <v>7.8214677132253788E-2</v>
      </c>
      <c r="L124" s="405">
        <f t="shared" si="57"/>
        <v>7.1838695253641199E-2</v>
      </c>
      <c r="M124" s="405">
        <f t="shared" si="57"/>
        <v>6.4748544119389281E-2</v>
      </c>
      <c r="N124" s="405">
        <f t="shared" si="57"/>
        <v>5.8993240418251498E-2</v>
      </c>
      <c r="O124" s="405">
        <f t="shared" si="57"/>
        <v>5.5190316726360961E-2</v>
      </c>
      <c r="P124" s="405">
        <f t="shared" si="57"/>
        <v>5.3432295442953755E-2</v>
      </c>
      <c r="Q124" s="405">
        <f t="shared" si="57"/>
        <v>5.1419408914609395E-2</v>
      </c>
      <c r="R124" s="405">
        <f t="shared" si="57"/>
        <v>5.039686026513876E-2</v>
      </c>
      <c r="S124" s="405">
        <f t="shared" si="57"/>
        <v>4.9684149797933279E-2</v>
      </c>
      <c r="T124" s="405">
        <f t="shared" si="57"/>
        <v>4.841638003766751E-2</v>
      </c>
      <c r="U124" s="405">
        <f t="shared" si="57"/>
        <v>4.4544425968220377E-2</v>
      </c>
      <c r="V124" s="405">
        <f t="shared" si="57"/>
        <v>4.4862262888436762E-2</v>
      </c>
      <c r="W124" s="405">
        <f t="shared" si="57"/>
        <v>4.8705207361164127E-2</v>
      </c>
      <c r="X124" s="405">
        <f t="shared" si="57"/>
        <v>5.1628965863611181E-2</v>
      </c>
      <c r="Y124" s="405">
        <f t="shared" si="57"/>
        <v>5.4499643940171955E-2</v>
      </c>
      <c r="Z124" s="405">
        <f t="shared" si="57"/>
        <v>5.6570257617375691E-2</v>
      </c>
      <c r="AA124" s="405">
        <f t="shared" si="57"/>
        <v>5.7959915426173028E-2</v>
      </c>
      <c r="AB124" s="405">
        <f t="shared" si="57"/>
        <v>5.8774812030053226E-2</v>
      </c>
      <c r="AC124" s="405">
        <f t="shared" si="57"/>
        <v>6.0673751494777398E-2</v>
      </c>
      <c r="AD124" s="405">
        <f t="shared" si="57"/>
        <v>6.2357163558544593E-2</v>
      </c>
      <c r="AE124" s="405">
        <f t="shared" si="57"/>
        <v>6.3311123612483561E-2</v>
      </c>
      <c r="AF124" s="405">
        <f t="shared" si="57"/>
        <v>5.9409667620949375E-2</v>
      </c>
      <c r="AG124" s="405">
        <f t="shared" si="57"/>
        <v>6.4033449714983884E-2</v>
      </c>
      <c r="AH124" s="405">
        <f t="shared" si="57"/>
        <v>6.6745169675709856E-2</v>
      </c>
      <c r="AI124" s="405">
        <f t="shared" si="57"/>
        <v>0.64106131988022386</v>
      </c>
      <c r="AJ124" s="405">
        <f t="shared" si="57"/>
        <v>1.1675668402552088</v>
      </c>
      <c r="AK124" s="405">
        <f t="shared" si="57"/>
        <v>1.4940825134722169</v>
      </c>
      <c r="AL124" s="405">
        <f t="shared" si="57"/>
        <v>1.7001057500841756</v>
      </c>
      <c r="AM124" s="405">
        <f t="shared" si="57"/>
        <v>1.8420628637869421</v>
      </c>
      <c r="AN124" s="405">
        <f t="shared" si="57"/>
        <v>1.9493097130401413</v>
      </c>
      <c r="AO124" s="405">
        <f t="shared" si="57"/>
        <v>2.0372901613151395</v>
      </c>
      <c r="AP124" s="405">
        <f t="shared" si="57"/>
        <v>2.1143132524321859</v>
      </c>
      <c r="AQ124" s="405">
        <f t="shared" si="57"/>
        <v>2.1849139255738526</v>
      </c>
      <c r="AR124" s="405">
        <f t="shared" si="57"/>
        <v>2.2515881598980947</v>
      </c>
      <c r="AS124" s="405">
        <f t="shared" si="57"/>
        <v>2.3157175989008354</v>
      </c>
      <c r="AT124" s="405">
        <f t="shared" si="57"/>
        <v>2.3780714868156698</v>
      </c>
      <c r="AU124" s="405">
        <f t="shared" si="57"/>
        <v>2.4390818048109972</v>
      </c>
      <c r="AV124" s="405">
        <f t="shared" si="57"/>
        <v>2.4989947725030346</v>
      </c>
      <c r="AW124" s="405">
        <f t="shared" si="57"/>
        <v>2.5579544090632975</v>
      </c>
      <c r="AX124" s="405">
        <f t="shared" si="57"/>
        <v>2.6160486238438136</v>
      </c>
      <c r="AY124" s="405">
        <f t="shared" si="57"/>
        <v>2.6733346162600489</v>
      </c>
      <c r="AZ124" s="405">
        <f t="shared" si="57"/>
        <v>2.7298528515580553</v>
      </c>
      <c r="BA124" s="405">
        <f t="shared" si="57"/>
        <v>2.7856347340181205</v>
      </c>
      <c r="BB124" s="405">
        <f t="shared" si="57"/>
        <v>2.8407068074002062</v>
      </c>
      <c r="BC124" s="405">
        <f t="shared" si="57"/>
        <v>2.8950930448145362</v>
      </c>
      <c r="BD124" s="405">
        <f t="shared" si="57"/>
        <v>2.9488160893618591</v>
      </c>
      <c r="BE124" s="405">
        <f t="shared" si="57"/>
        <v>2.7493018990593328</v>
      </c>
      <c r="BF124" s="405">
        <f t="shared" si="57"/>
        <v>2.458441747898112</v>
      </c>
      <c r="BG124" s="405">
        <f t="shared" si="57"/>
        <v>2.0396648713864822</v>
      </c>
      <c r="BH124" s="405">
        <f t="shared" si="57"/>
        <v>1.4420634829044372</v>
      </c>
      <c r="BI124" s="405">
        <f t="shared" si="57"/>
        <v>0.59454693209262965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8">+$B$7*C61/C74</f>
        <v>0.10446970081724875</v>
      </c>
      <c r="D128" s="23">
        <f t="shared" si="58"/>
        <v>9.135998623613685E-2</v>
      </c>
      <c r="E128" s="23">
        <f t="shared" si="58"/>
        <v>9.1392873573517885E-2</v>
      </c>
      <c r="F128" s="23">
        <f t="shared" si="58"/>
        <v>9.425333698037909E-2</v>
      </c>
      <c r="G128" s="23">
        <f t="shared" si="58"/>
        <v>9.2854765125811353E-2</v>
      </c>
      <c r="H128" s="23">
        <f t="shared" si="58"/>
        <v>9.5973481734369454E-2</v>
      </c>
      <c r="I128" s="23">
        <f t="shared" si="58"/>
        <v>9.8303796247140834E-2</v>
      </c>
      <c r="J128" s="23">
        <f t="shared" si="58"/>
        <v>9.6628864327764158E-2</v>
      </c>
      <c r="K128" s="23">
        <f t="shared" si="58"/>
        <v>9.3403631177739768E-2</v>
      </c>
      <c r="L128" s="23">
        <f t="shared" si="58"/>
        <v>9.4615628935943552E-2</v>
      </c>
      <c r="M128" s="23">
        <f t="shared" si="58"/>
        <v>9.1712336979721434E-2</v>
      </c>
      <c r="N128" s="23">
        <f t="shared" si="58"/>
        <v>8.8679555607583546E-2</v>
      </c>
      <c r="O128" s="23">
        <f t="shared" si="58"/>
        <v>8.944953822143116E-2</v>
      </c>
      <c r="P128" s="23">
        <f t="shared" si="58"/>
        <v>9.2133234523073607E-2</v>
      </c>
      <c r="Q128" s="23">
        <f t="shared" si="58"/>
        <v>9.190574004411585E-2</v>
      </c>
      <c r="R128" s="23">
        <f t="shared" si="58"/>
        <v>9.2985660780233792E-2</v>
      </c>
      <c r="S128" s="23">
        <f t="shared" si="58"/>
        <v>9.3327983614540172E-2</v>
      </c>
      <c r="T128" s="23">
        <f t="shared" si="58"/>
        <v>9.2074982127876071E-2</v>
      </c>
      <c r="U128" s="23">
        <f t="shared" si="58"/>
        <v>8.6252525262020666E-2</v>
      </c>
      <c r="V128" s="23">
        <f t="shared" si="58"/>
        <v>9.2074039768410082E-2</v>
      </c>
      <c r="W128" s="23">
        <f t="shared" si="58"/>
        <v>9.245165002570524E-2</v>
      </c>
      <c r="X128" s="23">
        <f t="shared" si="58"/>
        <v>9.0925922774468815E-2</v>
      </c>
      <c r="Y128" s="23">
        <f t="shared" si="58"/>
        <v>9.0507557870557351E-2</v>
      </c>
      <c r="Z128" s="23">
        <f t="shared" si="58"/>
        <v>8.9246351371536692E-2</v>
      </c>
      <c r="AA128" s="23">
        <f t="shared" si="58"/>
        <v>8.8005726901602604E-2</v>
      </c>
      <c r="AB128" s="23">
        <f t="shared" si="58"/>
        <v>8.6993803198813613E-2</v>
      </c>
      <c r="AC128" s="23">
        <f t="shared" si="58"/>
        <v>8.8637617327871315E-2</v>
      </c>
      <c r="AD128" s="23">
        <f t="shared" si="58"/>
        <v>8.9006719625862082E-2</v>
      </c>
      <c r="AE128" s="23">
        <f t="shared" si="58"/>
        <v>8.8222708230694655E-2</v>
      </c>
      <c r="AF128" s="23">
        <f t="shared" si="58"/>
        <v>8.1469477301523319E-2</v>
      </c>
      <c r="AG128" s="23">
        <f t="shared" si="58"/>
        <v>9.1135478109063889E-2</v>
      </c>
      <c r="AH128" s="23">
        <f t="shared" si="58"/>
        <v>9.1771400458016544E-2</v>
      </c>
      <c r="AI128" s="23">
        <f t="shared" si="58"/>
        <v>0.8488815758079209</v>
      </c>
      <c r="AJ128" s="23">
        <f t="shared" si="58"/>
        <v>0.23042247927262116</v>
      </c>
      <c r="AK128" s="23">
        <f t="shared" si="58"/>
        <v>0.14183406403469859</v>
      </c>
      <c r="AL128" s="23">
        <f t="shared" si="58"/>
        <v>0.11431131147365048</v>
      </c>
      <c r="AM128" s="23">
        <f t="shared" si="58"/>
        <v>0.10286297541117354</v>
      </c>
      <c r="AN128" s="23">
        <f t="shared" si="58"/>
        <v>9.7434114606366196E-2</v>
      </c>
      <c r="AO128" s="23">
        <f t="shared" si="58"/>
        <v>9.4679468021464361E-2</v>
      </c>
      <c r="AP128" s="23">
        <f t="shared" si="58"/>
        <v>9.322299616307643E-2</v>
      </c>
      <c r="AQ128" s="23">
        <f t="shared" si="58"/>
        <v>9.2427811771630439E-2</v>
      </c>
      <c r="AR128" s="23">
        <f t="shared" si="58"/>
        <v>9.1979094172185125E-2</v>
      </c>
      <c r="AS128" s="23">
        <f t="shared" si="58"/>
        <v>9.1715403430325609E-2</v>
      </c>
      <c r="AT128" s="23">
        <f t="shared" si="58"/>
        <v>9.1552200257726701E-2</v>
      </c>
      <c r="AU128" s="23">
        <f t="shared" si="58"/>
        <v>9.1444640535830665E-2</v>
      </c>
      <c r="AV128" s="23">
        <f t="shared" si="58"/>
        <v>9.1368710468242464E-2</v>
      </c>
      <c r="AW128" s="23">
        <f t="shared" si="58"/>
        <v>9.1311432675233159E-2</v>
      </c>
      <c r="AX128" s="23">
        <f t="shared" si="58"/>
        <v>9.126571345392348E-2</v>
      </c>
      <c r="AY128" s="23">
        <f t="shared" si="58"/>
        <v>9.1227611183173268E-2</v>
      </c>
      <c r="AZ128" s="23">
        <f t="shared" si="58"/>
        <v>9.119488162336517E-2</v>
      </c>
      <c r="BA128" s="23">
        <f t="shared" si="58"/>
        <v>9.1166200812227538E-2</v>
      </c>
      <c r="BB128" s="23">
        <f t="shared" si="58"/>
        <v>9.1140748829227264E-2</v>
      </c>
      <c r="BC128" s="23">
        <f t="shared" si="58"/>
        <v>9.1117986183167785E-2</v>
      </c>
      <c r="BD128" s="23">
        <f t="shared" si="58"/>
        <v>9.1097533187430135E-2</v>
      </c>
      <c r="BE128" s="23">
        <f t="shared" si="58"/>
        <v>9.1079104482378631E-2</v>
      </c>
      <c r="BF128" s="23">
        <f t="shared" si="58"/>
        <v>9.1050637376631965E-2</v>
      </c>
      <c r="BG128" s="23">
        <f t="shared" si="58"/>
        <v>9.1024001240838717E-2</v>
      </c>
      <c r="BH128" s="23">
        <f t="shared" si="58"/>
        <v>9.1002099943971265E-2</v>
      </c>
      <c r="BI128" s="23">
        <f t="shared" si="58"/>
        <v>9.0984783768781247E-2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1.7055988979840092E-2</v>
      </c>
      <c r="D129" s="23">
        <f t="shared" ref="D129:BH129" si="59">+$B$14+LN(E56/D56)/10+$B$18*LN(E88/D88)/10</f>
        <v>2.076366747995493E-2</v>
      </c>
      <c r="E129" s="23">
        <f t="shared" si="59"/>
        <v>2.2536959725932577E-2</v>
      </c>
      <c r="F129" s="23">
        <f t="shared" si="59"/>
        <v>1.6098440169419279E-2</v>
      </c>
      <c r="G129" s="23">
        <f t="shared" si="59"/>
        <v>2.1341675115410581E-2</v>
      </c>
      <c r="H129" s="23">
        <f t="shared" si="59"/>
        <v>2.3296298783906221E-2</v>
      </c>
      <c r="I129" s="23">
        <f t="shared" si="59"/>
        <v>1.9707282027100807E-2</v>
      </c>
      <c r="J129" s="23">
        <f t="shared" si="59"/>
        <v>1.5960212150779047E-2</v>
      </c>
      <c r="K129" s="23">
        <f t="shared" si="59"/>
        <v>2.059953085433177E-2</v>
      </c>
      <c r="L129" s="23">
        <f t="shared" si="59"/>
        <v>1.4065596044899039E-2</v>
      </c>
      <c r="M129" s="23">
        <f t="shared" si="59"/>
        <v>1.6047559109687838E-2</v>
      </c>
      <c r="N129" s="23">
        <f t="shared" si="59"/>
        <v>1.9074909023015507E-2</v>
      </c>
      <c r="O129" s="23">
        <f t="shared" si="59"/>
        <v>2.3102474478621127E-2</v>
      </c>
      <c r="P129" s="23">
        <f t="shared" si="59"/>
        <v>2.1158076488150816E-2</v>
      </c>
      <c r="Q129" s="23">
        <f t="shared" si="59"/>
        <v>2.3068856485359533E-2</v>
      </c>
      <c r="R129" s="23">
        <f t="shared" si="59"/>
        <v>2.3020746043947635E-2</v>
      </c>
      <c r="S129" s="23">
        <f t="shared" si="59"/>
        <v>2.0865992744385713E-2</v>
      </c>
      <c r="T129" s="23">
        <f t="shared" si="59"/>
        <v>1.1676339887430847E-2</v>
      </c>
      <c r="U129" s="23">
        <f t="shared" si="59"/>
        <v>2.447466084624586E-2</v>
      </c>
      <c r="V129" s="23">
        <f t="shared" si="59"/>
        <v>2.1466869510237074E-2</v>
      </c>
      <c r="W129" s="23">
        <f t="shared" si="59"/>
        <v>1.8729621267203438E-2</v>
      </c>
      <c r="X129" s="23">
        <f t="shared" si="59"/>
        <v>1.8867259198113936E-2</v>
      </c>
      <c r="Y129" s="23">
        <f t="shared" si="59"/>
        <v>1.6971177593332457E-2</v>
      </c>
      <c r="Z129" s="23">
        <f t="shared" si="59"/>
        <v>1.5511673092224711E-2</v>
      </c>
      <c r="AA129" s="23">
        <f t="shared" si="59"/>
        <v>1.4041656687940529E-2</v>
      </c>
      <c r="AB129" s="23">
        <f t="shared" si="59"/>
        <v>1.7700023837414671E-2</v>
      </c>
      <c r="AC129" s="23">
        <f t="shared" si="59"/>
        <v>1.7387173248728138E-2</v>
      </c>
      <c r="AD129" s="23">
        <f t="shared" si="59"/>
        <v>1.5772107829599619E-2</v>
      </c>
      <c r="AE129" s="23">
        <f t="shared" si="59"/>
        <v>4.4529425057689247E-3</v>
      </c>
      <c r="AF129" s="23">
        <f t="shared" si="59"/>
        <v>2.5761688849309513E-2</v>
      </c>
      <c r="AG129" s="23">
        <f t="shared" si="59"/>
        <v>2.0867570883373879E-2</v>
      </c>
      <c r="AH129" s="23">
        <f t="shared" si="59"/>
        <v>0.35405319766507609</v>
      </c>
      <c r="AI129" s="23">
        <f t="shared" si="59"/>
        <v>0.10556366739119977</v>
      </c>
      <c r="AJ129" s="23">
        <f t="shared" si="59"/>
        <v>5.226722535151708E-2</v>
      </c>
      <c r="AK129" s="23">
        <f t="shared" si="59"/>
        <v>3.483422238550278E-2</v>
      </c>
      <c r="AL129" s="23">
        <f t="shared" si="59"/>
        <v>2.7651925916718251E-2</v>
      </c>
      <c r="AM129" s="23">
        <f t="shared" si="59"/>
        <v>2.4264899043106247E-2</v>
      </c>
      <c r="AN129" s="23">
        <f t="shared" si="59"/>
        <v>2.2542569933399034E-2</v>
      </c>
      <c r="AO129" s="23">
        <f t="shared" si="59"/>
        <v>2.1622893746167028E-2</v>
      </c>
      <c r="AP129" s="23">
        <f t="shared" si="59"/>
        <v>2.1111394041819644E-2</v>
      </c>
      <c r="AQ129" s="23">
        <f t="shared" si="59"/>
        <v>2.0814299750431527E-2</v>
      </c>
      <c r="AR129" s="23">
        <f t="shared" si="59"/>
        <v>2.0632511573669902E-2</v>
      </c>
      <c r="AS129" s="23">
        <f t="shared" si="59"/>
        <v>2.0514140140014868E-2</v>
      </c>
      <c r="AT129" s="23">
        <f t="shared" si="59"/>
        <v>2.0431600886245762E-2</v>
      </c>
      <c r="AU129" s="23">
        <f t="shared" si="59"/>
        <v>2.0370052304026179E-2</v>
      </c>
      <c r="AV129" s="23">
        <f t="shared" si="59"/>
        <v>2.0321407265401336E-2</v>
      </c>
      <c r="AW129" s="23">
        <f t="shared" si="59"/>
        <v>2.0281185294487681E-2</v>
      </c>
      <c r="AX129" s="23">
        <f t="shared" si="59"/>
        <v>2.0246844075388289E-2</v>
      </c>
      <c r="AY129" s="23">
        <f t="shared" si="59"/>
        <v>2.0216890451216482E-2</v>
      </c>
      <c r="AZ129" s="23">
        <f t="shared" si="59"/>
        <v>2.0190404976500227E-2</v>
      </c>
      <c r="BA129" s="23">
        <f t="shared" si="59"/>
        <v>2.0166786752621069E-2</v>
      </c>
      <c r="BB129" s="23">
        <f t="shared" si="59"/>
        <v>2.0145615899923013E-2</v>
      </c>
      <c r="BC129" s="23">
        <f t="shared" si="59"/>
        <v>2.0126578975337036E-2</v>
      </c>
      <c r="BD129" s="23">
        <f t="shared" si="59"/>
        <v>2.01514361031782E-2</v>
      </c>
      <c r="BE129" s="23">
        <f t="shared" si="59"/>
        <v>2.012104499211775E-2</v>
      </c>
      <c r="BF129" s="23">
        <f t="shared" si="59"/>
        <v>2.0095681591706258E-2</v>
      </c>
      <c r="BG129" s="23">
        <f t="shared" si="59"/>
        <v>2.0075361383362827E-2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1.4174570463283775E-2</v>
      </c>
      <c r="D130" s="23">
        <f t="shared" ref="D130:BH130" si="60">+$B$14+LN(D56/C56)/10+$B$18*LN(D88/C88)/10</f>
        <v>1.7055988979840092E-2</v>
      </c>
      <c r="E130" s="23">
        <f t="shared" si="60"/>
        <v>2.076366747995493E-2</v>
      </c>
      <c r="F130" s="23">
        <f t="shared" si="60"/>
        <v>2.2536959725932577E-2</v>
      </c>
      <c r="G130" s="23">
        <f t="shared" si="60"/>
        <v>1.6098440169419279E-2</v>
      </c>
      <c r="H130" s="23">
        <f t="shared" si="60"/>
        <v>2.1341675115410581E-2</v>
      </c>
      <c r="I130" s="23">
        <f t="shared" si="60"/>
        <v>2.3296298783906221E-2</v>
      </c>
      <c r="J130" s="23">
        <f t="shared" si="60"/>
        <v>1.9707282027100807E-2</v>
      </c>
      <c r="K130" s="23">
        <f t="shared" si="60"/>
        <v>1.5960212150779047E-2</v>
      </c>
      <c r="L130" s="23">
        <f t="shared" si="60"/>
        <v>2.059953085433177E-2</v>
      </c>
      <c r="M130" s="23">
        <f t="shared" si="60"/>
        <v>1.4065596044899039E-2</v>
      </c>
      <c r="N130" s="23">
        <f t="shared" si="60"/>
        <v>1.6047559109687838E-2</v>
      </c>
      <c r="O130" s="23">
        <f t="shared" si="60"/>
        <v>1.9074909023015507E-2</v>
      </c>
      <c r="P130" s="23">
        <f t="shared" si="60"/>
        <v>2.3102474478621127E-2</v>
      </c>
      <c r="Q130" s="23">
        <f t="shared" si="60"/>
        <v>2.1158076488150816E-2</v>
      </c>
      <c r="R130" s="23">
        <f t="shared" si="60"/>
        <v>2.3068856485359533E-2</v>
      </c>
      <c r="S130" s="23">
        <f t="shared" si="60"/>
        <v>2.3020746043947635E-2</v>
      </c>
      <c r="T130" s="23">
        <f t="shared" si="60"/>
        <v>2.0865992744385713E-2</v>
      </c>
      <c r="U130" s="23">
        <f t="shared" si="60"/>
        <v>1.1676339887430847E-2</v>
      </c>
      <c r="V130" s="23">
        <f t="shared" si="60"/>
        <v>2.447466084624586E-2</v>
      </c>
      <c r="W130" s="23">
        <f t="shared" si="60"/>
        <v>2.1466869510237074E-2</v>
      </c>
      <c r="X130" s="23">
        <f t="shared" si="60"/>
        <v>1.8729621267203438E-2</v>
      </c>
      <c r="Y130" s="23">
        <f t="shared" si="60"/>
        <v>1.8867259198113936E-2</v>
      </c>
      <c r="Z130" s="23">
        <f t="shared" si="60"/>
        <v>1.6971177593332457E-2</v>
      </c>
      <c r="AA130" s="23">
        <f t="shared" si="60"/>
        <v>1.5511673092224711E-2</v>
      </c>
      <c r="AB130" s="23">
        <f t="shared" si="60"/>
        <v>1.4041656687940529E-2</v>
      </c>
      <c r="AC130" s="23">
        <f t="shared" si="60"/>
        <v>1.7700023837414671E-2</v>
      </c>
      <c r="AD130" s="23">
        <f t="shared" si="60"/>
        <v>1.7387173248728138E-2</v>
      </c>
      <c r="AE130" s="23">
        <f t="shared" si="60"/>
        <v>1.5772107829599619E-2</v>
      </c>
      <c r="AF130" s="23">
        <f t="shared" si="60"/>
        <v>4.4529425057689247E-3</v>
      </c>
      <c r="AG130" s="23">
        <f t="shared" si="60"/>
        <v>2.5761688849309513E-2</v>
      </c>
      <c r="AH130" s="23">
        <f t="shared" si="60"/>
        <v>2.0867570883373879E-2</v>
      </c>
      <c r="AI130" s="23">
        <f t="shared" si="60"/>
        <v>0.35405319766507609</v>
      </c>
      <c r="AJ130" s="23">
        <f t="shared" si="60"/>
        <v>0.10556366739119977</v>
      </c>
      <c r="AK130" s="23">
        <f t="shared" si="60"/>
        <v>5.226722535151708E-2</v>
      </c>
      <c r="AL130" s="23">
        <f t="shared" si="60"/>
        <v>3.483422238550278E-2</v>
      </c>
      <c r="AM130" s="23">
        <f t="shared" si="60"/>
        <v>2.7651925916718251E-2</v>
      </c>
      <c r="AN130" s="23">
        <f t="shared" si="60"/>
        <v>2.4264899043106247E-2</v>
      </c>
      <c r="AO130" s="23">
        <f t="shared" si="60"/>
        <v>2.2542569933399034E-2</v>
      </c>
      <c r="AP130" s="23">
        <f t="shared" si="60"/>
        <v>2.1622893746167028E-2</v>
      </c>
      <c r="AQ130" s="23">
        <f t="shared" si="60"/>
        <v>2.1111394041819644E-2</v>
      </c>
      <c r="AR130" s="23">
        <f t="shared" si="60"/>
        <v>2.0814299750431527E-2</v>
      </c>
      <c r="AS130" s="23">
        <f t="shared" si="60"/>
        <v>2.0632511573669902E-2</v>
      </c>
      <c r="AT130" s="23">
        <f t="shared" si="60"/>
        <v>2.0514140140014868E-2</v>
      </c>
      <c r="AU130" s="23">
        <f t="shared" si="60"/>
        <v>2.0431600886245762E-2</v>
      </c>
      <c r="AV130" s="23">
        <f t="shared" si="60"/>
        <v>2.0370052304026179E-2</v>
      </c>
      <c r="AW130" s="23">
        <f t="shared" si="60"/>
        <v>2.0321407265401336E-2</v>
      </c>
      <c r="AX130" s="23">
        <f t="shared" si="60"/>
        <v>2.0281185294487681E-2</v>
      </c>
      <c r="AY130" s="23">
        <f t="shared" si="60"/>
        <v>2.0246844075388289E-2</v>
      </c>
      <c r="AZ130" s="23">
        <f t="shared" si="60"/>
        <v>2.0216890451216482E-2</v>
      </c>
      <c r="BA130" s="23">
        <f t="shared" si="60"/>
        <v>2.0190404976500227E-2</v>
      </c>
      <c r="BB130" s="23">
        <f t="shared" si="60"/>
        <v>2.0166786752621069E-2</v>
      </c>
      <c r="BC130" s="23">
        <f t="shared" si="60"/>
        <v>2.0145615899923013E-2</v>
      </c>
      <c r="BD130" s="23">
        <f t="shared" si="60"/>
        <v>2.0126578975337036E-2</v>
      </c>
      <c r="BE130" s="23">
        <f t="shared" si="60"/>
        <v>2.01514361031782E-2</v>
      </c>
      <c r="BF130" s="23">
        <f t="shared" si="60"/>
        <v>2.012104499211775E-2</v>
      </c>
      <c r="BG130" s="23">
        <f t="shared" si="60"/>
        <v>2.0095681591706258E-2</v>
      </c>
      <c r="BH130" s="23">
        <f t="shared" si="60"/>
        <v>2.0075361383362827E-2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1">+AVERAGE(C129:C130)</f>
        <v>1.5615279721561934E-2</v>
      </c>
      <c r="D131" s="23">
        <f t="shared" si="61"/>
        <v>1.8909828229897511E-2</v>
      </c>
      <c r="E131" s="23">
        <f t="shared" si="61"/>
        <v>2.1650313602943755E-2</v>
      </c>
      <c r="F131" s="23">
        <f t="shared" si="61"/>
        <v>1.9317699947675928E-2</v>
      </c>
      <c r="G131" s="23">
        <f t="shared" si="61"/>
        <v>1.8720057642414932E-2</v>
      </c>
      <c r="H131" s="23">
        <f t="shared" si="61"/>
        <v>2.23189869496584E-2</v>
      </c>
      <c r="I131" s="23">
        <f t="shared" si="61"/>
        <v>2.1501790405503513E-2</v>
      </c>
      <c r="J131" s="23">
        <f t="shared" si="61"/>
        <v>1.7833747088939929E-2</v>
      </c>
      <c r="K131" s="23">
        <f t="shared" si="61"/>
        <v>1.827987150255541E-2</v>
      </c>
      <c r="L131" s="23">
        <f t="shared" si="61"/>
        <v>1.7332563449615403E-2</v>
      </c>
      <c r="M131" s="23">
        <f t="shared" si="61"/>
        <v>1.5056577577293439E-2</v>
      </c>
      <c r="N131" s="23">
        <f t="shared" si="61"/>
        <v>1.7561234066351673E-2</v>
      </c>
      <c r="O131" s="23">
        <f t="shared" si="61"/>
        <v>2.1088691750818317E-2</v>
      </c>
      <c r="P131" s="23">
        <f t="shared" si="61"/>
        <v>2.2130275483385971E-2</v>
      </c>
      <c r="Q131" s="23">
        <f t="shared" si="61"/>
        <v>2.2113466486755176E-2</v>
      </c>
      <c r="R131" s="23">
        <f t="shared" si="61"/>
        <v>2.3044801264653584E-2</v>
      </c>
      <c r="S131" s="23">
        <f t="shared" si="61"/>
        <v>2.1943369394166676E-2</v>
      </c>
      <c r="T131" s="23">
        <f t="shared" si="61"/>
        <v>1.6271166315908279E-2</v>
      </c>
      <c r="U131" s="23">
        <f t="shared" si="61"/>
        <v>1.8075500366838353E-2</v>
      </c>
      <c r="V131" s="23">
        <f t="shared" si="61"/>
        <v>2.2970765178241467E-2</v>
      </c>
      <c r="W131" s="23">
        <f t="shared" si="61"/>
        <v>2.0098245388720258E-2</v>
      </c>
      <c r="X131" s="23">
        <f t="shared" si="61"/>
        <v>1.8798440232658687E-2</v>
      </c>
      <c r="Y131" s="23">
        <f t="shared" si="61"/>
        <v>1.7919218395723198E-2</v>
      </c>
      <c r="Z131" s="23">
        <f t="shared" si="61"/>
        <v>1.6241425342778584E-2</v>
      </c>
      <c r="AA131" s="23">
        <f t="shared" si="61"/>
        <v>1.4776664890082621E-2</v>
      </c>
      <c r="AB131" s="23">
        <f t="shared" si="61"/>
        <v>1.5870840262677599E-2</v>
      </c>
      <c r="AC131" s="23">
        <f t="shared" si="61"/>
        <v>1.7543598543071404E-2</v>
      </c>
      <c r="AD131" s="23">
        <f t="shared" si="61"/>
        <v>1.657964053916388E-2</v>
      </c>
      <c r="AE131" s="23">
        <f t="shared" si="61"/>
        <v>1.0112525167684272E-2</v>
      </c>
      <c r="AF131" s="23">
        <f t="shared" si="61"/>
        <v>1.5107315677539219E-2</v>
      </c>
      <c r="AG131" s="23">
        <f t="shared" si="61"/>
        <v>2.3314629866341696E-2</v>
      </c>
      <c r="AH131" s="23">
        <f t="shared" si="61"/>
        <v>0.18746038427422498</v>
      </c>
      <c r="AI131" s="23">
        <f t="shared" si="61"/>
        <v>0.22980843252813793</v>
      </c>
      <c r="AJ131" s="23">
        <f t="shared" si="61"/>
        <v>7.8915446371358416E-2</v>
      </c>
      <c r="AK131" s="23">
        <f t="shared" si="61"/>
        <v>4.355072386850993E-2</v>
      </c>
      <c r="AL131" s="23">
        <f t="shared" si="61"/>
        <v>3.1243074151110516E-2</v>
      </c>
      <c r="AM131" s="23">
        <f t="shared" si="61"/>
        <v>2.5958412479912249E-2</v>
      </c>
      <c r="AN131" s="23">
        <f t="shared" si="61"/>
        <v>2.3403734488252642E-2</v>
      </c>
      <c r="AO131" s="23">
        <f t="shared" si="61"/>
        <v>2.2082731839783029E-2</v>
      </c>
      <c r="AP131" s="23">
        <f t="shared" si="61"/>
        <v>2.1367143893993336E-2</v>
      </c>
      <c r="AQ131" s="23">
        <f t="shared" si="61"/>
        <v>2.0962846896125584E-2</v>
      </c>
      <c r="AR131" s="23">
        <f t="shared" si="61"/>
        <v>2.0723405662050713E-2</v>
      </c>
      <c r="AS131" s="23">
        <f t="shared" si="61"/>
        <v>2.0573325856842385E-2</v>
      </c>
      <c r="AT131" s="23">
        <f t="shared" si="61"/>
        <v>2.0472870513130313E-2</v>
      </c>
      <c r="AU131" s="23">
        <f t="shared" si="61"/>
        <v>2.0400826595135972E-2</v>
      </c>
      <c r="AV131" s="23">
        <f t="shared" si="61"/>
        <v>2.0345729784713759E-2</v>
      </c>
      <c r="AW131" s="23">
        <f t="shared" si="61"/>
        <v>2.0301296279944508E-2</v>
      </c>
      <c r="AX131" s="23">
        <f t="shared" si="61"/>
        <v>2.0264014684937985E-2</v>
      </c>
      <c r="AY131" s="23">
        <f t="shared" si="61"/>
        <v>2.0231867263302387E-2</v>
      </c>
      <c r="AZ131" s="23">
        <f t="shared" si="61"/>
        <v>2.0203647713858353E-2</v>
      </c>
      <c r="BA131" s="23">
        <f t="shared" si="61"/>
        <v>2.0178595864560646E-2</v>
      </c>
      <c r="BB131" s="23">
        <f t="shared" si="61"/>
        <v>2.0156201326272043E-2</v>
      </c>
      <c r="BC131" s="23">
        <f>+AVERAGE(BC129:BC130)</f>
        <v>2.0136097437630025E-2</v>
      </c>
      <c r="BD131" s="23">
        <f>+AVERAGE(BD129:BD130)</f>
        <v>2.0139007539257618E-2</v>
      </c>
      <c r="BE131" s="23">
        <f>+AVERAGE(BE129:BE130)</f>
        <v>2.0136240547647975E-2</v>
      </c>
      <c r="BF131" s="23">
        <f>+AVERAGE(BF129:BF130)</f>
        <v>2.0108363291912006E-2</v>
      </c>
      <c r="BG131" s="23">
        <f>+AVERAGE(BG129:BG130)</f>
        <v>2.0085521487534543E-2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2">+B88^-$B$18</f>
        <v>6.7630545154383298E-2</v>
      </c>
      <c r="C132" s="23">
        <f t="shared" si="62"/>
        <v>7.578724841943095E-2</v>
      </c>
      <c r="D132" s="23">
        <f t="shared" si="62"/>
        <v>8.0374807577125229E-2</v>
      </c>
      <c r="E132" s="23">
        <f t="shared" si="62"/>
        <v>8.00246783847057E-2</v>
      </c>
      <c r="F132" s="23">
        <f t="shared" si="62"/>
        <v>7.6276211337461916E-2</v>
      </c>
      <c r="G132" s="23">
        <f t="shared" si="62"/>
        <v>7.5446208925695729E-2</v>
      </c>
      <c r="H132" s="23">
        <f t="shared" si="62"/>
        <v>7.0147942262893975E-2</v>
      </c>
      <c r="I132" s="23">
        <f t="shared" si="62"/>
        <v>6.3959288963214345E-2</v>
      </c>
      <c r="J132" s="23">
        <f t="shared" si="62"/>
        <v>6.0447621930984442E-2</v>
      </c>
      <c r="K132" s="23">
        <f t="shared" si="62"/>
        <v>5.9310028208128161E-2</v>
      </c>
      <c r="L132" s="23">
        <f t="shared" si="62"/>
        <v>5.5612854738211946E-2</v>
      </c>
      <c r="M132" s="23">
        <f t="shared" si="62"/>
        <v>5.5724376603732202E-2</v>
      </c>
      <c r="N132" s="23">
        <f t="shared" si="62"/>
        <v>5.4740365405609753E-2</v>
      </c>
      <c r="O132" s="23">
        <f t="shared" si="62"/>
        <v>5.2170206040844644E-2</v>
      </c>
      <c r="P132" s="23">
        <f t="shared" si="62"/>
        <v>4.7757976468520209E-2</v>
      </c>
      <c r="Q132" s="23">
        <f t="shared" si="62"/>
        <v>4.4577293379937967E-2</v>
      </c>
      <c r="R132" s="23">
        <f t="shared" si="62"/>
        <v>4.0820945724200149E-2</v>
      </c>
      <c r="S132" s="23">
        <f t="shared" si="62"/>
        <v>3.7399118798897998E-2</v>
      </c>
      <c r="T132" s="23">
        <f t="shared" si="62"/>
        <v>3.5010446660085744E-2</v>
      </c>
      <c r="U132" s="23">
        <f t="shared" si="62"/>
        <v>3.5928913879159578E-2</v>
      </c>
      <c r="V132" s="23">
        <f t="shared" si="62"/>
        <v>3.2658715755091786E-2</v>
      </c>
      <c r="W132" s="23">
        <f t="shared" si="62"/>
        <v>3.0796954206131807E-2</v>
      </c>
      <c r="X132" s="23">
        <f t="shared" si="62"/>
        <v>2.9847238072170847E-2</v>
      </c>
      <c r="Y132" s="23">
        <f t="shared" si="62"/>
        <v>2.8887022399302353E-2</v>
      </c>
      <c r="Z132" s="23">
        <f t="shared" si="62"/>
        <v>2.8492856081887761E-2</v>
      </c>
      <c r="AA132" s="23">
        <f t="shared" si="62"/>
        <v>2.8517256258364154E-2</v>
      </c>
      <c r="AB132" s="23">
        <f t="shared" si="62"/>
        <v>2.8964343690123021E-2</v>
      </c>
      <c r="AC132" s="23">
        <f t="shared" si="62"/>
        <v>2.8361654320739768E-2</v>
      </c>
      <c r="AD132" s="23">
        <f t="shared" si="62"/>
        <v>2.7858525065700177E-2</v>
      </c>
      <c r="AE132" s="23">
        <f t="shared" si="62"/>
        <v>2.7809861093143026E-2</v>
      </c>
      <c r="AF132" s="23">
        <f t="shared" si="62"/>
        <v>3.0995672908661207E-2</v>
      </c>
      <c r="AG132" s="23">
        <f t="shared" si="62"/>
        <v>2.7833232562071836E-2</v>
      </c>
      <c r="AH132" s="23">
        <f t="shared" si="62"/>
        <v>2.6247087062278164E-2</v>
      </c>
      <c r="AI132" s="23">
        <f t="shared" si="62"/>
        <v>8.8428403373068756E-4</v>
      </c>
      <c r="AJ132" s="23">
        <f t="shared" si="62"/>
        <v>3.575022451461454E-4</v>
      </c>
      <c r="AK132" s="23">
        <f t="shared" si="62"/>
        <v>2.4628007109741114E-4</v>
      </c>
      <c r="AL132" s="23">
        <f t="shared" si="62"/>
        <v>2.0197161442394259E-4</v>
      </c>
      <c r="AM132" s="23">
        <f t="shared" si="62"/>
        <v>1.7796873800926405E-4</v>
      </c>
      <c r="AN132" s="23">
        <f t="shared" si="62"/>
        <v>1.6222088842180195E-4</v>
      </c>
      <c r="AO132" s="23">
        <f t="shared" si="62"/>
        <v>1.5043531873189226E-4</v>
      </c>
      <c r="AP132" s="23">
        <f t="shared" si="62"/>
        <v>1.4079490802563365E-4</v>
      </c>
      <c r="AQ132" s="23">
        <f t="shared" si="62"/>
        <v>1.3244802946899429E-4</v>
      </c>
      <c r="AR132" s="23">
        <f t="shared" si="62"/>
        <v>1.2496670484187067E-4</v>
      </c>
      <c r="AS132" s="23">
        <f t="shared" si="62"/>
        <v>1.181225003840546E-4</v>
      </c>
      <c r="AT132" s="23">
        <f t="shared" si="62"/>
        <v>1.1178538452515823E-4</v>
      </c>
      <c r="AU132" s="23">
        <f t="shared" si="62"/>
        <v>1.0587559942203849E-4</v>
      </c>
      <c r="AV132" s="23">
        <f t="shared" si="62"/>
        <v>1.0033998720275059E-4</v>
      </c>
      <c r="AW132" s="23">
        <f t="shared" si="62"/>
        <v>9.514006924853887E-5</v>
      </c>
      <c r="AX132" s="23">
        <f t="shared" si="62"/>
        <v>9.0245917967977024E-5</v>
      </c>
      <c r="AY132" s="23">
        <f t="shared" si="62"/>
        <v>8.5632931689685033E-5</v>
      </c>
      <c r="AZ132" s="23">
        <f t="shared" si="62"/>
        <v>8.12800842729462E-5</v>
      </c>
      <c r="BA132" s="23">
        <f t="shared" si="62"/>
        <v>7.7168934321898851E-5</v>
      </c>
      <c r="BB132" s="23">
        <f t="shared" si="62"/>
        <v>7.3283032608637913E-5</v>
      </c>
      <c r="BC132" s="23">
        <f t="shared" si="62"/>
        <v>6.9607543449456117E-5</v>
      </c>
      <c r="BD132" s="23">
        <f t="shared" si="62"/>
        <v>6.612898510551409E-5</v>
      </c>
      <c r="BE132" s="23">
        <f t="shared" si="62"/>
        <v>6.2808649418025824E-5</v>
      </c>
      <c r="BF132" s="23">
        <f t="shared" si="62"/>
        <v>5.9673160333480253E-5</v>
      </c>
      <c r="BG132" s="23">
        <f t="shared" si="62"/>
        <v>5.6708580323327824E-5</v>
      </c>
      <c r="BH132" s="23">
        <f t="shared" si="62"/>
        <v>5.3902233446127026E-5</v>
      </c>
      <c r="BI132" s="23">
        <f t="shared" si="62"/>
        <v>5.3902233446127026E-5</v>
      </c>
    </row>
    <row r="133" spans="1:61" ht="18" customHeight="1" x14ac:dyDescent="0.2">
      <c r="A133" s="23" t="s">
        <v>14</v>
      </c>
      <c r="B133" s="23">
        <f t="shared" ref="B133:AG133" si="63">+B17*B132/$B132</f>
        <v>1</v>
      </c>
      <c r="C133" s="23">
        <f t="shared" si="63"/>
        <v>0.96559015451289931</v>
      </c>
      <c r="D133" s="23">
        <f t="shared" si="63"/>
        <v>0.88238113207898206</v>
      </c>
      <c r="E133" s="23">
        <f t="shared" si="63"/>
        <v>0.75700680186764091</v>
      </c>
      <c r="F133" s="23">
        <f t="shared" si="63"/>
        <v>0.62173388185013989</v>
      </c>
      <c r="G133" s="23">
        <f t="shared" si="63"/>
        <v>0.52989817194143807</v>
      </c>
      <c r="H133" s="23">
        <f t="shared" si="63"/>
        <v>0.42453110168429753</v>
      </c>
      <c r="I133" s="23">
        <f t="shared" si="63"/>
        <v>0.33353221021132362</v>
      </c>
      <c r="J133" s="23">
        <f t="shared" si="63"/>
        <v>0.27161450063732945</v>
      </c>
      <c r="K133" s="23">
        <f t="shared" si="63"/>
        <v>0.22963677548885125</v>
      </c>
      <c r="L133" s="23">
        <f t="shared" si="63"/>
        <v>0.18553595153397462</v>
      </c>
      <c r="M133" s="23">
        <f t="shared" si="63"/>
        <v>0.16019084160236036</v>
      </c>
      <c r="N133" s="23">
        <f t="shared" si="63"/>
        <v>0.13559376942068463</v>
      </c>
      <c r="O133" s="23">
        <f t="shared" si="63"/>
        <v>0.11135101274834094</v>
      </c>
      <c r="P133" s="23">
        <f t="shared" si="63"/>
        <v>8.7832878146161267E-2</v>
      </c>
      <c r="Q133" s="23">
        <f t="shared" si="63"/>
        <v>7.0642241341955042E-2</v>
      </c>
      <c r="R133" s="23">
        <f t="shared" si="63"/>
        <v>5.5740827790202514E-2</v>
      </c>
      <c r="S133" s="23">
        <f t="shared" si="63"/>
        <v>4.4003913153459348E-2</v>
      </c>
      <c r="T133" s="23">
        <f t="shared" si="63"/>
        <v>3.5494998196195143E-2</v>
      </c>
      <c r="U133" s="23">
        <f t="shared" si="63"/>
        <v>3.1387243256377678E-2</v>
      </c>
      <c r="V133" s="23">
        <f t="shared" si="63"/>
        <v>2.4583729285864487E-2</v>
      </c>
      <c r="W133" s="23">
        <f t="shared" si="63"/>
        <v>1.9975424012417236E-2</v>
      </c>
      <c r="X133" s="23">
        <f t="shared" si="63"/>
        <v>1.6681379654812034E-2</v>
      </c>
      <c r="Y133" s="23">
        <f t="shared" si="63"/>
        <v>1.3911378680494009E-2</v>
      </c>
      <c r="Z133" s="23">
        <f t="shared" si="63"/>
        <v>1.182341562441395E-2</v>
      </c>
      <c r="AA133" s="23">
        <f t="shared" si="63"/>
        <v>1.0196574289896929E-2</v>
      </c>
      <c r="AB133" s="23">
        <f t="shared" si="63"/>
        <v>8.9237998120789124E-3</v>
      </c>
      <c r="AC133" s="23">
        <f t="shared" si="63"/>
        <v>7.5293461557077983E-3</v>
      </c>
      <c r="AD133" s="23">
        <f t="shared" si="63"/>
        <v>6.3726989340329677E-3</v>
      </c>
      <c r="AE133" s="23">
        <f t="shared" si="63"/>
        <v>5.4815537773504602E-3</v>
      </c>
      <c r="AF133" s="23">
        <f t="shared" si="63"/>
        <v>5.2643590991338128E-3</v>
      </c>
      <c r="AG133" s="23">
        <f t="shared" si="63"/>
        <v>4.0733118714482586E-3</v>
      </c>
      <c r="AH133" s="23">
        <f t="shared" ref="AH133:BI133" si="64">+AH17*AH132/$B132</f>
        <v>3.3098224994755772E-3</v>
      </c>
      <c r="AI133" s="23">
        <f t="shared" si="64"/>
        <v>9.6084858123345179E-5</v>
      </c>
      <c r="AJ133" s="23">
        <f t="shared" si="64"/>
        <v>3.3471989038487548E-5</v>
      </c>
      <c r="AK133" s="23">
        <f t="shared" si="64"/>
        <v>1.9868798019443285E-5</v>
      </c>
      <c r="AL133" s="23">
        <f t="shared" si="64"/>
        <v>1.404016588521544E-5</v>
      </c>
      <c r="AM133" s="23">
        <f t="shared" si="64"/>
        <v>1.066019626169969E-5</v>
      </c>
      <c r="AN133" s="23">
        <f t="shared" si="64"/>
        <v>8.3727443847405952E-6</v>
      </c>
      <c r="AO133" s="23">
        <f t="shared" si="64"/>
        <v>6.6903747563938202E-6</v>
      </c>
      <c r="AP133" s="23">
        <f t="shared" si="64"/>
        <v>5.3954436429402665E-6</v>
      </c>
      <c r="AQ133" s="23">
        <f t="shared" si="64"/>
        <v>4.3734613311567275E-6</v>
      </c>
      <c r="AR133" s="23">
        <f t="shared" si="64"/>
        <v>3.5556064512414049E-6</v>
      </c>
      <c r="AS133" s="23">
        <f t="shared" si="64"/>
        <v>2.8959534459434739E-6</v>
      </c>
      <c r="AT133" s="23">
        <f t="shared" si="64"/>
        <v>2.3614760601950278E-6</v>
      </c>
      <c r="AU133" s="23">
        <f t="shared" si="64"/>
        <v>1.9272319274976164E-6</v>
      </c>
      <c r="AV133" s="23">
        <f t="shared" si="64"/>
        <v>1.5738078908395241E-6</v>
      </c>
      <c r="AW133" s="23">
        <f t="shared" si="64"/>
        <v>1.2858216024779985E-6</v>
      </c>
      <c r="AX133" s="23">
        <f t="shared" si="64"/>
        <v>1.0509556735535062E-6</v>
      </c>
      <c r="AY133" s="23">
        <f t="shared" si="64"/>
        <v>8.5928498341755011E-7</v>
      </c>
      <c r="AZ133" s="23">
        <f t="shared" si="64"/>
        <v>7.0278119545822719E-7</v>
      </c>
      <c r="BA133" s="23">
        <f t="shared" si="64"/>
        <v>5.7493409949070368E-7</v>
      </c>
      <c r="BB133" s="23">
        <f t="shared" si="64"/>
        <v>4.7045552722310659E-7</v>
      </c>
      <c r="BC133" s="23">
        <f t="shared" si="64"/>
        <v>3.8504459095650453E-7</v>
      </c>
      <c r="BD133" s="23">
        <f t="shared" si="64"/>
        <v>3.1519996078052824E-7</v>
      </c>
      <c r="BE133" s="23">
        <f t="shared" si="64"/>
        <v>2.5796057098090234E-7</v>
      </c>
      <c r="BF133" s="23">
        <f t="shared" si="64"/>
        <v>2.1117985689394668E-7</v>
      </c>
      <c r="BG133" s="23">
        <f t="shared" si="64"/>
        <v>1.729266008411039E-7</v>
      </c>
      <c r="BH133" s="23">
        <f t="shared" si="64"/>
        <v>1.4163134122495694E-7</v>
      </c>
      <c r="BI133" s="23">
        <f t="shared" si="64"/>
        <v>1.2203908571840879E-7</v>
      </c>
    </row>
    <row r="134" spans="1:61" ht="18" customHeight="1" x14ac:dyDescent="0.2">
      <c r="A134" s="23" t="s">
        <v>15</v>
      </c>
      <c r="B134" s="23"/>
      <c r="C134" s="23">
        <f>+(C133/B133)^-0.1-1</f>
        <v>3.5077182438043586E-3</v>
      </c>
      <c r="D134" s="23">
        <f t="shared" ref="D134:BI134" si="65">+(D133/C133)^-0.1-1</f>
        <v>9.0522649878674866E-3</v>
      </c>
      <c r="E134" s="23">
        <f t="shared" si="65"/>
        <v>1.5443217481390992E-2</v>
      </c>
      <c r="F134" s="23">
        <f t="shared" si="65"/>
        <v>1.9881055272777282E-2</v>
      </c>
      <c r="G134" s="23">
        <f t="shared" si="65"/>
        <v>1.6111136896238332E-2</v>
      </c>
      <c r="H134" s="23">
        <f t="shared" si="65"/>
        <v>2.2417538764642586E-2</v>
      </c>
      <c r="I134" s="23">
        <f t="shared" si="65"/>
        <v>2.4417934658692575E-2</v>
      </c>
      <c r="J134" s="23">
        <f t="shared" si="65"/>
        <v>2.0747871423973274E-2</v>
      </c>
      <c r="K134" s="23">
        <f t="shared" si="65"/>
        <v>1.6930214803527965E-2</v>
      </c>
      <c r="L134" s="23">
        <f t="shared" si="65"/>
        <v>2.1554018223209015E-2</v>
      </c>
      <c r="M134" s="23">
        <f t="shared" si="65"/>
        <v>1.4796683656483234E-2</v>
      </c>
      <c r="N134" s="23">
        <f t="shared" si="65"/>
        <v>1.6809967669992654E-2</v>
      </c>
      <c r="O134" s="23">
        <f t="shared" si="65"/>
        <v>1.9892871397126477E-2</v>
      </c>
      <c r="P134" s="23">
        <f t="shared" si="65"/>
        <v>2.4008839796598958E-2</v>
      </c>
      <c r="Q134" s="23">
        <f t="shared" si="65"/>
        <v>2.2019693538962049E-2</v>
      </c>
      <c r="R134" s="23">
        <f t="shared" si="65"/>
        <v>2.3974415252968173E-2</v>
      </c>
      <c r="S134" s="23">
        <f t="shared" si="65"/>
        <v>2.3925152576889763E-2</v>
      </c>
      <c r="T134" s="23">
        <f t="shared" si="65"/>
        <v>2.1721221792165846E-2</v>
      </c>
      <c r="U134" s="23">
        <f t="shared" si="65"/>
        <v>1.2374968632284045E-2</v>
      </c>
      <c r="V134" s="23">
        <f t="shared" si="65"/>
        <v>2.4732571984814378E-2</v>
      </c>
      <c r="W134" s="23">
        <f t="shared" si="65"/>
        <v>2.0975159633415785E-2</v>
      </c>
      <c r="X134" s="23">
        <f t="shared" si="65"/>
        <v>1.8184318526524024E-2</v>
      </c>
      <c r="Y134" s="23">
        <f t="shared" si="65"/>
        <v>1.8324468954197703E-2</v>
      </c>
      <c r="Z134" s="23">
        <f t="shared" si="65"/>
        <v>1.6395472006644152E-2</v>
      </c>
      <c r="AA134" s="23">
        <f t="shared" si="65"/>
        <v>1.4913120253009726E-2</v>
      </c>
      <c r="AB134" s="23">
        <f t="shared" si="65"/>
        <v>1.3422277367532987E-2</v>
      </c>
      <c r="AC134" s="23">
        <f t="shared" si="65"/>
        <v>1.7136538057716866E-2</v>
      </c>
      <c r="AD134" s="23">
        <f t="shared" si="65"/>
        <v>1.6818376064189566E-2</v>
      </c>
      <c r="AE134" s="23">
        <f t="shared" si="65"/>
        <v>1.5177473306805966E-2</v>
      </c>
      <c r="AF134" s="23">
        <f t="shared" si="65"/>
        <v>4.0511023374500965E-3</v>
      </c>
      <c r="AG134" s="23">
        <f t="shared" si="65"/>
        <v>2.5982101170065386E-2</v>
      </c>
      <c r="AH134" s="23">
        <f t="shared" si="65"/>
        <v>2.0973091077287176E-2</v>
      </c>
      <c r="AI134" s="23">
        <f t="shared" si="65"/>
        <v>0.42467228261398104</v>
      </c>
      <c r="AJ134" s="23">
        <f t="shared" si="65"/>
        <v>0.11121307604176622</v>
      </c>
      <c r="AK134" s="23">
        <f t="shared" si="65"/>
        <v>5.3539911110843219E-2</v>
      </c>
      <c r="AL134" s="23">
        <f t="shared" si="65"/>
        <v>3.5332710912725274E-2</v>
      </c>
      <c r="AM134" s="23">
        <f t="shared" si="65"/>
        <v>2.7923284638681656E-2</v>
      </c>
      <c r="AN134" s="23">
        <f t="shared" si="65"/>
        <v>2.444757034123235E-2</v>
      </c>
      <c r="AO134" s="23">
        <f t="shared" si="65"/>
        <v>2.2684653067129856E-2</v>
      </c>
      <c r="AP134" s="23">
        <f t="shared" si="65"/>
        <v>2.1744546707634926E-2</v>
      </c>
      <c r="AQ134" s="23">
        <f t="shared" si="65"/>
        <v>2.1222058311797243E-2</v>
      </c>
      <c r="AR134" s="23">
        <f t="shared" si="65"/>
        <v>2.0918704132661725E-2</v>
      </c>
      <c r="AS134" s="23">
        <f t="shared" si="65"/>
        <v>2.0733130050913484E-2</v>
      </c>
      <c r="AT134" s="23">
        <f t="shared" si="65"/>
        <v>2.0612311557800522E-2</v>
      </c>
      <c r="AU134" s="23">
        <f t="shared" si="65"/>
        <v>2.0528074455698597E-2</v>
      </c>
      <c r="AV134" s="23">
        <f t="shared" si="65"/>
        <v>2.0465264332557576E-2</v>
      </c>
      <c r="AW134" s="23">
        <f t="shared" si="65"/>
        <v>2.0415624967722756E-2</v>
      </c>
      <c r="AX134" s="23">
        <f t="shared" si="65"/>
        <v>2.0374582665542151E-2</v>
      </c>
      <c r="AY134" s="23">
        <f t="shared" si="65"/>
        <v>2.0339542360102492E-2</v>
      </c>
      <c r="AZ134" s="23">
        <f t="shared" si="65"/>
        <v>2.0308979950652617E-2</v>
      </c>
      <c r="BA134" s="23">
        <f t="shared" si="65"/>
        <v>2.0281956940821466E-2</v>
      </c>
      <c r="BB134" s="23">
        <f t="shared" si="65"/>
        <v>2.025785997770746E-2</v>
      </c>
      <c r="BC134" s="23">
        <f t="shared" si="65"/>
        <v>2.0236260477480617E-2</v>
      </c>
      <c r="BD134" s="23">
        <f t="shared" si="65"/>
        <v>2.0216838501597945E-2</v>
      </c>
      <c r="BE134" s="23">
        <f t="shared" si="65"/>
        <v>2.0242198477165241E-2</v>
      </c>
      <c r="BF134" s="23">
        <f t="shared" si="65"/>
        <v>2.0211192654355559E-2</v>
      </c>
      <c r="BG134" s="23">
        <f t="shared" si="65"/>
        <v>2.0185316957521238E-2</v>
      </c>
      <c r="BH134" s="23">
        <f t="shared" si="65"/>
        <v>2.0164586789953143E-2</v>
      </c>
      <c r="BI134" s="23">
        <f t="shared" si="65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 x14ac:dyDescent="0.2">
      <c r="A136" s="23" t="s">
        <v>207</v>
      </c>
      <c r="B136" s="23"/>
      <c r="C136" s="23">
        <f>+C134+C135</f>
        <v>1.4069320651991245E-2</v>
      </c>
      <c r="D136" s="23">
        <f t="shared" ref="D136:K136" si="67">+D134+D135</f>
        <v>1.698532763281816E-2</v>
      </c>
      <c r="E136" s="23">
        <f t="shared" si="67"/>
        <v>2.0770312803489156E-2</v>
      </c>
      <c r="F136" s="23">
        <f t="shared" si="67"/>
        <v>2.2620619473713473E-2</v>
      </c>
      <c r="G136" s="23">
        <f t="shared" si="67"/>
        <v>1.6115459676511925E-2</v>
      </c>
      <c r="H136" s="23">
        <f t="shared" si="67"/>
        <v>2.1477867376048752E-2</v>
      </c>
      <c r="I136" s="23">
        <f t="shared" si="67"/>
        <v>2.3478263270098741E-2</v>
      </c>
      <c r="J136" s="23">
        <f t="shared" si="67"/>
        <v>1.980820003537943E-2</v>
      </c>
      <c r="K136" s="23">
        <f t="shared" si="67"/>
        <v>1.5990543414934142E-2</v>
      </c>
    </row>
    <row r="137" spans="1:61" ht="18" customHeight="1" x14ac:dyDescent="0.2">
      <c r="A137" s="23" t="s">
        <v>208</v>
      </c>
      <c r="B137" s="23"/>
      <c r="C137" s="23">
        <f>+C136-C129</f>
        <v>-2.9866683278488466E-3</v>
      </c>
      <c r="D137" s="23">
        <f t="shared" ref="D137:K137" si="68">+D136-D129</f>
        <v>-3.7783398471367691E-3</v>
      </c>
      <c r="E137" s="23">
        <f t="shared" si="68"/>
        <v>-1.7666469224434204E-3</v>
      </c>
      <c r="F137" s="23">
        <f t="shared" si="68"/>
        <v>6.5221793042941935E-3</v>
      </c>
      <c r="G137" s="23">
        <f t="shared" si="68"/>
        <v>-5.2262154388986563E-3</v>
      </c>
      <c r="H137" s="23">
        <f t="shared" si="68"/>
        <v>-1.8184314078574688E-3</v>
      </c>
      <c r="I137" s="23">
        <f t="shared" si="68"/>
        <v>3.7709812429979339E-3</v>
      </c>
      <c r="J137" s="23">
        <f t="shared" si="68"/>
        <v>3.8479878846003832E-3</v>
      </c>
      <c r="K137" s="23">
        <f t="shared" si="68"/>
        <v>-4.6089874393976278E-3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69">+$B$7*B68/B74-(1-(1-0.1)^10)/10</f>
        <v>0.10557868574053113</v>
      </c>
      <c r="C139" s="23">
        <f t="shared" si="69"/>
        <v>3.923160850283812E-2</v>
      </c>
      <c r="D139" s="23">
        <f t="shared" si="69"/>
        <v>2.6170800902682326E-2</v>
      </c>
      <c r="E139" s="23">
        <f t="shared" si="69"/>
        <v>2.620180319370044E-2</v>
      </c>
      <c r="F139" s="23">
        <f t="shared" si="69"/>
        <v>2.9044763527938347E-2</v>
      </c>
      <c r="G139" s="23">
        <f t="shared" si="69"/>
        <v>2.7618888216395521E-2</v>
      </c>
      <c r="H139" s="23">
        <f t="shared" si="69"/>
        <v>3.075898782702223E-2</v>
      </c>
      <c r="I139" s="23">
        <f t="shared" si="69"/>
        <v>3.3056470055912668E-2</v>
      </c>
      <c r="J139" s="23">
        <f t="shared" si="69"/>
        <v>3.134591423598071E-2</v>
      </c>
      <c r="K139" s="23">
        <f t="shared" si="69"/>
        <v>2.8179990053085135E-2</v>
      </c>
      <c r="L139" s="23">
        <f t="shared" si="69"/>
        <v>2.9388324266406973E-2</v>
      </c>
      <c r="M139" s="23">
        <f t="shared" si="69"/>
        <v>2.6454654279405687E-2</v>
      </c>
      <c r="N139" s="23">
        <f t="shared" si="69"/>
        <v>2.3400118059876865E-2</v>
      </c>
      <c r="O139" s="23">
        <f t="shared" si="69"/>
        <v>2.4171261714904052E-2</v>
      </c>
      <c r="P139" s="23">
        <f t="shared" si="69"/>
        <v>2.6874188582587888E-2</v>
      </c>
      <c r="Q139" s="23">
        <f t="shared" si="69"/>
        <v>2.6608752052280332E-2</v>
      </c>
      <c r="R139" s="23">
        <f t="shared" si="69"/>
        <v>2.7695030401121395E-2</v>
      </c>
      <c r="S139" s="23">
        <f t="shared" si="69"/>
        <v>2.8030643718811865E-2</v>
      </c>
      <c r="T139" s="23">
        <f t="shared" si="69"/>
        <v>2.6812066649355412E-2</v>
      </c>
      <c r="U139" s="23">
        <f t="shared" si="69"/>
        <v>2.0969687924685149E-2</v>
      </c>
      <c r="V139" s="23">
        <f t="shared" si="69"/>
        <v>2.6760214883432637E-2</v>
      </c>
      <c r="W139" s="23">
        <f t="shared" si="69"/>
        <v>2.7168386899260683E-2</v>
      </c>
      <c r="X139" s="23">
        <f t="shared" si="69"/>
        <v>2.5633708430695373E-2</v>
      </c>
      <c r="Y139" s="23">
        <f t="shared" si="69"/>
        <v>2.5207170811683804E-2</v>
      </c>
      <c r="Z139" s="23">
        <f t="shared" si="69"/>
        <v>2.393048316739714E-2</v>
      </c>
      <c r="AA139" s="23">
        <f t="shared" si="69"/>
        <v>2.2642085065913878E-2</v>
      </c>
      <c r="AB139" s="23">
        <f t="shared" si="69"/>
        <v>2.1352207696100994E-2</v>
      </c>
      <c r="AC139" s="23">
        <f t="shared" si="69"/>
        <v>2.3033666706785388E-2</v>
      </c>
      <c r="AD139" s="23">
        <f t="shared" si="69"/>
        <v>2.343852127090304E-2</v>
      </c>
      <c r="AE139" s="23">
        <f t="shared" si="69"/>
        <v>2.2628008301363065E-2</v>
      </c>
      <c r="AF139" s="23">
        <f t="shared" si="69"/>
        <v>1.5911507740937775E-2</v>
      </c>
      <c r="AG139" s="23">
        <f t="shared" si="69"/>
        <v>2.5594542784738078E-2</v>
      </c>
      <c r="AH139" s="23">
        <f t="shared" si="69"/>
        <v>2.6224549279555406E-2</v>
      </c>
      <c r="AI139" s="23">
        <f t="shared" si="69"/>
        <v>0.77902632457043886</v>
      </c>
      <c r="AJ139" s="23">
        <f t="shared" si="69"/>
        <v>0.16485157570577169</v>
      </c>
      <c r="AK139" s="23">
        <f t="shared" si="69"/>
        <v>7.643999333810457E-2</v>
      </c>
      <c r="AL139" s="23">
        <f t="shared" si="69"/>
        <v>4.8976203197690055E-2</v>
      </c>
      <c r="AM139" s="23">
        <f t="shared" si="69"/>
        <v>3.7555651925470071E-2</v>
      </c>
      <c r="AN139" s="23">
        <f t="shared" si="69"/>
        <v>3.2142851314019769E-2</v>
      </c>
      <c r="AO139" s="23">
        <f t="shared" si="69"/>
        <v>2.9398961941778143E-2</v>
      </c>
      <c r="AP139" s="23">
        <f t="shared" si="69"/>
        <v>2.7950542796117875E-2</v>
      </c>
      <c r="AQ139" s="23">
        <f t="shared" si="69"/>
        <v>2.7161887785434699E-2</v>
      </c>
      <c r="AR139" s="23">
        <f t="shared" si="69"/>
        <v>2.6718753697390296E-2</v>
      </c>
      <c r="AS139" s="23">
        <f t="shared" si="69"/>
        <v>2.6459998705022525E-2</v>
      </c>
      <c r="AT139" s="23">
        <f t="shared" si="69"/>
        <v>2.6301245658698597E-2</v>
      </c>
      <c r="AU139" s="23">
        <f t="shared" si="69"/>
        <v>2.6197744117519739E-2</v>
      </c>
      <c r="AV139" s="23">
        <f t="shared" si="69"/>
        <v>2.612553851621699E-2</v>
      </c>
      <c r="AW139" s="23">
        <f t="shared" si="69"/>
        <v>2.6071690796512795E-2</v>
      </c>
      <c r="AX139" s="23">
        <f t="shared" si="69"/>
        <v>2.6029136094549765E-2</v>
      </c>
      <c r="AY139" s="23">
        <f t="shared" si="69"/>
        <v>2.5993955508229458E-2</v>
      </c>
      <c r="AZ139" s="23">
        <f t="shared" si="69"/>
        <v>2.5963923697020636E-2</v>
      </c>
      <c r="BA139" s="23">
        <f t="shared" si="69"/>
        <v>2.5937733021126147E-2</v>
      </c>
      <c r="BB139" s="23">
        <f t="shared" si="69"/>
        <v>2.5914578002465175E-2</v>
      </c>
      <c r="BC139" s="23">
        <f t="shared" si="69"/>
        <v>2.5893932122445618E-2</v>
      </c>
      <c r="BD139" s="23">
        <f t="shared" si="69"/>
        <v>2.5875427454714287E-2</v>
      </c>
      <c r="BE139" s="23">
        <f t="shared" si="69"/>
        <v>2.5884275226366132E-2</v>
      </c>
      <c r="BF139" s="23">
        <f t="shared" si="69"/>
        <v>2.5868817151756915E-2</v>
      </c>
      <c r="BG139" s="23">
        <f t="shared" si="69"/>
        <v>2.5848224231401262E-2</v>
      </c>
      <c r="BH139" s="23">
        <f t="shared" si="69"/>
        <v>2.5828962690315441E-2</v>
      </c>
      <c r="BI139" s="23">
        <f t="shared" si="69"/>
        <v>2.5812619055211414E-2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70">+B140/(1+C131)^10</f>
        <v>0.85646129022090389</v>
      </c>
      <c r="D140" s="23">
        <f t="shared" si="70"/>
        <v>0.71015021828220593</v>
      </c>
      <c r="E140" s="23">
        <f t="shared" si="70"/>
        <v>0.57322813531952599</v>
      </c>
      <c r="F140" s="23">
        <f t="shared" si="70"/>
        <v>0.47340391211452937</v>
      </c>
      <c r="G140" s="23">
        <f t="shared" si="70"/>
        <v>0.3932631663391693</v>
      </c>
      <c r="H140" s="23">
        <f t="shared" si="70"/>
        <v>0.31536900206693697</v>
      </c>
      <c r="I140" s="23">
        <f t="shared" si="70"/>
        <v>0.25493395418217657</v>
      </c>
      <c r="J140" s="23">
        <f t="shared" si="70"/>
        <v>0.21362851453984505</v>
      </c>
      <c r="K140" s="23">
        <f t="shared" si="70"/>
        <v>0.17823279998543962</v>
      </c>
      <c r="L140" s="23">
        <f t="shared" si="70"/>
        <v>0.15009221636931178</v>
      </c>
      <c r="M140" s="23">
        <f t="shared" si="70"/>
        <v>0.12925747650783384</v>
      </c>
      <c r="N140" s="23">
        <f t="shared" si="70"/>
        <v>0.1086050799156689</v>
      </c>
      <c r="O140" s="23">
        <f t="shared" si="70"/>
        <v>8.8148611165853999E-2</v>
      </c>
      <c r="P140" s="23">
        <f t="shared" si="70"/>
        <v>7.081951551638456E-2</v>
      </c>
      <c r="Q140" s="23">
        <f t="shared" si="70"/>
        <v>5.6906496569143275E-2</v>
      </c>
      <c r="R140" s="23">
        <f t="shared" si="70"/>
        <v>4.5312218024497017E-2</v>
      </c>
      <c r="S140" s="23">
        <f t="shared" si="70"/>
        <v>3.6470945238860637E-2</v>
      </c>
      <c r="T140" s="23">
        <f t="shared" si="70"/>
        <v>3.1034944994101248E-2</v>
      </c>
      <c r="U140" s="23">
        <f t="shared" si="70"/>
        <v>2.5944847106078504E-2</v>
      </c>
      <c r="V140" s="23">
        <f t="shared" si="70"/>
        <v>2.0673732426976538E-2</v>
      </c>
      <c r="W140" s="23">
        <f t="shared" si="70"/>
        <v>1.6943334521383687E-2</v>
      </c>
      <c r="X140" s="23">
        <f t="shared" si="70"/>
        <v>1.4064236848126063E-2</v>
      </c>
      <c r="Y140" s="23">
        <f t="shared" si="70"/>
        <v>1.1775599648867246E-2</v>
      </c>
      <c r="Z140" s="23">
        <f t="shared" si="70"/>
        <v>1.0023377565351032E-2</v>
      </c>
      <c r="AA140" s="23">
        <f t="shared" si="70"/>
        <v>8.6558430006970222E-3</v>
      </c>
      <c r="AB140" s="23">
        <f t="shared" si="70"/>
        <v>7.3947658384830497E-3</v>
      </c>
      <c r="AC140" s="23">
        <f t="shared" si="70"/>
        <v>6.2143278516516394E-3</v>
      </c>
      <c r="AD140" s="23">
        <f t="shared" si="70"/>
        <v>5.2720568554775965E-3</v>
      </c>
      <c r="AE140" s="23">
        <f t="shared" si="70"/>
        <v>4.7674102098803585E-3</v>
      </c>
      <c r="AF140" s="23">
        <f t="shared" si="70"/>
        <v>4.1035803886347788E-3</v>
      </c>
      <c r="AG140" s="23">
        <f t="shared" si="70"/>
        <v>3.2589006042875054E-3</v>
      </c>
      <c r="AH140" s="23">
        <f t="shared" si="70"/>
        <v>5.8462827735762744E-4</v>
      </c>
      <c r="AI140" s="23">
        <f t="shared" ref="AI140:BG140" si="71">+AH140/(1+AI131)^10</f>
        <v>7.3876302634026626E-5</v>
      </c>
      <c r="AJ140" s="23">
        <f t="shared" si="71"/>
        <v>3.4564560910414195E-5</v>
      </c>
      <c r="AK140" s="23">
        <f t="shared" si="71"/>
        <v>2.256812130707401E-5</v>
      </c>
      <c r="AL140" s="23">
        <f t="shared" si="71"/>
        <v>1.6591473555530748E-5</v>
      </c>
      <c r="AM140" s="23">
        <f t="shared" si="71"/>
        <v>1.2840661291039112E-5</v>
      </c>
      <c r="AN140" s="23">
        <f t="shared" si="71"/>
        <v>1.0188668124667053E-5</v>
      </c>
      <c r="AO140" s="23">
        <f t="shared" si="71"/>
        <v>8.1894909452865951E-6</v>
      </c>
      <c r="AP140" s="23">
        <f t="shared" si="71"/>
        <v>6.6288482444367074E-6</v>
      </c>
      <c r="AQ140" s="23">
        <f t="shared" si="71"/>
        <v>5.3868972750831138E-6</v>
      </c>
      <c r="AR140" s="23">
        <f t="shared" si="71"/>
        <v>4.3879125064094077E-6</v>
      </c>
      <c r="AS140" s="23">
        <f t="shared" si="71"/>
        <v>3.5794460984303195E-6</v>
      </c>
      <c r="AT140" s="23">
        <f t="shared" si="71"/>
        <v>2.9228140946514762E-6</v>
      </c>
      <c r="AU140" s="23">
        <f t="shared" si="71"/>
        <v>2.38832362973032E-6</v>
      </c>
      <c r="AV140" s="23">
        <f t="shared" si="71"/>
        <v>1.9526286751752559E-6</v>
      </c>
      <c r="AW140" s="23">
        <f t="shared" si="71"/>
        <v>1.5971116537384435E-6</v>
      </c>
      <c r="AX140" s="23">
        <f t="shared" si="71"/>
        <v>1.306801389681129E-6</v>
      </c>
      <c r="AY140" s="23">
        <f t="shared" si="71"/>
        <v>1.0695983894731758E-6</v>
      </c>
      <c r="AZ140" s="23">
        <f t="shared" si="71"/>
        <v>8.756932865920893E-7</v>
      </c>
      <c r="BA140" s="23">
        <f t="shared" si="71"/>
        <v>7.1711688054504592E-7</v>
      </c>
      <c r="BB140" s="23">
        <f t="shared" si="71"/>
        <v>5.8738548000037008E-7</v>
      </c>
      <c r="BC140" s="23">
        <f t="shared" si="71"/>
        <v>4.8121821025196989E-7</v>
      </c>
      <c r="BD140" s="23">
        <f t="shared" si="71"/>
        <v>3.9422894833707073E-7</v>
      </c>
      <c r="BE140" s="23">
        <f t="shared" si="71"/>
        <v>3.2297339527879678E-7</v>
      </c>
      <c r="BF140" s="23">
        <f t="shared" si="71"/>
        <v>2.6466936044337242E-7</v>
      </c>
      <c r="BG140" s="23">
        <f t="shared" si="71"/>
        <v>2.1693909951481802E-7</v>
      </c>
      <c r="BH140" s="23">
        <f>+BG140</f>
        <v>2.1693909951481802E-7</v>
      </c>
      <c r="BI140" s="23">
        <f>+BH140</f>
        <v>2.1693909951481802E-7</v>
      </c>
    </row>
    <row r="141" spans="1:61" ht="18" customHeight="1" x14ac:dyDescent="0.2">
      <c r="A141" s="23" t="s">
        <v>208</v>
      </c>
      <c r="B141" s="23">
        <f t="shared" ref="B141:K141" si="72">+B139-C131</f>
        <v>8.9963406018969197E-2</v>
      </c>
      <c r="C141" s="23">
        <f t="shared" si="72"/>
        <v>2.0321780272940609E-2</v>
      </c>
      <c r="D141" s="23">
        <f t="shared" si="72"/>
        <v>4.5204872997385709E-3</v>
      </c>
      <c r="E141" s="23">
        <f t="shared" si="72"/>
        <v>6.8841032460245123E-3</v>
      </c>
      <c r="F141" s="23">
        <f t="shared" si="72"/>
        <v>1.0324705885523415E-2</v>
      </c>
      <c r="G141" s="23">
        <f t="shared" si="72"/>
        <v>5.2999012667371212E-3</v>
      </c>
      <c r="H141" s="23">
        <f t="shared" si="72"/>
        <v>9.2571974215187175E-3</v>
      </c>
      <c r="I141" s="23">
        <f t="shared" si="72"/>
        <v>1.5222722966972739E-2</v>
      </c>
      <c r="J141" s="23">
        <f t="shared" si="72"/>
        <v>1.30660427334253E-2</v>
      </c>
      <c r="K141" s="23">
        <f t="shared" si="72"/>
        <v>1.0847426603469733E-2</v>
      </c>
    </row>
    <row r="142" spans="1:61" ht="18" customHeight="1" x14ac:dyDescent="0.2">
      <c r="A142" s="23" t="s">
        <v>13</v>
      </c>
      <c r="B142" s="23"/>
      <c r="C142" s="23">
        <f>+EXP(C128-0.1)</f>
        <v>1.0044797048293737</v>
      </c>
      <c r="D142" s="23">
        <f>+EXP(D128-0.1)</f>
        <v>0.99139720389090991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225.17361173847735</v>
      </c>
    </row>
    <row r="145" spans="1:74" ht="18" customHeight="1" x14ac:dyDescent="0.2">
      <c r="A145" s="23" t="s">
        <v>150</v>
      </c>
      <c r="B145" s="23">
        <f>+SUMPRODUCT(B140:AE140*B84:AE84)*10</f>
        <v>232.43867789345416</v>
      </c>
    </row>
    <row r="146" spans="1:74" ht="18" customHeight="1" x14ac:dyDescent="0.2">
      <c r="A146" s="23" t="s">
        <v>151</v>
      </c>
      <c r="B146" s="23">
        <f>+SUMPRODUCT(B140:BI140*B84:BI84)*10</f>
        <v>233.36355299196984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3">+B148/(1+B79)^10</f>
        <v>0.96559015451289876</v>
      </c>
      <c r="D148" s="23">
        <f t="shared" si="73"/>
        <v>0.88238113207898261</v>
      </c>
      <c r="E148" s="23">
        <f t="shared" si="73"/>
        <v>0.75700680186764124</v>
      </c>
      <c r="F148" s="23">
        <f t="shared" si="73"/>
        <v>0.62173388185014089</v>
      </c>
      <c r="G148" s="23">
        <f t="shared" si="73"/>
        <v>0.52989817194143829</v>
      </c>
      <c r="H148" s="23">
        <f t="shared" si="73"/>
        <v>0.42453110168429764</v>
      </c>
      <c r="I148" s="23">
        <f t="shared" si="73"/>
        <v>0.33353221021132368</v>
      </c>
      <c r="J148" s="23">
        <f t="shared" si="73"/>
        <v>0.27161450063732984</v>
      </c>
      <c r="K148" s="23">
        <f t="shared" si="73"/>
        <v>0.22963677548885153</v>
      </c>
      <c r="L148" s="23">
        <f t="shared" si="73"/>
        <v>0.18553595153397479</v>
      </c>
      <c r="M148" s="23">
        <f t="shared" si="73"/>
        <v>0.16019084160236033</v>
      </c>
      <c r="N148" s="23">
        <f t="shared" si="73"/>
        <v>0.13559376942068449</v>
      </c>
      <c r="O148" s="23">
        <f t="shared" si="73"/>
        <v>0.11135101274834074</v>
      </c>
      <c r="P148" s="23">
        <f t="shared" si="73"/>
        <v>8.7832878146161045E-2</v>
      </c>
      <c r="Q148" s="23">
        <f t="shared" si="73"/>
        <v>7.0642241341954834E-2</v>
      </c>
      <c r="R148" s="23">
        <f t="shared" si="73"/>
        <v>5.5740827790202306E-2</v>
      </c>
      <c r="S148" s="23">
        <f t="shared" si="73"/>
        <v>4.4003913153459168E-2</v>
      </c>
      <c r="T148" s="23">
        <f t="shared" si="73"/>
        <v>3.549499819619506E-2</v>
      </c>
      <c r="U148" s="23">
        <f t="shared" si="73"/>
        <v>3.1387243256377616E-2</v>
      </c>
      <c r="V148" s="23">
        <f t="shared" si="73"/>
        <v>2.4583729285864414E-2</v>
      </c>
      <c r="W148" s="23">
        <f t="shared" si="73"/>
        <v>1.9975424012417149E-2</v>
      </c>
      <c r="X148" s="23">
        <f t="shared" si="73"/>
        <v>1.6681379654811975E-2</v>
      </c>
      <c r="Y148" s="23">
        <f t="shared" si="73"/>
        <v>1.3911378680493957E-2</v>
      </c>
      <c r="Z148" s="23">
        <f t="shared" si="73"/>
        <v>1.1823415624413918E-2</v>
      </c>
      <c r="AA148" s="23">
        <f t="shared" si="73"/>
        <v>1.0196574289896908E-2</v>
      </c>
      <c r="AB148" s="23">
        <f t="shared" si="73"/>
        <v>8.9237998120789003E-3</v>
      </c>
      <c r="AC148" s="23">
        <f t="shared" si="73"/>
        <v>7.5293461557077888E-3</v>
      </c>
      <c r="AD148" s="23">
        <f t="shared" si="73"/>
        <v>6.3726989340329547E-3</v>
      </c>
      <c r="AE148" s="23">
        <f t="shared" si="73"/>
        <v>5.4815537773504524E-3</v>
      </c>
      <c r="AF148" s="23">
        <f t="shared" si="73"/>
        <v>5.2643590991338102E-3</v>
      </c>
      <c r="AG148" s="23">
        <f t="shared" si="73"/>
        <v>4.0733118714482604E-3</v>
      </c>
      <c r="AH148" s="23">
        <f t="shared" si="73"/>
        <v>3.3098224994755777E-3</v>
      </c>
      <c r="AI148" s="23">
        <f t="shared" ref="AI148:BI148" si="74">+AH148/(1+AH79)^10</f>
        <v>9.6084858123345098E-5</v>
      </c>
      <c r="AJ148" s="23">
        <f t="shared" si="74"/>
        <v>3.347198903848746E-5</v>
      </c>
      <c r="AK148" s="23">
        <f t="shared" si="74"/>
        <v>1.9868798019443238E-5</v>
      </c>
      <c r="AL148" s="23">
        <f t="shared" si="74"/>
        <v>1.4040165885215416E-5</v>
      </c>
      <c r="AM148" s="23">
        <f t="shared" si="74"/>
        <v>1.0660196261699676E-5</v>
      </c>
      <c r="AN148" s="23">
        <f t="shared" si="74"/>
        <v>8.3727443847405952E-6</v>
      </c>
      <c r="AO148" s="23">
        <f t="shared" si="74"/>
        <v>6.6903747563938244E-6</v>
      </c>
      <c r="AP148" s="23">
        <f t="shared" si="74"/>
        <v>5.3954436429402665E-6</v>
      </c>
      <c r="AQ148" s="23">
        <f t="shared" si="74"/>
        <v>4.3734613311567241E-6</v>
      </c>
      <c r="AR148" s="23">
        <f t="shared" si="74"/>
        <v>3.5556064512414041E-6</v>
      </c>
      <c r="AS148" s="23">
        <f t="shared" si="74"/>
        <v>2.8959534459434747E-6</v>
      </c>
      <c r="AT148" s="23">
        <f t="shared" si="74"/>
        <v>2.3614760601950303E-6</v>
      </c>
      <c r="AU148" s="23">
        <f t="shared" si="74"/>
        <v>1.9272319274976169E-6</v>
      </c>
      <c r="AV148" s="23">
        <f t="shared" si="74"/>
        <v>1.5738078908395243E-6</v>
      </c>
      <c r="AW148" s="23">
        <f t="shared" si="74"/>
        <v>1.2858216024779994E-6</v>
      </c>
      <c r="AX148" s="23">
        <f t="shared" si="74"/>
        <v>1.0509556735535064E-6</v>
      </c>
      <c r="AY148" s="23">
        <f t="shared" si="74"/>
        <v>8.5928498341755011E-7</v>
      </c>
      <c r="AZ148" s="23">
        <f t="shared" si="74"/>
        <v>7.0278119545822666E-7</v>
      </c>
      <c r="BA148" s="23">
        <f t="shared" si="74"/>
        <v>5.7493409949070346E-7</v>
      </c>
      <c r="BB148" s="23">
        <f t="shared" si="74"/>
        <v>4.7045552722310649E-7</v>
      </c>
      <c r="BC148" s="23">
        <f t="shared" si="74"/>
        <v>3.8504459095650427E-7</v>
      </c>
      <c r="BD148" s="23">
        <f t="shared" si="74"/>
        <v>3.1519996078052797E-7</v>
      </c>
      <c r="BE148" s="23">
        <f t="shared" si="74"/>
        <v>2.5796057098090176E-7</v>
      </c>
      <c r="BF148" s="23">
        <f t="shared" si="74"/>
        <v>2.1117985689394621E-7</v>
      </c>
      <c r="BG148" s="23">
        <f t="shared" si="74"/>
        <v>1.7292660084110332E-7</v>
      </c>
      <c r="BH148" s="23">
        <f t="shared" si="74"/>
        <v>1.4163134122495644E-7</v>
      </c>
      <c r="BI148" s="23">
        <f t="shared" si="74"/>
        <v>1.2203908571840834E-7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275.4721566485681</v>
      </c>
    </row>
    <row r="152" spans="1:74" ht="18" customHeight="1" x14ac:dyDescent="0.2">
      <c r="A152" s="23" t="s">
        <v>150</v>
      </c>
      <c r="B152" s="23">
        <f>+SUMPRODUCT(B148:AE148*B84:AE84)*10</f>
        <v>284.08996334970277</v>
      </c>
    </row>
    <row r="153" spans="1:74" ht="18" customHeight="1" x14ac:dyDescent="0.2">
      <c r="A153" s="23" t="s">
        <v>151</v>
      </c>
      <c r="B153" s="23">
        <f>+SUMPRODUCT(B148:BI148*B84:BI84)*10</f>
        <v>285.33940053016727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4.9783174098452874E-3</v>
      </c>
      <c r="C155" s="29">
        <f t="shared" ref="C155:BI155" si="75">+C63*C61</f>
        <v>4.5907432066801118E-3</v>
      </c>
      <c r="D155" s="29">
        <f t="shared" si="75"/>
        <v>2.9070995936259433E-3</v>
      </c>
      <c r="E155" s="29">
        <f t="shared" si="75"/>
        <v>3.1413308984257456E-3</v>
      </c>
      <c r="F155" s="29">
        <f t="shared" si="75"/>
        <v>4.1584662610458034E-3</v>
      </c>
      <c r="G155" s="29">
        <f t="shared" si="75"/>
        <v>5.7626724743979098E-3</v>
      </c>
      <c r="H155" s="29">
        <f t="shared" si="75"/>
        <v>4.6036841226498055E-3</v>
      </c>
      <c r="I155" s="29">
        <f t="shared" si="75"/>
        <v>6.631380387966776E-3</v>
      </c>
      <c r="J155" s="29">
        <f t="shared" si="75"/>
        <v>9.1027173158551751E-3</v>
      </c>
      <c r="K155" s="29">
        <f t="shared" si="75"/>
        <v>5.7424084845773349E-3</v>
      </c>
      <c r="L155" s="29">
        <f t="shared" si="75"/>
        <v>6.1098191699101969E-3</v>
      </c>
      <c r="M155" s="29">
        <f t="shared" si="75"/>
        <v>8.3378616545794482E-3</v>
      </c>
      <c r="N155" s="29">
        <f t="shared" si="75"/>
        <v>1.016643145046962E-2</v>
      </c>
      <c r="O155" s="29">
        <f t="shared" si="75"/>
        <v>1.0249443789859579E-2</v>
      </c>
      <c r="P155" s="29">
        <f t="shared" si="75"/>
        <v>9.0962632076485202E-3</v>
      </c>
      <c r="Q155" s="29">
        <f t="shared" si="75"/>
        <v>1.2316827106879345E-2</v>
      </c>
      <c r="R155" s="29">
        <f t="shared" si="75"/>
        <v>1.2319789849684824E-2</v>
      </c>
      <c r="S155" s="29">
        <f t="shared" si="75"/>
        <v>1.3464938054641818E-2</v>
      </c>
      <c r="T155" s="29">
        <f t="shared" si="75"/>
        <v>1.1203379264061878E-2</v>
      </c>
      <c r="U155" s="29">
        <f t="shared" si="75"/>
        <v>1.3451219302944743E-2</v>
      </c>
      <c r="V155" s="29">
        <f t="shared" si="75"/>
        <v>1.6182613530847805E-2</v>
      </c>
      <c r="W155" s="29">
        <f t="shared" si="75"/>
        <v>1.401897980798099E-2</v>
      </c>
      <c r="X155" s="29">
        <f t="shared" si="75"/>
        <v>1.5511524676418698E-2</v>
      </c>
      <c r="Y155" s="29">
        <f t="shared" si="75"/>
        <v>1.6841840402616146E-2</v>
      </c>
      <c r="Z155" s="29">
        <f t="shared" si="75"/>
        <v>1.8939759010021057E-2</v>
      </c>
      <c r="AA155" s="29">
        <f t="shared" si="75"/>
        <v>2.4346437486872159E-2</v>
      </c>
      <c r="AB155" s="29">
        <f t="shared" si="75"/>
        <v>2.8343391722727061E-2</v>
      </c>
      <c r="AC155" s="29">
        <f t="shared" si="75"/>
        <v>2.5623076317534698E-2</v>
      </c>
      <c r="AD155" s="29">
        <f t="shared" si="75"/>
        <v>2.3640550575269217E-2</v>
      </c>
      <c r="AE155" s="29">
        <f t="shared" si="75"/>
        <v>2.8649544760488241E-2</v>
      </c>
      <c r="AF155" s="29">
        <f t="shared" si="75"/>
        <v>2.7876391073449473E-2</v>
      </c>
      <c r="AG155" s="29">
        <f t="shared" si="75"/>
        <v>2.4028672269215168E-2</v>
      </c>
      <c r="AH155" s="29">
        <f t="shared" si="75"/>
        <v>2.6549147453817881E-2</v>
      </c>
      <c r="AI155" s="29">
        <f t="shared" si="75"/>
        <v>0.36661270106415877</v>
      </c>
      <c r="AJ155" s="29">
        <f t="shared" si="75"/>
        <v>4.2013329326480942E-2</v>
      </c>
      <c r="AK155" s="29">
        <f t="shared" si="75"/>
        <v>6.2606679504507587E-2</v>
      </c>
      <c r="AL155" s="29">
        <f t="shared" si="75"/>
        <v>7.6096105669997888E-2</v>
      </c>
      <c r="AM155" s="29">
        <f t="shared" si="75"/>
        <v>8.5675542847624936E-2</v>
      </c>
      <c r="AN155" s="29">
        <f t="shared" si="75"/>
        <v>9.3220339914129466E-2</v>
      </c>
      <c r="AO155" s="29">
        <f t="shared" si="75"/>
        <v>9.9744122587992631E-2</v>
      </c>
      <c r="AP155" s="29">
        <f t="shared" si="75"/>
        <v>0.10580629391355824</v>
      </c>
      <c r="AQ155" s="29">
        <f t="shared" si="75"/>
        <v>0.11172276260991031</v>
      </c>
      <c r="AR155" s="29">
        <f t="shared" si="75"/>
        <v>0.11767646034626041</v>
      </c>
      <c r="AS155" s="29">
        <f t="shared" si="75"/>
        <v>0.12377698594086919</v>
      </c>
      <c r="AT155" s="29">
        <f t="shared" si="75"/>
        <v>0.13009339814390428</v>
      </c>
      <c r="AU155" s="29">
        <f t="shared" si="75"/>
        <v>0.13667244218488225</v>
      </c>
      <c r="AV155" s="29">
        <f t="shared" si="75"/>
        <v>0.14354874713314425</v>
      </c>
      <c r="AW155" s="29">
        <f t="shared" si="75"/>
        <v>0.15075055855691105</v>
      </c>
      <c r="AX155" s="29">
        <f t="shared" si="75"/>
        <v>0.15830297725950931</v>
      </c>
      <c r="AY155" s="29">
        <f t="shared" si="75"/>
        <v>0.16622980202240234</v>
      </c>
      <c r="AZ155" s="29">
        <f t="shared" si="75"/>
        <v>0.1745545905149769</v>
      </c>
      <c r="BA155" s="29">
        <f t="shared" si="75"/>
        <v>0.18330128267320181</v>
      </c>
      <c r="BB155" s="29">
        <f t="shared" si="75"/>
        <v>0.19249457980301571</v>
      </c>
      <c r="BC155" s="29">
        <f t="shared" si="75"/>
        <v>0.20216018797143509</v>
      </c>
      <c r="BD155" s="29">
        <f t="shared" si="75"/>
        <v>0.2123249867194176</v>
      </c>
      <c r="BE155" s="29">
        <f t="shared" si="75"/>
        <v>0.22301715744779915</v>
      </c>
      <c r="BF155" s="29">
        <f t="shared" si="75"/>
        <v>0.23427934143855414</v>
      </c>
      <c r="BG155" s="29">
        <f t="shared" si="75"/>
        <v>0.24613408189154906</v>
      </c>
      <c r="BH155" s="29">
        <f t="shared" si="75"/>
        <v>0.25860726180266796</v>
      </c>
      <c r="BI155" s="29">
        <f t="shared" si="75"/>
        <v>0.27173181752389436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CE56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11.6640625" defaultRowHeight="18" customHeight="1" x14ac:dyDescent="0.2"/>
  <cols>
    <col min="1" max="1" width="68.5" style="21" customWidth="1"/>
    <col min="2" max="2" width="11.6640625" style="29" customWidth="1"/>
    <col min="3" max="16384" width="11.6640625" style="23"/>
  </cols>
  <sheetData>
    <row r="1" spans="1:61" ht="18" customHeight="1" x14ac:dyDescent="0.2">
      <c r="A1" s="21" t="s">
        <v>114</v>
      </c>
      <c r="B1" s="22"/>
    </row>
    <row r="2" spans="1:61" s="26" customFormat="1" ht="18" customHeight="1" x14ac:dyDescent="0.2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25"/>
    </row>
    <row r="4" spans="1:61" s="26" customFormat="1" ht="18" customHeight="1" x14ac:dyDescent="0.2">
      <c r="A4" s="27"/>
      <c r="B4" s="25">
        <f>US!B4</f>
        <v>1990</v>
      </c>
      <c r="C4" s="26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29">
        <f>+Parameters!P35</f>
        <v>0.3</v>
      </c>
    </row>
    <row r="8" spans="1:61" ht="18" customHeight="1" x14ac:dyDescent="0.2">
      <c r="A8" s="21" t="s">
        <v>108</v>
      </c>
      <c r="B8" s="31">
        <f>+Parameters!P36</f>
        <v>0.1</v>
      </c>
    </row>
    <row r="9" spans="1:61" ht="18" customHeight="1" x14ac:dyDescent="0.2">
      <c r="A9" s="23" t="s">
        <v>49</v>
      </c>
      <c r="B9" s="29">
        <f>Parameters!P37</f>
        <v>3.8420497503564541</v>
      </c>
    </row>
    <row r="10" spans="1:61" ht="18" customHeight="1" x14ac:dyDescent="0.2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 x14ac:dyDescent="0.2">
      <c r="A11" s="23" t="s">
        <v>38</v>
      </c>
      <c r="B11" s="29">
        <f>+Parameters!P39</f>
        <v>6.870394150413591</v>
      </c>
    </row>
    <row r="12" spans="1:61" ht="18" customHeight="1" x14ac:dyDescent="0.2">
      <c r="A12" s="23" t="s">
        <v>162</v>
      </c>
      <c r="B12" s="29">
        <f>+Parameters!P40</f>
        <v>9.0293442586263488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29">
        <f>+Parameters!P43</f>
        <v>1.4999999999999999E-2</v>
      </c>
    </row>
    <row r="16" spans="1:61" ht="18" customHeight="1" x14ac:dyDescent="0.2">
      <c r="A16" s="23" t="s">
        <v>95</v>
      </c>
      <c r="B16" s="2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29">
        <f>+Parameters!P45</f>
        <v>1.5</v>
      </c>
    </row>
    <row r="19" spans="1:103" ht="18" customHeight="1" x14ac:dyDescent="0.2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 x14ac:dyDescent="0.2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 x14ac:dyDescent="0.2">
      <c r="A21" s="21" t="s">
        <v>190</v>
      </c>
      <c r="B21" s="29">
        <f>+Parameters!P40</f>
        <v>9.0293442586263488</v>
      </c>
    </row>
    <row r="22" spans="1:103" ht="18" customHeight="1" x14ac:dyDescent="0.2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+Parameters!P51</f>
        <v>0</v>
      </c>
    </row>
    <row r="25" spans="1:103" ht="18" customHeight="1" x14ac:dyDescent="0.2">
      <c r="A25" s="21" t="s">
        <v>182</v>
      </c>
      <c r="B25" s="29">
        <f>+Parameters!P52</f>
        <v>0.15639150161867468</v>
      </c>
    </row>
    <row r="26" spans="1:103" ht="18" customHeight="1" x14ac:dyDescent="0.2">
      <c r="A26" s="21" t="s">
        <v>47</v>
      </c>
      <c r="B26" s="29">
        <f>+Parameters!P53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+Parameters!P54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+Parameters!P55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2.7818297108568907E-3</v>
      </c>
      <c r="AB31" s="23">
        <f t="shared" si="7"/>
        <v>2.5860781531500312E-3</v>
      </c>
      <c r="AC31" s="23">
        <f t="shared" si="7"/>
        <v>2.408216266294348E-3</v>
      </c>
      <c r="AD31" s="23">
        <f t="shared" si="7"/>
        <v>2.2461901320323437E-3</v>
      </c>
      <c r="AE31" s="23">
        <f t="shared" si="7"/>
        <v>2.0982346444176317E-3</v>
      </c>
      <c r="AF31" s="23">
        <f t="shared" si="7"/>
        <v>1.9628258229482842E-3</v>
      </c>
      <c r="AG31" s="23">
        <f t="shared" si="7"/>
        <v>1.8386419900911157E-3</v>
      </c>
      <c r="AH31" s="23">
        <f t="shared" si="7"/>
        <v>1.7245320076544127E-3</v>
      </c>
      <c r="AI31" s="23">
        <f t="shared" si="7"/>
        <v>1.6194891638063253E-3</v>
      </c>
      <c r="AJ31" s="23">
        <f t="shared" si="7"/>
        <v>1.5226296061664076E-3</v>
      </c>
      <c r="AK31" s="23">
        <f t="shared" si="7"/>
        <v>1.4331744498478763E-3</v>
      </c>
      <c r="AL31" s="23">
        <f t="shared" si="7"/>
        <v>1.3504348698774086E-3</v>
      </c>
      <c r="AM31" s="23">
        <f t="shared" si="7"/>
        <v>1.2737996278428113E-3</v>
      </c>
      <c r="AN31" s="23">
        <f t="shared" si="7"/>
        <v>1.2027245924234981E-3</v>
      </c>
      <c r="AO31" s="23">
        <f t="shared" si="7"/>
        <v>1.1367238997634858E-3</v>
      </c>
      <c r="AP31" s="23">
        <f t="shared" si="7"/>
        <v>1.0753624678150411E-3</v>
      </c>
      <c r="AQ31" s="23">
        <f t="shared" si="7"/>
        <v>1.0182496328776322E-3</v>
      </c>
      <c r="AR31" s="23">
        <f t="shared" si="7"/>
        <v>9.650337196789935E-4</v>
      </c>
      <c r="AS31" s="23">
        <f t="shared" si="7"/>
        <v>9.1539739086645929E-4</v>
      </c>
      <c r="AT31" s="23">
        <f t="shared" si="7"/>
        <v>8.6905364952557455E-4</v>
      </c>
      <c r="AU31" s="23">
        <f t="shared" si="7"/>
        <v>8.2574239073498438E-4</v>
      </c>
      <c r="AV31" s="23">
        <f t="shared" si="7"/>
        <v>7.8522741630306016E-4</v>
      </c>
      <c r="AW31" s="23">
        <f t="shared" si="7"/>
        <v>7.4729384157362394E-4</v>
      </c>
      <c r="AX31" s="23">
        <f t="shared" si="7"/>
        <v>7.1174583521158518E-4</v>
      </c>
      <c r="AY31" s="23">
        <f t="shared" si="7"/>
        <v>6.7840464271751318E-4</v>
      </c>
      <c r="AZ31" s="23">
        <f t="shared" si="7"/>
        <v>6.4710685249548951E-4</v>
      </c>
      <c r="BA31" s="23">
        <f t="shared" si="7"/>
        <v>6.177028699468572E-4</v>
      </c>
      <c r="BB31" s="23">
        <f t="shared" si="7"/>
        <v>5.9005557055178651E-4</v>
      </c>
      <c r="BC31" s="23">
        <f t="shared" si="7"/>
        <v>5.6403910744571239E-4</v>
      </c>
      <c r="BD31" s="23">
        <f t="shared" si="7"/>
        <v>5.3953785277135937E-4</v>
      </c>
      <c r="BE31" s="23">
        <f t="shared" si="7"/>
        <v>2.6296442365846494E-4</v>
      </c>
      <c r="BF31" s="23">
        <f t="shared" si="7"/>
        <v>1.2817278800025442E-4</v>
      </c>
      <c r="BG31" s="23">
        <f t="shared" si="7"/>
        <v>6.2476407101558427E-5</v>
      </c>
      <c r="BH31" s="23">
        <f t="shared" si="7"/>
        <v>3.0454782615044937E-5</v>
      </c>
      <c r="BI31" s="23">
        <f t="shared" si="7"/>
        <v>1.4846096530994095E-5</v>
      </c>
    </row>
    <row r="32" spans="1:103" s="33" customFormat="1" ht="18" customHeight="1" x14ac:dyDescent="0.2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0.48461575351217545</v>
      </c>
      <c r="AB36" s="23">
        <f>+IF(AB4&gt;$B$37,AA36*Parameters!$B$105,$B$33*$B$32+(AA36-$B$33*$B$32)*(1-$B$34))</f>
        <v>0.46731496583656662</v>
      </c>
      <c r="AC36" s="23">
        <f>+IF(AC4&gt;$B$37,AB36*Parameters!$B$105,$B$33*$B$32+(AB36-$B$33*$B$32)*(1-$B$34))</f>
        <v>0.45087921754473825</v>
      </c>
      <c r="AD36" s="23">
        <f>+IF(AD4&gt;$B$37,AC36*Parameters!$B$105,$B$33*$B$32+(AC36-$B$33*$B$32)*(1-$B$34))</f>
        <v>0.43526525666750127</v>
      </c>
      <c r="AE36" s="23">
        <f>+IF(AE4&gt;$B$37,AD36*Parameters!$B$105,$B$33*$B$32+(AD36-$B$33*$B$32)*(1-$B$34))</f>
        <v>0.42043199383412622</v>
      </c>
      <c r="AF36" s="23">
        <f>+IF(AF4&gt;$B$37,AE36*Parameters!$B$105,$B$33*$B$32+(AE36-$B$33*$B$32)*(1-$B$34))</f>
        <v>0.40634039414241985</v>
      </c>
      <c r="AG36" s="23">
        <f>+IF(AG4&gt;$B$37,AF36*Parameters!$B$105,$B$33*$B$32+(AF36-$B$33*$B$32)*(1-$B$34))</f>
        <v>0.39295337443529876</v>
      </c>
      <c r="AH36" s="23">
        <f>+IF(AH4&gt;$B$37,AG36*Parameters!$B$105,$B$33*$B$32+(AG36-$B$33*$B$32)*(1-$B$34))</f>
        <v>0.38023570571353382</v>
      </c>
      <c r="AI36" s="23">
        <f>+IF(AI4&gt;$B$37,AH36*Parameters!$B$105,$B$33*$B$32+(AH36-$B$33*$B$32)*(1-$B$34))</f>
        <v>0.36815392042785711</v>
      </c>
      <c r="AJ36" s="23">
        <f>+IF(AJ4&gt;$B$37,AI36*Parameters!$B$105,$B$33*$B$32+(AI36-$B$33*$B$32)*(1-$B$34))</f>
        <v>0.35667622440646424</v>
      </c>
      <c r="AK36" s="23">
        <f>+IF(AK4&gt;$B$37,AJ36*Parameters!$B$105,$B$33*$B$32+(AJ36-$B$33*$B$32)*(1-$B$34))</f>
        <v>0.34577241318614105</v>
      </c>
      <c r="AL36" s="23">
        <f>+IF(AL4&gt;$B$37,AK36*Parameters!$B$105,$B$33*$B$32+(AK36-$B$33*$B$32)*(1-$B$34))</f>
        <v>0.33541379252683401</v>
      </c>
      <c r="AM36" s="23">
        <f>+IF(AM4&gt;$B$37,AL36*Parameters!$B$105,$B$33*$B$32+(AL36-$B$33*$B$32)*(1-$B$34))</f>
        <v>0.32557310290049229</v>
      </c>
      <c r="AN36" s="23">
        <f>+IF(AN4&gt;$B$37,AM36*Parameters!$B$105,$B$33*$B$32+(AM36-$B$33*$B$32)*(1-$B$34))</f>
        <v>0.31622444775546765</v>
      </c>
      <c r="AO36" s="23">
        <f>+IF(AO4&gt;$B$37,AN36*Parameters!$B$105,$B$33*$B$32+(AN36-$B$33*$B$32)*(1-$B$34))</f>
        <v>0.30734322536769426</v>
      </c>
      <c r="AP36" s="23">
        <f>+IF(AP4&gt;$B$37,AO36*Parameters!$B$105,$B$33*$B$32+(AO36-$B$33*$B$32)*(1-$B$34))</f>
        <v>0.29890606409930953</v>
      </c>
      <c r="AQ36" s="23">
        <f>+IF(AQ4&gt;$B$37,AP36*Parameters!$B$105,$B$33*$B$32+(AP36-$B$33*$B$32)*(1-$B$34))</f>
        <v>0.29089076089434407</v>
      </c>
      <c r="AR36" s="23">
        <f>+IF(AR4&gt;$B$37,AQ36*Parameters!$B$105,$B$33*$B$32+(AQ36-$B$33*$B$32)*(1-$B$34))</f>
        <v>0.28327622284962684</v>
      </c>
      <c r="AS36" s="23">
        <f>+IF(AS4&gt;$B$37,AR36*Parameters!$B$105,$B$33*$B$32+(AR36-$B$33*$B$32)*(1-$B$34))</f>
        <v>0.2760424117071455</v>
      </c>
      <c r="AT36" s="23">
        <f>+IF(AT4&gt;$B$37,AS36*Parameters!$B$105,$B$33*$B$32+(AS36-$B$33*$B$32)*(1-$B$34))</f>
        <v>0.26917029112178825</v>
      </c>
      <c r="AU36" s="23">
        <f>+IF(AU4&gt;$B$37,AT36*Parameters!$B$105,$B$33*$B$32+(AT36-$B$33*$B$32)*(1-$B$34))</f>
        <v>0.26264177656569881</v>
      </c>
      <c r="AV36" s="23">
        <f>+IF(AV4&gt;$B$37,AU36*Parameters!$B$105,$B$33*$B$32+(AU36-$B$33*$B$32)*(1-$B$34))</f>
        <v>0.25643968773741388</v>
      </c>
      <c r="AW36" s="23">
        <f>+IF(AW4&gt;$B$37,AV36*Parameters!$B$105,$B$33*$B$32+(AV36-$B$33*$B$32)*(1-$B$34))</f>
        <v>0.25054770335054322</v>
      </c>
      <c r="AX36" s="23">
        <f>+IF(AX4&gt;$B$37,AW36*Parameters!$B$105,$B$33*$B$32+(AW36-$B$33*$B$32)*(1-$B$34))</f>
        <v>0.24495031818301605</v>
      </c>
      <c r="AY36" s="23">
        <f>+IF(AY4&gt;$B$37,AX36*Parameters!$B$105,$B$33*$B$32+(AX36-$B$33*$B$32)*(1-$B$34))</f>
        <v>0.23963280227386524</v>
      </c>
      <c r="AZ36" s="23">
        <f>+IF(AZ4&gt;$B$37,AY36*Parameters!$B$105,$B$33*$B$32+(AY36-$B$33*$B$32)*(1-$B$34))</f>
        <v>0.234581162160172</v>
      </c>
      <c r="BA36" s="23">
        <f>+IF(BA4&gt;$B$37,AZ36*Parameters!$B$105,$B$33*$B$32+(AZ36-$B$33*$B$32)*(1-$B$34))</f>
        <v>0.2297821040521634</v>
      </c>
      <c r="BB36" s="23">
        <f>+IF(BB4&gt;$B$37,BA36*Parameters!$B$105,$B$33*$B$32+(BA36-$B$33*$B$32)*(1-$B$34))</f>
        <v>0.22522299884955521</v>
      </c>
      <c r="BC36" s="23">
        <f>+IF(BC4&gt;$B$37,BB36*Parameters!$B$105,$B$33*$B$32+(BB36-$B$33*$B$32)*(1-$B$34))</f>
        <v>0.22089184890707744</v>
      </c>
      <c r="BD36" s="23">
        <f>+IF(BD4&gt;$B$37,BC36*Parameters!$B$105,$B$33*$B$32+(BC36-$B$33*$B$32)*(1-$B$34))</f>
        <v>0.21677725646172358</v>
      </c>
      <c r="BE36" s="23">
        <f>+IF(BE4&gt;$B$37,BD36*Parameters!$B$105,$B$33*$B$32+(BD36-$B$33*$B$32)*(1-$B$34))</f>
        <v>0.10838862823086179</v>
      </c>
      <c r="BF36" s="23">
        <f>+IF(BF4&gt;$B$37,BE36*Parameters!$B$105,$B$33*$B$32+(BE36-$B$33*$B$32)*(1-$B$34))</f>
        <v>5.4194314115430894E-2</v>
      </c>
      <c r="BG36" s="23">
        <f>+IF(BG4&gt;$B$37,BF36*Parameters!$B$105,$B$33*$B$32+(BF36-$B$33*$B$32)*(1-$B$34))</f>
        <v>2.7097157057715447E-2</v>
      </c>
      <c r="BH36" s="23">
        <f>+IF(BH4&gt;$B$37,BG36*Parameters!$B$105,$B$33*$B$32+(BG36-$B$33*$B$32)*(1-$B$34))</f>
        <v>1.3548578528857724E-2</v>
      </c>
      <c r="BI36" s="23">
        <f>+IF(BI4&gt;$B$37,BH36*Parameters!$B$105,$B$33*$B$32+(BH36-$B$33*$B$32)*(1-$B$34))</f>
        <v>6.7742892644288618E-3</v>
      </c>
    </row>
    <row r="37" spans="1:61 16384:16384" s="33" customFormat="1" ht="18" customHeight="1" x14ac:dyDescent="0.2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39">
        <f>+Parameters!C63</f>
        <v>2.8</v>
      </c>
    </row>
    <row r="39" spans="1:61 16384:16384" ht="18" customHeight="1" x14ac:dyDescent="0.2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 x14ac:dyDescent="0.2">
      <c r="A41" s="21" t="s">
        <v>92</v>
      </c>
      <c r="B41" s="29">
        <f>+Parameters!P69</f>
        <v>0.14101281781866939</v>
      </c>
    </row>
    <row r="42" spans="1:61 16384:16384" s="45" customFormat="1" ht="18" customHeight="1" x14ac:dyDescent="0.2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 x14ac:dyDescent="0.2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 x14ac:dyDescent="0.2">
      <c r="A44" s="21" t="s">
        <v>23</v>
      </c>
      <c r="B44" s="29">
        <f>+Parameters!P70</f>
        <v>0</v>
      </c>
    </row>
    <row r="45" spans="1:61 16384:16384" ht="18" customHeight="1" x14ac:dyDescent="0.2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 x14ac:dyDescent="0.2">
      <c r="A47" s="557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+Parameters!D141</f>
        <v>6.1616117463153767E-3</v>
      </c>
      <c r="C48" s="219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0.14832356310319031</v>
      </c>
      <c r="D50" s="44">
        <f>100*$B$49*(Global!C135*$B$48+Global!C135^2*$C$48)*(C61/$B61)^(1/$C$49)</f>
        <v>0.1729750275471032</v>
      </c>
      <c r="E50" s="44">
        <f>100*$B$49*(Global!D135*$B$48+Global!D135^2*$C$48)*(D61/$B61)^(1/$C$49)</f>
        <v>0.20212101960782838</v>
      </c>
      <c r="F50" s="44">
        <f>100*$B$49*(Global!E135*$B$48+Global!E135^2*$C$48)*(E61/$B61)^(1/$C$49)</f>
        <v>0.23287149381750297</v>
      </c>
      <c r="G50" s="44">
        <f>100*$B$49*(Global!F135*$B$48+Global!F135^2*$C$48)*(F61/$B61)^(1/$C$49)</f>
        <v>0.26721439621974857</v>
      </c>
      <c r="H50" s="44">
        <f>100*$B$49*(Global!G135*$B$48+Global!G135^2*$C$48)*(G61/$B61)^(1/$C$49)</f>
        <v>0.30531004545133261</v>
      </c>
      <c r="I50" s="44">
        <f>100*$B$49*(Global!H135*$B$48+Global!H135^2*$C$48)*(H61/$B61)^(1/$C$49)</f>
        <v>0.34019954463806679</v>
      </c>
      <c r="J50" s="44">
        <f>100*$B$49*(Global!I135*$B$48+Global!I135^2*$C$48)*(I61/$B61)^(1/$C$49)</f>
        <v>0.37982506879606809</v>
      </c>
      <c r="K50" s="44">
        <f>100*$B$49*(Global!J135*$B$48+Global!J135^2*$C$48)*(J61/$B61)^(1/$C$49)</f>
        <v>0.41925197192948305</v>
      </c>
      <c r="L50" s="44">
        <f>100*$B$49*(Global!K135*$B$48+Global!K135^2*$C$48)*(K61/$B61)^(1/$C$49)</f>
        <v>0.45899403608178757</v>
      </c>
      <c r="M50" s="44">
        <f>100*$B$49*(Global!L135*$B$48+Global!L135^2*$C$48)*(L61/$B61)^(1/$C$49)</f>
        <v>0.49952873266305681</v>
      </c>
      <c r="N50" s="44">
        <f>100*$B$49*(Global!M135*$B$48+Global!M135^2*$C$48)*(M61/$B61)^(1/$C$49)</f>
        <v>0.53246377703701397</v>
      </c>
      <c r="O50" s="44">
        <f>100*$B$49*(Global!N135*$B$48+Global!N135^2*$C$48)*(N61/$B61)^(1/$C$49)</f>
        <v>0.57121718898505736</v>
      </c>
      <c r="P50" s="44">
        <f>100*$B$49*(Global!O135*$B$48+Global!O135^2*$C$48)*(O61/$B61)^(1/$C$49)</f>
        <v>0.60735322055633156</v>
      </c>
      <c r="Q50" s="44">
        <f>100*$B$49*(Global!P135*$B$48+Global!P135^2*$C$48)*(P61/$B61)^(1/$C$49)</f>
        <v>0.64399135896686854</v>
      </c>
      <c r="R50" s="44">
        <f>100*$B$49*(Global!Q135*$B$48+Global!Q135^2*$C$48)*(Q61/$B61)^(1/$C$49)</f>
        <v>0.68388624992454239</v>
      </c>
      <c r="S50" s="44">
        <f>100*$B$49*(Global!R135*$B$48+Global!R135^2*$C$48)*(R61/$B61)^(1/$C$49)</f>
        <v>0.72338483517818242</v>
      </c>
      <c r="T50" s="44">
        <f>100*$B$49*(Global!S135*$B$48+Global!S135^2*$C$48)*(S61/$B61)^(1/$C$49)</f>
        <v>0.76410729133469324</v>
      </c>
      <c r="U50" s="44">
        <f>100*$B$49*(Global!T135*$B$48+Global!T135^2*$C$48)*(T61/$B61)^(1/$C$49)</f>
        <v>0.79718594965983702</v>
      </c>
      <c r="V50" s="44">
        <f>100*$B$49*(Global!U135*$B$48+Global!U135^2*$C$48)*(U61/$B61)^(1/$C$49)</f>
        <v>0.82804162800319514</v>
      </c>
      <c r="W50" s="44">
        <f>100*$B$49*(Global!V135*$B$48+Global!V135^2*$C$48)*(V61/$B61)^(1/$C$49)</f>
        <v>0.87263916324186286</v>
      </c>
      <c r="X50" s="44">
        <f>100*$B$49*(Global!W135*$B$48+Global!W135^2*$C$48)*(W61/$B61)^(1/$C$49)</f>
        <v>0.91091498659719061</v>
      </c>
      <c r="Y50" s="44">
        <f>100*$B$49*(Global!X135*$B$48+Global!X135^2*$C$48)*(X61/$B61)^(1/$C$49)</f>
        <v>0.94823080793112813</v>
      </c>
      <c r="Z50" s="44">
        <f>100*$B$49*(Global!Y135*$B$48+Global!Y135^2*$C$48)*(Y61/$B61)^(1/$C$49)</f>
        <v>0.98726947214025151</v>
      </c>
      <c r="AA50" s="44">
        <f>100*$B$49*(Global!Z135*$B$48+Global!Z135^2*$C$48)*(Z61/$B61)^(1/$C$49)</f>
        <v>1.02792443759753</v>
      </c>
      <c r="AB50" s="44">
        <f>100*$B$49*(Global!AA135*$B$48+Global!AA135^2*$C$48)*(AA61/$B61)^(1/$C$49)</f>
        <v>1.0700684545250028</v>
      </c>
      <c r="AC50" s="44">
        <f>100*$B$49*(Global!AB135*$B$48+Global!AB135^2*$C$48)*(AB61/$B61)^(1/$C$49)</f>
        <v>1.1168862068585452</v>
      </c>
      <c r="AD50" s="44">
        <f>100*$B$49*(Global!AC135*$B$48+Global!AC135^2*$C$48)*(AC61/$B61)^(1/$C$49)</f>
        <v>1.1632441742175663</v>
      </c>
      <c r="AE50" s="44">
        <f>100*$B$49*(Global!AD135*$B$48+Global!AD135^2*$C$48)*(AD61/$B61)^(1/$C$49)</f>
        <v>1.206868470323611</v>
      </c>
      <c r="AF50" s="44">
        <f>100*$B$49*(Global!AE135*$B$48+Global!AE135^2*$C$48)*(AE61/$B61)^(1/$C$49)</f>
        <v>1.2504880804871719</v>
      </c>
      <c r="AG50" s="44">
        <f>100*$B$49*(Global!AF135*$B$48+Global!AF135^2*$C$48)*(AF61/$B61)^(1/$C$49)</f>
        <v>1.2787603801800573</v>
      </c>
      <c r="AH50" s="44">
        <f>100*$B$49*(Global!AG135*$B$48+Global!AG135^2*$C$48)*(AG61/$B61)^(1/$C$49)</f>
        <v>1.3273374615546547</v>
      </c>
      <c r="AI50" s="44">
        <f>100*$B$49*(Global!AH135*$B$48+Global!AH135^2*$C$48)*(AH61/$B61)^(1/$C$49)</f>
        <v>1.3708114867612944</v>
      </c>
      <c r="AJ50" s="44">
        <f>100*$B$49*(Global!AI135*$B$48+Global!AI135^2*$C$48)*(AI61/$B61)^(1/$C$49)</f>
        <v>2.1226350256063853</v>
      </c>
      <c r="AK50" s="44">
        <f>100*$B$49*(Global!AJ135*$B$48+Global!AJ135^2*$C$48)*(AJ61/$B61)^(1/$C$49)</f>
        <v>2.3582287117357428</v>
      </c>
      <c r="AL50" s="44">
        <f>100*$B$49*(Global!AK135*$B$48+Global!AK135^2*$C$48)*(AK61/$B61)^(1/$C$49)</f>
        <v>2.4735951242558101</v>
      </c>
      <c r="AM50" s="44">
        <f>100*$B$49*(Global!AL135*$B$48+Global!AL135^2*$C$48)*(AL61/$B61)^(1/$C$49)</f>
        <v>2.5422668784640532</v>
      </c>
      <c r="AN50" s="44">
        <f>100*$B$49*(Global!AM135*$B$48+Global!AM135^2*$C$48)*(AM61/$B61)^(1/$C$49)</f>
        <v>2.5901681518859636</v>
      </c>
      <c r="AO50" s="44">
        <f>100*$B$49*(Global!AN135*$B$48+Global!AN135^2*$C$48)*(AN61/$B61)^(1/$C$49)</f>
        <v>2.6281444189493293</v>
      </c>
      <c r="AP50" s="44">
        <f>100*$B$49*(Global!AO135*$B$48+Global!AO135^2*$C$48)*(AO61/$B61)^(1/$C$49)</f>
        <v>2.6612944143414858</v>
      </c>
      <c r="AQ50" s="44">
        <f>100*$B$49*(Global!AP135*$B$48+Global!AP135^2*$C$48)*(AP61/$B61)^(1/$C$49)</f>
        <v>2.6921760970667039</v>
      </c>
      <c r="AR50" s="44">
        <f>100*$B$49*(Global!AQ135*$B$48+Global!AQ135^2*$C$48)*(AQ61/$B61)^(1/$C$49)</f>
        <v>2.7221205127429609</v>
      </c>
      <c r="AS50" s="44">
        <f>100*$B$49*(Global!AR135*$B$48+Global!AR135^2*$C$48)*(AR61/$B61)^(1/$C$49)</f>
        <v>2.7518359870969569</v>
      </c>
      <c r="AT50" s="44">
        <f>100*$B$49*(Global!AS135*$B$48+Global!AS135^2*$C$48)*(AS61/$B61)^(1/$C$49)</f>
        <v>2.7817058684889355</v>
      </c>
      <c r="AU50" s="44">
        <f>100*$B$49*(Global!AT135*$B$48+Global!AT135^2*$C$48)*(AT61/$B61)^(1/$C$49)</f>
        <v>2.8119411989965082</v>
      </c>
      <c r="AV50" s="44">
        <f>100*$B$49*(Global!AU135*$B$48+Global!AU135^2*$C$48)*(AU61/$B61)^(1/$C$49)</f>
        <v>2.8426607645689717</v>
      </c>
      <c r="AW50" s="44">
        <f>100*$B$49*(Global!AV135*$B$48+Global!AV135^2*$C$48)*(AV61/$B61)^(1/$C$49)</f>
        <v>2.8739335975676372</v>
      </c>
      <c r="AX50" s="44">
        <f>100*$B$49*(Global!AW135*$B$48+Global!AW135^2*$C$48)*(AW61/$B61)^(1/$C$49)</f>
        <v>2.905801709355015</v>
      </c>
      <c r="AY50" s="44">
        <f>100*$B$49*(Global!AX135*$B$48+Global!AX135^2*$C$48)*(AX61/$B61)^(1/$C$49)</f>
        <v>2.938292307153767</v>
      </c>
      <c r="AZ50" s="44">
        <f>100*$B$49*(Global!AY135*$B$48+Global!AY135^2*$C$48)*(AY61/$B61)^(1/$C$49)</f>
        <v>2.971424385256547</v>
      </c>
      <c r="BA50" s="44">
        <f>100*$B$49*(Global!AZ135*$B$48+Global!AZ135^2*$C$48)*(AZ61/$B61)^(1/$C$49)</f>
        <v>3.0052122962449137</v>
      </c>
      <c r="BB50" s="44">
        <f>100*$B$49*(Global!BA135*$B$48+Global!BA135^2*$C$48)*(BA61/$B61)^(1/$C$49)</f>
        <v>3.0396676971434307</v>
      </c>
      <c r="BC50" s="44">
        <f>100*$B$49*(Global!BB135*$B$48+Global!BB135^2*$C$48)*(BB61/$B61)^(1/$C$49)</f>
        <v>3.0748006193021049</v>
      </c>
      <c r="BD50" s="44">
        <f>100*$B$49*(Global!BC135*$B$48+Global!BC135^2*$C$48)*(BC61/$B61)^(1/$C$49)</f>
        <v>3.110620064641243</v>
      </c>
      <c r="BE50" s="44">
        <f>100*$B$49*(Global!BD135*$B$48+Global!BD135^2*$C$48)*(BD61/$B61)^(1/$C$49)</f>
        <v>3.1471343450299396</v>
      </c>
      <c r="BF50" s="44">
        <f>100*$B$49*(Global!BE135*$B$48+Global!BE135^2*$C$48)*(BE61/$B61)^(1/$C$49)</f>
        <v>3.1843512816405641</v>
      </c>
      <c r="BG50" s="44">
        <f>100*$B$49*(Global!BF135*$B$48+Global!BF135^2*$C$48)*(BF61/$B61)^(1/$C$49)</f>
        <v>3.2223202623250553</v>
      </c>
      <c r="BH50" s="44">
        <f>100*$B$49*(Global!BG135*$B$48+Global!BG135^2*$C$48)*(BG61/$B61)^(1/$C$49)</f>
        <v>3.2610067721134399</v>
      </c>
      <c r="BI50" s="44">
        <f>100*$B$49*(Global!BH135*$B$48+Global!BH135^2*$C$48)*(BH61/$B61)^(1/$C$49)</f>
        <v>3.3004065312843505</v>
      </c>
      <c r="BJ50" s="44">
        <f>100*$B$49*(Global!BI135*$B$48+Global!BI135^2*$C$48)*(BI61/$B61)^(1/$C$49)</f>
        <v>3.3405259123972422</v>
      </c>
      <c r="BK50" s="44">
        <f>100*$B$49*(Global!BJ80*$B$48+Global!BJ80^2*$C$48)*(BJ61/$B61)^(1/$C$49)</f>
        <v>3.3533874618172694</v>
      </c>
      <c r="BL50" s="44">
        <f>100*$B$49*(Global!BK80*$B$48+Global!BK80^2*$C$48)*(BK61/$B61)^(1/$C$49)</f>
        <v>3.3665742431147354</v>
      </c>
      <c r="BM50" s="44">
        <f>100*$B$49*(Global!BL80*$B$48+Global!BL80^2*$C$48)*(BL61/$B61)^(1/$C$49)</f>
        <v>3.3800780527749112</v>
      </c>
      <c r="BN50" s="44">
        <f>100*$B$49*(Global!BM80*$B$48+Global!BM80^2*$C$48)*(BM61/$B61)^(1/$C$49)</f>
        <v>3.3938908850987763</v>
      </c>
      <c r="BO50" s="44">
        <f>100*$B$49*(Global!BN80*$B$48+Global!BN80^2*$C$48)*(BN61/$B61)^(1/$C$49)</f>
        <v>3.4080049274401243</v>
      </c>
      <c r="BP50" s="44">
        <f>100*$B$49*(Global!BO80*$B$48+Global!BO80^2*$C$48)*(BO61/$B61)^(1/$C$49)</f>
        <v>3.4224125555573464</v>
      </c>
      <c r="BQ50" s="44">
        <f>100*$B$49*(Global!BP80*$B$48+Global!BP80^2*$C$48)*(BP61/$B61)^(1/$C$49)</f>
        <v>3.4371063290771247</v>
      </c>
      <c r="BR50" s="44">
        <f>100*$B$49*(Global!BQ80*$B$48+Global!BQ80^2*$C$48)*(BQ61/$B61)^(1/$C$49)</f>
        <v>3.4520789870673396</v>
      </c>
      <c r="BS50" s="44">
        <f>100*$B$49*(Global!BR80*$B$48+Global!BR80^2*$C$48)*(BR61/$B61)^(1/$C$49)</f>
        <v>3.4673234437165665</v>
      </c>
      <c r="BT50" s="44">
        <f>100*$B$49*(Global!BS80*$B$48+Global!BS80^2*$C$48)*(BS61/$B61)^(1/$C$49)</f>
        <v>3.4828327841176008</v>
      </c>
      <c r="BU50" s="44">
        <f>100*$B$49*(Global!BT80*$B$48+Global!BT80^2*$C$48)*(BT61/$B61)^(1/$C$49)</f>
        <v>3.4986002601524819</v>
      </c>
      <c r="BV50" s="44">
        <f>100*$B$49*(Global!BU80*$B$48+Global!BU80^2*$C$48)*(BU61/$B61)^(1/$C$49)</f>
        <v>3.5146192864766097</v>
      </c>
      <c r="BW50" s="44">
        <f>100*$B$49*(Global!BV80*$B$48+Global!BV80^2*$C$48)*(BV61/$B61)^(1/$C$49)</f>
        <v>3.5308834365995367</v>
      </c>
      <c r="BX50" s="44">
        <f>100*$B$49*(Global!BW80*$B$48+Global!BW80^2*$C$48)*(BW61/$B61)^(1/$C$49)</f>
        <v>3.5473864390601242</v>
      </c>
      <c r="BY50" s="44">
        <f>100*$B$49*(Global!BX80*$B$48+Global!BX80^2*$C$48)*(BX61/$B61)^(1/$C$49)</f>
        <v>3.5641221736937814</v>
      </c>
      <c r="BZ50" s="44">
        <f>100*$B$49*(Global!BY80*$B$48+Global!BY80^2*$C$48)*(BY61/$B61)^(1/$C$49)</f>
        <v>3.5810846679895829</v>
      </c>
      <c r="CA50" s="44">
        <f>100*$B$49*(Global!BZ80*$B$48+Global!BZ80^2*$C$48)*(BZ61/$B61)^(1/$C$49)</f>
        <v>3.5982680935350841</v>
      </c>
      <c r="CB50" s="44">
        <f>100*$B$49*(Global!CA80*$B$48+Global!CA80^2*$C$48)*(CA61/$B61)^(1/$C$49)</f>
        <v>3.6156667625467414</v>
      </c>
      <c r="CC50" s="44">
        <f>100*$B$49*(Global!CB80*$B$48+Global!CB80^2*$C$48)*(CB61/$B61)^(1/$C$49)</f>
        <v>3.6332751244838559</v>
      </c>
      <c r="CD50" s="44">
        <f>100*$B$49*(Global!CC80*$B$48+Global!CC80^2*$C$48)*(CC61/$B61)^(1/$C$49)</f>
        <v>3.6510877627440537</v>
      </c>
      <c r="CE50" s="44">
        <f>100*$B$49*(Global!CD80*$B$48+Global!CD80^2*$C$48)*(CD61/$B61)^(1/$C$49)</f>
        <v>3.6690993914383121</v>
      </c>
      <c r="CF50" s="44">
        <f>100*$B$49*(Global!CE80*$B$48+Global!CE80^2*$C$48)*(CE61/$B61)^(1/$C$49)</f>
        <v>3.6873048522436394</v>
      </c>
      <c r="CG50" s="44">
        <f>100*$B$49*(Global!CF80*$B$48+Global!CF80^2*$C$48)*(CF61/$B61)^(1/$C$49)</f>
        <v>3.7056991113315334</v>
      </c>
      <c r="CH50" s="44">
        <f>100*$B$49*(Global!CG80*$B$48+Global!CG80^2*$C$48)*(CG61/$B61)^(1/$C$49)</f>
        <v>3.7242772563703794</v>
      </c>
      <c r="CI50" s="44">
        <f>100*$B$49*(Global!CH80*$B$48+Global!CH80^2*$C$48)*(CH61/$B61)^(1/$C$49)</f>
        <v>3.7430344936000326</v>
      </c>
      <c r="CJ50" s="44">
        <f>100*$B$49*(Global!CI80*$B$48+Global!CI80^2*$C$48)*(CI61/$B61)^(1/$C$49)</f>
        <v>3.7619661449768209</v>
      </c>
      <c r="CK50" s="44">
        <f>100*$B$49*(Global!CJ80*$B$48+Global!CJ80^2*$C$48)*(CJ61/$B61)^(1/$C$49)</f>
        <v>3.7810676453872953</v>
      </c>
      <c r="CL50" s="44">
        <f>100*$B$49*(Global!CK80*$B$48+Global!CK80^2*$C$48)*(CK61/$B61)^(1/$C$49)</f>
        <v>3.8003345399290578</v>
      </c>
      <c r="CM50" s="44">
        <f>100*$B$49*(Global!CL80*$B$48+Global!CL80^2*$C$48)*(CL61/$B61)^(1/$C$49)</f>
        <v>3.8197624812570554</v>
      </c>
      <c r="CN50" s="44">
        <f>100*$B$49*(Global!CM80*$B$48+Global!CM80^2*$C$48)*(CM61/$B61)^(1/$C$49)</f>
        <v>3.8393472269937692</v>
      </c>
      <c r="CO50" s="44">
        <f>100*$B$49*(Global!CN80*$B$48+Global!CN80^2*$C$48)*(CN61/$B61)^(1/$C$49)</f>
        <v>3.8590846372017564</v>
      </c>
      <c r="CP50" s="44">
        <f>100*$B$49*(Global!CO80*$B$48+Global!CO80^2*$C$48)*(CO61/$B61)^(1/$C$49)</f>
        <v>3.8789706719170352</v>
      </c>
      <c r="CQ50" s="44">
        <f>100*$B$49*(Global!CP80*$B$48+Global!CP80^2*$C$48)*(CP61/$B61)^(1/$C$49)</f>
        <v>3.89900138874187</v>
      </c>
      <c r="CR50" s="44">
        <f>100*$B$49*(Global!CQ80*$B$48+Global!CQ80^2*$C$48)*(CQ61/$B61)^(1/$C$49)</f>
        <v>3.9191729404955051</v>
      </c>
      <c r="CS50" s="44">
        <f>100*$B$49*(Global!CR80*$B$48+Global!CR80^2*$C$48)*(CR61/$B61)^(1/$C$49)</f>
        <v>3.9394815729214603</v>
      </c>
      <c r="CT50" s="44">
        <f>100*$B$49*(Global!CS80*$B$48+Global!CS80^2*$C$48)*(CS61/$B61)^(1/$C$49)</f>
        <v>3.9599236224500243</v>
      </c>
      <c r="CU50" s="44">
        <f>100*$B$49*(Global!CT80*$B$48+Global!CT80^2*$C$48)*(CT61/$B61)^(1/$C$49)</f>
        <v>3.9804955140146272</v>
      </c>
      <c r="CV50" s="44">
        <f>100*$B$49*(Global!CU80*$B$48+Global!CU80^2*$C$48)*(CU61/$B61)^(1/$C$49)</f>
        <v>4.0011937589207767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82">
        <f>+Data!B244/1000</f>
        <v>0.11874395215537521</v>
      </c>
      <c r="C52" s="114">
        <f>+B95-B92</f>
        <v>117.37336819226016</v>
      </c>
    </row>
    <row r="53" spans="1:105" ht="18" customHeight="1" x14ac:dyDescent="0.2">
      <c r="A53" s="21" t="s">
        <v>121</v>
      </c>
      <c r="B53" s="135">
        <f>+Data!O179</f>
        <v>-701.06316601939363</v>
      </c>
      <c r="C53" s="114">
        <f>+Data!Q179</f>
        <v>-401.95662608894492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5" x14ac:dyDescent="0.2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5" x14ac:dyDescent="0.2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23"/>
    </row>
    <row r="61" spans="1:105" s="45" customFormat="1" ht="18" customHeight="1" x14ac:dyDescent="0.2">
      <c r="A61" s="555" t="s">
        <v>124</v>
      </c>
      <c r="B61" s="682">
        <v>2.4144409221517042</v>
      </c>
      <c r="C61" s="682">
        <v>2.4674742636165257</v>
      </c>
      <c r="D61" s="682">
        <v>2.5375214421117422</v>
      </c>
      <c r="E61" s="682">
        <v>2.6611205609108528</v>
      </c>
      <c r="F61" s="682">
        <v>2.8235752729765053</v>
      </c>
      <c r="G61" s="682">
        <v>2.9666588094297217</v>
      </c>
      <c r="H61" s="682">
        <v>3.097362020515817</v>
      </c>
      <c r="I61" s="682">
        <v>3.2501034749200057</v>
      </c>
      <c r="J61" s="682">
        <v>3.2567876012705419</v>
      </c>
      <c r="K61" s="682">
        <v>3.4736713327427866</v>
      </c>
      <c r="L61" s="682">
        <v>3.6935106449306647</v>
      </c>
      <c r="M61" s="682">
        <v>3.7883423915688064</v>
      </c>
      <c r="N61" s="682">
        <v>3.9651250274068768</v>
      </c>
      <c r="O61" s="682">
        <v>4.0789058092188624</v>
      </c>
      <c r="P61" s="682">
        <v>4.2793073656510749</v>
      </c>
      <c r="Q61" s="682">
        <v>4.4552959784399553</v>
      </c>
      <c r="R61" s="682">
        <v>4.6456379132419769</v>
      </c>
      <c r="S61" s="682">
        <v>4.8532321749567098</v>
      </c>
      <c r="T61" s="682">
        <v>4.9606472708612541</v>
      </c>
      <c r="U61" s="682">
        <v>4.9391177999735847</v>
      </c>
      <c r="V61" s="682">
        <v>5.2033001298703692</v>
      </c>
      <c r="W61" s="682">
        <v>5.3972028146495488</v>
      </c>
      <c r="X61" s="682">
        <v>5.5430322050260621</v>
      </c>
      <c r="Y61" s="682">
        <v>5.7119055311477434</v>
      </c>
      <c r="Z61" s="682">
        <v>5.8808088453996188</v>
      </c>
      <c r="AA61" s="682">
        <v>5.9813905656408846</v>
      </c>
      <c r="AB61" s="682">
        <v>6.1224131418579493</v>
      </c>
      <c r="AC61" s="682">
        <v>6.3192186525231895</v>
      </c>
      <c r="AD61" s="682">
        <v>6.5073333754412861</v>
      </c>
      <c r="AE61" s="682">
        <v>6.6200322143421371</v>
      </c>
      <c r="AF61" s="682">
        <v>6.4102027374537238</v>
      </c>
      <c r="AG61" s="682">
        <v>6.7186524360240876</v>
      </c>
      <c r="AH61" s="682">
        <v>6.9060817981566487</v>
      </c>
      <c r="AI61" s="45">
        <f t="shared" ref="B61:BI61" si="11">AI20*AI74^$B7*(AI56/1000)^(1-$B7)</f>
        <v>35.215414873318331</v>
      </c>
      <c r="AJ61" s="45">
        <f t="shared" si="11"/>
        <v>53.599904397757726</v>
      </c>
      <c r="AK61" s="45">
        <f t="shared" si="11"/>
        <v>64.770695352756476</v>
      </c>
      <c r="AL61" s="45">
        <f t="shared" si="11"/>
        <v>72.086897793810394</v>
      </c>
      <c r="AM61" s="45">
        <f t="shared" si="11"/>
        <v>77.421957727251353</v>
      </c>
      <c r="AN61" s="45">
        <f t="shared" si="11"/>
        <v>81.735645447773379</v>
      </c>
      <c r="AO61" s="45">
        <f t="shared" si="11"/>
        <v>85.534072014319861</v>
      </c>
      <c r="AP61" s="45">
        <f t="shared" si="11"/>
        <v>89.090942586993293</v>
      </c>
      <c r="AQ61" s="45">
        <f t="shared" si="11"/>
        <v>92.557031085570799</v>
      </c>
      <c r="AR61" s="45">
        <f t="shared" si="11"/>
        <v>96.016804508010196</v>
      </c>
      <c r="AS61" s="45">
        <f t="shared" si="11"/>
        <v>99.518585960725758</v>
      </c>
      <c r="AT61" s="45">
        <f t="shared" si="11"/>
        <v>103.0908984515024</v>
      </c>
      <c r="AU61" s="45">
        <f t="shared" si="11"/>
        <v>106.75140462826401</v>
      </c>
      <c r="AV61" s="45">
        <f t="shared" si="11"/>
        <v>110.5118219394422</v>
      </c>
      <c r="AW61" s="45">
        <f t="shared" si="11"/>
        <v>114.38063301799959</v>
      </c>
      <c r="AX61" s="45">
        <f t="shared" si="11"/>
        <v>118.36458326631275</v>
      </c>
      <c r="AY61" s="45">
        <f t="shared" si="11"/>
        <v>122.46950993111034</v>
      </c>
      <c r="AZ61" s="45">
        <f t="shared" si="11"/>
        <v>126.70080234039978</v>
      </c>
      <c r="BA61" s="45">
        <f t="shared" si="11"/>
        <v>131.06365857899743</v>
      </c>
      <c r="BB61" s="45">
        <f t="shared" si="11"/>
        <v>135.56322983109047</v>
      </c>
      <c r="BC61" s="45">
        <f t="shared" si="11"/>
        <v>140.20470276237037</v>
      </c>
      <c r="BD61" s="45">
        <f t="shared" si="11"/>
        <v>144.99334775779704</v>
      </c>
      <c r="BE61" s="45">
        <f t="shared" si="11"/>
        <v>149.93454837483995</v>
      </c>
      <c r="BF61" s="45">
        <f t="shared" si="11"/>
        <v>155.04189113925224</v>
      </c>
      <c r="BG61" s="45">
        <f t="shared" si="11"/>
        <v>160.31336794510247</v>
      </c>
      <c r="BH61" s="45">
        <f t="shared" si="11"/>
        <v>165.75255612847545</v>
      </c>
      <c r="BI61" s="45">
        <f t="shared" si="11"/>
        <v>171.36523073649673</v>
      </c>
      <c r="BJ61" s="45">
        <f>+BI61</f>
        <v>171.36523073649673</v>
      </c>
      <c r="BK61" s="45">
        <f t="shared" ref="BK61:CV61" si="12">+BJ61</f>
        <v>171.36523073649673</v>
      </c>
      <c r="BL61" s="45">
        <f t="shared" si="12"/>
        <v>171.36523073649673</v>
      </c>
      <c r="BM61" s="45">
        <f t="shared" si="12"/>
        <v>171.36523073649673</v>
      </c>
      <c r="BN61" s="45">
        <f t="shared" si="12"/>
        <v>171.36523073649673</v>
      </c>
      <c r="BO61" s="45">
        <f t="shared" si="12"/>
        <v>171.36523073649673</v>
      </c>
      <c r="BP61" s="45">
        <f t="shared" si="12"/>
        <v>171.36523073649673</v>
      </c>
      <c r="BQ61" s="45">
        <f t="shared" si="12"/>
        <v>171.36523073649673</v>
      </c>
      <c r="BR61" s="45">
        <f t="shared" si="12"/>
        <v>171.36523073649673</v>
      </c>
      <c r="BS61" s="45">
        <f t="shared" si="12"/>
        <v>171.36523073649673</v>
      </c>
      <c r="BT61" s="45">
        <f t="shared" si="12"/>
        <v>171.36523073649673</v>
      </c>
      <c r="BU61" s="45">
        <f t="shared" si="12"/>
        <v>171.36523073649673</v>
      </c>
      <c r="BV61" s="45">
        <f t="shared" si="12"/>
        <v>171.36523073649673</v>
      </c>
      <c r="BW61" s="45">
        <f t="shared" si="12"/>
        <v>171.36523073649673</v>
      </c>
      <c r="BX61" s="45">
        <f t="shared" si="12"/>
        <v>171.36523073649673</v>
      </c>
      <c r="BY61" s="45">
        <f t="shared" si="12"/>
        <v>171.36523073649673</v>
      </c>
      <c r="BZ61" s="45">
        <f t="shared" si="12"/>
        <v>171.36523073649673</v>
      </c>
      <c r="CA61" s="45">
        <f t="shared" si="12"/>
        <v>171.36523073649673</v>
      </c>
      <c r="CB61" s="45">
        <f t="shared" si="12"/>
        <v>171.36523073649673</v>
      </c>
      <c r="CC61" s="45">
        <f t="shared" si="12"/>
        <v>171.36523073649673</v>
      </c>
      <c r="CD61" s="45">
        <f t="shared" si="12"/>
        <v>171.36523073649673</v>
      </c>
      <c r="CE61" s="45">
        <f t="shared" si="12"/>
        <v>171.36523073649673</v>
      </c>
      <c r="CF61" s="45">
        <f t="shared" si="12"/>
        <v>171.36523073649673</v>
      </c>
      <c r="CG61" s="45">
        <f t="shared" si="12"/>
        <v>171.36523073649673</v>
      </c>
      <c r="CH61" s="45">
        <f t="shared" si="12"/>
        <v>171.36523073649673</v>
      </c>
      <c r="CI61" s="45">
        <f t="shared" si="12"/>
        <v>171.36523073649673</v>
      </c>
      <c r="CJ61" s="45">
        <f t="shared" si="12"/>
        <v>171.36523073649673</v>
      </c>
      <c r="CK61" s="45">
        <f t="shared" si="12"/>
        <v>171.36523073649673</v>
      </c>
      <c r="CL61" s="45">
        <f t="shared" si="12"/>
        <v>171.36523073649673</v>
      </c>
      <c r="CM61" s="45">
        <f t="shared" si="12"/>
        <v>171.36523073649673</v>
      </c>
      <c r="CN61" s="45">
        <f t="shared" si="12"/>
        <v>171.36523073649673</v>
      </c>
      <c r="CO61" s="45">
        <f t="shared" si="12"/>
        <v>171.36523073649673</v>
      </c>
      <c r="CP61" s="45">
        <f t="shared" si="12"/>
        <v>171.36523073649673</v>
      </c>
      <c r="CQ61" s="45">
        <f t="shared" si="12"/>
        <v>171.36523073649673</v>
      </c>
      <c r="CR61" s="45">
        <f t="shared" si="12"/>
        <v>171.36523073649673</v>
      </c>
      <c r="CS61" s="45">
        <f t="shared" si="12"/>
        <v>171.36523073649673</v>
      </c>
      <c r="CT61" s="45">
        <f t="shared" si="12"/>
        <v>171.36523073649673</v>
      </c>
      <c r="CU61" s="45">
        <f t="shared" si="12"/>
        <v>171.36523073649673</v>
      </c>
      <c r="CV61" s="45">
        <f t="shared" si="12"/>
        <v>171.36523073649673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8.1073354439120953E-4</v>
      </c>
      <c r="C62" s="63">
        <f>($B24*C81+$B25*C81^$B$26+$B$29*(C81/$B$27)^$B$28)*Parameters!$B$116*0.01</f>
        <v>7.020414507662308E-4</v>
      </c>
      <c r="D62" s="63">
        <f>($B24*D81+$B25*D81^$B$26+$B$29*(D81/$B$27)^$B$28)*Parameters!$B$116*0.01</f>
        <v>3.7549599538643787E-4</v>
      </c>
      <c r="E62" s="63">
        <f>($B24*E81+$B25*E81^$B$26+$B$29*(E81/$B$27)^$B$28)*Parameters!$B$116*0.01</f>
        <v>3.9097875404668674E-4</v>
      </c>
      <c r="F62" s="63">
        <f>($B24*F81+$B25*F81^$B$26+$B$29*(F81/$B$27)^$B$28)*Parameters!$B$116*0.01</f>
        <v>5.2610101144522157E-4</v>
      </c>
      <c r="G62" s="63">
        <f>($B24*G81+$B25*G81^$B$26+$B$29*(G81/$B$27)^$B$28)*Parameters!$B$116*0.01</f>
        <v>7.8836955965973915E-4</v>
      </c>
      <c r="H62" s="63">
        <f>($B24*H81+$B25*H81^$B$26+$B$29*(H81/$B$27)^$B$28)*Parameters!$B$116*0.01</f>
        <v>5.6300940582722887E-4</v>
      </c>
      <c r="I62" s="63">
        <f>($B24*I81+$B25*I81^$B$26+$B$29*(I81/$B$27)^$B$28)*Parameters!$B$116*0.01</f>
        <v>8.3341031212591737E-4</v>
      </c>
      <c r="J62" s="63">
        <f>($B24*J81+$B25*J81^$B$26+$B$29*(J81/$B$27)^$B$28)*Parameters!$B$116*0.01</f>
        <v>1.1837272757517488E-3</v>
      </c>
      <c r="K62" s="63">
        <f>($B24*K81+$B25*K81^$B$26+$B$29*(K81/$B$27)^$B$28)*Parameters!$B$116*0.01</f>
        <v>6.6075409433890067E-4</v>
      </c>
      <c r="L62" s="63">
        <f>($B24*L81+$B25*L81^$B$26+$B$29*(L81/$B$27)^$B$28)*Parameters!$B$116*0.01</f>
        <v>6.8124138105094695E-4</v>
      </c>
      <c r="M62" s="63">
        <f>($B24*M81+$B25*M81^$B$26+$B$29*(M81/$B$27)^$B$28)*Parameters!$B$116*0.01</f>
        <v>1.0009056103595182E-3</v>
      </c>
      <c r="N62" s="63">
        <f>($B24*N81+$B25*N81^$B$26+$B$29*(N81/$B$27)^$B$28)*Parameters!$B$116*0.01</f>
        <v>1.266771163111265E-3</v>
      </c>
      <c r="O62" s="63">
        <f>($B24*O81+$B25*O81^$B$26+$B$29*(O81/$B$27)^$B$28)*Parameters!$B$116*0.01</f>
        <v>1.2387770843215221E-3</v>
      </c>
      <c r="P62" s="63">
        <f>($B24*P81+$B25*P81^$B$26+$B$29*(P81/$B$27)^$B$28)*Parameters!$B$116*0.01</f>
        <v>1.0009056103595182E-3</v>
      </c>
      <c r="Q62" s="63">
        <f>($B24*Q81+$B25*Q81^$B$26+$B$29*(Q81/$B$27)^$B$28)*Parameters!$B$116*0.01</f>
        <v>1.3818753083026094E-3</v>
      </c>
      <c r="R62" s="63">
        <f>($B24*R81+$B25*R81^$B$26+$B$29*(R81/$B$27)^$B$28)*Parameters!$B$116*0.01</f>
        <v>1.2950780249042452E-3</v>
      </c>
      <c r="S62" s="63">
        <f>($B24*S81+$B25*S81^$B$26+$B$29*(S81/$B$27)^$B$28)*Parameters!$B$116*0.01</f>
        <v>1.3526300974999175E-3</v>
      </c>
      <c r="T62" s="63">
        <f>($B24*T81+$B25*T81^$B$26+$B$29*(T81/$B$27)^$B$28)*Parameters!$B$116*0.01</f>
        <v>1.0260846421201247E-3</v>
      </c>
      <c r="U62" s="63">
        <f>($B24*U81+$B25*U81^$B$26+$B$29*(U81/$B$27)^$B$28)*Parameters!$B$116*0.01</f>
        <v>1.3236976697004626E-3</v>
      </c>
      <c r="V62" s="63">
        <f>($B24*V81+$B25*V81^$B$26+$B$29*(V81/$B$27)^$B$28)*Parameters!$B$116*0.01</f>
        <v>1.5327931073646306E-3</v>
      </c>
      <c r="W62" s="63">
        <f>($B24*W81+$B25*W81^$B$26+$B$29*(W81/$B$27)^$B$28)*Parameters!$B$116*0.01</f>
        <v>1.2110957885350167E-3</v>
      </c>
      <c r="X62" s="63">
        <f>($B24*X81+$B25*X81^$B$26+$B$29*(X81/$B$27)^$B$28)*Parameters!$B$116*0.01</f>
        <v>1.3236976697004626E-3</v>
      </c>
      <c r="Y62" s="63">
        <f>($B24*Y81+$B25*Y81^$B$26+$B$29*(Y81/$B$27)^$B$28)*Parameters!$B$116*0.01</f>
        <v>1.4114333021085391E-3</v>
      </c>
      <c r="Z62" s="63">
        <f>($B24*Z81+$B25*Z81^$B$26+$B$29*(Z81/$B$27)^$B$28)*Parameters!$B$116*0.01</f>
        <v>1.5953497080121004E-3</v>
      </c>
      <c r="AA62" s="63">
        <f>($B24*AA81+$B25*AA81^$B$26+$B$29*(AA81/$B$27)^$B$28)*Parameters!$B$116*0.01</f>
        <v>2.1408432656580371E-3</v>
      </c>
      <c r="AB62" s="63">
        <f>($B24*AB81+$B25*AB81^$B$26+$B$29*(AB81/$B$27)^$B$28)*Parameters!$B$116*0.01</f>
        <v>2.5623183625203662E-3</v>
      </c>
      <c r="AC62" s="63">
        <f>($B24*AC81+$B25*AC81^$B$26+$B$29*(AC81/$B$27)^$B$28)*Parameters!$B$116*0.01</f>
        <v>2.2146600544220522E-3</v>
      </c>
      <c r="AD62" s="63">
        <f>($B24*AD81+$B25*AD81^$B$26+$B$29*(AD81/$B$27)^$B$28)*Parameters!$B$116*0.01</f>
        <v>1.9617749963046554E-3</v>
      </c>
      <c r="AE62" s="63">
        <f>($B24*AE81+$B25*AE81^$B$26+$B$29*(AE81/$B$27)^$B$28)*Parameters!$B$116*0.01</f>
        <v>2.4436172127917919E-3</v>
      </c>
      <c r="AF62" s="63">
        <f>($B24*AF81+$B25*AF81^$B$26+$B$29*(AF81/$B$27)^$B$28)*Parameters!$B$116*0.01</f>
        <v>2.5623183625203662E-3</v>
      </c>
      <c r="AG62" s="63">
        <f>($B24*AG81+$B25*AG81^$B$26+$B$29*(AG81/$B$27)^$B$28)*Parameters!$B$116*0.01</f>
        <v>1.9617749963046554E-3</v>
      </c>
      <c r="AH62" s="63">
        <f>($B24*AH81+$B25*AH81^$B$26+$B$29*(AH81/$B$27)^$B$28)*Parameters!$B$116*0.01</f>
        <v>2.1044040457808863E-3</v>
      </c>
      <c r="AI62" s="63">
        <f>($B24*AI81+$B25*AI81^$B$26+$B$29*(AI81/$B$27)^$B$28)*Parameters!$B$116*0.01</f>
        <v>3.2429341775648381E-3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8.1073354439120953E-4</v>
      </c>
      <c r="C63" s="63">
        <f t="shared" si="13"/>
        <v>2.1852770817981336E-3</v>
      </c>
      <c r="D63" s="63">
        <f t="shared" si="13"/>
        <v>2.10524627085747E-3</v>
      </c>
      <c r="E63" s="63">
        <f t="shared" si="13"/>
        <v>2.4121889501249705E-3</v>
      </c>
      <c r="F63" s="63">
        <f t="shared" si="13"/>
        <v>2.8548159496202515E-3</v>
      </c>
      <c r="G63" s="63">
        <f t="shared" si="13"/>
        <v>3.4605135218572251E-3</v>
      </c>
      <c r="H63" s="63">
        <f t="shared" si="13"/>
        <v>3.616109860340555E-3</v>
      </c>
      <c r="I63" s="63">
        <f t="shared" si="13"/>
        <v>4.235405758506585E-3</v>
      </c>
      <c r="J63" s="63">
        <f t="shared" si="13"/>
        <v>4.9819779637124296E-3</v>
      </c>
      <c r="K63" s="63">
        <f t="shared" si="13"/>
        <v>4.8532738136337315E-3</v>
      </c>
      <c r="L63" s="63">
        <f t="shared" si="13"/>
        <v>5.2711817418688222E-3</v>
      </c>
      <c r="M63" s="63">
        <f t="shared" si="13"/>
        <v>5.9961929369900862E-3</v>
      </c>
      <c r="N63" s="63">
        <f t="shared" si="13"/>
        <v>6.5914089334814041E-3</v>
      </c>
      <c r="O63" s="63">
        <f t="shared" si="13"/>
        <v>6.9509489741720956E-3</v>
      </c>
      <c r="P63" s="63">
        <f t="shared" si="13"/>
        <v>7.0744378159228339E-3</v>
      </c>
      <c r="Q63" s="63">
        <f t="shared" si="13"/>
        <v>7.8217888979712942E-3</v>
      </c>
      <c r="R63" s="63">
        <f t="shared" si="13"/>
        <v>8.1339405241496691E-3</v>
      </c>
      <c r="S63" s="63">
        <f t="shared" si="13"/>
        <v>8.5864784492817418E-3</v>
      </c>
      <c r="T63" s="63">
        <f t="shared" si="13"/>
        <v>8.6671575554670578E-3</v>
      </c>
      <c r="U63" s="63">
        <f t="shared" si="13"/>
        <v>9.2955571662988318E-3</v>
      </c>
      <c r="V63" s="63">
        <f t="shared" si="13"/>
        <v>9.8132093873965816E-3</v>
      </c>
      <c r="W63" s="63">
        <f t="shared" si="13"/>
        <v>9.9374874209536453E-3</v>
      </c>
      <c r="X63" s="63">
        <f t="shared" si="13"/>
        <v>1.0432847535672368E-2</v>
      </c>
      <c r="Y63" s="63">
        <f t="shared" si="13"/>
        <v>1.0893741381419821E-2</v>
      </c>
      <c r="Z63" s="63">
        <f t="shared" si="13"/>
        <v>1.1468044429414615E-2</v>
      </c>
      <c r="AA63" s="63">
        <f t="shared" si="13"/>
        <v>1.2420087641633338E-2</v>
      </c>
      <c r="AB63" s="63">
        <f t="shared" si="13"/>
        <v>1.3263002907770393E-2</v>
      </c>
      <c r="AC63" s="63">
        <f t="shared" si="13"/>
        <v>1.3383522123007504E-2</v>
      </c>
      <c r="AD63" s="63">
        <f t="shared" si="13"/>
        <v>1.3594216738480318E-2</v>
      </c>
      <c r="AE63" s="63">
        <f t="shared" si="13"/>
        <v>1.4512301916027901E-2</v>
      </c>
      <c r="AF63" s="63">
        <f t="shared" si="13"/>
        <v>1.5067199167392086E-2</v>
      </c>
      <c r="AG63" s="63">
        <f t="shared" si="13"/>
        <v>1.4749378798105228E-2</v>
      </c>
      <c r="AH63" s="63">
        <f t="shared" si="13"/>
        <v>1.5377778661327434E-2</v>
      </c>
      <c r="AI63" s="63">
        <f t="shared" si="13"/>
        <v>1.6951049045177781E-2</v>
      </c>
      <c r="AJ63" s="63">
        <f t="shared" si="13"/>
        <v>2.1226350256063852E-2</v>
      </c>
      <c r="AK63" s="63">
        <f t="shared" si="13"/>
        <v>2.3582287117357426E-2</v>
      </c>
      <c r="AL63" s="63">
        <f t="shared" si="13"/>
        <v>2.4735951242558101E-2</v>
      </c>
      <c r="AM63" s="63">
        <f t="shared" si="13"/>
        <v>2.5422668784640532E-2</v>
      </c>
      <c r="AN63" s="63">
        <f t="shared" si="13"/>
        <v>2.5901681518859635E-2</v>
      </c>
      <c r="AO63" s="63">
        <f t="shared" si="13"/>
        <v>2.6281444189493294E-2</v>
      </c>
      <c r="AP63" s="63">
        <f t="shared" si="13"/>
        <v>2.6612944143414859E-2</v>
      </c>
      <c r="AQ63" s="63">
        <f t="shared" si="13"/>
        <v>2.6921760970667039E-2</v>
      </c>
      <c r="AR63" s="63">
        <f t="shared" si="13"/>
        <v>2.7221205127429607E-2</v>
      </c>
      <c r="AS63" s="63">
        <f t="shared" si="13"/>
        <v>2.751835987096957E-2</v>
      </c>
      <c r="AT63" s="63">
        <f t="shared" si="13"/>
        <v>2.7817058684889356E-2</v>
      </c>
      <c r="AU63" s="63">
        <f t="shared" si="13"/>
        <v>2.8119411989965083E-2</v>
      </c>
      <c r="AV63" s="63">
        <f t="shared" si="13"/>
        <v>2.8426607645689717E-2</v>
      </c>
      <c r="AW63" s="63">
        <f t="shared" si="13"/>
        <v>2.8739335975676371E-2</v>
      </c>
      <c r="AX63" s="63">
        <f t="shared" si="13"/>
        <v>2.9058017093550149E-2</v>
      </c>
      <c r="AY63" s="63">
        <f t="shared" si="13"/>
        <v>2.938292307153767E-2</v>
      </c>
      <c r="AZ63" s="63">
        <f t="shared" si="13"/>
        <v>2.9714243852565471E-2</v>
      </c>
      <c r="BA63" s="63">
        <f t="shared" si="13"/>
        <v>3.0052122962449138E-2</v>
      </c>
      <c r="BB63" s="63">
        <f t="shared" si="13"/>
        <v>3.0396676971434305E-2</v>
      </c>
      <c r="BC63" s="63">
        <f t="shared" si="13"/>
        <v>3.0748006193021048E-2</v>
      </c>
      <c r="BD63" s="63">
        <f t="shared" si="13"/>
        <v>3.1106200646412431E-2</v>
      </c>
      <c r="BE63" s="63">
        <f t="shared" si="13"/>
        <v>3.1471343450299394E-2</v>
      </c>
      <c r="BF63" s="63">
        <f t="shared" si="13"/>
        <v>3.1843512816405642E-2</v>
      </c>
      <c r="BG63" s="63">
        <f t="shared" si="13"/>
        <v>3.2223202623250555E-2</v>
      </c>
      <c r="BH63" s="63">
        <f t="shared" si="13"/>
        <v>3.2610067721134402E-2</v>
      </c>
      <c r="BI63" s="63">
        <f t="shared" si="13"/>
        <v>3.3004065312843507E-2</v>
      </c>
      <c r="BJ63" s="63">
        <f t="shared" si="13"/>
        <v>3.3405259123972422E-2</v>
      </c>
      <c r="BK63" s="63">
        <f t="shared" si="13"/>
        <v>3.3533874618172692E-2</v>
      </c>
      <c r="BL63" s="63">
        <f t="shared" si="13"/>
        <v>3.3665742431147352E-2</v>
      </c>
      <c r="BM63" s="63">
        <f t="shared" si="13"/>
        <v>3.3800780527749111E-2</v>
      </c>
      <c r="BN63" s="63">
        <f t="shared" ref="BN63:CV63" si="14">+BN62+BN50/100</f>
        <v>3.3938908850987763E-2</v>
      </c>
      <c r="BO63" s="63">
        <f t="shared" si="14"/>
        <v>3.4080049274401246E-2</v>
      </c>
      <c r="BP63" s="63">
        <f t="shared" si="14"/>
        <v>3.4224125555573463E-2</v>
      </c>
      <c r="BQ63" s="63">
        <f t="shared" si="14"/>
        <v>3.4371063290771248E-2</v>
      </c>
      <c r="BR63" s="63">
        <f t="shared" si="14"/>
        <v>3.4520789870673398E-2</v>
      </c>
      <c r="BS63" s="63">
        <f t="shared" si="14"/>
        <v>3.4673234437165662E-2</v>
      </c>
      <c r="BT63" s="63">
        <f t="shared" si="14"/>
        <v>3.482832784117601E-2</v>
      </c>
      <c r="BU63" s="63">
        <f t="shared" si="14"/>
        <v>3.4986002601524818E-2</v>
      </c>
      <c r="BV63" s="63">
        <f t="shared" si="14"/>
        <v>3.5146192864766099E-2</v>
      </c>
      <c r="BW63" s="63">
        <f t="shared" si="14"/>
        <v>3.530883436599537E-2</v>
      </c>
      <c r="BX63" s="63">
        <f t="shared" si="14"/>
        <v>3.547386439060124E-2</v>
      </c>
      <c r="BY63" s="63">
        <f t="shared" si="14"/>
        <v>3.5641221736937817E-2</v>
      </c>
      <c r="BZ63" s="63">
        <f t="shared" si="14"/>
        <v>3.5810846679895827E-2</v>
      </c>
      <c r="CA63" s="63">
        <f t="shared" si="14"/>
        <v>3.5982680935350841E-2</v>
      </c>
      <c r="CB63" s="63">
        <f t="shared" si="14"/>
        <v>3.615666762546741E-2</v>
      </c>
      <c r="CC63" s="63">
        <f t="shared" si="14"/>
        <v>3.6332751244838563E-2</v>
      </c>
      <c r="CD63" s="63">
        <f t="shared" si="14"/>
        <v>3.6510877627440534E-2</v>
      </c>
      <c r="CE63" s="63">
        <f t="shared" si="14"/>
        <v>3.6690993914383123E-2</v>
      </c>
      <c r="CF63" s="63">
        <f t="shared" si="14"/>
        <v>3.6873048522436391E-2</v>
      </c>
      <c r="CG63" s="63">
        <f t="shared" si="14"/>
        <v>3.7056991113315334E-2</v>
      </c>
      <c r="CH63" s="63">
        <f t="shared" si="14"/>
        <v>3.7242772563703792E-2</v>
      </c>
      <c r="CI63" s="63">
        <f t="shared" si="14"/>
        <v>3.7430344936000323E-2</v>
      </c>
      <c r="CJ63" s="63">
        <f t="shared" si="14"/>
        <v>3.7619661449768207E-2</v>
      </c>
      <c r="CK63" s="63">
        <f t="shared" si="14"/>
        <v>3.7810676453872955E-2</v>
      </c>
      <c r="CL63" s="63">
        <f t="shared" si="14"/>
        <v>3.8003345399290581E-2</v>
      </c>
      <c r="CM63" s="63">
        <f t="shared" si="14"/>
        <v>3.8197624812570552E-2</v>
      </c>
      <c r="CN63" s="63">
        <f t="shared" si="14"/>
        <v>3.8393472269937695E-2</v>
      </c>
      <c r="CO63" s="63">
        <f t="shared" si="14"/>
        <v>3.8590846372017568E-2</v>
      </c>
      <c r="CP63" s="63">
        <f t="shared" si="14"/>
        <v>3.8789706719170348E-2</v>
      </c>
      <c r="CQ63" s="63">
        <f t="shared" si="14"/>
        <v>3.8990013887418698E-2</v>
      </c>
      <c r="CR63" s="63">
        <f t="shared" si="14"/>
        <v>3.919172940495505E-2</v>
      </c>
      <c r="CS63" s="63">
        <f t="shared" si="14"/>
        <v>3.9394815729214605E-2</v>
      </c>
      <c r="CT63" s="63">
        <f t="shared" si="14"/>
        <v>3.9599236224500241E-2</v>
      </c>
      <c r="CU63" s="63">
        <f t="shared" si="14"/>
        <v>3.9804955140146273E-2</v>
      </c>
      <c r="CV63" s="63">
        <f t="shared" si="14"/>
        <v>4.0011937589207763E-2</v>
      </c>
    </row>
    <row r="64" spans="1:105" s="143" customFormat="1" ht="18" customHeight="1" x14ac:dyDescent="0.2">
      <c r="A64" s="559" t="s">
        <v>1133</v>
      </c>
      <c r="B64" s="143">
        <f>+B61-B65</f>
        <v>1.9558825469494501E-3</v>
      </c>
      <c r="C64" s="143">
        <f>+C63*C61/(1+C63^Parameters!$B$125)</f>
        <v>5.3921149582079201E-3</v>
      </c>
      <c r="D64" s="143">
        <f>+D63*D61/(1+D63^Parameters!$B$125)</f>
        <v>5.3421075532266151E-3</v>
      </c>
      <c r="E64" s="143">
        <f>+E63*E61/(1+E63^Parameters!$B$125)</f>
        <v>6.419125611979523E-3</v>
      </c>
      <c r="F64" s="143">
        <f>+F63*F61/(1+F63^Parameters!$B$125)</f>
        <v>8.0607877242466833E-3</v>
      </c>
      <c r="G64" s="143">
        <f>+G63*G61/(1+G63^Parameters!$B$125)</f>
        <v>1.0266162924768408E-2</v>
      </c>
      <c r="H64" s="143">
        <f>+H63*H61/(1+H63^Parameters!$B$125)</f>
        <v>1.1200401343431591E-2</v>
      </c>
      <c r="I64" s="143">
        <f>+I63*I61/(1+I63^Parameters!$B$125)</f>
        <v>1.3765506973418455E-2</v>
      </c>
      <c r="J64" s="143">
        <f>+J63*J61/(1+J63^Parameters!$B$125)</f>
        <v>1.6225244062021704E-2</v>
      </c>
      <c r="K64" s="143">
        <f>+K63*K61/(1+K63^Parameters!$B$125)</f>
        <v>1.6858678116370752E-2</v>
      </c>
      <c r="L64" s="143">
        <f>+L63*L61/(1+L63^Parameters!$B$125)</f>
        <v>1.9469165874956659E-2</v>
      </c>
      <c r="M64" s="143">
        <f>+M63*M61/(1+M63^Parameters!$B$125)</f>
        <v>2.2715631891225007E-2</v>
      </c>
      <c r="N64" s="143">
        <f>+N63*N61/(1+N63^Parameters!$B$125)</f>
        <v>2.6135760528020385E-2</v>
      </c>
      <c r="O64" s="143">
        <f>+O63*O61/(1+O63^Parameters!$B$125)</f>
        <v>2.8352266150334454E-2</v>
      </c>
      <c r="P64" s="143">
        <f>+P63*P61/(1+P63^Parameters!$B$125)</f>
        <v>3.0273693853519086E-2</v>
      </c>
      <c r="Q64" s="143">
        <f>+Q63*Q61/(1+Q63^Parameters!$B$125)</f>
        <v>3.4848384621337797E-2</v>
      </c>
      <c r="R64" s="143">
        <f>+R63*R61/(1+R63^Parameters!$B$125)</f>
        <v>3.7787342483045022E-2</v>
      </c>
      <c r="S64" s="143">
        <f>+S63*S61/(1+S63^Parameters!$B$125)</f>
        <v>4.1672173479626547E-2</v>
      </c>
      <c r="T64" s="143">
        <f>+T63*T61/(1+T63^Parameters!$B$125)</f>
        <v>4.2994711473652157E-2</v>
      </c>
      <c r="U64" s="143">
        <f>+U63*U61/(1+U63^Parameters!$B$125)</f>
        <v>4.5911851860738574E-2</v>
      </c>
      <c r="V64" s="143">
        <f>+V63*V61/(1+V63^Parameters!$B$125)</f>
        <v>5.1061073679885757E-2</v>
      </c>
      <c r="W64" s="143">
        <f>+W63*W61/(1+W63^Parameters!$B$125)</f>
        <v>5.3634635078915499E-2</v>
      </c>
      <c r="X64" s="143">
        <f>+X63*X61/(1+X63^Parameters!$B$125)</f>
        <v>5.7829609880358721E-2</v>
      </c>
      <c r="Y64" s="143">
        <f>+Y63*Y61/(1+Y63^Parameters!$B$125)</f>
        <v>6.2224021651424932E-2</v>
      </c>
      <c r="Z64" s="143">
        <f>+Z63*Z61/(1+Z63^Parameters!$B$125)</f>
        <v>6.7441377119937293E-2</v>
      </c>
      <c r="AA64" s="143">
        <f>+AA63*AA61/(1+AA63^Parameters!$B$125)</f>
        <v>7.4289395044098594E-2</v>
      </c>
      <c r="AB64" s="143">
        <f>+AB63*AB61/(1+AB63^Parameters!$B$125)</f>
        <v>8.1201583303033648E-2</v>
      </c>
      <c r="AC64" s="143">
        <f>+AC63*AC61/(1+AC63^Parameters!$B$125)</f>
        <v>8.4573402636165779E-2</v>
      </c>
      <c r="AD64" s="143">
        <f>+AD63*AD61/(1+AD63^Parameters!$B$125)</f>
        <v>8.8462100295295554E-2</v>
      </c>
      <c r="AE64" s="143">
        <f>+AE63*AE61/(1+AE63^Parameters!$B$125)</f>
        <v>9.6071906188363823E-2</v>
      </c>
      <c r="AF64" s="143">
        <f>+AF63*AF61/(1+AF63^Parameters!$B$125)</f>
        <v>9.658380134857722E-2</v>
      </c>
      <c r="AG64" s="143">
        <f>+AG63*AG61/(1+AG63^Parameters!$B$125)</f>
        <v>9.9095949791731724E-2</v>
      </c>
      <c r="AH64" s="143">
        <f>+AH63*AH61/(1+AH63^Parameters!$B$125)</f>
        <v>0.10620019730907511</v>
      </c>
      <c r="AI64" s="143">
        <f>+AI63*AI61/(1+AI63^Parameters!$B$125)</f>
        <v>0.59693822466390212</v>
      </c>
      <c r="AJ64" s="143">
        <f>+AJ63*AJ61/(1+AJ63^Parameters!$B$125)</f>
        <v>1.1377303444383426</v>
      </c>
      <c r="AK64" s="143">
        <f>+AK63*AK61/(1+AK63^Parameters!$B$125)</f>
        <v>1.5274411345995915</v>
      </c>
      <c r="AL64" s="143">
        <f>+AL63*AL61/(1+AL63^Parameters!$B$125)</f>
        <v>1.783137989054963</v>
      </c>
      <c r="AM64" s="143">
        <f>+AM63*AM61/(1+AM63^Parameters!$B$125)</f>
        <v>1.9682727879583515</v>
      </c>
      <c r="AN64" s="143">
        <f>+AN63*AN61/(1+AN63^Parameters!$B$125)</f>
        <v>2.117090657126655</v>
      </c>
      <c r="AO64" s="143">
        <f>+AO63*AO61/(1+AO63^Parameters!$B$125)</f>
        <v>2.2479589399444473</v>
      </c>
      <c r="AP64" s="143">
        <f>+AP63*AP61/(1+AP63^Parameters!$B$125)</f>
        <v>2.3709722787518324</v>
      </c>
      <c r="AQ64" s="143">
        <f>+AQ63*AQ61/(1+AQ63^Parameters!$B$125)</f>
        <v>2.4917982670403354</v>
      </c>
      <c r="AR64" s="143">
        <f>+AR63*AR61/(1+AR63^Parameters!$B$125)</f>
        <v>2.6136931311928531</v>
      </c>
      <c r="AS64" s="143">
        <f>+AS63*AS61/(1+AS63^Parameters!$B$125)</f>
        <v>2.738588262317271</v>
      </c>
      <c r="AT64" s="143">
        <f>+AT63*AT61/(1+AT63^Parameters!$B$125)</f>
        <v>2.8676855721034111</v>
      </c>
      <c r="AU64" s="143">
        <f>+AU63*AU61/(1+AU63^Parameters!$B$125)</f>
        <v>3.0017867272496201</v>
      </c>
      <c r="AV64" s="143">
        <f>+AV63*AV61/(1+AV63^Parameters!$B$125)</f>
        <v>3.1414762024828469</v>
      </c>
      <c r="AW64" s="143">
        <f>+AW63*AW61/(1+AW63^Parameters!$B$125)</f>
        <v>3.2872234414148309</v>
      </c>
      <c r="AX64" s="143">
        <f>+AX63*AX61/(1+AX63^Parameters!$B$125)</f>
        <v>3.4394400838234542</v>
      </c>
      <c r="AY64" s="143">
        <f>+AY63*AY61/(1+AY63^Parameters!$B$125)</f>
        <v>3.5985121889147318</v>
      </c>
      <c r="AZ64" s="143">
        <f>+AZ63*AZ61/(1+AZ63^Parameters!$B$125)</f>
        <v>3.7648185370583351</v>
      </c>
      <c r="BA64" s="143">
        <f>+BA63*BA61/(1+BA63^Parameters!$B$125)</f>
        <v>3.9387411835244799</v>
      </c>
      <c r="BB64" s="143">
        <f>+BB63*BB61/(1+BB63^Parameters!$B$125)</f>
        <v>4.1206717063799614</v>
      </c>
      <c r="BC64" s="143">
        <f>+BC63*BC61/(1+BC63^Parameters!$B$125)</f>
        <v>4.3110150688280369</v>
      </c>
      <c r="BD64" s="143">
        <f>+BD63*BD61/(1+BD63^Parameters!$B$125)</f>
        <v>4.5101921677490839</v>
      </c>
      <c r="BE64" s="143">
        <f>+BE63*BE61/(1+BE63^Parameters!$B$125)</f>
        <v>4.7186416669701128</v>
      </c>
      <c r="BF64" s="143">
        <f>+BF63*BF61/(1+BF63^Parameters!$B$125)</f>
        <v>4.9370784475725422</v>
      </c>
      <c r="BG64" s="143">
        <f>+BG63*BG61/(1+BG63^Parameters!$B$125)</f>
        <v>5.1658101385107518</v>
      </c>
      <c r="BH64" s="143">
        <f>+BH63*BH61/(1+BH63^Parameters!$B$125)</f>
        <v>5.4052020803007084</v>
      </c>
      <c r="BI64" s="143">
        <f>+BI63*BI61/(1+BI63^Parameters!$B$125)</f>
        <v>5.6557492675778267</v>
      </c>
      <c r="BJ64" s="143">
        <f>+BJ63*BJ61/(1+BJ63^Parameters!$B$125)</f>
        <v>5.7244999375919869</v>
      </c>
      <c r="BK64" s="143">
        <f>+BK63*BK61/(1+BK63^Parameters!$B$125)</f>
        <v>5.7465401614319047</v>
      </c>
      <c r="BL64" s="143">
        <f>+BL63*BL61/(1+BL63^Parameters!$B$125)</f>
        <v>5.7691377196290237</v>
      </c>
      <c r="BM64" s="143">
        <f>+BM63*BM61/(1+BM63^Parameters!$B$125)</f>
        <v>5.7922785542114008</v>
      </c>
      <c r="BN64" s="143">
        <f>+BN63*BN61/(1+BN63^Parameters!$B$125)</f>
        <v>5.8159489461944371</v>
      </c>
      <c r="BO64" s="143">
        <f>+BO63*BO61/(1+BO63^Parameters!$B$125)</f>
        <v>5.8401355074189336</v>
      </c>
      <c r="BP64" s="143">
        <f>+BP63*BP61/(1+BP63^Parameters!$B$125)</f>
        <v>5.8648251725856673</v>
      </c>
      <c r="BQ64" s="143">
        <f>+BQ63*BQ61/(1+BQ63^Parameters!$B$125)</f>
        <v>5.890005191481734</v>
      </c>
      <c r="BR64" s="143">
        <f>+BR63*BR61/(1+BR63^Parameters!$B$125)</f>
        <v>5.9156631213940516</v>
      </c>
      <c r="BS64" s="143">
        <f>+BS63*BS61/(1+BS63^Parameters!$B$125)</f>
        <v>5.9417868197055235</v>
      </c>
      <c r="BT64" s="143">
        <f>+BT63*BT61/(1+BT63^Parameters!$B$125)</f>
        <v>5.9683644366694635</v>
      </c>
      <c r="BU64" s="143">
        <f>+BU63*BU61/(1+BU63^Parameters!$B$125)</f>
        <v>5.9953844083579595</v>
      </c>
      <c r="BV64" s="143">
        <f>+BV63*BV61/(1+BV63^Parameters!$B$125)</f>
        <v>6.0228354497800396</v>
      </c>
      <c r="BW64" s="143">
        <f>+BW63*BW61/(1+BW63^Parameters!$B$125)</f>
        <v>6.0507065481655227</v>
      </c>
      <c r="BX64" s="143">
        <f>+BX63*BX61/(1+BX63^Parameters!$B$125)</f>
        <v>6.0789869564105574</v>
      </c>
      <c r="BY64" s="143">
        <f>+BY63*BY61/(1+BY63^Parameters!$B$125)</f>
        <v>6.1076661866809712</v>
      </c>
      <c r="BZ64" s="143">
        <f>+BZ63*BZ61/(1+BZ63^Parameters!$B$125)</f>
        <v>6.1367340041696341</v>
      </c>
      <c r="CA64" s="143">
        <f>+CA63*CA61/(1+CA63^Parameters!$B$125)</f>
        <v>6.1661804210041167</v>
      </c>
      <c r="CB64" s="143">
        <f>+CB63*CB61/(1+CB63^Parameters!$B$125)</f>
        <v>6.1959956903010207</v>
      </c>
      <c r="CC64" s="143">
        <f>+CC63*CC61/(1+CC63^Parameters!$B$125)</f>
        <v>6.2261703003634743</v>
      </c>
      <c r="CD64" s="143">
        <f>+CD63*CD61/(1+CD63^Parameters!$B$125)</f>
        <v>6.2566949690183167</v>
      </c>
      <c r="CE64" s="143">
        <f>+CE63*CE61/(1+CE63^Parameters!$B$125)</f>
        <v>6.2875606380896336</v>
      </c>
      <c r="CF64" s="143">
        <f>+CF63*CF61/(1+CF63^Parameters!$B$125)</f>
        <v>6.3187584680053224</v>
      </c>
      <c r="CG64" s="143">
        <f>+CG63*CG61/(1+CG63^Parameters!$B$125)</f>
        <v>6.3502798325335599</v>
      </c>
      <c r="CH64" s="143">
        <f>+CH63*CH61/(1+CH63^Parameters!$B$125)</f>
        <v>6.3821163136459376</v>
      </c>
      <c r="CI64" s="143">
        <f>+CI63*CI61/(1+CI63^Parameters!$B$125)</f>
        <v>6.414259696504323</v>
      </c>
      <c r="CJ64" s="143">
        <f>+CJ63*CJ61/(1+CJ63^Parameters!$B$125)</f>
        <v>6.4467019645683825</v>
      </c>
      <c r="CK64" s="143">
        <f>+CK63*CK61/(1+CK63^Parameters!$B$125)</f>
        <v>6.4794352948209237</v>
      </c>
      <c r="CL64" s="143">
        <f>+CL63*CL61/(1+CL63^Parameters!$B$125)</f>
        <v>6.5124520531081709</v>
      </c>
      <c r="CM64" s="143">
        <f>+CM63*CM61/(1+CM63^Parameters!$B$125)</f>
        <v>6.5457447895922414</v>
      </c>
      <c r="CN64" s="143">
        <f>+CN63*CN61/(1+CN63^Parameters!$B$125)</f>
        <v>6.5793062343131163</v>
      </c>
      <c r="CO64" s="143">
        <f>+CO63*CO61/(1+CO63^Parameters!$B$125)</f>
        <v>6.6131292928574394</v>
      </c>
      <c r="CP64" s="143">
        <f>+CP63*CP61/(1+CP63^Parameters!$B$125)</f>
        <v>6.6472070421316127</v>
      </c>
      <c r="CQ64" s="143">
        <f>+CQ63*CQ61/(1+CQ63^Parameters!$B$125)</f>
        <v>6.6815327262366617</v>
      </c>
      <c r="CR64" s="143">
        <f>+CR63*CR61/(1+CR63^Parameters!$B$125)</f>
        <v>6.7160997524424078</v>
      </c>
      <c r="CS64" s="143">
        <f>+CS63*CS61/(1+CS63^Parameters!$B$125)</f>
        <v>6.7509016872585699</v>
      </c>
      <c r="CT64" s="143">
        <f>+CT63*CT61/(1+CT63^Parameters!$B$125)</f>
        <v>6.7859322526004586</v>
      </c>
      <c r="CU64" s="143">
        <f>+CU63*CU61/(1+CU63^Parameters!$B$125)</f>
        <v>6.8211853220469987</v>
      </c>
      <c r="CV64" s="143">
        <f>+CV63*CV61/(1+CV63^Parameters!$B$125)</f>
        <v>6.8566549171888234</v>
      </c>
    </row>
    <row r="65" spans="1:237" s="45" customFormat="1" ht="18" customHeight="1" x14ac:dyDescent="0.2">
      <c r="A65" s="555" t="s">
        <v>21</v>
      </c>
      <c r="B65" s="45">
        <f>+B61/(1+B63)</f>
        <v>2.4124850396047548</v>
      </c>
      <c r="C65" s="45">
        <f t="shared" ref="C65:BN65" si="15">+C61-C64</f>
        <v>2.4620821486583178</v>
      </c>
      <c r="D65" s="45">
        <f t="shared" si="15"/>
        <v>2.5321793345585157</v>
      </c>
      <c r="E65" s="45">
        <f t="shared" si="15"/>
        <v>2.6547014352988731</v>
      </c>
      <c r="F65" s="45">
        <f t="shared" si="15"/>
        <v>2.8155144852522587</v>
      </c>
      <c r="G65" s="45">
        <f t="shared" si="15"/>
        <v>2.9563926465049533</v>
      </c>
      <c r="H65" s="45">
        <f t="shared" si="15"/>
        <v>3.0861616191723855</v>
      </c>
      <c r="I65" s="45">
        <f t="shared" si="15"/>
        <v>3.2363379679465871</v>
      </c>
      <c r="J65" s="45">
        <f t="shared" si="15"/>
        <v>3.2405623572085203</v>
      </c>
      <c r="K65" s="45">
        <f t="shared" si="15"/>
        <v>3.456812654626416</v>
      </c>
      <c r="L65" s="45">
        <f t="shared" si="15"/>
        <v>3.6740414790557079</v>
      </c>
      <c r="M65" s="45">
        <f t="shared" si="15"/>
        <v>3.7656267596775814</v>
      </c>
      <c r="N65" s="45">
        <f t="shared" si="15"/>
        <v>3.9389892668788562</v>
      </c>
      <c r="O65" s="45">
        <f t="shared" si="15"/>
        <v>4.0505535430685278</v>
      </c>
      <c r="P65" s="45">
        <f t="shared" si="15"/>
        <v>4.2490336717975561</v>
      </c>
      <c r="Q65" s="45">
        <f t="shared" si="15"/>
        <v>4.4204475938186176</v>
      </c>
      <c r="R65" s="45">
        <f t="shared" si="15"/>
        <v>4.6078505707589317</v>
      </c>
      <c r="S65" s="45">
        <f t="shared" si="15"/>
        <v>4.8115600014770834</v>
      </c>
      <c r="T65" s="45">
        <f t="shared" si="15"/>
        <v>4.9176525593876024</v>
      </c>
      <c r="U65" s="45">
        <f t="shared" si="15"/>
        <v>4.893205948112846</v>
      </c>
      <c r="V65" s="45">
        <f t="shared" si="15"/>
        <v>5.1522390561904832</v>
      </c>
      <c r="W65" s="45">
        <f t="shared" si="15"/>
        <v>5.3435681795706333</v>
      </c>
      <c r="X65" s="45">
        <f t="shared" si="15"/>
        <v>5.4852025951457035</v>
      </c>
      <c r="Y65" s="45">
        <f t="shared" si="15"/>
        <v>5.6496815094963182</v>
      </c>
      <c r="Z65" s="45">
        <f t="shared" si="15"/>
        <v>5.8133674682796812</v>
      </c>
      <c r="AA65" s="45">
        <f t="shared" si="15"/>
        <v>5.9071011705967855</v>
      </c>
      <c r="AB65" s="45">
        <f t="shared" si="15"/>
        <v>6.0412115585549158</v>
      </c>
      <c r="AC65" s="45">
        <f t="shared" si="15"/>
        <v>6.2346452498870235</v>
      </c>
      <c r="AD65" s="45">
        <f t="shared" si="15"/>
        <v>6.4188712751459907</v>
      </c>
      <c r="AE65" s="45">
        <f t="shared" si="15"/>
        <v>6.5239603081537734</v>
      </c>
      <c r="AF65" s="45">
        <f t="shared" si="15"/>
        <v>6.3136189361051462</v>
      </c>
      <c r="AG65" s="45">
        <f t="shared" si="15"/>
        <v>6.6195564862323559</v>
      </c>
      <c r="AH65" s="45">
        <f t="shared" si="15"/>
        <v>6.7998816008475735</v>
      </c>
      <c r="AI65" s="45">
        <f t="shared" si="15"/>
        <v>34.618476648654429</v>
      </c>
      <c r="AJ65" s="45">
        <f t="shared" si="15"/>
        <v>52.46217405331938</v>
      </c>
      <c r="AK65" s="45">
        <f t="shared" si="15"/>
        <v>63.243254218156885</v>
      </c>
      <c r="AL65" s="45">
        <f t="shared" si="15"/>
        <v>70.30375980475543</v>
      </c>
      <c r="AM65" s="45">
        <f t="shared" si="15"/>
        <v>75.453684939292998</v>
      </c>
      <c r="AN65" s="45">
        <f t="shared" si="15"/>
        <v>79.618554790646726</v>
      </c>
      <c r="AO65" s="45">
        <f t="shared" si="15"/>
        <v>83.286113074375407</v>
      </c>
      <c r="AP65" s="45">
        <f t="shared" si="15"/>
        <v>86.719970308241457</v>
      </c>
      <c r="AQ65" s="45">
        <f t="shared" si="15"/>
        <v>90.065232818530461</v>
      </c>
      <c r="AR65" s="45">
        <f t="shared" si="15"/>
        <v>93.40311137681735</v>
      </c>
      <c r="AS65" s="45">
        <f t="shared" si="15"/>
        <v>96.779997698408494</v>
      </c>
      <c r="AT65" s="45">
        <f t="shared" si="15"/>
        <v>100.22321287939899</v>
      </c>
      <c r="AU65" s="45">
        <f t="shared" si="15"/>
        <v>103.74961790101439</v>
      </c>
      <c r="AV65" s="45">
        <f t="shared" si="15"/>
        <v>107.37034573695935</v>
      </c>
      <c r="AW65" s="45">
        <f t="shared" si="15"/>
        <v>111.09340957658475</v>
      </c>
      <c r="AX65" s="45">
        <f t="shared" si="15"/>
        <v>114.92514318248929</v>
      </c>
      <c r="AY65" s="45">
        <f t="shared" si="15"/>
        <v>118.87099774219561</v>
      </c>
      <c r="AZ65" s="45">
        <f t="shared" si="15"/>
        <v>122.93598380334144</v>
      </c>
      <c r="BA65" s="45">
        <f t="shared" si="15"/>
        <v>127.12491739547295</v>
      </c>
      <c r="BB65" s="45">
        <f t="shared" si="15"/>
        <v>131.4425581247105</v>
      </c>
      <c r="BC65" s="45">
        <f t="shared" si="15"/>
        <v>135.89368769354235</v>
      </c>
      <c r="BD65" s="45">
        <f t="shared" si="15"/>
        <v>140.48315559004794</v>
      </c>
      <c r="BE65" s="45">
        <f t="shared" si="15"/>
        <v>145.21590670786983</v>
      </c>
      <c r="BF65" s="45">
        <f t="shared" si="15"/>
        <v>150.10481269167971</v>
      </c>
      <c r="BG65" s="45">
        <f t="shared" si="15"/>
        <v>155.14755780659172</v>
      </c>
      <c r="BH65" s="45">
        <f t="shared" si="15"/>
        <v>160.34735404817474</v>
      </c>
      <c r="BI65" s="45">
        <f t="shared" si="15"/>
        <v>165.70948146891891</v>
      </c>
      <c r="BJ65" s="45">
        <f t="shared" si="15"/>
        <v>165.64073079890474</v>
      </c>
      <c r="BK65" s="45">
        <f t="shared" si="15"/>
        <v>165.61869057506482</v>
      </c>
      <c r="BL65" s="45">
        <f t="shared" si="15"/>
        <v>165.59609301686771</v>
      </c>
      <c r="BM65" s="45">
        <f t="shared" si="15"/>
        <v>165.57295218228532</v>
      </c>
      <c r="BN65" s="45">
        <f t="shared" si="15"/>
        <v>165.5492817903023</v>
      </c>
      <c r="BO65" s="45">
        <f t="shared" ref="BO65:CV65" si="16">+BO61-BO64</f>
        <v>165.52509522907781</v>
      </c>
      <c r="BP65" s="45">
        <f t="shared" si="16"/>
        <v>165.50040556391107</v>
      </c>
      <c r="BQ65" s="45">
        <f t="shared" si="16"/>
        <v>165.47522554501501</v>
      </c>
      <c r="BR65" s="45">
        <f t="shared" si="16"/>
        <v>165.44956761510267</v>
      </c>
      <c r="BS65" s="45">
        <f t="shared" si="16"/>
        <v>165.4234439167912</v>
      </c>
      <c r="BT65" s="45">
        <f t="shared" si="16"/>
        <v>165.39686629982725</v>
      </c>
      <c r="BU65" s="45">
        <f t="shared" si="16"/>
        <v>165.36984632813878</v>
      </c>
      <c r="BV65" s="45">
        <f t="shared" si="16"/>
        <v>165.34239528671668</v>
      </c>
      <c r="BW65" s="45">
        <f t="shared" si="16"/>
        <v>165.31452418833121</v>
      </c>
      <c r="BX65" s="45">
        <f t="shared" si="16"/>
        <v>165.28624378008618</v>
      </c>
      <c r="BY65" s="45">
        <f t="shared" si="16"/>
        <v>165.25756454981575</v>
      </c>
      <c r="BZ65" s="45">
        <f t="shared" si="16"/>
        <v>165.2284967323271</v>
      </c>
      <c r="CA65" s="45">
        <f t="shared" si="16"/>
        <v>165.1990503154926</v>
      </c>
      <c r="CB65" s="45">
        <f t="shared" si="16"/>
        <v>165.16923504619569</v>
      </c>
      <c r="CC65" s="45">
        <f t="shared" si="16"/>
        <v>165.13906043613326</v>
      </c>
      <c r="CD65" s="45">
        <f t="shared" si="16"/>
        <v>165.1085357674784</v>
      </c>
      <c r="CE65" s="45">
        <f t="shared" si="16"/>
        <v>165.07767009840708</v>
      </c>
      <c r="CF65" s="45">
        <f t="shared" si="16"/>
        <v>165.04647226849141</v>
      </c>
      <c r="CG65" s="45">
        <f t="shared" si="16"/>
        <v>165.01495090396315</v>
      </c>
      <c r="CH65" s="45">
        <f t="shared" si="16"/>
        <v>164.9831144228508</v>
      </c>
      <c r="CI65" s="45">
        <f t="shared" si="16"/>
        <v>164.9509710399924</v>
      </c>
      <c r="CJ65" s="45">
        <f t="shared" si="16"/>
        <v>164.91852877192835</v>
      </c>
      <c r="CK65" s="45">
        <f t="shared" si="16"/>
        <v>164.88579544167581</v>
      </c>
      <c r="CL65" s="45">
        <f t="shared" si="16"/>
        <v>164.85277868338855</v>
      </c>
      <c r="CM65" s="45">
        <f t="shared" si="16"/>
        <v>164.81948594690448</v>
      </c>
      <c r="CN65" s="45">
        <f t="shared" si="16"/>
        <v>164.7859245021836</v>
      </c>
      <c r="CO65" s="45">
        <f t="shared" si="16"/>
        <v>164.75210144363928</v>
      </c>
      <c r="CP65" s="45">
        <f t="shared" si="16"/>
        <v>164.71802369436512</v>
      </c>
      <c r="CQ65" s="45">
        <f t="shared" si="16"/>
        <v>164.68369801026006</v>
      </c>
      <c r="CR65" s="45">
        <f t="shared" si="16"/>
        <v>164.64913098405432</v>
      </c>
      <c r="CS65" s="45">
        <f t="shared" si="16"/>
        <v>164.61432904923817</v>
      </c>
      <c r="CT65" s="45">
        <f t="shared" si="16"/>
        <v>164.57929848389628</v>
      </c>
      <c r="CU65" s="45">
        <f t="shared" si="16"/>
        <v>164.54404541444973</v>
      </c>
      <c r="CV65" s="45">
        <f t="shared" si="16"/>
        <v>164.50857581930791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1.3720211765706893E-11</v>
      </c>
      <c r="E66" s="33">
        <f t="shared" si="17"/>
        <v>1.2038808212671148E-11</v>
      </c>
      <c r="F66" s="33">
        <f t="shared" si="17"/>
        <v>1.0701199748662399E-11</v>
      </c>
      <c r="G66" s="33">
        <f t="shared" si="17"/>
        <v>9.6235671476240973E-12</v>
      </c>
      <c r="H66" s="33">
        <f t="shared" si="17"/>
        <v>8.7453966469234107E-12</v>
      </c>
      <c r="I66" s="33">
        <f t="shared" si="17"/>
        <v>8.0223037633308577E-12</v>
      </c>
      <c r="J66" s="33">
        <f t="shared" si="17"/>
        <v>7.4212528381263649E-12</v>
      </c>
      <c r="K66" s="33">
        <f t="shared" si="17"/>
        <v>6.9173172088285296E-12</v>
      </c>
      <c r="L66" s="33">
        <f t="shared" si="17"/>
        <v>6.4914479626063842E-12</v>
      </c>
      <c r="M66" s="33">
        <f t="shared" si="17"/>
        <v>6.1289140800532228E-12</v>
      </c>
      <c r="N66" s="33">
        <f t="shared" si="17"/>
        <v>5.8181965491269238E-12</v>
      </c>
      <c r="O66" s="33">
        <f t="shared" si="17"/>
        <v>5.5501939694823637E-12</v>
      </c>
      <c r="P66" s="33">
        <f t="shared" si="17"/>
        <v>5.3176448439947228E-12</v>
      </c>
      <c r="Q66" s="33">
        <f t="shared" si="17"/>
        <v>5.1147025691045217E-12</v>
      </c>
      <c r="R66" s="33">
        <f t="shared" si="17"/>
        <v>4.9366193466848205E-12</v>
      </c>
      <c r="S66" s="33">
        <f t="shared" si="17"/>
        <v>4.7795086880682308E-12</v>
      </c>
      <c r="T66" s="33">
        <f t="shared" si="17"/>
        <v>4.640165237453888E-12</v>
      </c>
      <c r="U66" s="33">
        <f t="shared" si="17"/>
        <v>4.5159268265795308E-12</v>
      </c>
      <c r="V66" s="33">
        <f t="shared" si="17"/>
        <v>4.4045679490312714E-12</v>
      </c>
      <c r="W66" s="33">
        <f t="shared" si="17"/>
        <v>4.3042168546039397E-12</v>
      </c>
      <c r="X66" s="33">
        <f t="shared" si="17"/>
        <v>4.2132904506889764E-12</v>
      </c>
      <c r="Y66" s="33">
        <f t="shared" si="17"/>
        <v>4.1304428776400713E-12</v>
      </c>
      <c r="Z66" s="33">
        <f t="shared" si="17"/>
        <v>4.0545245695408545E-12</v>
      </c>
      <c r="AA66" s="33">
        <f t="shared" si="17"/>
        <v>3.9845494434042441E-12</v>
      </c>
      <c r="AB66" s="33">
        <f t="shared" si="17"/>
        <v>2.5860781531500312E-3</v>
      </c>
      <c r="AC66" s="33">
        <f t="shared" si="17"/>
        <v>2.408216266294348E-3</v>
      </c>
      <c r="AD66" s="33">
        <f t="shared" si="17"/>
        <v>2.2461901320323437E-3</v>
      </c>
      <c r="AE66" s="33">
        <f t="shared" si="17"/>
        <v>2.0982346444176317E-3</v>
      </c>
      <c r="AF66" s="33">
        <f t="shared" si="17"/>
        <v>1.9628258229482842E-3</v>
      </c>
      <c r="AG66" s="33">
        <f t="shared" si="17"/>
        <v>1.8386419900911157E-3</v>
      </c>
      <c r="AH66" s="33">
        <f t="shared" ref="AH66:BI66" si="18">(AH31*(AH103)^$B38)</f>
        <v>1.7245320076544127E-3</v>
      </c>
      <c r="AI66" s="33">
        <f t="shared" si="18"/>
        <v>1.6194891638063253E-3</v>
      </c>
      <c r="AJ66" s="33">
        <f t="shared" si="18"/>
        <v>1.5226296061664076E-3</v>
      </c>
      <c r="AK66" s="33">
        <f t="shared" si="18"/>
        <v>1.4331744498478763E-3</v>
      </c>
      <c r="AL66" s="33">
        <f t="shared" si="18"/>
        <v>1.3504348698774086E-3</v>
      </c>
      <c r="AM66" s="33">
        <f t="shared" si="18"/>
        <v>1.2737996278428113E-3</v>
      </c>
      <c r="AN66" s="33">
        <f t="shared" si="18"/>
        <v>1.2027245924234981E-3</v>
      </c>
      <c r="AO66" s="33">
        <f t="shared" si="18"/>
        <v>1.1367238997634858E-3</v>
      </c>
      <c r="AP66" s="33">
        <f t="shared" si="18"/>
        <v>1.0753624678150411E-3</v>
      </c>
      <c r="AQ66" s="33">
        <f t="shared" si="18"/>
        <v>1.0182496328776322E-3</v>
      </c>
      <c r="AR66" s="33">
        <f t="shared" si="18"/>
        <v>9.650337196789935E-4</v>
      </c>
      <c r="AS66" s="33">
        <f t="shared" si="18"/>
        <v>9.1539739086645929E-4</v>
      </c>
      <c r="AT66" s="33">
        <f t="shared" si="18"/>
        <v>8.6905364952557455E-4</v>
      </c>
      <c r="AU66" s="33">
        <f t="shared" si="18"/>
        <v>8.2574239073498438E-4</v>
      </c>
      <c r="AV66" s="33">
        <f t="shared" si="18"/>
        <v>7.8522741630306016E-4</v>
      </c>
      <c r="AW66" s="33">
        <f t="shared" si="18"/>
        <v>7.4729384157362394E-4</v>
      </c>
      <c r="AX66" s="33">
        <f t="shared" si="18"/>
        <v>7.1174583521158518E-4</v>
      </c>
      <c r="AY66" s="33">
        <f t="shared" si="18"/>
        <v>6.7840464271751318E-4</v>
      </c>
      <c r="AZ66" s="33">
        <f t="shared" si="18"/>
        <v>6.4710685249548951E-4</v>
      </c>
      <c r="BA66" s="33">
        <f t="shared" si="18"/>
        <v>6.177028699468572E-4</v>
      </c>
      <c r="BB66" s="33">
        <f t="shared" si="18"/>
        <v>5.9005557055178651E-4</v>
      </c>
      <c r="BC66" s="33">
        <f t="shared" si="18"/>
        <v>5.6403910744571239E-4</v>
      </c>
      <c r="BD66" s="33">
        <f t="shared" si="18"/>
        <v>5.3953785277135937E-4</v>
      </c>
      <c r="BE66" s="33">
        <f t="shared" si="18"/>
        <v>2.6296442365846494E-4</v>
      </c>
      <c r="BF66" s="33">
        <f t="shared" si="18"/>
        <v>1.2817278800025442E-4</v>
      </c>
      <c r="BG66" s="33">
        <f t="shared" si="18"/>
        <v>6.2476407101558427E-5</v>
      </c>
      <c r="BH66" s="33">
        <f t="shared" si="18"/>
        <v>3.0454782615044937E-5</v>
      </c>
      <c r="BI66" s="33">
        <f t="shared" si="18"/>
        <v>1.4846096530994095E-5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23">
        <f>+B61*B66</f>
        <v>4.7078916537822276E-11</v>
      </c>
      <c r="C67" s="23">
        <f>+C61*C66</f>
        <v>3.9142799301212999E-11</v>
      </c>
      <c r="D67" s="23">
        <f t="shared" ref="D67:BI67" si="19">+D61*D66</f>
        <v>3.4815331545795051E-11</v>
      </c>
      <c r="E67" s="23">
        <f t="shared" si="19"/>
        <v>3.2036720063601627E-11</v>
      </c>
      <c r="F67" s="23">
        <f t="shared" si="19"/>
        <v>3.0215643001505545E-11</v>
      </c>
      <c r="G67" s="23">
        <f t="shared" si="19"/>
        <v>2.8549840256637489E-11</v>
      </c>
      <c r="H67" s="23">
        <f t="shared" si="19"/>
        <v>2.7087659428526945E-11</v>
      </c>
      <c r="I67" s="23">
        <f t="shared" si="19"/>
        <v>2.6073317338065461E-11</v>
      </c>
      <c r="J67" s="23">
        <f t="shared" si="19"/>
        <v>2.4169444229103766E-11</v>
      </c>
      <c r="K67" s="23">
        <f t="shared" si="19"/>
        <v>2.4028486487796012E-11</v>
      </c>
      <c r="L67" s="23">
        <f t="shared" si="19"/>
        <v>2.3976232150900155E-11</v>
      </c>
      <c r="M67" s="23">
        <f t="shared" si="19"/>
        <v>2.3218425023748556E-11</v>
      </c>
      <c r="N67" s="23">
        <f t="shared" si="19"/>
        <v>2.3069876751315491E-11</v>
      </c>
      <c r="O67" s="23">
        <f t="shared" si="19"/>
        <v>2.263871842441311E-11</v>
      </c>
      <c r="P67" s="23">
        <f t="shared" si="19"/>
        <v>2.275583674882308E-11</v>
      </c>
      <c r="Q67" s="23">
        <f t="shared" si="19"/>
        <v>2.2787513787047882E-11</v>
      </c>
      <c r="R67" s="23">
        <f t="shared" si="19"/>
        <v>2.293374600020284E-11</v>
      </c>
      <c r="S67" s="23">
        <f t="shared" si="19"/>
        <v>2.3196065345417872E-11</v>
      </c>
      <c r="T67" s="23">
        <f t="shared" si="19"/>
        <v>2.3018223021520894E-11</v>
      </c>
      <c r="U67" s="23">
        <f t="shared" si="19"/>
        <v>2.2304694572537183E-11</v>
      </c>
      <c r="V67" s="23">
        <f t="shared" si="19"/>
        <v>2.2918288981217279E-11</v>
      </c>
      <c r="W67" s="23">
        <f t="shared" si="19"/>
        <v>2.3230731322530412E-11</v>
      </c>
      <c r="X67" s="23">
        <f t="shared" si="19"/>
        <v>2.3354404657297769E-11</v>
      </c>
      <c r="Y67" s="23">
        <f t="shared" si="19"/>
        <v>2.3592699518882123E-11</v>
      </c>
      <c r="Z67" s="23">
        <f t="shared" si="19"/>
        <v>2.3843883952445941E-11</v>
      </c>
      <c r="AA67" s="23">
        <f t="shared" si="19"/>
        <v>2.3833146449107784E-11</v>
      </c>
      <c r="AB67" s="23">
        <f t="shared" si="19"/>
        <v>1.5833038870717485E-2</v>
      </c>
      <c r="AC67" s="23">
        <f t="shared" si="19"/>
        <v>1.5218045149276997E-2</v>
      </c>
      <c r="AD67" s="23">
        <f t="shared" si="19"/>
        <v>1.4616708013760939E-2</v>
      </c>
      <c r="AE67" s="23">
        <f t="shared" si="19"/>
        <v>1.3890380939293441E-2</v>
      </c>
      <c r="AF67" s="23">
        <f t="shared" si="19"/>
        <v>1.2582111463407949E-2</v>
      </c>
      <c r="AG67" s="23">
        <f t="shared" si="19"/>
        <v>1.2353196485701851E-2</v>
      </c>
      <c r="AH67" s="23">
        <f t="shared" si="19"/>
        <v>1.1909759108400681E-2</v>
      </c>
      <c r="AI67" s="23">
        <f t="shared" si="19"/>
        <v>5.703098278628313E-2</v>
      </c>
      <c r="AJ67" s="23">
        <f t="shared" si="19"/>
        <v>8.1612801323714942E-2</v>
      </c>
      <c r="AK67" s="23">
        <f t="shared" si="19"/>
        <v>9.2827705678451167E-2</v>
      </c>
      <c r="AL67" s="23">
        <f t="shared" si="19"/>
        <v>9.7348660442050386E-2</v>
      </c>
      <c r="AM67" s="23">
        <f t="shared" si="19"/>
        <v>9.862006093983465E-2</v>
      </c>
      <c r="AN67" s="23">
        <f t="shared" si="19"/>
        <v>9.8305470857644794E-2</v>
      </c>
      <c r="AO67" s="23">
        <f t="shared" si="19"/>
        <v>9.7228623902768499E-2</v>
      </c>
      <c r="AP67" s="23">
        <f t="shared" si="19"/>
        <v>9.580505588031725E-2</v>
      </c>
      <c r="AQ67" s="23">
        <f t="shared" si="19"/>
        <v>9.4246162923126056E-2</v>
      </c>
      <c r="AR67" s="23">
        <f t="shared" si="19"/>
        <v>9.2659454006055825E-2</v>
      </c>
      <c r="AS67" s="23">
        <f t="shared" si="19"/>
        <v>9.1099053931167809E-2</v>
      </c>
      <c r="AT67" s="23">
        <f t="shared" si="19"/>
        <v>8.9591521532148555E-2</v>
      </c>
      <c r="AU67" s="23">
        <f t="shared" si="19"/>
        <v>8.8149160072060403E-2</v>
      </c>
      <c r="AV67" s="23">
        <f t="shared" si="19"/>
        <v>8.6776912412452042E-2</v>
      </c>
      <c r="AW67" s="23">
        <f t="shared" si="19"/>
        <v>8.5475942649643796E-2</v>
      </c>
      <c r="AX67" s="23">
        <f t="shared" si="19"/>
        <v>8.4245499176352989E-2</v>
      </c>
      <c r="AY67" s="23">
        <f t="shared" si="19"/>
        <v>8.3083884128603847E-2</v>
      </c>
      <c r="AZ67" s="23">
        <f t="shared" si="19"/>
        <v>8.1988957411149255E-2</v>
      </c>
      <c r="BA67" s="23">
        <f t="shared" si="19"/>
        <v>8.0958398049981742E-2</v>
      </c>
      <c r="BB67" s="23">
        <f t="shared" si="19"/>
        <v>7.998983892382705E-2</v>
      </c>
      <c r="BC67" s="23">
        <f t="shared" si="19"/>
        <v>7.9080935405778791E-2</v>
      </c>
      <c r="BD67" s="23">
        <f t="shared" si="19"/>
        <v>7.8229399515372805E-2</v>
      </c>
      <c r="BE67" s="23">
        <f t="shared" si="19"/>
        <v>3.9427452099882021E-2</v>
      </c>
      <c r="BF67" s="23">
        <f t="shared" si="19"/>
        <v>1.9872151444149902E-2</v>
      </c>
      <c r="BG67" s="23">
        <f t="shared" si="19"/>
        <v>1.001580323956015E-2</v>
      </c>
      <c r="BH67" s="23">
        <f t="shared" si="19"/>
        <v>5.0479580647807545E-3</v>
      </c>
      <c r="BI67" s="23">
        <f t="shared" si="19"/>
        <v>2.5441047575701066E-3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23">
        <f>+B65-B67</f>
        <v>2.412485039557676</v>
      </c>
      <c r="C68" s="23">
        <f>+C65-C67</f>
        <v>2.4620821486191748</v>
      </c>
      <c r="D68" s="23">
        <f>+D65-D67</f>
        <v>2.5321793345237005</v>
      </c>
      <c r="E68" s="23">
        <f>+E65-E67</f>
        <v>2.6547014352668366</v>
      </c>
      <c r="F68" s="23">
        <f>+F65-F67</f>
        <v>2.8155144852220428</v>
      </c>
      <c r="G68" s="23">
        <f t="shared" ref="G68:BI68" si="20">+G65-G67</f>
        <v>2.9563926464764032</v>
      </c>
      <c r="H68" s="23">
        <f t="shared" si="20"/>
        <v>3.0861616191452979</v>
      </c>
      <c r="I68" s="23">
        <f t="shared" si="20"/>
        <v>3.2363379679205138</v>
      </c>
      <c r="J68" s="23">
        <f t="shared" si="20"/>
        <v>3.2405623571843507</v>
      </c>
      <c r="K68" s="23">
        <f t="shared" si="20"/>
        <v>3.4568126546023876</v>
      </c>
      <c r="L68" s="23">
        <f t="shared" si="20"/>
        <v>3.6740414790317315</v>
      </c>
      <c r="M68" s="23">
        <f t="shared" si="20"/>
        <v>3.7656267596543631</v>
      </c>
      <c r="N68" s="23">
        <f t="shared" si="20"/>
        <v>3.9389892668557862</v>
      </c>
      <c r="O68" s="23">
        <f t="shared" si="20"/>
        <v>4.050553543045889</v>
      </c>
      <c r="P68" s="23">
        <f t="shared" si="20"/>
        <v>4.2490336717748001</v>
      </c>
      <c r="Q68" s="23">
        <f t="shared" si="20"/>
        <v>4.4204475937958305</v>
      </c>
      <c r="R68" s="23">
        <f t="shared" si="20"/>
        <v>4.607850570735998</v>
      </c>
      <c r="S68" s="23">
        <f t="shared" si="20"/>
        <v>4.8115600014538877</v>
      </c>
      <c r="T68" s="23">
        <f t="shared" si="20"/>
        <v>4.9176525593645843</v>
      </c>
      <c r="U68" s="23">
        <f t="shared" si="20"/>
        <v>4.8932059480905412</v>
      </c>
      <c r="V68" s="23">
        <f t="shared" si="20"/>
        <v>5.1522390561675646</v>
      </c>
      <c r="W68" s="23">
        <f t="shared" si="20"/>
        <v>5.343568179547403</v>
      </c>
      <c r="X68" s="23">
        <f t="shared" si="20"/>
        <v>5.4852025951223489</v>
      </c>
      <c r="Y68" s="23">
        <f t="shared" si="20"/>
        <v>5.6496815094727255</v>
      </c>
      <c r="Z68" s="23">
        <f t="shared" si="20"/>
        <v>5.8133674682558372</v>
      </c>
      <c r="AA68" s="23">
        <f t="shared" si="20"/>
        <v>5.9071011705729521</v>
      </c>
      <c r="AB68" s="23">
        <f t="shared" si="20"/>
        <v>6.0253785196841987</v>
      </c>
      <c r="AC68" s="23">
        <f t="shared" si="20"/>
        <v>6.2194272047377464</v>
      </c>
      <c r="AD68" s="23">
        <f t="shared" si="20"/>
        <v>6.40425456713223</v>
      </c>
      <c r="AE68" s="23">
        <f t="shared" si="20"/>
        <v>6.51006992721448</v>
      </c>
      <c r="AF68" s="23">
        <f t="shared" si="20"/>
        <v>6.3010368246417379</v>
      </c>
      <c r="AG68" s="23">
        <f t="shared" si="20"/>
        <v>6.6072032897466544</v>
      </c>
      <c r="AH68" s="23">
        <f t="shared" si="20"/>
        <v>6.7879718417391732</v>
      </c>
      <c r="AI68" s="23">
        <f t="shared" si="20"/>
        <v>34.561445665868149</v>
      </c>
      <c r="AJ68" s="23">
        <f t="shared" si="20"/>
        <v>52.380561251995665</v>
      </c>
      <c r="AK68" s="23">
        <f t="shared" si="20"/>
        <v>63.150426512478433</v>
      </c>
      <c r="AL68" s="23">
        <f t="shared" si="20"/>
        <v>70.206411144313378</v>
      </c>
      <c r="AM68" s="23">
        <f t="shared" si="20"/>
        <v>75.355064878353161</v>
      </c>
      <c r="AN68" s="23">
        <f t="shared" si="20"/>
        <v>79.520249319789087</v>
      </c>
      <c r="AO68" s="23">
        <f t="shared" si="20"/>
        <v>83.188884450472642</v>
      </c>
      <c r="AP68" s="23">
        <f t="shared" si="20"/>
        <v>86.624165252361138</v>
      </c>
      <c r="AQ68" s="23">
        <f t="shared" si="20"/>
        <v>89.970986655607334</v>
      </c>
      <c r="AR68" s="23">
        <f t="shared" si="20"/>
        <v>93.310451922811296</v>
      </c>
      <c r="AS68" s="23">
        <f t="shared" si="20"/>
        <v>96.68889864447732</v>
      </c>
      <c r="AT68" s="23">
        <f t="shared" si="20"/>
        <v>100.13362135786684</v>
      </c>
      <c r="AU68" s="23">
        <f t="shared" si="20"/>
        <v>103.66146874094233</v>
      </c>
      <c r="AV68" s="23">
        <f t="shared" si="20"/>
        <v>107.2835688245469</v>
      </c>
      <c r="AW68" s="23">
        <f t="shared" si="20"/>
        <v>111.00793363393511</v>
      </c>
      <c r="AX68" s="23">
        <f t="shared" si="20"/>
        <v>114.84089768331295</v>
      </c>
      <c r="AY68" s="23">
        <f t="shared" si="20"/>
        <v>118.78791385806701</v>
      </c>
      <c r="AZ68" s="23">
        <f t="shared" si="20"/>
        <v>122.85399484593029</v>
      </c>
      <c r="BA68" s="23">
        <f t="shared" si="20"/>
        <v>127.04395899742296</v>
      </c>
      <c r="BB68" s="23">
        <f t="shared" si="20"/>
        <v>131.36256828578667</v>
      </c>
      <c r="BC68" s="23">
        <f t="shared" si="20"/>
        <v>135.81460675813656</v>
      </c>
      <c r="BD68" s="23">
        <f t="shared" si="20"/>
        <v>140.40492619053256</v>
      </c>
      <c r="BE68" s="23">
        <f t="shared" si="20"/>
        <v>145.17647925576995</v>
      </c>
      <c r="BF68" s="23">
        <f t="shared" si="20"/>
        <v>150.08494054023555</v>
      </c>
      <c r="BG68" s="23">
        <f t="shared" si="20"/>
        <v>155.13754200335217</v>
      </c>
      <c r="BH68" s="23">
        <f t="shared" si="20"/>
        <v>160.34230609010996</v>
      </c>
      <c r="BI68" s="23">
        <f t="shared" si="20"/>
        <v>165.70693736416135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23"/>
    </row>
    <row r="70" spans="1:237" s="45" customFormat="1" ht="18" customHeight="1" x14ac:dyDescent="0.2">
      <c r="A70" s="43" t="s">
        <v>36</v>
      </c>
      <c r="B70" s="45">
        <f t="shared" ref="B70:AG70" si="21">+B71+B43</f>
        <v>0.34033529692301251</v>
      </c>
      <c r="C70" s="45">
        <f t="shared" si="21"/>
        <v>0.27581559498477043</v>
      </c>
      <c r="D70" s="45">
        <f t="shared" si="21"/>
        <v>0.23915711361147821</v>
      </c>
      <c r="E70" s="45">
        <f t="shared" si="21"/>
        <v>0.21456976214660378</v>
      </c>
      <c r="F70" s="45">
        <f t="shared" si="21"/>
        <v>0.19734421907434549</v>
      </c>
      <c r="G70" s="45">
        <f t="shared" si="21"/>
        <v>0.18185921672301247</v>
      </c>
      <c r="H70" s="45">
        <f t="shared" si="21"/>
        <v>0.16831072703376512</v>
      </c>
      <c r="I70" s="45">
        <f t="shared" si="21"/>
        <v>0.15805841151597019</v>
      </c>
      <c r="J70" s="45">
        <f t="shared" si="21"/>
        <v>0.14296972682679959</v>
      </c>
      <c r="K70" s="45">
        <f t="shared" si="21"/>
        <v>0.13871961040872122</v>
      </c>
      <c r="L70" s="45">
        <f t="shared" si="21"/>
        <v>0.13511613081483118</v>
      </c>
      <c r="M70" s="45">
        <f t="shared" si="21"/>
        <v>0.12774901897803409</v>
      </c>
      <c r="N70" s="45">
        <f t="shared" si="21"/>
        <v>0.12395251689460306</v>
      </c>
      <c r="O70" s="45">
        <f t="shared" si="21"/>
        <v>0.11880559561726957</v>
      </c>
      <c r="P70" s="45">
        <f t="shared" si="21"/>
        <v>0.11666635455867309</v>
      </c>
      <c r="Q70" s="45">
        <f t="shared" si="21"/>
        <v>0.11415984845238324</v>
      </c>
      <c r="R70" s="45">
        <f t="shared" si="21"/>
        <v>0.11229334670360908</v>
      </c>
      <c r="S70" s="45">
        <f t="shared" si="21"/>
        <v>0.11103452245269654</v>
      </c>
      <c r="T70" s="45">
        <f t="shared" si="21"/>
        <v>0.10774209103047874</v>
      </c>
      <c r="U70" s="45">
        <f t="shared" si="21"/>
        <v>0.10211467134907042</v>
      </c>
      <c r="V70" s="45">
        <f t="shared" si="21"/>
        <v>0.10265114416825621</v>
      </c>
      <c r="W70" s="45">
        <f t="shared" si="21"/>
        <v>0.10182368660613779</v>
      </c>
      <c r="X70" s="45">
        <f t="shared" si="21"/>
        <v>0.10020208152147085</v>
      </c>
      <c r="Y70" s="45">
        <f t="shared" si="21"/>
        <v>9.9112472490304429E-2</v>
      </c>
      <c r="Z70" s="45">
        <f t="shared" si="21"/>
        <v>9.8105675090629563E-2</v>
      </c>
      <c r="AA70" s="45">
        <f t="shared" si="21"/>
        <v>9.6070851753860431E-2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0.34033529692301251</v>
      </c>
      <c r="C71" s="46">
        <f t="shared" si="23"/>
        <v>0.27581559498477043</v>
      </c>
      <c r="D71" s="46">
        <f t="shared" si="23"/>
        <v>0.23915711361147821</v>
      </c>
      <c r="E71" s="46">
        <f t="shared" si="23"/>
        <v>0.21456976214660378</v>
      </c>
      <c r="F71" s="46">
        <f t="shared" si="23"/>
        <v>0.19734421907434549</v>
      </c>
      <c r="G71" s="46">
        <f t="shared" si="23"/>
        <v>0.18185921672301247</v>
      </c>
      <c r="H71" s="46">
        <f t="shared" si="23"/>
        <v>0.16831072703376512</v>
      </c>
      <c r="I71" s="46">
        <f t="shared" si="23"/>
        <v>0.15805841151597019</v>
      </c>
      <c r="J71" s="46">
        <f t="shared" si="23"/>
        <v>0.14296972682679959</v>
      </c>
      <c r="K71" s="46">
        <f t="shared" si="23"/>
        <v>0.13871961040872122</v>
      </c>
      <c r="L71" s="46">
        <f t="shared" si="23"/>
        <v>0.13511613081483118</v>
      </c>
      <c r="M71" s="46">
        <f t="shared" si="23"/>
        <v>0.12774901897803409</v>
      </c>
      <c r="N71" s="46">
        <f t="shared" si="23"/>
        <v>0.12395251689460306</v>
      </c>
      <c r="O71" s="46">
        <f t="shared" si="23"/>
        <v>0.11880559561726957</v>
      </c>
      <c r="P71" s="46">
        <f t="shared" si="23"/>
        <v>0.11666635455867309</v>
      </c>
      <c r="Q71" s="46">
        <f t="shared" si="23"/>
        <v>0.11415984845238324</v>
      </c>
      <c r="R71" s="46">
        <f t="shared" si="23"/>
        <v>0.11229334670360908</v>
      </c>
      <c r="S71" s="46">
        <f t="shared" si="23"/>
        <v>0.11103452245269654</v>
      </c>
      <c r="T71" s="46">
        <f t="shared" si="23"/>
        <v>0.10774209103047874</v>
      </c>
      <c r="U71" s="46">
        <f t="shared" si="23"/>
        <v>0.10211467134907042</v>
      </c>
      <c r="V71" s="46">
        <f t="shared" si="23"/>
        <v>0.10265114416825621</v>
      </c>
      <c r="W71" s="46">
        <f t="shared" si="23"/>
        <v>0.10182368660613779</v>
      </c>
      <c r="X71" s="46">
        <f t="shared" si="23"/>
        <v>0.10020208152147085</v>
      </c>
      <c r="Y71" s="46">
        <f t="shared" si="23"/>
        <v>9.9112472490304429E-2</v>
      </c>
      <c r="Z71" s="46">
        <f t="shared" si="23"/>
        <v>9.8105675090629563E-2</v>
      </c>
      <c r="AA71" s="46">
        <f t="shared" si="23"/>
        <v>9.6070851753860431E-2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46">
        <f>(B97)*B68</f>
        <v>0.45091408676877542</v>
      </c>
      <c r="C73" s="45">
        <f>(C97)*C68</f>
        <v>0.4999659511228649</v>
      </c>
      <c r="D73" s="45">
        <f>(D97)*D68</f>
        <v>0.50124382092269881</v>
      </c>
      <c r="E73" s="45">
        <f>(E97)*E68</f>
        <v>0.5124268693252243</v>
      </c>
      <c r="F73" s="45">
        <f>(F97)*F68</f>
        <v>0.5348067452908134</v>
      </c>
      <c r="G73" s="45">
        <f t="shared" ref="G73:BI73" si="25">(G97)*G68</f>
        <v>0.55978106408682171</v>
      </c>
      <c r="H73" s="45">
        <f t="shared" si="25"/>
        <v>0.58952912152294878</v>
      </c>
      <c r="I73" s="45">
        <f t="shared" si="25"/>
        <v>0.62414887436309885</v>
      </c>
      <c r="J73" s="45">
        <f t="shared" si="25"/>
        <v>0.63125911550562175</v>
      </c>
      <c r="K73" s="45">
        <f t="shared" si="25"/>
        <v>0.69716704050339917</v>
      </c>
      <c r="L73" s="45">
        <f t="shared" si="25"/>
        <v>0.76312472398423292</v>
      </c>
      <c r="M73" s="45">
        <f t="shared" si="25"/>
        <v>0.81680549179544837</v>
      </c>
      <c r="N73" s="45">
        <f t="shared" si="25"/>
        <v>0.85440970936441096</v>
      </c>
      <c r="O73" s="45">
        <f t="shared" si="25"/>
        <v>0.87860921698864092</v>
      </c>
      <c r="P73" s="45">
        <f t="shared" si="25"/>
        <v>0.92166172046429673</v>
      </c>
      <c r="Q73" s="45">
        <f t="shared" si="25"/>
        <v>0.95884326866686631</v>
      </c>
      <c r="R73" s="45">
        <f t="shared" si="25"/>
        <v>0.9994930171718388</v>
      </c>
      <c r="S73" s="45">
        <f t="shared" si="25"/>
        <v>1.0436798132514826</v>
      </c>
      <c r="T73" s="45">
        <f t="shared" si="25"/>
        <v>1.0666924455358455</v>
      </c>
      <c r="U73" s="45">
        <f t="shared" si="25"/>
        <v>1.0613897090675453</v>
      </c>
      <c r="V73" s="45">
        <f t="shared" si="25"/>
        <v>1.1175768138281819</v>
      </c>
      <c r="W73" s="45">
        <f t="shared" si="25"/>
        <v>1.1590781862933079</v>
      </c>
      <c r="X73" s="45">
        <f t="shared" si="25"/>
        <v>1.1898002349329539</v>
      </c>
      <c r="Y73" s="45">
        <f t="shared" si="25"/>
        <v>1.2254775043759489</v>
      </c>
      <c r="Z73" s="45">
        <f t="shared" si="25"/>
        <v>1.2609827731127052</v>
      </c>
      <c r="AA73" s="45">
        <f t="shared" si="25"/>
        <v>1.2813146348997633</v>
      </c>
      <c r="AB73" s="45">
        <f t="shared" si="25"/>
        <v>1.3069702812171751</v>
      </c>
      <c r="AC73" s="45">
        <f t="shared" si="25"/>
        <v>1.3490615562542081</v>
      </c>
      <c r="AD73" s="45">
        <f t="shared" si="25"/>
        <v>1.3891526258884537</v>
      </c>
      <c r="AE73" s="45">
        <f t="shared" si="25"/>
        <v>1.4121051309422015</v>
      </c>
      <c r="AF73" s="45">
        <f t="shared" si="25"/>
        <v>1.3667635724059728</v>
      </c>
      <c r="AG73" s="45">
        <f t="shared" si="25"/>
        <v>1.4331744160882738</v>
      </c>
      <c r="AH73" s="45">
        <f t="shared" si="25"/>
        <v>1.4723850855028264</v>
      </c>
      <c r="AI73" s="45">
        <f t="shared" si="25"/>
        <v>7.4967543057459727</v>
      </c>
      <c r="AJ73" s="45">
        <f t="shared" si="25"/>
        <v>11.361914715595717</v>
      </c>
      <c r="AK73" s="45">
        <f t="shared" si="25"/>
        <v>13.69801588868882</v>
      </c>
      <c r="AL73" s="45">
        <f t="shared" si="25"/>
        <v>15.228535869866157</v>
      </c>
      <c r="AM73" s="45">
        <f t="shared" si="25"/>
        <v>16.345334988242627</v>
      </c>
      <c r="AN73" s="45">
        <f t="shared" si="25"/>
        <v>17.248808896638714</v>
      </c>
      <c r="AO73" s="45">
        <f t="shared" si="25"/>
        <v>18.044575846842534</v>
      </c>
      <c r="AP73" s="45">
        <f t="shared" si="25"/>
        <v>18.789725699426317</v>
      </c>
      <c r="AQ73" s="45">
        <f t="shared" si="25"/>
        <v>19.515687744183232</v>
      </c>
      <c r="AR73" s="45">
        <f t="shared" si="25"/>
        <v>20.240054162846221</v>
      </c>
      <c r="AS73" s="45">
        <f t="shared" si="25"/>
        <v>20.972876083903643</v>
      </c>
      <c r="AT73" s="45">
        <f t="shared" si="25"/>
        <v>21.720073990014587</v>
      </c>
      <c r="AU73" s="45">
        <f t="shared" si="25"/>
        <v>22.485302543089968</v>
      </c>
      <c r="AV73" s="45">
        <f t="shared" si="25"/>
        <v>23.270975534321988</v>
      </c>
      <c r="AW73" s="45">
        <f t="shared" si="25"/>
        <v>24.078830859324302</v>
      </c>
      <c r="AX73" s="45">
        <f t="shared" si="25"/>
        <v>24.910242543278265</v>
      </c>
      <c r="AY73" s="45">
        <f t="shared" si="25"/>
        <v>25.766393376464002</v>
      </c>
      <c r="AZ73" s="45">
        <f t="shared" si="25"/>
        <v>26.648370665492145</v>
      </c>
      <c r="BA73" s="45">
        <f t="shared" si="25"/>
        <v>27.557219563113481</v>
      </c>
      <c r="BB73" s="45">
        <f t="shared" si="25"/>
        <v>28.493972993232529</v>
      </c>
      <c r="BC73" s="45">
        <f t="shared" si="25"/>
        <v>29.459668667817599</v>
      </c>
      <c r="BD73" s="45">
        <f t="shared" si="25"/>
        <v>30.455358989983402</v>
      </c>
      <c r="BE73" s="45">
        <f t="shared" si="25"/>
        <v>31.49036086266954</v>
      </c>
      <c r="BF73" s="45">
        <f t="shared" si="25"/>
        <v>32.555059620489303</v>
      </c>
      <c r="BG73" s="45">
        <f t="shared" si="25"/>
        <v>33.651023954274251</v>
      </c>
      <c r="BH73" s="45">
        <f t="shared" si="25"/>
        <v>34.779994019792291</v>
      </c>
      <c r="BI73" s="45">
        <f t="shared" si="25"/>
        <v>35.94364102088408</v>
      </c>
    </row>
    <row r="74" spans="1:237" s="45" customFormat="1" ht="18" customHeight="1" x14ac:dyDescent="0.2">
      <c r="A74" s="43" t="s">
        <v>35</v>
      </c>
      <c r="B74" s="44">
        <f>+B11</f>
        <v>6.870394150413591</v>
      </c>
      <c r="C74" s="45">
        <f t="shared" ref="C74:BI74" si="26">+B74*(1-$B$8)^10+10*B73</f>
        <v>6.9046991829261302</v>
      </c>
      <c r="D74" s="45">
        <f t="shared" si="26"/>
        <v>7.4071792516910779</v>
      </c>
      <c r="E74" s="45">
        <f t="shared" si="26"/>
        <v>7.5951619162477195</v>
      </c>
      <c r="F74" s="45">
        <f t="shared" si="26"/>
        <v>7.7725379025164258</v>
      </c>
      <c r="G74" s="45">
        <f t="shared" si="26"/>
        <v>8.058183844375689</v>
      </c>
      <c r="H74" s="45">
        <f t="shared" si="26"/>
        <v>8.4075256137641539</v>
      </c>
      <c r="I74" s="45">
        <f t="shared" si="26"/>
        <v>8.826814131337569</v>
      </c>
      <c r="J74" s="45">
        <f t="shared" si="26"/>
        <v>9.319208525998409</v>
      </c>
      <c r="K74" s="45">
        <f t="shared" si="26"/>
        <v>9.5619982468679652</v>
      </c>
      <c r="L74" s="45">
        <f t="shared" si="26"/>
        <v>10.30573303799085</v>
      </c>
      <c r="M74" s="45">
        <f t="shared" si="26"/>
        <v>11.224634159616015</v>
      </c>
      <c r="N74" s="45">
        <f t="shared" si="26"/>
        <v>12.081842847422571</v>
      </c>
      <c r="O74" s="45">
        <f t="shared" si="26"/>
        <v>12.756775211216755</v>
      </c>
      <c r="P74" s="45">
        <f t="shared" si="26"/>
        <v>13.234104651239818</v>
      </c>
      <c r="Q74" s="45">
        <f t="shared" si="26"/>
        <v>13.831064170557422</v>
      </c>
      <c r="R74" s="45">
        <f t="shared" si="26"/>
        <v>14.411026566581626</v>
      </c>
      <c r="S74" s="45">
        <f t="shared" si="26"/>
        <v>15.019744435193729</v>
      </c>
      <c r="T74" s="45">
        <f t="shared" si="26"/>
        <v>15.673859192878835</v>
      </c>
      <c r="U74" s="45">
        <f t="shared" si="26"/>
        <v>16.132061229078495</v>
      </c>
      <c r="V74" s="45">
        <f t="shared" si="26"/>
        <v>16.238799035628233</v>
      </c>
      <c r="W74" s="45">
        <f t="shared" si="26"/>
        <v>16.837887255122055</v>
      </c>
      <c r="X74" s="45">
        <f t="shared" si="26"/>
        <v>17.46179012562871</v>
      </c>
      <c r="Y74" s="45">
        <f t="shared" si="26"/>
        <v>17.986552091687344</v>
      </c>
      <c r="Z74" s="45">
        <f t="shared" si="26"/>
        <v>18.526297969866427</v>
      </c>
      <c r="AA74" s="45">
        <f t="shared" si="26"/>
        <v>19.069548408087876</v>
      </c>
      <c r="AB74" s="45">
        <f t="shared" si="26"/>
        <v>19.462286741341153</v>
      </c>
      <c r="AC74" s="45">
        <f t="shared" si="26"/>
        <v>19.8557825939215</v>
      </c>
      <c r="AD74" s="45">
        <f t="shared" si="26"/>
        <v>20.413898864355364</v>
      </c>
      <c r="AE74" s="45">
        <f t="shared" si="26"/>
        <v>21.009412671267128</v>
      </c>
      <c r="AF74" s="45">
        <f t="shared" si="26"/>
        <v>21.446580547056612</v>
      </c>
      <c r="AG74" s="45">
        <f t="shared" si="26"/>
        <v>21.145595974686437</v>
      </c>
      <c r="AH74" s="45">
        <f t="shared" si="26"/>
        <v>21.70475758032125</v>
      </c>
      <c r="AI74" s="45">
        <f t="shared" si="26"/>
        <v>22.291831870883332</v>
      </c>
      <c r="AJ74" s="45">
        <f t="shared" si="26"/>
        <v>82.740224221170791</v>
      </c>
      <c r="AK74" s="45">
        <f t="shared" si="26"/>
        <v>142.46887947091926</v>
      </c>
      <c r="AL74" s="45">
        <f t="shared" si="26"/>
        <v>186.65598554360326</v>
      </c>
      <c r="AM74" s="45">
        <f t="shared" si="26"/>
        <v>217.36827657333333</v>
      </c>
      <c r="AN74" s="45">
        <f t="shared" si="26"/>
        <v>239.24498148524154</v>
      </c>
      <c r="AO74" s="45">
        <f t="shared" si="26"/>
        <v>255.90765591241455</v>
      </c>
      <c r="AP74" s="45">
        <f t="shared" si="26"/>
        <v>269.67524074161361</v>
      </c>
      <c r="AQ74" s="45">
        <f t="shared" si="26"/>
        <v>281.92719926964099</v>
      </c>
      <c r="AR74" s="45">
        <f t="shared" si="26"/>
        <v>293.45881350493266</v>
      </c>
      <c r="AS74" s="45">
        <f t="shared" si="26"/>
        <v>304.72330295495897</v>
      </c>
      <c r="AT74" s="45">
        <f t="shared" si="26"/>
        <v>315.97920677549132</v>
      </c>
      <c r="AU74" s="45">
        <f t="shared" si="26"/>
        <v>327.37587682265956</v>
      </c>
      <c r="AV74" s="45">
        <f t="shared" si="26"/>
        <v>339.00193548779441</v>
      </c>
      <c r="AW74" s="45">
        <f t="shared" si="26"/>
        <v>350.91242139998491</v>
      </c>
      <c r="AX74" s="45">
        <f t="shared" si="26"/>
        <v>363.14390429870366</v>
      </c>
      <c r="AY74" s="45">
        <f t="shared" si="26"/>
        <v>375.72287551547834</v>
      </c>
      <c r="AZ74" s="45">
        <f t="shared" si="26"/>
        <v>388.67039990926355</v>
      </c>
      <c r="BA74" s="45">
        <f t="shared" si="26"/>
        <v>402.00469540832671</v>
      </c>
      <c r="BB74" s="45">
        <f t="shared" si="26"/>
        <v>415.74256573898589</v>
      </c>
      <c r="BC74" s="45">
        <f t="shared" si="26"/>
        <v>429.90019923736668</v>
      </c>
      <c r="BD74" s="45">
        <f t="shared" si="26"/>
        <v>444.4936175469403</v>
      </c>
      <c r="BE74" s="45">
        <f t="shared" si="26"/>
        <v>459.53893110050723</v>
      </c>
      <c r="BF74" s="45">
        <f t="shared" si="26"/>
        <v>475.1349262880417</v>
      </c>
      <c r="BG74" s="45">
        <f t="shared" si="26"/>
        <v>491.21990114003597</v>
      </c>
      <c r="BH74" s="45">
        <f t="shared" si="26"/>
        <v>507.78802841832658</v>
      </c>
      <c r="BI74" s="45">
        <f t="shared" si="26"/>
        <v>524.85467784827961</v>
      </c>
    </row>
    <row r="75" spans="1:237" s="45" customFormat="1" ht="18" customHeight="1" x14ac:dyDescent="0.2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29">
        <f t="shared" ref="B77:BI77" si="28">+$B$7*B61/B74</f>
        <v>0.10542805271250809</v>
      </c>
      <c r="C77" s="23">
        <f t="shared" si="28"/>
        <v>0.10720847635410696</v>
      </c>
      <c r="D77" s="23">
        <f t="shared" si="28"/>
        <v>0.10277278391227346</v>
      </c>
      <c r="E77" s="23">
        <f t="shared" si="28"/>
        <v>0.1051111453681375</v>
      </c>
      <c r="F77" s="23">
        <f t="shared" si="28"/>
        <v>0.10898275344771294</v>
      </c>
      <c r="G77" s="23">
        <f t="shared" si="28"/>
        <v>0.11044643061229008</v>
      </c>
      <c r="H77" s="23">
        <f t="shared" si="28"/>
        <v>0.11052105564014177</v>
      </c>
      <c r="I77" s="23">
        <f t="shared" si="28"/>
        <v>0.11046239650774776</v>
      </c>
      <c r="J77" s="23">
        <f t="shared" si="28"/>
        <v>0.10484112225361844</v>
      </c>
      <c r="K77" s="23">
        <f t="shared" si="28"/>
        <v>0.10898364263601246</v>
      </c>
      <c r="L77" s="23">
        <f t="shared" si="28"/>
        <v>0.1075181347502884</v>
      </c>
      <c r="M77" s="23">
        <f t="shared" si="28"/>
        <v>0.10125075804782582</v>
      </c>
      <c r="N77" s="23">
        <f t="shared" si="28"/>
        <v>9.845662811909757E-2</v>
      </c>
      <c r="O77" s="23">
        <f t="shared" si="28"/>
        <v>9.5923281746762359E-2</v>
      </c>
      <c r="P77" s="23">
        <f t="shared" si="28"/>
        <v>9.7006351659388784E-2</v>
      </c>
      <c r="Q77" s="23">
        <f t="shared" si="28"/>
        <v>9.6636728530059238E-2</v>
      </c>
      <c r="R77" s="23">
        <f t="shared" si="28"/>
        <v>9.6710069024817866E-2</v>
      </c>
      <c r="S77" s="23">
        <f t="shared" si="28"/>
        <v>9.693704568470797E-2</v>
      </c>
      <c r="T77" s="23">
        <f t="shared" si="28"/>
        <v>9.4947527787828612E-2</v>
      </c>
      <c r="U77" s="23">
        <f t="shared" si="28"/>
        <v>9.1850341934061455E-2</v>
      </c>
      <c r="V77" s="23">
        <f t="shared" si="28"/>
        <v>9.6127184992946146E-2</v>
      </c>
      <c r="W77" s="23">
        <f t="shared" si="28"/>
        <v>9.6161758293180091E-2</v>
      </c>
      <c r="X77" s="23">
        <f t="shared" si="28"/>
        <v>9.5231339372654711E-2</v>
      </c>
      <c r="Y77" s="23">
        <f t="shared" si="28"/>
        <v>9.5269602012064691E-2</v>
      </c>
      <c r="Z77" s="23">
        <f t="shared" si="28"/>
        <v>9.5229098467998236E-2</v>
      </c>
      <c r="AA77" s="23">
        <f t="shared" si="28"/>
        <v>9.4098566536122474E-2</v>
      </c>
      <c r="AB77" s="23">
        <f t="shared" si="28"/>
        <v>9.4373490996609133E-2</v>
      </c>
      <c r="AC77" s="23">
        <f t="shared" si="28"/>
        <v>9.5476750250947665E-2</v>
      </c>
      <c r="AD77" s="23">
        <f t="shared" si="28"/>
        <v>9.5630924087760388E-2</v>
      </c>
      <c r="AE77" s="23">
        <f t="shared" si="28"/>
        <v>9.4529518524748932E-2</v>
      </c>
      <c r="AF77" s="23">
        <f t="shared" si="28"/>
        <v>8.9667479485443805E-2</v>
      </c>
      <c r="AG77" s="23">
        <f t="shared" si="28"/>
        <v>9.5319882836128716E-2</v>
      </c>
      <c r="AH77" s="23">
        <f t="shared" si="28"/>
        <v>9.5454857386908884E-2</v>
      </c>
      <c r="AI77" s="23">
        <f t="shared" si="28"/>
        <v>0.47392356640705574</v>
      </c>
      <c r="AJ77" s="23">
        <f t="shared" si="28"/>
        <v>0.19434285404332907</v>
      </c>
      <c r="AK77" s="23">
        <f t="shared" si="28"/>
        <v>0.13638914461872523</v>
      </c>
      <c r="AL77" s="23">
        <f t="shared" si="28"/>
        <v>0.11586057245987014</v>
      </c>
      <c r="AM77" s="23">
        <f t="shared" si="28"/>
        <v>0.10685362042855169</v>
      </c>
      <c r="AN77" s="23">
        <f t="shared" si="28"/>
        <v>0.10249198742689045</v>
      </c>
      <c r="AO77" s="23">
        <f t="shared" si="28"/>
        <v>0.10027141045392669</v>
      </c>
      <c r="AP77" s="23">
        <f t="shared" si="28"/>
        <v>9.9109145884499053E-2</v>
      </c>
      <c r="AQ77" s="23">
        <f t="shared" si="28"/>
        <v>9.8490352820176819E-2</v>
      </c>
      <c r="AR77" s="23">
        <f t="shared" si="28"/>
        <v>9.8157015658754052E-2</v>
      </c>
      <c r="AS77" s="23">
        <f t="shared" si="28"/>
        <v>9.7976017911011778E-2</v>
      </c>
      <c r="AT77" s="23">
        <f t="shared" si="28"/>
        <v>9.7877546598897178E-2</v>
      </c>
      <c r="AU77" s="23">
        <f t="shared" si="28"/>
        <v>9.7824621958408575E-2</v>
      </c>
      <c r="AV77" s="23">
        <f t="shared" si="28"/>
        <v>9.7797514147308848E-2</v>
      </c>
      <c r="AW77" s="23">
        <f t="shared" si="28"/>
        <v>9.7785623456990989E-2</v>
      </c>
      <c r="AX77" s="23">
        <f t="shared" si="28"/>
        <v>9.7783205389248715E-2</v>
      </c>
      <c r="AY77" s="23">
        <f t="shared" si="28"/>
        <v>9.7787106864137469E-2</v>
      </c>
      <c r="AZ77" s="23">
        <f t="shared" si="28"/>
        <v>9.7795563312754338E-2</v>
      </c>
      <c r="BA77" s="23">
        <f t="shared" si="28"/>
        <v>9.7807558028051869E-2</v>
      </c>
      <c r="BB77" s="23">
        <f t="shared" si="28"/>
        <v>9.7822480305902057E-2</v>
      </c>
      <c r="BC77" s="23">
        <f t="shared" si="28"/>
        <v>9.7839942626979731E-2</v>
      </c>
      <c r="BD77" s="23">
        <f t="shared" si="28"/>
        <v>9.7859682592057795E-2</v>
      </c>
      <c r="BE77" s="23">
        <f t="shared" si="28"/>
        <v>9.7881510070828334E-2</v>
      </c>
      <c r="BF77" s="23">
        <f t="shared" si="28"/>
        <v>9.7893387264017487E-2</v>
      </c>
      <c r="BG77" s="23">
        <f t="shared" si="28"/>
        <v>9.7907292175892918E-2</v>
      </c>
      <c r="BH77" s="23">
        <f t="shared" si="28"/>
        <v>9.7926229165799655E-2</v>
      </c>
      <c r="BI77" s="23">
        <f t="shared" si="28"/>
        <v>9.7950101981962412E-2</v>
      </c>
    </row>
    <row r="78" spans="1:237" s="37" customFormat="1" ht="18" customHeight="1" x14ac:dyDescent="0.2">
      <c r="A78" s="35" t="s">
        <v>72</v>
      </c>
      <c r="B78" s="29">
        <f t="shared" ref="B78:BI78" si="29">+$B$7*B61/B74*(1-(1-$B$8)^10)/$B$8/10</f>
        <v>6.8667563749930174E-2</v>
      </c>
      <c r="C78" s="23">
        <f t="shared" si="29"/>
        <v>6.9827192053459192E-2</v>
      </c>
      <c r="D78" s="23">
        <f t="shared" si="29"/>
        <v>6.6938129933007545E-2</v>
      </c>
      <c r="E78" s="23">
        <f t="shared" si="29"/>
        <v>6.8461155164050963E-2</v>
      </c>
      <c r="F78" s="23">
        <f t="shared" si="29"/>
        <v>7.0982816977761459E-2</v>
      </c>
      <c r="G78" s="23">
        <f t="shared" si="29"/>
        <v>7.1936141471783871E-2</v>
      </c>
      <c r="H78" s="23">
        <f t="shared" si="29"/>
        <v>7.1984746361331814E-2</v>
      </c>
      <c r="I78" s="23">
        <f t="shared" si="29"/>
        <v>7.1946540403718576E-2</v>
      </c>
      <c r="J78" s="23">
        <f t="shared" si="29"/>
        <v>6.828528328789335E-2</v>
      </c>
      <c r="K78" s="23">
        <f t="shared" si="29"/>
        <v>7.0983396125271769E-2</v>
      </c>
      <c r="L78" s="23">
        <f t="shared" si="29"/>
        <v>7.0028879243096226E-2</v>
      </c>
      <c r="M78" s="23">
        <f t="shared" si="29"/>
        <v>6.5946801672767369E-2</v>
      </c>
      <c r="N78" s="23">
        <f t="shared" si="29"/>
        <v>6.4126924609024819E-2</v>
      </c>
      <c r="O78" s="23">
        <f t="shared" si="29"/>
        <v>6.2476901498028439E-2</v>
      </c>
      <c r="P78" s="23">
        <f t="shared" si="29"/>
        <v>6.3182328283001035E-2</v>
      </c>
      <c r="Q78" s="23">
        <f t="shared" si="29"/>
        <v>6.2941584769830999E-2</v>
      </c>
      <c r="R78" s="23">
        <f t="shared" si="29"/>
        <v>6.2989353015281024E-2</v>
      </c>
      <c r="S78" s="23">
        <f t="shared" si="29"/>
        <v>6.3137187807461539E-2</v>
      </c>
      <c r="T78" s="23">
        <f t="shared" si="29"/>
        <v>6.1841371907417106E-2</v>
      </c>
      <c r="U78" s="23">
        <f t="shared" si="29"/>
        <v>5.9824107985841278E-2</v>
      </c>
      <c r="V78" s="23">
        <f t="shared" si="29"/>
        <v>6.2609708078401521E-2</v>
      </c>
      <c r="W78" s="23">
        <f t="shared" si="29"/>
        <v>6.2632226414240794E-2</v>
      </c>
      <c r="X78" s="23">
        <f t="shared" si="29"/>
        <v>6.2026224511563734E-2</v>
      </c>
      <c r="Y78" s="23">
        <f t="shared" si="29"/>
        <v>6.205114579355013E-2</v>
      </c>
      <c r="Z78" s="23">
        <f t="shared" si="29"/>
        <v>6.2024764962047299E-2</v>
      </c>
      <c r="AA78" s="23">
        <f t="shared" si="29"/>
        <v>6.1288425140661205E-2</v>
      </c>
      <c r="AB78" s="23">
        <f t="shared" si="29"/>
        <v>6.1467489369120054E-2</v>
      </c>
      <c r="AC78" s="23">
        <f t="shared" si="29"/>
        <v>6.2186065907629928E-2</v>
      </c>
      <c r="AD78" s="23">
        <f t="shared" si="29"/>
        <v>6.2286482651518559E-2</v>
      </c>
      <c r="AE78" s="23">
        <f t="shared" si="29"/>
        <v>6.1569113462135408E-2</v>
      </c>
      <c r="AF78" s="23">
        <f t="shared" si="29"/>
        <v>5.8402362610760497E-2</v>
      </c>
      <c r="AG78" s="23">
        <f t="shared" si="29"/>
        <v>6.2083894778312575E-2</v>
      </c>
      <c r="AH78" s="23">
        <f t="shared" si="29"/>
        <v>6.2171806613273518E-2</v>
      </c>
      <c r="AI78" s="23">
        <f t="shared" si="29"/>
        <v>0.30867663654561472</v>
      </c>
      <c r="AJ78" s="23">
        <f t="shared" si="29"/>
        <v>0.12657969085091908</v>
      </c>
      <c r="AK78" s="23">
        <f t="shared" si="29"/>
        <v>8.883319042649479E-2</v>
      </c>
      <c r="AL78" s="23">
        <f t="shared" si="29"/>
        <v>7.5462488785469586E-2</v>
      </c>
      <c r="AM78" s="23">
        <f t="shared" si="29"/>
        <v>6.9596066738486784E-2</v>
      </c>
      <c r="AN78" s="23">
        <f t="shared" si="29"/>
        <v>6.6755241128133441E-2</v>
      </c>
      <c r="AO78" s="23">
        <f t="shared" si="29"/>
        <v>6.5308931470224679E-2</v>
      </c>
      <c r="AP78" s="23">
        <f t="shared" si="29"/>
        <v>6.4551923497848579E-2</v>
      </c>
      <c r="AQ78" s="23">
        <f t="shared" si="29"/>
        <v>6.414889023393891E-2</v>
      </c>
      <c r="AR78" s="23">
        <f t="shared" si="29"/>
        <v>6.3931780553988404E-2</v>
      </c>
      <c r="AS78" s="23">
        <f t="shared" si="29"/>
        <v>6.3813892818590512E-2</v>
      </c>
      <c r="AT78" s="23">
        <f t="shared" si="29"/>
        <v>6.3749756329978619E-2</v>
      </c>
      <c r="AU78" s="23">
        <f t="shared" si="29"/>
        <v>6.3715285370578439E-2</v>
      </c>
      <c r="AV78" s="23">
        <f t="shared" si="29"/>
        <v>6.3697629468767503E-2</v>
      </c>
      <c r="AW78" s="23">
        <f t="shared" si="29"/>
        <v>6.3689884805801372E-2</v>
      </c>
      <c r="AX78" s="23">
        <f t="shared" si="29"/>
        <v>6.3688309866147541E-2</v>
      </c>
      <c r="AY78" s="23">
        <f t="shared" si="29"/>
        <v>6.3690850980857999E-2</v>
      </c>
      <c r="AZ78" s="23">
        <f t="shared" si="29"/>
        <v>6.3696358848162354E-2</v>
      </c>
      <c r="BA78" s="23">
        <f t="shared" si="29"/>
        <v>6.3704171264840487E-2</v>
      </c>
      <c r="BB78" s="23">
        <f t="shared" si="29"/>
        <v>6.3713890466127146E-2</v>
      </c>
      <c r="BC78" s="23">
        <f t="shared" si="29"/>
        <v>6.3725264052330921E-2</v>
      </c>
      <c r="BD78" s="23">
        <f t="shared" si="29"/>
        <v>6.3738121117177943E-2</v>
      </c>
      <c r="BE78" s="23">
        <f t="shared" si="29"/>
        <v>6.375233782469944E-2</v>
      </c>
      <c r="BF78" s="23">
        <f t="shared" si="29"/>
        <v>6.3760073696694647E-2</v>
      </c>
      <c r="BG78" s="23">
        <f t="shared" si="29"/>
        <v>6.3769130265587629E-2</v>
      </c>
      <c r="BH78" s="23">
        <f t="shared" si="29"/>
        <v>6.3781464335393473E-2</v>
      </c>
      <c r="BI78" s="23">
        <f t="shared" si="29"/>
        <v>6.3797013215255827E-2</v>
      </c>
    </row>
    <row r="79" spans="1:237" s="37" customFormat="1" ht="18" customHeight="1" x14ac:dyDescent="0.2">
      <c r="A79" s="35" t="s">
        <v>70</v>
      </c>
      <c r="B79" s="29">
        <f>+C134</f>
        <v>4.0280957004783513E-3</v>
      </c>
      <c r="C79" s="23">
        <f t="shared" ref="C79:BI79" si="30">+D134</f>
        <v>1.2125698038330412E-2</v>
      </c>
      <c r="D79" s="23">
        <f t="shared" si="30"/>
        <v>1.8332872231450192E-2</v>
      </c>
      <c r="E79" s="23">
        <f t="shared" si="30"/>
        <v>2.3160309355043207E-2</v>
      </c>
      <c r="F79" s="23">
        <f t="shared" si="30"/>
        <v>2.4637185576779963E-2</v>
      </c>
      <c r="G79" s="23">
        <f t="shared" si="30"/>
        <v>2.5178438565333083E-2</v>
      </c>
      <c r="H79" s="23">
        <f t="shared" si="30"/>
        <v>2.5848948557558815E-2</v>
      </c>
      <c r="I79" s="23">
        <f t="shared" si="30"/>
        <v>1.8741293320344576E-2</v>
      </c>
      <c r="J79" s="23">
        <f t="shared" si="30"/>
        <v>2.7508049705039062E-2</v>
      </c>
      <c r="K79" s="23">
        <f t="shared" si="30"/>
        <v>2.4724957813340831E-2</v>
      </c>
      <c r="L79" s="23">
        <f t="shared" si="30"/>
        <v>1.6175142896762695E-2</v>
      </c>
      <c r="M79" s="23">
        <f t="shared" si="30"/>
        <v>2.1075595824881832E-2</v>
      </c>
      <c r="N79" s="23">
        <f t="shared" si="30"/>
        <v>1.8462879358957629E-2</v>
      </c>
      <c r="O79" s="23">
        <f t="shared" si="30"/>
        <v>2.150885784491674E-2</v>
      </c>
      <c r="P79" s="23">
        <f t="shared" si="30"/>
        <v>2.0239605198151045E-2</v>
      </c>
      <c r="Q79" s="23">
        <f t="shared" si="30"/>
        <v>2.0541309245002415E-2</v>
      </c>
      <c r="R79" s="23">
        <f t="shared" si="30"/>
        <v>2.0807601688957122E-2</v>
      </c>
      <c r="S79" s="23">
        <f t="shared" si="30"/>
        <v>1.7528443159071871E-2</v>
      </c>
      <c r="T79" s="23">
        <f t="shared" si="30"/>
        <v>1.3447173013119595E-2</v>
      </c>
      <c r="U79" s="23">
        <f t="shared" si="30"/>
        <v>2.2020856999295457E-2</v>
      </c>
      <c r="V79" s="23">
        <f t="shared" si="30"/>
        <v>1.964336912086373E-2</v>
      </c>
      <c r="W79" s="23">
        <f t="shared" si="30"/>
        <v>1.8068955634441997E-2</v>
      </c>
      <c r="X79" s="23">
        <f t="shared" si="30"/>
        <v>1.8585972181636601E-2</v>
      </c>
      <c r="Y79" s="23">
        <f t="shared" si="30"/>
        <v>1.8435591675826979E-2</v>
      </c>
      <c r="Z79" s="23">
        <f t="shared" si="30"/>
        <v>1.6517809280091722E-2</v>
      </c>
      <c r="AA79" s="23">
        <f t="shared" si="30"/>
        <v>1.7101947176499932E-2</v>
      </c>
      <c r="AB79" s="23">
        <f t="shared" si="30"/>
        <v>1.8914880850578353E-2</v>
      </c>
      <c r="AC79" s="23">
        <f t="shared" si="30"/>
        <v>1.8546185167339413E-2</v>
      </c>
      <c r="AD79" s="23">
        <f t="shared" si="30"/>
        <v>1.6577649115193882E-2</v>
      </c>
      <c r="AE79" s="23">
        <f t="shared" si="30"/>
        <v>9.5863594894916027E-3</v>
      </c>
      <c r="AF79" s="23">
        <f t="shared" si="30"/>
        <v>2.2249460420103784E-2</v>
      </c>
      <c r="AG79" s="23">
        <f t="shared" si="30"/>
        <v>1.9117822479258084E-2</v>
      </c>
      <c r="AH79" s="23">
        <f t="shared" si="30"/>
        <v>0.29566826743016916</v>
      </c>
      <c r="AI79" s="23">
        <f t="shared" si="30"/>
        <v>8.0320903150044032E-2</v>
      </c>
      <c r="AJ79" s="23">
        <f t="shared" si="30"/>
        <v>4.3871314405551809E-2</v>
      </c>
      <c r="AK79" s="23">
        <f t="shared" si="30"/>
        <v>3.1255113437689719E-2</v>
      </c>
      <c r="AL79" s="23">
        <f t="shared" si="30"/>
        <v>2.5832356900420628E-2</v>
      </c>
      <c r="AM79" s="23">
        <f t="shared" si="30"/>
        <v>2.3224275434809316E-2</v>
      </c>
      <c r="AN79" s="23">
        <f t="shared" si="30"/>
        <v>2.1890066150078047E-2</v>
      </c>
      <c r="AO79" s="23">
        <f t="shared" si="30"/>
        <v>2.1179544032595476E-2</v>
      </c>
      <c r="AP79" s="23">
        <f t="shared" si="30"/>
        <v>2.0787998418732245E-2</v>
      </c>
      <c r="AQ79" s="23">
        <f t="shared" si="30"/>
        <v>2.0563927160657469E-2</v>
      </c>
      <c r="AR79" s="23">
        <f t="shared" si="30"/>
        <v>2.042946479582386E-2</v>
      </c>
      <c r="AS79" s="23">
        <f t="shared" si="30"/>
        <v>2.0343820644338484E-2</v>
      </c>
      <c r="AT79" s="23">
        <f t="shared" si="30"/>
        <v>2.0285365813658807E-2</v>
      </c>
      <c r="AU79" s="23">
        <f t="shared" si="30"/>
        <v>2.0242522305490063E-2</v>
      </c>
      <c r="AV79" s="23">
        <f t="shared" si="30"/>
        <v>2.0209030031656416E-2</v>
      </c>
      <c r="AW79" s="23">
        <f t="shared" si="30"/>
        <v>2.0181458903058447E-2</v>
      </c>
      <c r="AX79" s="23">
        <f t="shared" si="30"/>
        <v>2.0157892281168044E-2</v>
      </c>
      <c r="AY79" s="23">
        <f t="shared" si="30"/>
        <v>2.0137227476433539E-2</v>
      </c>
      <c r="AZ79" s="23">
        <f t="shared" si="30"/>
        <v>2.0118803034737898E-2</v>
      </c>
      <c r="BA79" s="23">
        <f t="shared" si="30"/>
        <v>2.0102199622890504E-2</v>
      </c>
      <c r="BB79" s="23">
        <f t="shared" si="30"/>
        <v>2.0087133312285843E-2</v>
      </c>
      <c r="BC79" s="23">
        <f t="shared" si="30"/>
        <v>2.0073398112972152E-2</v>
      </c>
      <c r="BD79" s="23">
        <f t="shared" si="30"/>
        <v>2.0100896890460573E-2</v>
      </c>
      <c r="BE79" s="23">
        <f t="shared" si="30"/>
        <v>2.0075157093789597E-2</v>
      </c>
      <c r="BF79" s="23">
        <f t="shared" si="30"/>
        <v>2.0053641439918168E-2</v>
      </c>
      <c r="BG79" s="23">
        <f t="shared" si="30"/>
        <v>2.0036529882105247E-2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1.9615709527889007</v>
      </c>
      <c r="C84" s="381">
        <f t="shared" ref="C84:BH84" si="31">C68-C73</f>
        <v>1.9621161974963099</v>
      </c>
      <c r="D84" s="381">
        <f>D68-D73</f>
        <v>2.0309355136010017</v>
      </c>
      <c r="E84" s="381">
        <f>E68-E73</f>
        <v>2.1422745659416123</v>
      </c>
      <c r="F84" s="381">
        <f t="shared" si="31"/>
        <v>2.2807077399312297</v>
      </c>
      <c r="G84" s="381">
        <f t="shared" si="31"/>
        <v>2.3966115823895815</v>
      </c>
      <c r="H84" s="381">
        <f t="shared" si="31"/>
        <v>2.4966324976223491</v>
      </c>
      <c r="I84" s="381">
        <f t="shared" si="31"/>
        <v>2.612189093557415</v>
      </c>
      <c r="J84" s="381">
        <f>J68-J73</f>
        <v>2.6093032416787292</v>
      </c>
      <c r="K84" s="381">
        <f t="shared" si="31"/>
        <v>2.7596456140989885</v>
      </c>
      <c r="L84" s="381">
        <f>L68-L73</f>
        <v>2.9109167550474986</v>
      </c>
      <c r="M84" s="381">
        <f t="shared" si="31"/>
        <v>2.9488212678589147</v>
      </c>
      <c r="N84" s="381">
        <f t="shared" si="31"/>
        <v>3.0845795574913755</v>
      </c>
      <c r="O84" s="381">
        <f t="shared" si="31"/>
        <v>3.1719443260572482</v>
      </c>
      <c r="P84" s="381">
        <f t="shared" si="31"/>
        <v>3.3273719513105036</v>
      </c>
      <c r="Q84" s="381">
        <f t="shared" si="31"/>
        <v>3.4616043251289641</v>
      </c>
      <c r="R84" s="381">
        <f t="shared" si="31"/>
        <v>3.6083575535641592</v>
      </c>
      <c r="S84" s="381">
        <f t="shared" si="31"/>
        <v>3.7678801882024051</v>
      </c>
      <c r="T84" s="381">
        <f t="shared" si="31"/>
        <v>3.850960113828739</v>
      </c>
      <c r="U84" s="381">
        <f t="shared" si="31"/>
        <v>3.831816239022996</v>
      </c>
      <c r="V84" s="381">
        <f t="shared" si="31"/>
        <v>4.0346622423393832</v>
      </c>
      <c r="W84" s="381">
        <f t="shared" si="31"/>
        <v>4.1844899932540951</v>
      </c>
      <c r="X84" s="381">
        <f t="shared" si="31"/>
        <v>4.2954023601893949</v>
      </c>
      <c r="Y84" s="381">
        <f t="shared" si="31"/>
        <v>4.4242040050967768</v>
      </c>
      <c r="Z84" s="381">
        <f t="shared" si="31"/>
        <v>4.5523846951431324</v>
      </c>
      <c r="AA84" s="381">
        <f t="shared" si="31"/>
        <v>4.6257865356731891</v>
      </c>
      <c r="AB84" s="381">
        <f t="shared" si="31"/>
        <v>4.7184082384670241</v>
      </c>
      <c r="AC84" s="381">
        <f t="shared" si="31"/>
        <v>4.8703656484835385</v>
      </c>
      <c r="AD84" s="381">
        <f t="shared" si="31"/>
        <v>5.0151019412437758</v>
      </c>
      <c r="AE84" s="381">
        <f t="shared" si="31"/>
        <v>5.0979647962722785</v>
      </c>
      <c r="AF84" s="381">
        <f t="shared" si="31"/>
        <v>4.9342732522357649</v>
      </c>
      <c r="AG84" s="381">
        <f t="shared" si="31"/>
        <v>5.174028873658381</v>
      </c>
      <c r="AH84" s="381">
        <f t="shared" si="31"/>
        <v>5.315586756236347</v>
      </c>
      <c r="AI84" s="381">
        <f t="shared" si="31"/>
        <v>27.064691360122175</v>
      </c>
      <c r="AJ84" s="381">
        <f t="shared" si="31"/>
        <v>41.018646536399949</v>
      </c>
      <c r="AK84" s="381">
        <f t="shared" si="31"/>
        <v>49.452410623789611</v>
      </c>
      <c r="AL84" s="381">
        <f t="shared" si="31"/>
        <v>54.977875274447221</v>
      </c>
      <c r="AM84" s="381">
        <f t="shared" si="31"/>
        <v>59.009729890110535</v>
      </c>
      <c r="AN84" s="381">
        <f t="shared" si="31"/>
        <v>62.271440423150374</v>
      </c>
      <c r="AO84" s="381">
        <f t="shared" si="31"/>
        <v>65.144308603630108</v>
      </c>
      <c r="AP84" s="381">
        <f t="shared" si="31"/>
        <v>67.834439552934825</v>
      </c>
      <c r="AQ84" s="381">
        <f t="shared" si="31"/>
        <v>70.455298911424109</v>
      </c>
      <c r="AR84" s="381">
        <f t="shared" si="31"/>
        <v>73.070397759965076</v>
      </c>
      <c r="AS84" s="381">
        <f t="shared" si="31"/>
        <v>75.716022560573677</v>
      </c>
      <c r="AT84" s="381">
        <f t="shared" si="31"/>
        <v>78.41354736785226</v>
      </c>
      <c r="AU84" s="381">
        <f t="shared" si="31"/>
        <v>81.176166197852353</v>
      </c>
      <c r="AV84" s="381">
        <f t="shared" si="31"/>
        <v>84.012593290224913</v>
      </c>
      <c r="AW84" s="381">
        <f t="shared" si="31"/>
        <v>86.929102774610811</v>
      </c>
      <c r="AX84" s="381">
        <f t="shared" si="31"/>
        <v>89.930655140034673</v>
      </c>
      <c r="AY84" s="381">
        <f t="shared" si="31"/>
        <v>93.021520481603005</v>
      </c>
      <c r="AZ84" s="381">
        <f t="shared" si="31"/>
        <v>96.20562418043815</v>
      </c>
      <c r="BA84" s="381">
        <f t="shared" si="31"/>
        <v>99.486739434309484</v>
      </c>
      <c r="BB84" s="381">
        <f t="shared" si="31"/>
        <v>102.86859529255413</v>
      </c>
      <c r="BC84" s="381">
        <f t="shared" si="31"/>
        <v>106.35493809031897</v>
      </c>
      <c r="BD84" s="381">
        <f t="shared" si="31"/>
        <v>109.94956720054915</v>
      </c>
      <c r="BE84" s="381">
        <f t="shared" si="31"/>
        <v>113.6861183931004</v>
      </c>
      <c r="BF84" s="381">
        <f t="shared" si="31"/>
        <v>117.52988091974625</v>
      </c>
      <c r="BG84" s="381">
        <f t="shared" si="31"/>
        <v>121.48651804907792</v>
      </c>
      <c r="BH84" s="381">
        <f t="shared" si="31"/>
        <v>125.56231207031766</v>
      </c>
      <c r="BI84" s="381">
        <f>+BH84</f>
        <v>125.56231207031766</v>
      </c>
    </row>
    <row r="85" spans="1:103" s="381" customFormat="1" ht="18" customHeight="1" x14ac:dyDescent="0.2">
      <c r="A85" s="411" t="s">
        <v>970</v>
      </c>
      <c r="B85" s="383">
        <f>+C85/C84*B84</f>
        <v>3.4295499622775099E-3</v>
      </c>
      <c r="C85" s="383">
        <f>+(C74-B74)/10</f>
        <v>3.4305032512539136E-3</v>
      </c>
      <c r="D85" s="383">
        <f t="shared" ref="D85:BI85" si="32">+(D74-C74)/10</f>
        <v>5.0248006876494777E-2</v>
      </c>
      <c r="E85" s="383">
        <f t="shared" si="32"/>
        <v>1.879826645566416E-2</v>
      </c>
      <c r="F85" s="383">
        <f t="shared" si="32"/>
        <v>1.7737598626870632E-2</v>
      </c>
      <c r="G85" s="383">
        <f t="shared" si="32"/>
        <v>2.8564594185926318E-2</v>
      </c>
      <c r="H85" s="383">
        <f t="shared" si="32"/>
        <v>3.4934176938846484E-2</v>
      </c>
      <c r="I85" s="383">
        <f t="shared" si="32"/>
        <v>4.1928851757341512E-2</v>
      </c>
      <c r="J85" s="383">
        <f t="shared" si="32"/>
        <v>4.9239439466084001E-2</v>
      </c>
      <c r="K85" s="383">
        <f t="shared" si="32"/>
        <v>2.4278972086955619E-2</v>
      </c>
      <c r="L85" s="383">
        <f t="shared" si="32"/>
        <v>7.4373479112288449E-2</v>
      </c>
      <c r="M85" s="383">
        <f t="shared" si="32"/>
        <v>9.1890112162516496E-2</v>
      </c>
      <c r="N85" s="383">
        <f t="shared" si="32"/>
        <v>8.5720868780655657E-2</v>
      </c>
      <c r="O85" s="383">
        <f t="shared" si="32"/>
        <v>6.7493236379418425E-2</v>
      </c>
      <c r="P85" s="383">
        <f t="shared" si="32"/>
        <v>4.7732944002306252E-2</v>
      </c>
      <c r="Q85" s="383">
        <f t="shared" si="32"/>
        <v>5.9695951931760402E-2</v>
      </c>
      <c r="R85" s="383">
        <f t="shared" si="32"/>
        <v>5.7996239602420376E-2</v>
      </c>
      <c r="S85" s="383">
        <f t="shared" si="32"/>
        <v>6.087178686121035E-2</v>
      </c>
      <c r="T85" s="383">
        <f t="shared" si="32"/>
        <v>6.5411475768510557E-2</v>
      </c>
      <c r="U85" s="383">
        <f t="shared" si="32"/>
        <v>4.5820203619966013E-2</v>
      </c>
      <c r="V85" s="383">
        <f t="shared" si="32"/>
        <v>1.0673780654973796E-2</v>
      </c>
      <c r="W85" s="383">
        <f t="shared" si="32"/>
        <v>5.9908821949382227E-2</v>
      </c>
      <c r="X85" s="383">
        <f t="shared" si="32"/>
        <v>6.2390287050665447E-2</v>
      </c>
      <c r="Y85" s="383">
        <f t="shared" si="32"/>
        <v>5.2476196605863376E-2</v>
      </c>
      <c r="Z85" s="383">
        <f t="shared" si="32"/>
        <v>5.3974587817908315E-2</v>
      </c>
      <c r="AA85" s="383">
        <f t="shared" si="32"/>
        <v>5.432504382214489E-2</v>
      </c>
      <c r="AB85" s="383">
        <f t="shared" si="32"/>
        <v>3.9273833325327703E-2</v>
      </c>
      <c r="AC85" s="383">
        <f t="shared" si="32"/>
        <v>3.9349585258034739E-2</v>
      </c>
      <c r="AD85" s="383">
        <f t="shared" si="32"/>
        <v>5.581162704338638E-2</v>
      </c>
      <c r="AE85" s="383">
        <f t="shared" si="32"/>
        <v>5.955138069117645E-2</v>
      </c>
      <c r="AF85" s="383">
        <f t="shared" si="32"/>
        <v>4.371678757894841E-2</v>
      </c>
      <c r="AG85" s="383">
        <f t="shared" si="32"/>
        <v>-3.0098457237017585E-2</v>
      </c>
      <c r="AH85" s="383">
        <f t="shared" si="32"/>
        <v>5.5916160563481296E-2</v>
      </c>
      <c r="AI85" s="383">
        <f t="shared" si="32"/>
        <v>5.8707429056208224E-2</v>
      </c>
      <c r="AJ85" s="383">
        <f t="shared" si="32"/>
        <v>6.0448392350287463</v>
      </c>
      <c r="AK85" s="383">
        <f t="shared" si="32"/>
        <v>5.9728655249748472</v>
      </c>
      <c r="AL85" s="383">
        <f t="shared" si="32"/>
        <v>4.4187106072683999</v>
      </c>
      <c r="AM85" s="383">
        <f t="shared" si="32"/>
        <v>3.0712291029730068</v>
      </c>
      <c r="AN85" s="383">
        <f t="shared" si="32"/>
        <v>2.1876704911908207</v>
      </c>
      <c r="AO85" s="383">
        <f t="shared" si="32"/>
        <v>1.6662674427173017</v>
      </c>
      <c r="AP85" s="383">
        <f t="shared" si="32"/>
        <v>1.3767584829199051</v>
      </c>
      <c r="AQ85" s="383">
        <f t="shared" si="32"/>
        <v>1.2251958528027387</v>
      </c>
      <c r="AR85" s="383">
        <f t="shared" si="32"/>
        <v>1.153161423529167</v>
      </c>
      <c r="AS85" s="383">
        <f t="shared" si="32"/>
        <v>1.1264489450026303</v>
      </c>
      <c r="AT85" s="383">
        <f t="shared" si="32"/>
        <v>1.1255903820532354</v>
      </c>
      <c r="AU85" s="383">
        <f t="shared" si="32"/>
        <v>1.1396670047168243</v>
      </c>
      <c r="AV85" s="383">
        <f t="shared" si="32"/>
        <v>1.1626058665134849</v>
      </c>
      <c r="AW85" s="383">
        <f t="shared" si="32"/>
        <v>1.1910485912190496</v>
      </c>
      <c r="AX85" s="383">
        <f t="shared" si="32"/>
        <v>1.2231482898718753</v>
      </c>
      <c r="AY85" s="383">
        <f t="shared" si="32"/>
        <v>1.2578971216774675</v>
      </c>
      <c r="AZ85" s="383">
        <f t="shared" si="32"/>
        <v>1.2947524393785215</v>
      </c>
      <c r="BA85" s="383">
        <f t="shared" si="32"/>
        <v>1.333429549906316</v>
      </c>
      <c r="BB85" s="383">
        <f t="shared" si="32"/>
        <v>1.3737870330659177</v>
      </c>
      <c r="BC85" s="383">
        <f t="shared" si="32"/>
        <v>1.4157633498380791</v>
      </c>
      <c r="BD85" s="383">
        <f t="shared" si="32"/>
        <v>1.4593418309573623</v>
      </c>
      <c r="BE85" s="383">
        <f t="shared" si="32"/>
        <v>1.5045313553566928</v>
      </c>
      <c r="BF85" s="383">
        <f t="shared" si="32"/>
        <v>1.559599518753447</v>
      </c>
      <c r="BG85" s="383">
        <f t="shared" si="32"/>
        <v>1.6084974851994276</v>
      </c>
      <c r="BH85" s="383">
        <f t="shared" si="32"/>
        <v>1.6568127278290603</v>
      </c>
      <c r="BI85" s="383">
        <f t="shared" si="32"/>
        <v>1.7066649429953031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1.9650005027511781</v>
      </c>
      <c r="C87" s="383">
        <f>+SUM(C84:C86)</f>
        <v>1.9655467007475638</v>
      </c>
      <c r="D87" s="383">
        <f t="shared" ref="D87:BI87" si="35">+SUM(D84:D86)</f>
        <v>2.0811835204774964</v>
      </c>
      <c r="E87" s="383">
        <f t="shared" si="35"/>
        <v>2.1610728323972763</v>
      </c>
      <c r="F87" s="383">
        <f t="shared" si="35"/>
        <v>2.2984453385581003</v>
      </c>
      <c r="G87" s="383">
        <f t="shared" si="35"/>
        <v>2.425176176575508</v>
      </c>
      <c r="H87" s="383">
        <f t="shared" si="35"/>
        <v>2.5315666745611956</v>
      </c>
      <c r="I87" s="383">
        <f t="shared" si="35"/>
        <v>2.6541179453147565</v>
      </c>
      <c r="J87" s="383">
        <f t="shared" si="35"/>
        <v>2.6585426811448132</v>
      </c>
      <c r="K87" s="383">
        <f t="shared" si="35"/>
        <v>2.7839245861859441</v>
      </c>
      <c r="L87" s="383">
        <f t="shared" si="35"/>
        <v>2.9852902341597871</v>
      </c>
      <c r="M87" s="383">
        <f t="shared" si="35"/>
        <v>3.0407113800214312</v>
      </c>
      <c r="N87" s="383">
        <f t="shared" si="35"/>
        <v>3.1703004262720311</v>
      </c>
      <c r="O87" s="383">
        <f t="shared" si="35"/>
        <v>3.2394375624366667</v>
      </c>
      <c r="P87" s="383">
        <f t="shared" si="35"/>
        <v>3.37510489531281</v>
      </c>
      <c r="Q87" s="383">
        <f t="shared" si="35"/>
        <v>3.5213002770607247</v>
      </c>
      <c r="R87" s="383">
        <f t="shared" si="35"/>
        <v>3.6663537931665795</v>
      </c>
      <c r="S87" s="383">
        <f t="shared" si="35"/>
        <v>3.8287519750636156</v>
      </c>
      <c r="T87" s="383">
        <f t="shared" si="35"/>
        <v>3.9163715895972495</v>
      </c>
      <c r="U87" s="383">
        <f t="shared" si="35"/>
        <v>3.8776364426429621</v>
      </c>
      <c r="V87" s="383">
        <f t="shared" si="35"/>
        <v>4.0453360229943574</v>
      </c>
      <c r="W87" s="383">
        <f t="shared" si="35"/>
        <v>4.2443988152034775</v>
      </c>
      <c r="X87" s="383">
        <f t="shared" si="35"/>
        <v>4.3577926472400605</v>
      </c>
      <c r="Y87" s="383">
        <f t="shared" si="35"/>
        <v>4.4766802017026404</v>
      </c>
      <c r="Z87" s="383">
        <f t="shared" si="35"/>
        <v>4.6063592829610407</v>
      </c>
      <c r="AA87" s="383">
        <f t="shared" si="35"/>
        <v>4.6801115794953336</v>
      </c>
      <c r="AB87" s="383">
        <f t="shared" si="35"/>
        <v>4.7576820717923516</v>
      </c>
      <c r="AC87" s="383">
        <f t="shared" si="35"/>
        <v>4.909715233741573</v>
      </c>
      <c r="AD87" s="383">
        <f t="shared" si="35"/>
        <v>5.0709135682871622</v>
      </c>
      <c r="AE87" s="383">
        <f t="shared" si="35"/>
        <v>5.1575161769634548</v>
      </c>
      <c r="AF87" s="383">
        <f t="shared" si="35"/>
        <v>4.9779900398147134</v>
      </c>
      <c r="AG87" s="383">
        <f t="shared" si="35"/>
        <v>5.1439304164213633</v>
      </c>
      <c r="AH87" s="383">
        <f t="shared" si="35"/>
        <v>5.3715029167998285</v>
      </c>
      <c r="AI87" s="383">
        <f t="shared" si="35"/>
        <v>27.123398789178385</v>
      </c>
      <c r="AJ87" s="383">
        <f t="shared" si="35"/>
        <v>47.063485771428695</v>
      </c>
      <c r="AK87" s="383">
        <f t="shared" si="35"/>
        <v>55.425276148764461</v>
      </c>
      <c r="AL87" s="383">
        <f t="shared" si="35"/>
        <v>59.396585881715623</v>
      </c>
      <c r="AM87" s="383">
        <f t="shared" si="35"/>
        <v>62.080958993083541</v>
      </c>
      <c r="AN87" s="383">
        <f t="shared" si="35"/>
        <v>64.459110914341196</v>
      </c>
      <c r="AO87" s="383">
        <f t="shared" si="35"/>
        <v>66.810576046347407</v>
      </c>
      <c r="AP87" s="383">
        <f t="shared" si="35"/>
        <v>69.211198035854736</v>
      </c>
      <c r="AQ87" s="383">
        <f t="shared" si="35"/>
        <v>71.68049476422685</v>
      </c>
      <c r="AR87" s="383">
        <f t="shared" si="35"/>
        <v>74.223559183494245</v>
      </c>
      <c r="AS87" s="383">
        <f t="shared" si="35"/>
        <v>76.842471505576313</v>
      </c>
      <c r="AT87" s="383">
        <f t="shared" si="35"/>
        <v>79.539137749905493</v>
      </c>
      <c r="AU87" s="383">
        <f t="shared" si="35"/>
        <v>82.315833202569181</v>
      </c>
      <c r="AV87" s="383">
        <f t="shared" si="35"/>
        <v>85.175199156738401</v>
      </c>
      <c r="AW87" s="383">
        <f t="shared" si="35"/>
        <v>88.120151365829855</v>
      </c>
      <c r="AX87" s="383">
        <f t="shared" si="35"/>
        <v>91.153803429906546</v>
      </c>
      <c r="AY87" s="383">
        <f t="shared" si="35"/>
        <v>94.279417603280478</v>
      </c>
      <c r="AZ87" s="383">
        <f t="shared" si="35"/>
        <v>97.500376619816677</v>
      </c>
      <c r="BA87" s="383">
        <f t="shared" si="35"/>
        <v>100.8201689842158</v>
      </c>
      <c r="BB87" s="383">
        <f t="shared" si="35"/>
        <v>104.24238232562006</v>
      </c>
      <c r="BC87" s="383">
        <f t="shared" si="35"/>
        <v>107.77070144015704</v>
      </c>
      <c r="BD87" s="383">
        <f t="shared" si="35"/>
        <v>111.40890903150651</v>
      </c>
      <c r="BE87" s="383">
        <f t="shared" si="35"/>
        <v>115.19064974845709</v>
      </c>
      <c r="BF87" s="383">
        <f t="shared" si="35"/>
        <v>119.08948043849969</v>
      </c>
      <c r="BG87" s="383">
        <f t="shared" si="35"/>
        <v>123.09501553427734</v>
      </c>
      <c r="BH87" s="383">
        <f t="shared" si="35"/>
        <v>127.21912479814672</v>
      </c>
      <c r="BI87" s="383">
        <f t="shared" si="35"/>
        <v>127.26897701331296</v>
      </c>
    </row>
    <row r="88" spans="1:103" ht="18" customHeight="1" x14ac:dyDescent="0.2">
      <c r="A88" s="21" t="s">
        <v>153</v>
      </c>
      <c r="B88" s="29">
        <f t="shared" ref="B88:AG88" si="36">(B84/B56)*1000</f>
        <v>15.186008072524086</v>
      </c>
      <c r="C88" s="23">
        <f t="shared" si="36"/>
        <v>14.124587833798957</v>
      </c>
      <c r="D88" s="23">
        <f t="shared" si="36"/>
        <v>13.860062245095495</v>
      </c>
      <c r="E88" s="23">
        <f t="shared" si="36"/>
        <v>14.166307147926892</v>
      </c>
      <c r="F88" s="23">
        <f t="shared" si="36"/>
        <v>14.943108017739203</v>
      </c>
      <c r="G88" s="23">
        <f t="shared" si="36"/>
        <v>15.914808145063079</v>
      </c>
      <c r="H88" s="23">
        <f t="shared" si="36"/>
        <v>17.009473973004379</v>
      </c>
      <c r="I88" s="23">
        <f t="shared" si="36"/>
        <v>18.258848526213374</v>
      </c>
      <c r="J88" s="23">
        <f t="shared" si="36"/>
        <v>18.712242535042904</v>
      </c>
      <c r="K88" s="23">
        <f t="shared" si="36"/>
        <v>20.304257331972913</v>
      </c>
      <c r="L88" s="23">
        <f t="shared" si="36"/>
        <v>21.636927320596048</v>
      </c>
      <c r="M88" s="23">
        <f t="shared" si="36"/>
        <v>21.804480949439984</v>
      </c>
      <c r="N88" s="23">
        <f t="shared" si="36"/>
        <v>22.689492447862971</v>
      </c>
      <c r="O88" s="23">
        <f t="shared" si="36"/>
        <v>23.210573067427173</v>
      </c>
      <c r="P88" s="23">
        <f t="shared" si="36"/>
        <v>24.221060861372436</v>
      </c>
      <c r="Q88" s="23">
        <f t="shared" si="36"/>
        <v>25.066906248651048</v>
      </c>
      <c r="R88" s="23">
        <f t="shared" si="36"/>
        <v>25.993477188434493</v>
      </c>
      <c r="S88" s="23">
        <f t="shared" si="36"/>
        <v>27.001220852159051</v>
      </c>
      <c r="T88" s="23">
        <f t="shared" si="36"/>
        <v>27.452812210034203</v>
      </c>
      <c r="U88" s="23">
        <f t="shared" si="36"/>
        <v>27.174026510877034</v>
      </c>
      <c r="V88" s="23">
        <f t="shared" si="36"/>
        <v>28.451954473317155</v>
      </c>
      <c r="W88" s="23">
        <f t="shared" si="36"/>
        <v>29.331019061511586</v>
      </c>
      <c r="X88" s="23">
        <f t="shared" si="36"/>
        <v>29.927343431458009</v>
      </c>
      <c r="Y88" s="23">
        <f t="shared" si="36"/>
        <v>30.639322508849226</v>
      </c>
      <c r="Z88" s="23">
        <f t="shared" si="36"/>
        <v>31.337378671848789</v>
      </c>
      <c r="AA88" s="23">
        <f t="shared" si="36"/>
        <v>31.65111370288496</v>
      </c>
      <c r="AB88" s="23">
        <f t="shared" si="36"/>
        <v>32.090657794736778</v>
      </c>
      <c r="AC88" s="23">
        <f t="shared" si="36"/>
        <v>32.924892900547626</v>
      </c>
      <c r="AD88" s="23">
        <f t="shared" si="36"/>
        <v>33.699407568107027</v>
      </c>
      <c r="AE88" s="23">
        <f t="shared" si="36"/>
        <v>34.050150076998371</v>
      </c>
      <c r="AF88" s="23">
        <f t="shared" si="36"/>
        <v>32.85755498749824</v>
      </c>
      <c r="AG88" s="23">
        <f t="shared" si="36"/>
        <v>34.454098817105958</v>
      </c>
      <c r="AH88" s="23">
        <f t="shared" ref="AH88:BI88" si="37">(AH84/AH56)*1000</f>
        <v>35.396739338404984</v>
      </c>
      <c r="AI88" s="23">
        <f t="shared" si="37"/>
        <v>180.22503804019001</v>
      </c>
      <c r="AJ88" s="23">
        <f t="shared" si="37"/>
        <v>273.14507429677252</v>
      </c>
      <c r="AK88" s="23">
        <f t="shared" si="37"/>
        <v>329.30590145149716</v>
      </c>
      <c r="AL88" s="23">
        <f t="shared" si="37"/>
        <v>366.10022744635302</v>
      </c>
      <c r="AM88" s="23">
        <f t="shared" si="37"/>
        <v>392.94853477828468</v>
      </c>
      <c r="AN88" s="23">
        <f t="shared" si="37"/>
        <v>414.66841685901426</v>
      </c>
      <c r="AO88" s="23">
        <f t="shared" si="37"/>
        <v>433.79897963625308</v>
      </c>
      <c r="AP88" s="23">
        <f t="shared" si="37"/>
        <v>451.71268669540302</v>
      </c>
      <c r="AQ88" s="23">
        <f t="shared" si="37"/>
        <v>469.16511101078555</v>
      </c>
      <c r="AR88" s="23">
        <f t="shared" si="37"/>
        <v>486.57917582260853</v>
      </c>
      <c r="AS88" s="23">
        <f t="shared" si="37"/>
        <v>504.19651436844157</v>
      </c>
      <c r="AT88" s="23">
        <f t="shared" si="37"/>
        <v>522.15945747158969</v>
      </c>
      <c r="AU88" s="23">
        <f t="shared" si="37"/>
        <v>540.55586469834714</v>
      </c>
      <c r="AV88" s="23">
        <f t="shared" si="37"/>
        <v>559.44376457568626</v>
      </c>
      <c r="AW88" s="23">
        <f t="shared" si="37"/>
        <v>578.86493682457785</v>
      </c>
      <c r="AX88" s="23">
        <f t="shared" si="37"/>
        <v>598.85241357205689</v>
      </c>
      <c r="AY88" s="23">
        <f t="shared" si="37"/>
        <v>619.43462957995973</v>
      </c>
      <c r="AZ88" s="23">
        <f t="shared" si="37"/>
        <v>640.63772414367634</v>
      </c>
      <c r="BA88" s="23">
        <f t="shared" si="37"/>
        <v>662.48682316257396</v>
      </c>
      <c r="BB88" s="23">
        <f t="shared" si="37"/>
        <v>685.00675854955659</v>
      </c>
      <c r="BC88" s="23">
        <f t="shared" si="37"/>
        <v>708.22247732453957</v>
      </c>
      <c r="BD88" s="23">
        <f t="shared" si="37"/>
        <v>732.15927968860274</v>
      </c>
      <c r="BE88" s="23">
        <f t="shared" si="37"/>
        <v>757.04114779698614</v>
      </c>
      <c r="BF88" s="23">
        <f t="shared" si="37"/>
        <v>782.63694116350166</v>
      </c>
      <c r="BG88" s="23">
        <f t="shared" si="37"/>
        <v>808.98437175699098</v>
      </c>
      <c r="BH88" s="23">
        <f t="shared" si="37"/>
        <v>836.12527363345691</v>
      </c>
      <c r="BI88" s="23">
        <f t="shared" si="37"/>
        <v>836.12527363345691</v>
      </c>
    </row>
    <row r="89" spans="1:103" ht="18" customHeight="1" x14ac:dyDescent="0.2">
      <c r="A89" s="21" t="s">
        <v>166</v>
      </c>
      <c r="C89" s="23">
        <f>+LN(C88/B88)/10</f>
        <v>-7.2457385668897294E-3</v>
      </c>
      <c r="D89" s="23">
        <f>+LN(D88/C88)/10</f>
        <v>-1.8905611958920693E-3</v>
      </c>
      <c r="E89" s="23">
        <f>+LN(E88/D88)/10</f>
        <v>2.1854924407040195E-3</v>
      </c>
      <c r="F89" s="23">
        <f>+LN(F88/E88)/10</f>
        <v>5.3383782237774683E-3</v>
      </c>
    </row>
    <row r="90" spans="1:103" s="33" customFormat="1" ht="18" customHeight="1" x14ac:dyDescent="0.2">
      <c r="A90" s="32" t="s">
        <v>5</v>
      </c>
      <c r="B90" s="44">
        <f t="shared" ref="B90:BI90" si="38">+(1/(1-$B$18))*(B88)^(1-$B$18)+1</f>
        <v>0.48677455203054187</v>
      </c>
      <c r="C90" s="33">
        <f t="shared" si="38"/>
        <v>0.46784015156544867</v>
      </c>
      <c r="D90" s="33">
        <f t="shared" si="38"/>
        <v>0.46278589695947236</v>
      </c>
      <c r="E90" s="33">
        <f t="shared" si="38"/>
        <v>0.46862432606213</v>
      </c>
      <c r="F90" s="33">
        <f t="shared" si="38"/>
        <v>0.48262012952219424</v>
      </c>
      <c r="G90" s="33">
        <f t="shared" si="38"/>
        <v>0.49866353790700146</v>
      </c>
      <c r="H90" s="33">
        <f t="shared" si="38"/>
        <v>0.51506385675144939</v>
      </c>
      <c r="I90" s="33">
        <f t="shared" si="38"/>
        <v>0.53194886493738225</v>
      </c>
      <c r="J90" s="33">
        <f t="shared" si="38"/>
        <v>0.53765402973993814</v>
      </c>
      <c r="K90" s="33">
        <f t="shared" si="38"/>
        <v>0.55614977825043099</v>
      </c>
      <c r="L90" s="33">
        <f t="shared" si="38"/>
        <v>0.57003589306521651</v>
      </c>
      <c r="M90" s="33">
        <f t="shared" si="38"/>
        <v>0.57169107991092138</v>
      </c>
      <c r="N90" s="33">
        <f t="shared" si="38"/>
        <v>0.58012733163144214</v>
      </c>
      <c r="O90" s="33">
        <f t="shared" si="38"/>
        <v>0.58486718537079108</v>
      </c>
      <c r="P90" s="33">
        <f t="shared" si="38"/>
        <v>0.59361898080557796</v>
      </c>
      <c r="Q90" s="33">
        <f t="shared" si="38"/>
        <v>0.60053417803256282</v>
      </c>
      <c r="R90" s="33">
        <f t="shared" si="38"/>
        <v>0.6077185193643273</v>
      </c>
      <c r="S90" s="33">
        <f t="shared" si="38"/>
        <v>0.61510852221210122</v>
      </c>
      <c r="T90" s="33">
        <f t="shared" si="38"/>
        <v>0.61828732955960553</v>
      </c>
      <c r="U90" s="33">
        <f t="shared" si="38"/>
        <v>0.61633427915149097</v>
      </c>
      <c r="V90" s="33">
        <f t="shared" si="38"/>
        <v>0.62504949478419491</v>
      </c>
      <c r="W90" s="33">
        <f t="shared" si="38"/>
        <v>0.63071095912884079</v>
      </c>
      <c r="X90" s="33">
        <f t="shared" si="38"/>
        <v>0.63440864973978683</v>
      </c>
      <c r="Y90" s="33">
        <f t="shared" si="38"/>
        <v>0.63868131859465871</v>
      </c>
      <c r="Z90" s="33">
        <f t="shared" si="38"/>
        <v>0.64272826181087495</v>
      </c>
      <c r="AA90" s="33">
        <f t="shared" si="38"/>
        <v>0.64450336220682369</v>
      </c>
      <c r="AB90" s="33">
        <f t="shared" si="38"/>
        <v>0.64694636607046452</v>
      </c>
      <c r="AC90" s="33">
        <f t="shared" si="38"/>
        <v>0.65144781451039968</v>
      </c>
      <c r="AD90" s="33">
        <f t="shared" si="38"/>
        <v>0.65547649042237421</v>
      </c>
      <c r="AE90" s="33">
        <f t="shared" si="38"/>
        <v>0.65725551102166202</v>
      </c>
      <c r="AF90" s="33">
        <f t="shared" si="38"/>
        <v>0.65109083779854715</v>
      </c>
      <c r="AG90" s="33">
        <f t="shared" si="38"/>
        <v>0.65927064732124796</v>
      </c>
      <c r="AH90" s="33">
        <f t="shared" si="38"/>
        <v>0.66383819513901088</v>
      </c>
      <c r="AI90" s="33">
        <f t="shared" si="38"/>
        <v>0.8510218994660016</v>
      </c>
      <c r="AJ90" s="33">
        <f t="shared" si="38"/>
        <v>0.87898664290939121</v>
      </c>
      <c r="AK90" s="33">
        <f t="shared" si="38"/>
        <v>0.88978765606987575</v>
      </c>
      <c r="AL90" s="33">
        <f t="shared" si="38"/>
        <v>0.89547263649555198</v>
      </c>
      <c r="AM90" s="33">
        <f t="shared" si="38"/>
        <v>0.89910673909612648</v>
      </c>
      <c r="AN90" s="33">
        <f t="shared" si="38"/>
        <v>0.90178461659890397</v>
      </c>
      <c r="AO90" s="33">
        <f t="shared" si="38"/>
        <v>0.90397468674756454</v>
      </c>
      <c r="AP90" s="33">
        <f t="shared" si="38"/>
        <v>0.90589800049097069</v>
      </c>
      <c r="AQ90" s="33">
        <f t="shared" si="38"/>
        <v>0.90766483251646468</v>
      </c>
      <c r="AR90" s="33">
        <f t="shared" si="38"/>
        <v>0.90933216691445584</v>
      </c>
      <c r="AS90" s="33">
        <f t="shared" si="38"/>
        <v>0.91093028223303485</v>
      </c>
      <c r="AT90" s="33">
        <f t="shared" si="38"/>
        <v>0.91247574526851416</v>
      </c>
      <c r="AU90" s="33">
        <f t="shared" si="38"/>
        <v>0.91397796667000442</v>
      </c>
      <c r="AV90" s="33">
        <f t="shared" si="38"/>
        <v>0.91544256959554315</v>
      </c>
      <c r="AW90" s="33">
        <f t="shared" si="38"/>
        <v>0.91687314045201262</v>
      </c>
      <c r="AX90" s="33">
        <f t="shared" si="38"/>
        <v>0.91827214635290788</v>
      </c>
      <c r="AY90" s="33">
        <f t="shared" si="38"/>
        <v>0.91964141974983127</v>
      </c>
      <c r="AZ90" s="33">
        <f t="shared" si="38"/>
        <v>0.92098241699083228</v>
      </c>
      <c r="BA90" s="33">
        <f t="shared" si="38"/>
        <v>0.92229635826172385</v>
      </c>
      <c r="BB90" s="33">
        <f t="shared" si="38"/>
        <v>0.92358430498654642</v>
      </c>
      <c r="BC90" s="33">
        <f t="shared" si="38"/>
        <v>0.92484720403566656</v>
      </c>
      <c r="BD90" s="33">
        <f t="shared" si="38"/>
        <v>0.9260859141423915</v>
      </c>
      <c r="BE90" s="33">
        <f t="shared" si="38"/>
        <v>0.92731073911804829</v>
      </c>
      <c r="BF90" s="33">
        <f t="shared" si="38"/>
        <v>0.92850925479357549</v>
      </c>
      <c r="BG90" s="33">
        <f t="shared" si="38"/>
        <v>0.92968306541281098</v>
      </c>
      <c r="BH90" s="33">
        <f t="shared" si="38"/>
        <v>0.93083373566164096</v>
      </c>
      <c r="BI90" s="33">
        <f t="shared" si="38"/>
        <v>0.93083373566164096</v>
      </c>
    </row>
    <row r="91" spans="1:103" ht="18" customHeight="1" x14ac:dyDescent="0.2">
      <c r="A91" s="21" t="s">
        <v>115</v>
      </c>
      <c r="B91" s="29">
        <f t="shared" ref="B91:AG91" si="39">B17*B56*B90</f>
        <v>62.876485858553529</v>
      </c>
      <c r="C91" s="23">
        <f t="shared" si="39"/>
        <v>55.999739718889046</v>
      </c>
      <c r="D91" s="23">
        <f t="shared" si="39"/>
        <v>50.34892749689655</v>
      </c>
      <c r="E91" s="23">
        <f t="shared" si="39"/>
        <v>45.337966716853209</v>
      </c>
      <c r="F91" s="23">
        <f t="shared" si="39"/>
        <v>40.606208710002534</v>
      </c>
      <c r="G91" s="23">
        <f t="shared" si="39"/>
        <v>35.669888172893472</v>
      </c>
      <c r="H91" s="23">
        <f t="shared" si="39"/>
        <v>30.942989983254702</v>
      </c>
      <c r="I91" s="23">
        <f t="shared" si="39"/>
        <v>26.839730774615774</v>
      </c>
      <c r="J91" s="23">
        <f t="shared" si="39"/>
        <v>22.783384589527685</v>
      </c>
      <c r="K91" s="23">
        <f t="shared" si="39"/>
        <v>19.793116086071258</v>
      </c>
      <c r="L91" s="23">
        <f t="shared" si="39"/>
        <v>17.303429074537579</v>
      </c>
      <c r="M91" s="23">
        <f t="shared" si="39"/>
        <v>15.03140117391378</v>
      </c>
      <c r="N91" s="23">
        <f t="shared" si="39"/>
        <v>13.212026984288164</v>
      </c>
      <c r="O91" s="23">
        <f t="shared" si="39"/>
        <v>11.537493138628241</v>
      </c>
      <c r="P91" s="23">
        <f t="shared" si="39"/>
        <v>10.143084754823827</v>
      </c>
      <c r="Q91" s="23">
        <f t="shared" si="39"/>
        <v>8.8880825593393897</v>
      </c>
      <c r="R91" s="23">
        <f t="shared" si="39"/>
        <v>7.7907792152978033</v>
      </c>
      <c r="S91" s="23">
        <f t="shared" si="39"/>
        <v>6.8302758753796029</v>
      </c>
      <c r="T91" s="23">
        <f t="shared" si="39"/>
        <v>5.9468217748621477</v>
      </c>
      <c r="U91" s="23">
        <f t="shared" si="39"/>
        <v>5.1347461079858432</v>
      </c>
      <c r="V91" s="23">
        <f t="shared" si="39"/>
        <v>4.5123319140314431</v>
      </c>
      <c r="W91" s="23">
        <f t="shared" si="39"/>
        <v>3.9470887032016635</v>
      </c>
      <c r="X91" s="23">
        <f t="shared" si="39"/>
        <v>3.4417195982747848</v>
      </c>
      <c r="Y91" s="23">
        <f t="shared" si="39"/>
        <v>3.0036580041374821</v>
      </c>
      <c r="Z91" s="23">
        <f t="shared" si="39"/>
        <v>2.6203152609685709</v>
      </c>
      <c r="AA91" s="23">
        <f t="shared" si="39"/>
        <v>2.2777770696267856</v>
      </c>
      <c r="AB91" s="23">
        <f t="shared" si="39"/>
        <v>1.9820480882785358</v>
      </c>
      <c r="AC91" s="23">
        <f t="shared" si="39"/>
        <v>1.7301566280033067</v>
      </c>
      <c r="AD91" s="23">
        <f t="shared" si="39"/>
        <v>1.5091165751595075</v>
      </c>
      <c r="AE91" s="23">
        <f t="shared" si="39"/>
        <v>1.311776316814939</v>
      </c>
      <c r="AF91" s="23">
        <f t="shared" si="39"/>
        <v>1.1230959527149664</v>
      </c>
      <c r="AG91" s="23">
        <f t="shared" si="39"/>
        <v>0.97989286596237124</v>
      </c>
      <c r="AH91" s="23">
        <f t="shared" ref="AH91:BI91" si="40">AH17*AH56*AH90</f>
        <v>0.85019132629386862</v>
      </c>
      <c r="AI91" s="23">
        <f t="shared" si="40"/>
        <v>0.93914953267840939</v>
      </c>
      <c r="AJ91" s="23">
        <f t="shared" si="40"/>
        <v>0.83582597543972559</v>
      </c>
      <c r="AK91" s="23">
        <f t="shared" si="40"/>
        <v>0.7290537401457472</v>
      </c>
      <c r="AL91" s="23">
        <f t="shared" si="40"/>
        <v>0.63221538855264003</v>
      </c>
      <c r="AM91" s="23">
        <f t="shared" si="40"/>
        <v>0.54697008395740376</v>
      </c>
      <c r="AN91" s="23">
        <f t="shared" si="40"/>
        <v>0.47270992492183012</v>
      </c>
      <c r="AO91" s="23">
        <f t="shared" si="40"/>
        <v>0.40830786470053076</v>
      </c>
      <c r="AP91" s="23">
        <f t="shared" si="40"/>
        <v>0.35257405811075593</v>
      </c>
      <c r="AQ91" s="23">
        <f t="shared" si="40"/>
        <v>0.30439403655767056</v>
      </c>
      <c r="AR91" s="23">
        <f t="shared" si="40"/>
        <v>0.26276817362580751</v>
      </c>
      <c r="AS91" s="23">
        <f t="shared" si="40"/>
        <v>0.22681664670656571</v>
      </c>
      <c r="AT91" s="23">
        <f t="shared" si="40"/>
        <v>0.19577205181515553</v>
      </c>
      <c r="AU91" s="23">
        <f t="shared" si="40"/>
        <v>0.16896807920505044</v>
      </c>
      <c r="AV91" s="23">
        <f t="shared" si="40"/>
        <v>0.1458275644052589</v>
      </c>
      <c r="AW91" s="23">
        <f t="shared" si="40"/>
        <v>0.12585119573998069</v>
      </c>
      <c r="AX91" s="23">
        <f t="shared" si="40"/>
        <v>0.10860731685216186</v>
      </c>
      <c r="AY91" s="23">
        <f t="shared" si="40"/>
        <v>9.3722912066143124E-2</v>
      </c>
      <c r="AZ91" s="23">
        <f t="shared" si="40"/>
        <v>8.0875721352665131E-2</v>
      </c>
      <c r="BA91" s="23">
        <f t="shared" si="40"/>
        <v>6.978738090049949E-2</v>
      </c>
      <c r="BB91" s="23">
        <f t="shared" si="40"/>
        <v>6.0217473124375989E-2</v>
      </c>
      <c r="BC91" s="23">
        <f t="shared" si="40"/>
        <v>5.1958373662018671E-2</v>
      </c>
      <c r="BD91" s="23">
        <f t="shared" si="40"/>
        <v>4.4830792581353696E-2</v>
      </c>
      <c r="BE91" s="23">
        <f t="shared" si="40"/>
        <v>3.8680315274382648E-2</v>
      </c>
      <c r="BF91" s="23">
        <f t="shared" si="40"/>
        <v>3.3372637438719759E-2</v>
      </c>
      <c r="BG91" s="23">
        <f t="shared" si="40"/>
        <v>2.879246125509188E-2</v>
      </c>
      <c r="BH91" s="23">
        <f t="shared" si="40"/>
        <v>2.4840227168052585E-2</v>
      </c>
      <c r="BI91" s="23">
        <f t="shared" si="40"/>
        <v>2.1404009779246076E-2</v>
      </c>
    </row>
    <row r="92" spans="1:103" ht="18" customHeight="1" x14ac:dyDescent="0.2">
      <c r="A92" s="57" t="s">
        <v>62</v>
      </c>
      <c r="B92" s="194">
        <f>SUM(B91:AO91)*10*B52+B53</f>
        <v>-75.436929545315024</v>
      </c>
      <c r="C92" s="174">
        <v>102.10088726998038</v>
      </c>
      <c r="D92" s="195">
        <f>+B92-C92</f>
        <v>-177.5378168152954</v>
      </c>
      <c r="I92" s="33"/>
    </row>
    <row r="93" spans="1:103" s="33" customFormat="1" ht="18" customHeight="1" x14ac:dyDescent="0.2">
      <c r="A93" s="32" t="s">
        <v>270</v>
      </c>
      <c r="B93" s="33">
        <f>+B90*Data!B369</f>
        <v>0.48677455203054187</v>
      </c>
      <c r="C93" s="33">
        <f>+C90*Data!C369</f>
        <v>0.3720826590433145</v>
      </c>
      <c r="D93" s="33">
        <f>+D90*Data!D369</f>
        <v>0.32784041832552391</v>
      </c>
      <c r="E93" s="33">
        <f>+E90*Data!E369</f>
        <v>0.29631709269442452</v>
      </c>
      <c r="F93" s="33">
        <f>+F90*Data!F369</f>
        <v>0.27235355809270145</v>
      </c>
      <c r="G93" s="33">
        <f>+G90*Data!G369</f>
        <v>0.2525908195730458</v>
      </c>
      <c r="H93" s="33">
        <f>+H90*Data!H369</f>
        <v>0.23539323736215975</v>
      </c>
      <c r="I93" s="33">
        <f>+I90*Data!I369</f>
        <v>0.22055624984245342</v>
      </c>
      <c r="J93" s="33">
        <f>+J90*Data!J369</f>
        <v>0.20346898865524013</v>
      </c>
      <c r="K93" s="33">
        <f>+K90*Data!K369</f>
        <v>0.19154240802325359</v>
      </c>
      <c r="L93" s="33">
        <f>+L90*Data!L369</f>
        <v>0.18044222056076387</v>
      </c>
      <c r="M93" s="33">
        <f>+M90*Data!M369</f>
        <v>0.16689260629665087</v>
      </c>
      <c r="N93" s="33">
        <f>+N90*Data!N369</f>
        <v>0.1620835939406344</v>
      </c>
      <c r="O93" s="33">
        <f>+O90*Data!O369</f>
        <v>0.15561134010269234</v>
      </c>
      <c r="P93" s="33">
        <f>+P90*Data!P369</f>
        <v>0.15042920861742282</v>
      </c>
      <c r="Q93" s="33">
        <f>+Q90*Data!Q369</f>
        <v>0.14531768405679396</v>
      </c>
      <c r="R93" s="33">
        <f>+R90*Data!R369</f>
        <v>0.14093355937441343</v>
      </c>
      <c r="S93" s="33">
        <f>+S90*Data!S369</f>
        <v>0.13725668733566102</v>
      </c>
      <c r="T93" s="33">
        <f>+T90*Data!T369</f>
        <v>0.13328943132058299</v>
      </c>
      <c r="U93" s="33">
        <f>+U90*Data!U369</f>
        <v>0.12886695453907759</v>
      </c>
      <c r="V93" s="33">
        <f>+V90*Data!V369</f>
        <v>0.12743194828133386</v>
      </c>
      <c r="W93" s="33">
        <f>+W90*Data!W369</f>
        <v>0.12576713816008386</v>
      </c>
      <c r="X93" s="33">
        <f>+X90*Data!X369</f>
        <v>0.12380764759749113</v>
      </c>
      <c r="Y93" s="33">
        <f>+Y90*Data!Y369</f>
        <v>0.12206435841334534</v>
      </c>
      <c r="Z93" s="33">
        <f>+Z90*Data!Z369</f>
        <v>0.12048467669324205</v>
      </c>
      <c r="AA93" s="33">
        <f>+AA90*Data!AA369</f>
        <v>0.1187315281236742</v>
      </c>
      <c r="AB93" s="33">
        <f>+AB90*Data!AB369</f>
        <v>0.11734490297281699</v>
      </c>
      <c r="AC93" s="33">
        <f>+AC90*Data!AC369</f>
        <v>0.11654466731313057</v>
      </c>
      <c r="AD93" s="33">
        <f>+AD90*Data!AD369</f>
        <v>0.1158334551768717</v>
      </c>
      <c r="AE93" s="33">
        <f>+AE90*Data!AE369</f>
        <v>0.11489324700845355</v>
      </c>
      <c r="AF93" s="33">
        <f>+AF90*Data!AF369</f>
        <v>0.11275748051417674</v>
      </c>
      <c r="AG93" s="33">
        <f>+AG90*Data!AG369</f>
        <v>0.11326933150678367</v>
      </c>
      <c r="AH93" s="33">
        <f>+AH90*Data!AH369</f>
        <v>0.11327485567734591</v>
      </c>
      <c r="AI93" s="33">
        <f>+AI90*Data!AI369</f>
        <v>0.14437432314105594</v>
      </c>
      <c r="AJ93" s="33">
        <f>+AJ90*Data!AJ369</f>
        <v>0.1484012992330376</v>
      </c>
      <c r="AK93" s="33">
        <f>+AK90*Data!AK369</f>
        <v>0.14963804266123304</v>
      </c>
      <c r="AL93" s="33">
        <f>+AL90*Data!AL369</f>
        <v>0.15012897380388199</v>
      </c>
      <c r="AM93" s="33">
        <f>+AM90*Data!AM369</f>
        <v>0.15038261507174189</v>
      </c>
      <c r="AN93" s="33">
        <f>+AN90*Data!AN369</f>
        <v>0.15057146422502646</v>
      </c>
      <c r="AO93" s="33">
        <f>+AO90*Data!AO369</f>
        <v>0.1507619345904542</v>
      </c>
      <c r="AP93" s="33">
        <f>+AP90*Data!AP369</f>
        <v>0.15097909622325584</v>
      </c>
      <c r="AQ93" s="33">
        <f>+AQ90*Data!AQ369</f>
        <v>0.15122994224394645</v>
      </c>
      <c r="AR93" s="33">
        <f>+AR90*Data!AR369</f>
        <v>0.15151312162918654</v>
      </c>
      <c r="AS93" s="33">
        <f>+AS90*Data!AS369</f>
        <v>0.15182339979986911</v>
      </c>
      <c r="AT93" s="33">
        <f>+AT90*Data!AT369</f>
        <v>0.15215381268321174</v>
      </c>
      <c r="AU93" s="33">
        <f>+AU90*Data!AU369</f>
        <v>0.15249673693235485</v>
      </c>
      <c r="AV93" s="33">
        <f>+AV90*Data!AV369</f>
        <v>0.15284442901935741</v>
      </c>
      <c r="AW93" s="33">
        <f>+AW90*Data!AW369</f>
        <v>0.15318929684459842</v>
      </c>
      <c r="AX93" s="33">
        <f>+AX90*Data!AX369</f>
        <v>0.15352403195533898</v>
      </c>
      <c r="AY93" s="33">
        <f>+AY90*Data!AY369</f>
        <v>0.15384166250176221</v>
      </c>
      <c r="AZ93" s="33">
        <f>+AZ90*Data!AZ369</f>
        <v>0.15413555017709274</v>
      </c>
      <c r="BA93" s="33">
        <f>+BA90*Data!BA369</f>
        <v>0.15439933170476916</v>
      </c>
      <c r="BB93" s="33">
        <f>+BB90*Data!BB369</f>
        <v>0.15462678901883792</v>
      </c>
      <c r="BC93" s="33">
        <f>+BC90*Data!BC369</f>
        <v>0.15481161937541496</v>
      </c>
      <c r="BD93" s="33">
        <f>+BD90*Data!BD369</f>
        <v>0.15494706885803616</v>
      </c>
      <c r="BE93" s="33">
        <f>+BE90*Data!BE369</f>
        <v>0.15502698764697845</v>
      </c>
      <c r="BF93" s="33">
        <f>+BF90*Data!BF369</f>
        <v>0.15503973653225933</v>
      </c>
      <c r="BG93" s="33">
        <f>+BG90*Data!BG369</f>
        <v>0.15497351425301736</v>
      </c>
      <c r="BH93" s="33">
        <f>+BH90*Data!BH369</f>
        <v>0.1548132381740934</v>
      </c>
      <c r="BI93" s="33">
        <f>+BI90*Data!BI369</f>
        <v>0.15473792780360279</v>
      </c>
    </row>
    <row r="94" spans="1:103" ht="18" customHeight="1" x14ac:dyDescent="0.2">
      <c r="A94" s="21" t="s">
        <v>271</v>
      </c>
      <c r="B94" s="29">
        <f>B$17*B$56*B93</f>
        <v>62.876485858553529</v>
      </c>
      <c r="C94" s="29">
        <f t="shared" ref="C94:BH94" si="41">C$17*C$56*C93</f>
        <v>44.537716548304459</v>
      </c>
      <c r="D94" s="29">
        <f t="shared" si="41"/>
        <v>35.667494539639257</v>
      </c>
      <c r="E94" s="29">
        <f t="shared" si="41"/>
        <v>28.667770192607108</v>
      </c>
      <c r="F94" s="29">
        <f t="shared" si="41"/>
        <v>22.915010680911628</v>
      </c>
      <c r="G94" s="29">
        <f t="shared" si="41"/>
        <v>18.068067149016937</v>
      </c>
      <c r="H94" s="29">
        <f t="shared" si="41"/>
        <v>14.141490400360361</v>
      </c>
      <c r="I94" s="29">
        <f t="shared" si="41"/>
        <v>11.128269569909072</v>
      </c>
      <c r="J94" s="29">
        <f t="shared" si="41"/>
        <v>8.6221100636349046</v>
      </c>
      <c r="K94" s="29">
        <f t="shared" si="41"/>
        <v>6.8169066421936444</v>
      </c>
      <c r="L94" s="29">
        <f t="shared" si="41"/>
        <v>5.477320294229318</v>
      </c>
      <c r="M94" s="29">
        <f t="shared" si="41"/>
        <v>4.3880861646396383</v>
      </c>
      <c r="N94" s="29">
        <f t="shared" si="41"/>
        <v>3.691349640141663</v>
      </c>
      <c r="O94" s="29">
        <f t="shared" si="41"/>
        <v>3.0696965287757467</v>
      </c>
      <c r="P94" s="29">
        <f t="shared" si="41"/>
        <v>2.5703629128181964</v>
      </c>
      <c r="Q94" s="29">
        <f t="shared" si="41"/>
        <v>2.15074448794944</v>
      </c>
      <c r="R94" s="29">
        <f t="shared" si="41"/>
        <v>1.8067282962852718</v>
      </c>
      <c r="S94" s="29">
        <f t="shared" si="41"/>
        <v>1.5241229903168505</v>
      </c>
      <c r="T94" s="29">
        <f t="shared" si="41"/>
        <v>1.2820066895125026</v>
      </c>
      <c r="U94" s="29">
        <f t="shared" si="41"/>
        <v>1.0736042366140661</v>
      </c>
      <c r="V94" s="29">
        <f t="shared" si="41"/>
        <v>0.91995154287037273</v>
      </c>
      <c r="W94" s="29">
        <f t="shared" si="41"/>
        <v>0.78707059562011361</v>
      </c>
      <c r="X94" s="29">
        <f t="shared" si="41"/>
        <v>0.67166676766995514</v>
      </c>
      <c r="Y94" s="29">
        <f t="shared" si="41"/>
        <v>0.57405716512093607</v>
      </c>
      <c r="Z94" s="29">
        <f t="shared" si="41"/>
        <v>0.49119955634542262</v>
      </c>
      <c r="AA94" s="29">
        <f t="shared" si="41"/>
        <v>0.41961604556388082</v>
      </c>
      <c r="AB94" s="29">
        <f t="shared" si="41"/>
        <v>0.35950930835148948</v>
      </c>
      <c r="AC94" s="29">
        <f t="shared" si="41"/>
        <v>0.30952675581818873</v>
      </c>
      <c r="AD94" s="29">
        <f t="shared" si="41"/>
        <v>0.26668567022559692</v>
      </c>
      <c r="AE94" s="29">
        <f t="shared" si="41"/>
        <v>0.22930844680690843</v>
      </c>
      <c r="AF94" s="29">
        <f t="shared" si="41"/>
        <v>0.19450046391682024</v>
      </c>
      <c r="AG94" s="29">
        <f t="shared" si="41"/>
        <v>0.16835545511817746</v>
      </c>
      <c r="AH94" s="29">
        <f t="shared" si="41"/>
        <v>0.14507345387666717</v>
      </c>
      <c r="AI94" s="29">
        <f t="shared" si="41"/>
        <v>0.15932501642291891</v>
      </c>
      <c r="AJ94" s="29">
        <f t="shared" si="41"/>
        <v>0.14111438630901069</v>
      </c>
      <c r="AK94" s="29">
        <f t="shared" si="41"/>
        <v>0.12260697698608393</v>
      </c>
      <c r="AL94" s="29">
        <f t="shared" si="41"/>
        <v>0.1059930182544465</v>
      </c>
      <c r="AM94" s="29">
        <f t="shared" si="41"/>
        <v>9.1485012863117318E-2</v>
      </c>
      <c r="AN94" s="29">
        <f t="shared" si="41"/>
        <v>7.8928631337298855E-2</v>
      </c>
      <c r="AO94" s="29">
        <f t="shared" si="41"/>
        <v>6.8096247044514141E-2</v>
      </c>
      <c r="AP94" s="29">
        <f t="shared" si="41"/>
        <v>5.8760823642924231E-2</v>
      </c>
      <c r="AQ94" s="29">
        <f t="shared" si="41"/>
        <v>5.0716399841549673E-2</v>
      </c>
      <c r="AR94" s="29">
        <f t="shared" si="41"/>
        <v>4.3782489720933314E-2</v>
      </c>
      <c r="AS94" s="29">
        <f t="shared" si="41"/>
        <v>3.7803194279347856E-2</v>
      </c>
      <c r="AT94" s="29">
        <f t="shared" si="41"/>
        <v>3.2644663986904819E-2</v>
      </c>
      <c r="AU94" s="29">
        <f t="shared" si="41"/>
        <v>2.819223401892049E-2</v>
      </c>
      <c r="AV94" s="29">
        <f t="shared" si="41"/>
        <v>2.4347710667041587E-2</v>
      </c>
      <c r="AW94" s="29">
        <f t="shared" si="41"/>
        <v>2.1026961453964186E-2</v>
      </c>
      <c r="AX94" s="29">
        <f t="shared" si="41"/>
        <v>1.8157833981154951E-2</v>
      </c>
      <c r="AY94" s="29">
        <f t="shared" si="41"/>
        <v>1.5678381048435344E-2</v>
      </c>
      <c r="AZ94" s="29">
        <f t="shared" si="41"/>
        <v>1.3535354830543279E-2</v>
      </c>
      <c r="BA94" s="29">
        <f t="shared" si="41"/>
        <v>1.168293127902126E-2</v>
      </c>
      <c r="BB94" s="29">
        <f t="shared" si="41"/>
        <v>1.0081629215414247E-2</v>
      </c>
      <c r="BC94" s="29">
        <f t="shared" si="41"/>
        <v>8.6973933982070119E-3</v>
      </c>
      <c r="BD94" s="29">
        <f t="shared" si="41"/>
        <v>7.5008158519462116E-3</v>
      </c>
      <c r="BE94" s="29">
        <f t="shared" si="41"/>
        <v>6.4665408317454917E-3</v>
      </c>
      <c r="BF94" s="29">
        <f t="shared" si="41"/>
        <v>5.572464559910088E-3</v>
      </c>
      <c r="BG94" s="29">
        <f t="shared" si="41"/>
        <v>4.7995591946316894E-3</v>
      </c>
      <c r="BH94" s="29">
        <f t="shared" si="41"/>
        <v>4.1313457576103458E-3</v>
      </c>
      <c r="BI94" s="29">
        <f>BI$17*BI$56*BI93/(1-(BJ17/BI17))</f>
        <v>2.5721407776311375E-2</v>
      </c>
    </row>
    <row r="95" spans="1:103" ht="39" customHeight="1" x14ac:dyDescent="0.2">
      <c r="A95" s="57" t="s">
        <v>62</v>
      </c>
      <c r="B95" s="191">
        <f>SUM(B94:BI94)*10*B52+B53-C53</f>
        <v>41.936438646945135</v>
      </c>
      <c r="C95" s="84">
        <v>171.08909369710841</v>
      </c>
      <c r="D95" s="183">
        <f>+B95-C95</f>
        <v>-129.15265505016328</v>
      </c>
      <c r="I95" s="33"/>
    </row>
    <row r="96" spans="1:103" ht="21.75" customHeight="1" x14ac:dyDescent="0.2">
      <c r="A96" s="58" t="s">
        <v>61</v>
      </c>
    </row>
    <row r="97" spans="1:61" s="386" customFormat="1" ht="18" customHeight="1" x14ac:dyDescent="0.2">
      <c r="A97" s="169" t="s">
        <v>191</v>
      </c>
      <c r="B97" s="385">
        <f>+Controls!B38</f>
        <v>0.18690855254026759</v>
      </c>
      <c r="C97" s="385">
        <f>+Controls!C38</f>
        <v>0.20306631580236426</v>
      </c>
      <c r="D97" s="385">
        <f>+Controls!D38</f>
        <v>0.19794957414301073</v>
      </c>
      <c r="E97" s="385">
        <f>+Controls!E38</f>
        <v>0.19302617707505698</v>
      </c>
      <c r="F97" s="385">
        <f>+Controls!F38</f>
        <v>0.18994991789169799</v>
      </c>
      <c r="G97" s="385">
        <f>+Controls!G38</f>
        <v>0.18934598039742812</v>
      </c>
      <c r="H97" s="385">
        <f>+Controls!H38</f>
        <v>0.19102341169229398</v>
      </c>
      <c r="I97" s="385">
        <f>+Controls!I38</f>
        <v>0.19285651886479005</v>
      </c>
      <c r="J97" s="385">
        <f>+Controls!J38</f>
        <v>0.1947992496136097</v>
      </c>
      <c r="K97" s="385">
        <f>+Controls!K38</f>
        <v>0.20167915075617232</v>
      </c>
      <c r="L97" s="385">
        <f>+Controls!L38</f>
        <v>0.20770716072191683</v>
      </c>
      <c r="M97" s="385">
        <f>+Controls!M38</f>
        <v>0.21691090060939039</v>
      </c>
      <c r="N97" s="385">
        <f>+Controls!N38</f>
        <v>0.21691090060939039</v>
      </c>
      <c r="O97" s="385">
        <f>+Controls!O38</f>
        <v>0.21691090060939039</v>
      </c>
      <c r="P97" s="385">
        <f>+Controls!P38</f>
        <v>0.21691090060939039</v>
      </c>
      <c r="Q97" s="385">
        <f>+Controls!Q38</f>
        <v>0.21691090060939039</v>
      </c>
      <c r="R97" s="385">
        <f>+Controls!R38</f>
        <v>0.21691090060939039</v>
      </c>
      <c r="S97" s="385">
        <f>+Controls!S38</f>
        <v>0.21691090060939039</v>
      </c>
      <c r="T97" s="385">
        <f>+Controls!T38</f>
        <v>0.21691090060939039</v>
      </c>
      <c r="U97" s="385">
        <f>+Controls!U38</f>
        <v>0.21691090060939039</v>
      </c>
      <c r="V97" s="385">
        <f>+Controls!V38</f>
        <v>0.21691090060939039</v>
      </c>
      <c r="W97" s="385">
        <f>+Controls!W38</f>
        <v>0.21691090060939039</v>
      </c>
      <c r="X97" s="385">
        <f>+Controls!X38</f>
        <v>0.21691090060939039</v>
      </c>
      <c r="Y97" s="385">
        <f>+Controls!Y38</f>
        <v>0.21691090060939039</v>
      </c>
      <c r="Z97" s="385">
        <f>+Controls!Z38</f>
        <v>0.21691090060939039</v>
      </c>
      <c r="AA97" s="385">
        <f>+Controls!AA38</f>
        <v>0.21691090060939039</v>
      </c>
      <c r="AB97" s="385">
        <f>+Controls!AB38</f>
        <v>0.21691090060939039</v>
      </c>
      <c r="AC97" s="385">
        <f>+Controls!AC38</f>
        <v>0.21691090060939039</v>
      </c>
      <c r="AD97" s="385">
        <f>+Controls!AD38</f>
        <v>0.21691090060939039</v>
      </c>
      <c r="AE97" s="385">
        <f>+Controls!AE38</f>
        <v>0.21691090060939039</v>
      </c>
      <c r="AF97" s="385">
        <f>+Controls!AF38</f>
        <v>0.21691090060939039</v>
      </c>
      <c r="AG97" s="385">
        <f>+Controls!AG38</f>
        <v>0.21691090060939039</v>
      </c>
      <c r="AH97" s="385">
        <f>+Controls!AH38</f>
        <v>0.21691090060939039</v>
      </c>
      <c r="AI97" s="385">
        <f>+Controls!AI38</f>
        <v>0.21691090060939039</v>
      </c>
      <c r="AJ97" s="385">
        <f>+Controls!AJ38</f>
        <v>0.21691090060939039</v>
      </c>
      <c r="AK97" s="385">
        <f>+Controls!AK38</f>
        <v>0.21691090060939039</v>
      </c>
      <c r="AL97" s="385">
        <f>+Controls!AL38</f>
        <v>0.21691090060939039</v>
      </c>
      <c r="AM97" s="385">
        <f>+Controls!AM38</f>
        <v>0.21691090060939039</v>
      </c>
      <c r="AN97" s="385">
        <f>+Controls!AN38</f>
        <v>0.21691090060939039</v>
      </c>
      <c r="AO97" s="385">
        <f>+Controls!AO38</f>
        <v>0.21691090060939039</v>
      </c>
      <c r="AP97" s="385">
        <f>+Controls!AP38</f>
        <v>0.21691090060939039</v>
      </c>
      <c r="AQ97" s="385">
        <f>+Controls!AQ38</f>
        <v>0.21691090060939039</v>
      </c>
      <c r="AR97" s="385">
        <f>+Controls!AR38</f>
        <v>0.21691090060939039</v>
      </c>
      <c r="AS97" s="385">
        <f>+Controls!AS38</f>
        <v>0.21691090060939039</v>
      </c>
      <c r="AT97" s="385">
        <f>+Controls!AT38</f>
        <v>0.21691090060939039</v>
      </c>
      <c r="AU97" s="385">
        <f>+Controls!AU38</f>
        <v>0.21691090060939039</v>
      </c>
      <c r="AV97" s="385">
        <f>+Controls!AV38</f>
        <v>0.21691090060939039</v>
      </c>
      <c r="AW97" s="385">
        <f>+Controls!AW38</f>
        <v>0.21691090060939039</v>
      </c>
      <c r="AX97" s="385">
        <f>+Controls!AX38</f>
        <v>0.21691090060939039</v>
      </c>
      <c r="AY97" s="385">
        <f>+Controls!AY38</f>
        <v>0.21691090060939039</v>
      </c>
      <c r="AZ97" s="385">
        <f>+Controls!AZ38</f>
        <v>0.21691090060939039</v>
      </c>
      <c r="BA97" s="385">
        <f>+Controls!BA38</f>
        <v>0.21691090060939039</v>
      </c>
      <c r="BB97" s="385">
        <f>+Controls!BB38</f>
        <v>0.21691090060939039</v>
      </c>
      <c r="BC97" s="385">
        <f>+Controls!BC38</f>
        <v>0.21691090060939039</v>
      </c>
      <c r="BD97" s="385">
        <f>+Controls!BD38</f>
        <v>0.21691090060939039</v>
      </c>
      <c r="BE97" s="385">
        <f>+Controls!BE38</f>
        <v>0.21691090060939039</v>
      </c>
      <c r="BF97" s="385">
        <f>+Controls!BF38</f>
        <v>0.21691090060939039</v>
      </c>
      <c r="BG97" s="385">
        <f>+Controls!BG38</f>
        <v>0.21691090060939039</v>
      </c>
      <c r="BH97" s="385">
        <f>+Controls!BH38</f>
        <v>0.21691090060939039</v>
      </c>
      <c r="BI97" s="385">
        <f>+Controls!BI38</f>
        <v>0.21691090060939039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2">+B$36*1000*B103^($B$38-1)</f>
        <v>9.9999999999999937E-4</v>
      </c>
      <c r="C101" s="463">
        <f t="shared" si="42"/>
        <v>9.999999999999998E-4</v>
      </c>
      <c r="D101" s="463">
        <f t="shared" si="42"/>
        <v>1.000000000000002E-3</v>
      </c>
      <c r="E101" s="463">
        <f t="shared" si="42"/>
        <v>1.0000000000000224E-3</v>
      </c>
      <c r="F101" s="463">
        <f t="shared" si="42"/>
        <v>1.0000000000003012E-3</v>
      </c>
      <c r="G101" s="463">
        <f t="shared" si="42"/>
        <v>1.0000000000020106E-3</v>
      </c>
      <c r="H101" s="463">
        <f t="shared" si="42"/>
        <v>1.0000000000091698E-3</v>
      </c>
      <c r="I101" s="463">
        <f t="shared" si="42"/>
        <v>1.0000000000319857E-3</v>
      </c>
      <c r="J101" s="463">
        <f t="shared" si="42"/>
        <v>1.0000000000922257E-3</v>
      </c>
      <c r="K101" s="463">
        <f t="shared" si="42"/>
        <v>1.0000000002275565E-3</v>
      </c>
      <c r="L101" s="463">
        <f t="shared" si="42"/>
        <v>1.0000000005053195E-3</v>
      </c>
      <c r="M101" s="463">
        <f t="shared" si="42"/>
        <v>1.0000000010417338E-3</v>
      </c>
      <c r="N101" s="463">
        <f t="shared" si="42"/>
        <v>1.0000000019921515E-3</v>
      </c>
      <c r="O101" s="463">
        <f t="shared" si="42"/>
        <v>1.0000000035927919E-3</v>
      </c>
      <c r="P101" s="463">
        <f t="shared" si="42"/>
        <v>1.0000000062096871E-3</v>
      </c>
      <c r="Q101" s="463">
        <f t="shared" si="42"/>
        <v>1.0000000104204655E-3</v>
      </c>
      <c r="R101" s="463">
        <f t="shared" si="42"/>
        <v>1.0000000170144597E-3</v>
      </c>
      <c r="S101" s="463">
        <f t="shared" si="42"/>
        <v>1.000000027214217E-3</v>
      </c>
      <c r="T101" s="463">
        <f t="shared" si="42"/>
        <v>1.0000000427819891E-3</v>
      </c>
      <c r="U101" s="463">
        <f t="shared" si="42"/>
        <v>1.0000000656043373E-3</v>
      </c>
      <c r="V101" s="463">
        <f t="shared" si="42"/>
        <v>1.000000097088636E-3</v>
      </c>
      <c r="W101" s="463">
        <f t="shared" si="42"/>
        <v>1.0000001421883765E-3</v>
      </c>
      <c r="X101" s="463">
        <f t="shared" si="42"/>
        <v>1.000000205597753E-3</v>
      </c>
      <c r="Y101" s="463">
        <f t="shared" si="42"/>
        <v>1.0000002932497446E-3</v>
      </c>
      <c r="Z101" s="463">
        <f t="shared" si="42"/>
        <v>1.0000004131003612E-3</v>
      </c>
      <c r="AA101" s="463">
        <f t="shared" si="42"/>
        <v>1.0000005755955621E-3</v>
      </c>
      <c r="AB101" s="463">
        <f t="shared" si="42"/>
        <v>467.31496583656661</v>
      </c>
      <c r="AC101" s="463">
        <f t="shared" si="42"/>
        <v>450.87921754473825</v>
      </c>
      <c r="AD101" s="463">
        <f t="shared" si="42"/>
        <v>435.26525666750126</v>
      </c>
      <c r="AE101" s="463">
        <f t="shared" si="42"/>
        <v>420.43199383412622</v>
      </c>
      <c r="AF101" s="463">
        <f t="shared" si="42"/>
        <v>406.34039414241983</v>
      </c>
      <c r="AG101" s="463">
        <f t="shared" si="42"/>
        <v>392.95337443529877</v>
      </c>
      <c r="AH101" s="463">
        <f t="shared" ref="AH101:BI101" si="43">+AH$36*1000*AH103^($B$38-1)</f>
        <v>380.23570571353383</v>
      </c>
      <c r="AI101" s="463">
        <f t="shared" si="43"/>
        <v>368.15392042785709</v>
      </c>
      <c r="AJ101" s="463">
        <f t="shared" si="43"/>
        <v>356.67622440646426</v>
      </c>
      <c r="AK101" s="463">
        <f t="shared" si="43"/>
        <v>345.77241318614102</v>
      </c>
      <c r="AL101" s="463">
        <f t="shared" si="43"/>
        <v>335.41379252683402</v>
      </c>
      <c r="AM101" s="463">
        <f t="shared" si="43"/>
        <v>325.5731029004923</v>
      </c>
      <c r="AN101" s="463">
        <f t="shared" si="43"/>
        <v>316.22444775546768</v>
      </c>
      <c r="AO101" s="463">
        <f t="shared" si="43"/>
        <v>307.34322536769429</v>
      </c>
      <c r="AP101" s="463">
        <f t="shared" si="43"/>
        <v>298.90606409930956</v>
      </c>
      <c r="AQ101" s="463">
        <f t="shared" si="43"/>
        <v>290.89076089434406</v>
      </c>
      <c r="AR101" s="463">
        <f t="shared" si="43"/>
        <v>283.27622284962683</v>
      </c>
      <c r="AS101" s="463">
        <f t="shared" si="43"/>
        <v>276.0424117071455</v>
      </c>
      <c r="AT101" s="463">
        <f t="shared" si="43"/>
        <v>269.17029112178824</v>
      </c>
      <c r="AU101" s="463">
        <f t="shared" si="43"/>
        <v>262.64177656569882</v>
      </c>
      <c r="AV101" s="463">
        <f t="shared" si="43"/>
        <v>256.43968773741386</v>
      </c>
      <c r="AW101" s="463">
        <f t="shared" si="43"/>
        <v>250.5477033505432</v>
      </c>
      <c r="AX101" s="463">
        <f t="shared" si="43"/>
        <v>244.95031818301604</v>
      </c>
      <c r="AY101" s="463">
        <f t="shared" si="43"/>
        <v>239.63280227386525</v>
      </c>
      <c r="AZ101" s="463">
        <f t="shared" si="43"/>
        <v>234.581162160172</v>
      </c>
      <c r="BA101" s="463">
        <f t="shared" si="43"/>
        <v>229.78210405216339</v>
      </c>
      <c r="BB101" s="463">
        <f t="shared" si="43"/>
        <v>225.22299884955521</v>
      </c>
      <c r="BC101" s="463">
        <f t="shared" si="43"/>
        <v>220.89184890707745</v>
      </c>
      <c r="BD101" s="463">
        <f t="shared" si="43"/>
        <v>216.77725646172357</v>
      </c>
      <c r="BE101" s="463">
        <f t="shared" si="43"/>
        <v>108.38862823086178</v>
      </c>
      <c r="BF101" s="463">
        <f t="shared" si="43"/>
        <v>54.194314115430892</v>
      </c>
      <c r="BG101" s="463">
        <f t="shared" si="43"/>
        <v>27.097157057715446</v>
      </c>
      <c r="BH101" s="463">
        <f t="shared" si="43"/>
        <v>13.548578528857723</v>
      </c>
      <c r="BI101" s="463">
        <f t="shared" si="43"/>
        <v>6.7742892644288615</v>
      </c>
    </row>
    <row r="102" spans="1:61" s="467" customFormat="1" ht="18" customHeight="1" x14ac:dyDescent="0.2">
      <c r="A102" s="612" t="s">
        <v>955</v>
      </c>
      <c r="B102" s="465">
        <f>+B119*(1-MIN(B103,1))</f>
        <v>0.34033529692301251</v>
      </c>
      <c r="C102" s="465">
        <f>+C119*(1-MIN(C103,1))</f>
        <v>0.27581559498477043</v>
      </c>
      <c r="D102" s="465">
        <f t="shared" ref="D102:BI102" si="44">+D119*(1-MIN(D103,1))</f>
        <v>0.23915711361147821</v>
      </c>
      <c r="E102" s="465">
        <f t="shared" si="44"/>
        <v>0.21456976214660378</v>
      </c>
      <c r="F102" s="465">
        <f t="shared" si="44"/>
        <v>0.19734421907434549</v>
      </c>
      <c r="G102" s="465">
        <f t="shared" si="44"/>
        <v>0.18185921672301247</v>
      </c>
      <c r="H102" s="465">
        <f t="shared" si="44"/>
        <v>0.16831072703376512</v>
      </c>
      <c r="I102" s="465">
        <f t="shared" si="44"/>
        <v>0.15805841151597019</v>
      </c>
      <c r="J102" s="465">
        <f t="shared" si="44"/>
        <v>0.14296972682679959</v>
      </c>
      <c r="K102" s="465">
        <f t="shared" si="44"/>
        <v>0.13871961040872122</v>
      </c>
      <c r="L102" s="465">
        <f t="shared" si="44"/>
        <v>0.13511613081483118</v>
      </c>
      <c r="M102" s="465">
        <f t="shared" si="44"/>
        <v>0.12774901897803409</v>
      </c>
      <c r="N102" s="465">
        <f t="shared" si="44"/>
        <v>0.12395251689460306</v>
      </c>
      <c r="O102" s="465">
        <f t="shared" si="44"/>
        <v>0.11880559561726957</v>
      </c>
      <c r="P102" s="465">
        <f t="shared" si="44"/>
        <v>0.11666635455867309</v>
      </c>
      <c r="Q102" s="465">
        <f t="shared" si="44"/>
        <v>0.11415984845238324</v>
      </c>
      <c r="R102" s="465">
        <f t="shared" si="44"/>
        <v>0.11229334670360908</v>
      </c>
      <c r="S102" s="465">
        <f t="shared" si="44"/>
        <v>0.11103452245269654</v>
      </c>
      <c r="T102" s="465">
        <f t="shared" si="44"/>
        <v>0.10774209103047874</v>
      </c>
      <c r="U102" s="465">
        <f t="shared" si="44"/>
        <v>0.10211467134907042</v>
      </c>
      <c r="V102" s="465">
        <f t="shared" si="44"/>
        <v>0.10265114416825621</v>
      </c>
      <c r="W102" s="465">
        <f t="shared" si="44"/>
        <v>0.10182368660613779</v>
      </c>
      <c r="X102" s="465">
        <f t="shared" si="44"/>
        <v>0.10020208152147085</v>
      </c>
      <c r="Y102" s="465">
        <f t="shared" si="44"/>
        <v>9.9112472490304429E-2</v>
      </c>
      <c r="Z102" s="465">
        <f t="shared" si="44"/>
        <v>9.8105675090629563E-2</v>
      </c>
      <c r="AA102" s="465">
        <f t="shared" si="44"/>
        <v>9.6070851753860431E-2</v>
      </c>
      <c r="AB102" s="465">
        <f t="shared" si="44"/>
        <v>0</v>
      </c>
      <c r="AC102" s="465">
        <f t="shared" si="44"/>
        <v>0</v>
      </c>
      <c r="AD102" s="465">
        <f t="shared" si="44"/>
        <v>0</v>
      </c>
      <c r="AE102" s="465">
        <f t="shared" si="44"/>
        <v>0</v>
      </c>
      <c r="AF102" s="465">
        <f t="shared" si="44"/>
        <v>0</v>
      </c>
      <c r="AG102" s="465">
        <f t="shared" si="44"/>
        <v>0</v>
      </c>
      <c r="AH102" s="465">
        <f t="shared" si="44"/>
        <v>0</v>
      </c>
      <c r="AI102" s="465">
        <f t="shared" si="44"/>
        <v>0</v>
      </c>
      <c r="AJ102" s="465">
        <f t="shared" si="44"/>
        <v>0</v>
      </c>
      <c r="AK102" s="465">
        <f t="shared" si="44"/>
        <v>0</v>
      </c>
      <c r="AL102" s="465">
        <f t="shared" si="44"/>
        <v>0</v>
      </c>
      <c r="AM102" s="465">
        <f t="shared" si="44"/>
        <v>0</v>
      </c>
      <c r="AN102" s="465">
        <f t="shared" si="44"/>
        <v>0</v>
      </c>
      <c r="AO102" s="465">
        <f t="shared" si="44"/>
        <v>0</v>
      </c>
      <c r="AP102" s="465">
        <f t="shared" si="44"/>
        <v>0</v>
      </c>
      <c r="AQ102" s="465">
        <f t="shared" si="44"/>
        <v>0</v>
      </c>
      <c r="AR102" s="465">
        <f t="shared" si="44"/>
        <v>0</v>
      </c>
      <c r="AS102" s="465">
        <f t="shared" si="44"/>
        <v>0</v>
      </c>
      <c r="AT102" s="465">
        <f t="shared" si="44"/>
        <v>0</v>
      </c>
      <c r="AU102" s="465">
        <f t="shared" si="44"/>
        <v>0</v>
      </c>
      <c r="AV102" s="465">
        <f t="shared" si="44"/>
        <v>0</v>
      </c>
      <c r="AW102" s="465">
        <f t="shared" si="44"/>
        <v>0</v>
      </c>
      <c r="AX102" s="465">
        <f t="shared" si="44"/>
        <v>0</v>
      </c>
      <c r="AY102" s="465">
        <f t="shared" si="44"/>
        <v>0</v>
      </c>
      <c r="AZ102" s="465">
        <f t="shared" si="44"/>
        <v>0</v>
      </c>
      <c r="BA102" s="465">
        <f t="shared" si="44"/>
        <v>0</v>
      </c>
      <c r="BB102" s="465">
        <f t="shared" si="44"/>
        <v>0</v>
      </c>
      <c r="BC102" s="465">
        <f t="shared" si="44"/>
        <v>0</v>
      </c>
      <c r="BD102" s="465">
        <f t="shared" si="44"/>
        <v>0</v>
      </c>
      <c r="BE102" s="465">
        <f t="shared" si="44"/>
        <v>0</v>
      </c>
      <c r="BF102" s="465">
        <f t="shared" si="44"/>
        <v>0</v>
      </c>
      <c r="BG102" s="465">
        <f t="shared" si="44"/>
        <v>0</v>
      </c>
      <c r="BH102" s="465">
        <f t="shared" si="44"/>
        <v>0</v>
      </c>
      <c r="BI102" s="465">
        <f t="shared" si="44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3.8717679147140402E-4</v>
      </c>
      <c r="C103" s="468">
        <f>+IF($B$98&gt;0,C109,IF($B$99&gt;0,C114,C122))</f>
        <v>3.9720851919222591E-4</v>
      </c>
      <c r="D103" s="468">
        <f t="shared" ref="D103:BI103" si="45">+IF($B$98&gt;0,D109,IF($B$99&gt;0,D114,D122))</f>
        <v>4.0744432808423477E-4</v>
      </c>
      <c r="E103" s="468">
        <f t="shared" si="45"/>
        <v>4.1788428101055547E-4</v>
      </c>
      <c r="F103" s="468">
        <f t="shared" si="45"/>
        <v>4.2852811039583268E-4</v>
      </c>
      <c r="G103" s="468">
        <f t="shared" si="45"/>
        <v>4.3937519748236519E-4</v>
      </c>
      <c r="H103" s="468">
        <f t="shared" si="45"/>
        <v>4.5042455156639357E-4</v>
      </c>
      <c r="I103" s="468">
        <f t="shared" si="45"/>
        <v>4.6167478935889777E-4</v>
      </c>
      <c r="J103" s="468">
        <f t="shared" si="45"/>
        <v>4.7312411463072701E-4</v>
      </c>
      <c r="K103" s="468">
        <f t="shared" si="45"/>
        <v>4.8477029831625471E-4</v>
      </c>
      <c r="L103" s="468">
        <f t="shared" si="45"/>
        <v>4.966106592683273E-4</v>
      </c>
      <c r="M103" s="468">
        <f t="shared" si="45"/>
        <v>5.0864204586809362E-4</v>
      </c>
      <c r="N103" s="468">
        <f t="shared" si="45"/>
        <v>5.2086081869774235E-4</v>
      </c>
      <c r="O103" s="468">
        <f t="shared" si="45"/>
        <v>5.3326283452837431E-4</v>
      </c>
      <c r="P103" s="468">
        <f t="shared" si="45"/>
        <v>5.4584343185218797E-4</v>
      </c>
      <c r="Q103" s="468">
        <f t="shared" si="45"/>
        <v>5.5859741821567572E-4</v>
      </c>
      <c r="R103" s="468">
        <f t="shared" si="45"/>
        <v>5.715190595731416E-4</v>
      </c>
      <c r="S103" s="468">
        <f t="shared" si="45"/>
        <v>5.8460207201146475E-4</v>
      </c>
      <c r="T103" s="468">
        <f t="shared" si="45"/>
        <v>5.978396160014048E-4</v>
      </c>
      <c r="U103" s="468">
        <f t="shared" si="45"/>
        <v>6.1122429328255433E-4</v>
      </c>
      <c r="V103" s="468">
        <f t="shared" si="45"/>
        <v>6.2474814671233711E-4</v>
      </c>
      <c r="W103" s="468">
        <f t="shared" si="45"/>
        <v>6.3840266500504977E-4</v>
      </c>
      <c r="X103" s="468">
        <f t="shared" si="45"/>
        <v>6.5217878830350017E-4</v>
      </c>
      <c r="Y103" s="468">
        <f t="shared" si="45"/>
        <v>6.6606691921212329E-4</v>
      </c>
      <c r="Z103" s="468">
        <f t="shared" si="45"/>
        <v>6.8005693745913089E-4</v>
      </c>
      <c r="AA103" s="468">
        <f t="shared" si="45"/>
        <v>6.941382184270428E-4</v>
      </c>
      <c r="AB103" s="468">
        <f t="shared" si="45"/>
        <v>1</v>
      </c>
      <c r="AC103" s="468">
        <f t="shared" si="45"/>
        <v>1</v>
      </c>
      <c r="AD103" s="468">
        <f t="shared" si="45"/>
        <v>1</v>
      </c>
      <c r="AE103" s="468">
        <f t="shared" si="45"/>
        <v>1</v>
      </c>
      <c r="AF103" s="468">
        <f t="shared" si="45"/>
        <v>1</v>
      </c>
      <c r="AG103" s="468">
        <f t="shared" si="45"/>
        <v>1</v>
      </c>
      <c r="AH103" s="468">
        <f t="shared" si="45"/>
        <v>1</v>
      </c>
      <c r="AI103" s="468">
        <f t="shared" si="45"/>
        <v>1</v>
      </c>
      <c r="AJ103" s="468">
        <f t="shared" si="45"/>
        <v>1</v>
      </c>
      <c r="AK103" s="468">
        <f t="shared" si="45"/>
        <v>1</v>
      </c>
      <c r="AL103" s="468">
        <f t="shared" si="45"/>
        <v>1</v>
      </c>
      <c r="AM103" s="468">
        <f t="shared" si="45"/>
        <v>1</v>
      </c>
      <c r="AN103" s="468">
        <f t="shared" si="45"/>
        <v>1</v>
      </c>
      <c r="AO103" s="468">
        <f t="shared" si="45"/>
        <v>1</v>
      </c>
      <c r="AP103" s="468">
        <f t="shared" si="45"/>
        <v>1</v>
      </c>
      <c r="AQ103" s="468">
        <f t="shared" si="45"/>
        <v>1</v>
      </c>
      <c r="AR103" s="468">
        <f t="shared" si="45"/>
        <v>1</v>
      </c>
      <c r="AS103" s="468">
        <f t="shared" si="45"/>
        <v>1</v>
      </c>
      <c r="AT103" s="468">
        <f t="shared" si="45"/>
        <v>1</v>
      </c>
      <c r="AU103" s="468">
        <f t="shared" si="45"/>
        <v>1</v>
      </c>
      <c r="AV103" s="468">
        <f t="shared" si="45"/>
        <v>1</v>
      </c>
      <c r="AW103" s="468">
        <f t="shared" si="45"/>
        <v>1</v>
      </c>
      <c r="AX103" s="468">
        <f t="shared" si="45"/>
        <v>1</v>
      </c>
      <c r="AY103" s="468">
        <f t="shared" si="45"/>
        <v>1</v>
      </c>
      <c r="AZ103" s="468">
        <f t="shared" si="45"/>
        <v>1</v>
      </c>
      <c r="BA103" s="468">
        <f t="shared" si="45"/>
        <v>1</v>
      </c>
      <c r="BB103" s="468">
        <f t="shared" si="45"/>
        <v>1</v>
      </c>
      <c r="BC103" s="468">
        <f t="shared" si="45"/>
        <v>1</v>
      </c>
      <c r="BD103" s="468">
        <f t="shared" si="45"/>
        <v>1</v>
      </c>
      <c r="BE103" s="468">
        <f t="shared" si="45"/>
        <v>1</v>
      </c>
      <c r="BF103" s="468">
        <f t="shared" si="45"/>
        <v>1</v>
      </c>
      <c r="BG103" s="468">
        <f t="shared" si="45"/>
        <v>1</v>
      </c>
      <c r="BH103" s="468">
        <f t="shared" si="45"/>
        <v>1</v>
      </c>
      <c r="BI103" s="468">
        <f t="shared" si="45"/>
        <v>1</v>
      </c>
    </row>
    <row r="104" spans="1:61" ht="18" customHeight="1" x14ac:dyDescent="0.2">
      <c r="A104" s="5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6">+MIN(B107+B108,B36*1000)</f>
        <v>1E-3</v>
      </c>
      <c r="C106" s="373">
        <f t="shared" si="46"/>
        <v>1E-3</v>
      </c>
      <c r="D106" s="373">
        <f t="shared" si="46"/>
        <v>1.0000000000000005E-3</v>
      </c>
      <c r="E106" s="373">
        <f t="shared" si="46"/>
        <v>1.000000000000023E-3</v>
      </c>
      <c r="F106" s="373">
        <f t="shared" si="46"/>
        <v>1.0000000000003001E-3</v>
      </c>
      <c r="G106" s="373">
        <f t="shared" si="46"/>
        <v>1.0000000000020112E-3</v>
      </c>
      <c r="H106" s="373">
        <f t="shared" si="46"/>
        <v>1.0000000000091702E-3</v>
      </c>
      <c r="I106" s="373">
        <f t="shared" si="46"/>
        <v>1.0000000000319844E-3</v>
      </c>
      <c r="J106" s="373">
        <f t="shared" si="46"/>
        <v>1.0000000000922251E-3</v>
      </c>
      <c r="K106" s="373">
        <f t="shared" si="46"/>
        <v>1.0000000002275561E-3</v>
      </c>
      <c r="L106" s="373">
        <f t="shared" si="46"/>
        <v>1.0000000005053185E-3</v>
      </c>
      <c r="M106" s="450">
        <f t="shared" si="46"/>
        <v>1.0000000010417327E-3</v>
      </c>
      <c r="N106" s="373">
        <f t="shared" si="46"/>
        <v>1.0000000019921491E-3</v>
      </c>
      <c r="O106" s="373">
        <f t="shared" si="46"/>
        <v>1.0000000035927906E-3</v>
      </c>
      <c r="P106" s="373">
        <f t="shared" si="46"/>
        <v>1.0000000062096877E-3</v>
      </c>
      <c r="Q106" s="373">
        <f t="shared" si="46"/>
        <v>1.0000000104204644E-3</v>
      </c>
      <c r="R106" s="373">
        <f t="shared" si="46"/>
        <v>1.0000000170144582E-3</v>
      </c>
      <c r="S106" s="373">
        <f t="shared" si="46"/>
        <v>1.0000000272142174E-3</v>
      </c>
      <c r="T106" s="373">
        <f t="shared" si="46"/>
        <v>1.0000000427819878E-3</v>
      </c>
      <c r="U106" s="373">
        <f t="shared" si="46"/>
        <v>1.0000000656043364E-3</v>
      </c>
      <c r="V106" s="373">
        <f t="shared" si="46"/>
        <v>1.0000000970886349E-3</v>
      </c>
      <c r="W106" s="373">
        <f t="shared" si="46"/>
        <v>1.0000001421883765E-3</v>
      </c>
      <c r="X106" s="373">
        <f t="shared" si="46"/>
        <v>1.0000002055977509E-3</v>
      </c>
      <c r="Y106" s="373">
        <f t="shared" si="46"/>
        <v>1.0000002932497453E-3</v>
      </c>
      <c r="Z106" s="373">
        <f t="shared" si="46"/>
        <v>1.0000004131003601E-3</v>
      </c>
      <c r="AA106" s="373">
        <f t="shared" si="46"/>
        <v>1.0000005755955613E-3</v>
      </c>
      <c r="AB106" s="373">
        <f t="shared" si="46"/>
        <v>467.31496583656661</v>
      </c>
      <c r="AC106" s="373">
        <f t="shared" si="46"/>
        <v>450.87921754473825</v>
      </c>
      <c r="AD106" s="373">
        <f t="shared" si="46"/>
        <v>435.26525666750126</v>
      </c>
      <c r="AE106" s="373">
        <f t="shared" si="46"/>
        <v>420.43199383412622</v>
      </c>
      <c r="AF106" s="373">
        <f t="shared" si="46"/>
        <v>406.34039414241983</v>
      </c>
      <c r="AG106" s="373">
        <f t="shared" si="46"/>
        <v>392.95337443529877</v>
      </c>
      <c r="AH106" s="373">
        <f t="shared" si="46"/>
        <v>380.23570571353383</v>
      </c>
      <c r="AI106" s="373">
        <f t="shared" si="46"/>
        <v>368.15392042785709</v>
      </c>
      <c r="AJ106" s="373">
        <f t="shared" si="46"/>
        <v>356.67622440646426</v>
      </c>
      <c r="AK106" s="373">
        <f t="shared" si="46"/>
        <v>345.77241318614102</v>
      </c>
      <c r="AL106" s="373">
        <f t="shared" si="46"/>
        <v>335.41379252683402</v>
      </c>
      <c r="AM106" s="373">
        <f t="shared" si="46"/>
        <v>325.5731029004923</v>
      </c>
      <c r="AN106" s="373">
        <f t="shared" si="46"/>
        <v>316.22444775546768</v>
      </c>
      <c r="AO106" s="373">
        <f t="shared" si="46"/>
        <v>307.34322536769429</v>
      </c>
      <c r="AP106" s="373">
        <f t="shared" si="46"/>
        <v>298.90606409930956</v>
      </c>
      <c r="AQ106" s="373">
        <f t="shared" si="46"/>
        <v>290.89076089434406</v>
      </c>
      <c r="AR106" s="373">
        <f t="shared" si="46"/>
        <v>283.27622284962683</v>
      </c>
      <c r="AS106" s="373">
        <f t="shared" si="46"/>
        <v>276.0424117071455</v>
      </c>
      <c r="AT106" s="373">
        <f t="shared" si="46"/>
        <v>269.17029112178824</v>
      </c>
      <c r="AU106" s="373">
        <f t="shared" si="46"/>
        <v>262.64177656569882</v>
      </c>
      <c r="AV106" s="373">
        <f t="shared" si="46"/>
        <v>256.43968773741386</v>
      </c>
      <c r="AW106" s="373">
        <f t="shared" si="46"/>
        <v>250.5477033505432</v>
      </c>
      <c r="AX106" s="373">
        <f t="shared" si="46"/>
        <v>244.95031818301604</v>
      </c>
      <c r="AY106" s="373">
        <f t="shared" si="46"/>
        <v>239.63280227386525</v>
      </c>
      <c r="AZ106" s="373">
        <f t="shared" si="46"/>
        <v>234.581162160172</v>
      </c>
      <c r="BA106" s="373">
        <f t="shared" si="46"/>
        <v>229.78210405216339</v>
      </c>
      <c r="BB106" s="373">
        <f t="shared" si="46"/>
        <v>225.22299884955521</v>
      </c>
      <c r="BC106" s="373">
        <f t="shared" si="46"/>
        <v>220.89184890707745</v>
      </c>
      <c r="BD106" s="373">
        <f t="shared" si="46"/>
        <v>216.77725646172357</v>
      </c>
      <c r="BE106" s="373">
        <f t="shared" si="46"/>
        <v>108.38862823086178</v>
      </c>
      <c r="BF106" s="373">
        <f t="shared" si="46"/>
        <v>54.194314115430892</v>
      </c>
      <c r="BG106" s="373">
        <f t="shared" si="46"/>
        <v>27.097157057715446</v>
      </c>
      <c r="BH106" s="373">
        <f t="shared" si="46"/>
        <v>13.548578528857723</v>
      </c>
      <c r="BI106" s="373">
        <f t="shared" si="46"/>
        <v>6.7742892644288615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+Controls!B21</f>
        <v>1E-3</v>
      </c>
      <c r="C108" s="373">
        <f>+Controls!C21</f>
        <v>1E-3</v>
      </c>
      <c r="D108" s="373">
        <f>+Controls!D21</f>
        <v>1E-3</v>
      </c>
      <c r="E108" s="373">
        <f>+Controls!E21</f>
        <v>1E-3</v>
      </c>
      <c r="F108" s="373">
        <f>+Controls!F21</f>
        <v>1E-3</v>
      </c>
      <c r="G108" s="373">
        <f>+Controls!G21</f>
        <v>1E-3</v>
      </c>
      <c r="H108" s="373">
        <f>+Controls!H21</f>
        <v>1E-3</v>
      </c>
      <c r="I108" s="373">
        <f>+Controls!I21</f>
        <v>1E-3</v>
      </c>
      <c r="J108" s="373">
        <f>+Controls!J21</f>
        <v>1E-3</v>
      </c>
      <c r="K108" s="373">
        <f>+Controls!K21</f>
        <v>1E-3</v>
      </c>
      <c r="L108" s="373">
        <f>+Controls!L21</f>
        <v>1E-3</v>
      </c>
      <c r="M108" s="373">
        <f>+Controls!M21</f>
        <v>1E-3</v>
      </c>
      <c r="N108" s="373">
        <f>+Controls!N21</f>
        <v>1E-3</v>
      </c>
      <c r="O108" s="373">
        <f>+Controls!O21</f>
        <v>1E-3</v>
      </c>
      <c r="P108" s="373">
        <f>+Controls!P21</f>
        <v>1E-3</v>
      </c>
      <c r="Q108" s="373">
        <f>+Controls!Q21</f>
        <v>1E-3</v>
      </c>
      <c r="R108" s="373">
        <f>+Controls!R21</f>
        <v>1E-3</v>
      </c>
      <c r="S108" s="373">
        <f>+Controls!S21</f>
        <v>1E-3</v>
      </c>
      <c r="T108" s="373">
        <f>+Controls!T21</f>
        <v>1E-3</v>
      </c>
      <c r="U108" s="373">
        <f>+Controls!U21</f>
        <v>1E-3</v>
      </c>
      <c r="V108" s="373">
        <f>+Controls!V21</f>
        <v>1E-3</v>
      </c>
      <c r="W108" s="373">
        <f>+Controls!W21</f>
        <v>1E-3</v>
      </c>
      <c r="X108" s="373">
        <f>+Controls!X21</f>
        <v>1E-3</v>
      </c>
      <c r="Y108" s="373">
        <f>+Controls!Y21</f>
        <v>1E-3</v>
      </c>
      <c r="Z108" s="373">
        <f>+Controls!Z21</f>
        <v>1E-3</v>
      </c>
      <c r="AA108" s="373">
        <f>+Controls!AA21</f>
        <v>1E-3</v>
      </c>
      <c r="AB108" s="373">
        <f>+Controls!AB21</f>
        <v>1200</v>
      </c>
      <c r="AC108" s="373">
        <f>+Controls!AC21</f>
        <v>1200</v>
      </c>
      <c r="AD108" s="373">
        <f>+Controls!AD21</f>
        <v>1200</v>
      </c>
      <c r="AE108" s="373">
        <f>+Controls!AE21</f>
        <v>1200</v>
      </c>
      <c r="AF108" s="373">
        <f>+Controls!AF21</f>
        <v>1200</v>
      </c>
      <c r="AG108" s="373">
        <f>+Controls!AG21</f>
        <v>1200</v>
      </c>
      <c r="AH108" s="373">
        <f>+Controls!AH21</f>
        <v>1200</v>
      </c>
      <c r="AI108" s="373">
        <f>+Controls!AI21</f>
        <v>1200</v>
      </c>
      <c r="AJ108" s="373">
        <f>+Controls!AJ21</f>
        <v>1200</v>
      </c>
      <c r="AK108" s="373">
        <f>+Controls!AK21</f>
        <v>1200</v>
      </c>
      <c r="AL108" s="373">
        <f>+Controls!AL21</f>
        <v>1200</v>
      </c>
      <c r="AM108" s="373">
        <f>+Controls!AM21</f>
        <v>1200</v>
      </c>
      <c r="AN108" s="373">
        <f>+Controls!AN21</f>
        <v>1200</v>
      </c>
      <c r="AO108" s="373">
        <f>+Controls!AO21</f>
        <v>1200</v>
      </c>
      <c r="AP108" s="373">
        <f>+Controls!AP21</f>
        <v>1200</v>
      </c>
      <c r="AQ108" s="373">
        <f>+Controls!AQ21</f>
        <v>1200</v>
      </c>
      <c r="AR108" s="373">
        <f>+Controls!AR21</f>
        <v>1200</v>
      </c>
      <c r="AS108" s="373">
        <f>+Controls!AS21</f>
        <v>1200</v>
      </c>
      <c r="AT108" s="373">
        <f>+Controls!AT21</f>
        <v>1200</v>
      </c>
      <c r="AU108" s="373">
        <f>+Controls!AU21</f>
        <v>1200</v>
      </c>
      <c r="AV108" s="373">
        <f>+Controls!AV21</f>
        <v>1200</v>
      </c>
      <c r="AW108" s="373">
        <f>+Controls!AW21</f>
        <v>1200</v>
      </c>
      <c r="AX108" s="373">
        <f>+Controls!AX21</f>
        <v>1200</v>
      </c>
      <c r="AY108" s="373">
        <f>+Controls!AY21</f>
        <v>1200</v>
      </c>
      <c r="AZ108" s="373">
        <f>+Controls!AZ21</f>
        <v>1200</v>
      </c>
      <c r="BA108" s="373">
        <f>+Controls!BA21</f>
        <v>1200</v>
      </c>
      <c r="BB108" s="373">
        <f>+Controls!BB21</f>
        <v>1200</v>
      </c>
      <c r="BC108" s="373">
        <f>+Controls!BC21</f>
        <v>1200</v>
      </c>
      <c r="BD108" s="373">
        <f>+Controls!BD21</f>
        <v>1200</v>
      </c>
      <c r="BE108" s="373">
        <f>+Controls!BE21</f>
        <v>1200</v>
      </c>
      <c r="BF108" s="373">
        <f>+Controls!BF21</f>
        <v>1200</v>
      </c>
      <c r="BG108" s="373">
        <f>+Controls!BG21</f>
        <v>1200</v>
      </c>
      <c r="BH108" s="373">
        <f>+Controls!BH21</f>
        <v>1200</v>
      </c>
      <c r="BI108" s="373">
        <f>+Controls!BI21</f>
        <v>1200</v>
      </c>
    </row>
    <row r="109" spans="1:61" ht="18" customHeight="1" x14ac:dyDescent="0.2">
      <c r="A109" s="372" t="s">
        <v>193</v>
      </c>
      <c r="B109" s="375">
        <f>+(B106/(1000*B$36))^(1/($B$38-1))</f>
        <v>3.8717679147140402E-4</v>
      </c>
      <c r="C109" s="375">
        <f t="shared" ref="C109:BI109" si="47">+(C106/(1000*C$36))^(1/($B$38-1))</f>
        <v>3.9720851919222591E-4</v>
      </c>
      <c r="D109" s="375">
        <f t="shared" si="47"/>
        <v>4.0744432808423477E-4</v>
      </c>
      <c r="E109" s="375">
        <f t="shared" si="47"/>
        <v>4.1788428101055547E-4</v>
      </c>
      <c r="F109" s="375">
        <f t="shared" si="47"/>
        <v>4.2852811039583268E-4</v>
      </c>
      <c r="G109" s="375">
        <f t="shared" si="47"/>
        <v>4.3937519748236519E-4</v>
      </c>
      <c r="H109" s="375">
        <f t="shared" si="47"/>
        <v>4.5042455156639357E-4</v>
      </c>
      <c r="I109" s="375">
        <f t="shared" si="47"/>
        <v>4.6167478935889777E-4</v>
      </c>
      <c r="J109" s="375">
        <f t="shared" si="47"/>
        <v>4.7312411463072701E-4</v>
      </c>
      <c r="K109" s="375">
        <f t="shared" si="47"/>
        <v>4.8477029831625471E-4</v>
      </c>
      <c r="L109" s="375">
        <f t="shared" si="47"/>
        <v>4.966106592683273E-4</v>
      </c>
      <c r="M109" s="375">
        <f t="shared" si="47"/>
        <v>5.0864204586809362E-4</v>
      </c>
      <c r="N109" s="375">
        <f t="shared" si="47"/>
        <v>5.2086081869774235E-4</v>
      </c>
      <c r="O109" s="375">
        <f t="shared" si="47"/>
        <v>5.3326283452837431E-4</v>
      </c>
      <c r="P109" s="375">
        <f t="shared" si="47"/>
        <v>5.4584343185218797E-4</v>
      </c>
      <c r="Q109" s="375">
        <f t="shared" si="47"/>
        <v>5.5859741821567572E-4</v>
      </c>
      <c r="R109" s="375">
        <f t="shared" si="47"/>
        <v>5.715190595731416E-4</v>
      </c>
      <c r="S109" s="375">
        <f t="shared" si="47"/>
        <v>5.8460207201146475E-4</v>
      </c>
      <c r="T109" s="375">
        <f t="shared" si="47"/>
        <v>5.978396160014048E-4</v>
      </c>
      <c r="U109" s="375">
        <f t="shared" si="47"/>
        <v>6.1122429328255433E-4</v>
      </c>
      <c r="V109" s="375">
        <f t="shared" si="47"/>
        <v>6.2474814671233711E-4</v>
      </c>
      <c r="W109" s="375">
        <f t="shared" si="47"/>
        <v>6.3840266500504977E-4</v>
      </c>
      <c r="X109" s="375">
        <f t="shared" si="47"/>
        <v>6.5217878830350017E-4</v>
      </c>
      <c r="Y109" s="375">
        <f t="shared" si="47"/>
        <v>6.6606691921212329E-4</v>
      </c>
      <c r="Z109" s="375">
        <f t="shared" si="47"/>
        <v>6.8005693745913089E-4</v>
      </c>
      <c r="AA109" s="375">
        <f t="shared" si="47"/>
        <v>6.941382184270428E-4</v>
      </c>
      <c r="AB109" s="375">
        <f t="shared" si="47"/>
        <v>1</v>
      </c>
      <c r="AC109" s="375">
        <f t="shared" si="47"/>
        <v>1</v>
      </c>
      <c r="AD109" s="375">
        <f t="shared" si="47"/>
        <v>1</v>
      </c>
      <c r="AE109" s="375">
        <f t="shared" si="47"/>
        <v>1</v>
      </c>
      <c r="AF109" s="375">
        <f t="shared" si="47"/>
        <v>1</v>
      </c>
      <c r="AG109" s="375">
        <f t="shared" si="47"/>
        <v>1</v>
      </c>
      <c r="AH109" s="375">
        <f t="shared" si="47"/>
        <v>1</v>
      </c>
      <c r="AI109" s="375">
        <f t="shared" si="47"/>
        <v>1</v>
      </c>
      <c r="AJ109" s="375">
        <f t="shared" si="47"/>
        <v>1</v>
      </c>
      <c r="AK109" s="375">
        <f t="shared" si="47"/>
        <v>1</v>
      </c>
      <c r="AL109" s="375">
        <f t="shared" si="47"/>
        <v>1</v>
      </c>
      <c r="AM109" s="375">
        <f t="shared" si="47"/>
        <v>1</v>
      </c>
      <c r="AN109" s="375">
        <f t="shared" si="47"/>
        <v>1</v>
      </c>
      <c r="AO109" s="375">
        <f t="shared" si="47"/>
        <v>1</v>
      </c>
      <c r="AP109" s="375">
        <f t="shared" si="47"/>
        <v>1</v>
      </c>
      <c r="AQ109" s="375">
        <f t="shared" si="47"/>
        <v>1</v>
      </c>
      <c r="AR109" s="375">
        <f t="shared" si="47"/>
        <v>1</v>
      </c>
      <c r="AS109" s="375">
        <f t="shared" si="47"/>
        <v>1</v>
      </c>
      <c r="AT109" s="375">
        <f t="shared" si="47"/>
        <v>1</v>
      </c>
      <c r="AU109" s="375">
        <f t="shared" si="47"/>
        <v>1</v>
      </c>
      <c r="AV109" s="375">
        <f t="shared" si="47"/>
        <v>1</v>
      </c>
      <c r="AW109" s="375">
        <f t="shared" si="47"/>
        <v>1</v>
      </c>
      <c r="AX109" s="375">
        <f t="shared" si="47"/>
        <v>1</v>
      </c>
      <c r="AY109" s="375">
        <f t="shared" si="47"/>
        <v>1</v>
      </c>
      <c r="AZ109" s="375">
        <f t="shared" si="47"/>
        <v>1</v>
      </c>
      <c r="BA109" s="375">
        <f t="shared" si="47"/>
        <v>1</v>
      </c>
      <c r="BB109" s="375">
        <f t="shared" si="47"/>
        <v>1</v>
      </c>
      <c r="BC109" s="375">
        <f t="shared" si="47"/>
        <v>1</v>
      </c>
      <c r="BD109" s="375">
        <f t="shared" si="47"/>
        <v>1</v>
      </c>
      <c r="BE109" s="375">
        <f t="shared" si="47"/>
        <v>1</v>
      </c>
      <c r="BF109" s="375">
        <f t="shared" si="47"/>
        <v>1</v>
      </c>
      <c r="BG109" s="375">
        <f t="shared" si="47"/>
        <v>1</v>
      </c>
      <c r="BH109" s="375">
        <f t="shared" si="47"/>
        <v>1</v>
      </c>
      <c r="BI109" s="375">
        <f t="shared" si="47"/>
        <v>1</v>
      </c>
    </row>
    <row r="110" spans="1:61" s="40" customFormat="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0.34046711788931838</v>
      </c>
      <c r="C112" s="455">
        <f>+C40*C61</f>
        <v>0.2759251948228138</v>
      </c>
      <c r="D112" s="455">
        <f t="shared" ref="D112:BI112" si="48">+D40*D61</f>
        <v>0.23925459653980644</v>
      </c>
      <c r="E112" s="455">
        <f t="shared" si="48"/>
        <v>0.21465946496278185</v>
      </c>
      <c r="F112" s="455">
        <f t="shared" si="48"/>
        <v>0.19742882287474969</v>
      </c>
      <c r="G112" s="455">
        <f t="shared" si="48"/>
        <v>0.1819391562757309</v>
      </c>
      <c r="H112" s="455">
        <f t="shared" si="48"/>
        <v>0.16838657248016431</v>
      </c>
      <c r="I112" s="455">
        <f t="shared" si="48"/>
        <v>0.15813141680451445</v>
      </c>
      <c r="J112" s="455">
        <f t="shared" si="48"/>
        <v>0.14303740127063486</v>
      </c>
      <c r="K112" s="455">
        <f t="shared" si="48"/>
        <v>0.13878689017087173</v>
      </c>
      <c r="L112" s="455">
        <f t="shared" si="48"/>
        <v>0.13518326426481977</v>
      </c>
      <c r="M112" s="455">
        <f t="shared" si="48"/>
        <v>0.12781403056803287</v>
      </c>
      <c r="N112" s="455">
        <f t="shared" si="48"/>
        <v>0.12401711254937806</v>
      </c>
      <c r="O112" s="455">
        <f t="shared" si="48"/>
        <v>0.11886898402863018</v>
      </c>
      <c r="P112" s="455">
        <f t="shared" si="48"/>
        <v>0.11673007090117414</v>
      </c>
      <c r="Q112" s="455">
        <f t="shared" si="48"/>
        <v>0.11422365349032208</v>
      </c>
      <c r="R112" s="455">
        <f t="shared" si="48"/>
        <v>0.11235756119131707</v>
      </c>
      <c r="S112" s="455">
        <f t="shared" si="48"/>
        <v>0.11109947143389619</v>
      </c>
      <c r="T112" s="455">
        <f t="shared" si="48"/>
        <v>0.10780654205218165</v>
      </c>
      <c r="U112" s="455">
        <f t="shared" si="48"/>
        <v>0.10217712448977632</v>
      </c>
      <c r="V112" s="455">
        <f t="shared" si="48"/>
        <v>0.10271531537117333</v>
      </c>
      <c r="W112" s="455">
        <f t="shared" si="48"/>
        <v>0.10188873264459208</v>
      </c>
      <c r="X112" s="455">
        <f t="shared" si="48"/>
        <v>0.10026747384106677</v>
      </c>
      <c r="Y112" s="455">
        <f t="shared" si="48"/>
        <v>9.9178532029585362E-2</v>
      </c>
      <c r="Z112" s="455">
        <f t="shared" si="48"/>
        <v>9.8172437938116655E-2</v>
      </c>
      <c r="AA112" s="455">
        <f t="shared" si="48"/>
        <v>9.6137584525506845E-2</v>
      </c>
      <c r="AB112" s="455">
        <f t="shared" si="48"/>
        <v>9.4866443574403519E-2</v>
      </c>
      <c r="AC112" s="455">
        <f t="shared" si="48"/>
        <v>9.4505412447287135E-2</v>
      </c>
      <c r="AD112" s="455">
        <f t="shared" si="48"/>
        <v>9.4027220899449274E-2</v>
      </c>
      <c r="AE112" s="455">
        <f t="shared" si="48"/>
        <v>9.2507390494563996E-2</v>
      </c>
      <c r="AF112" s="455">
        <f t="shared" si="48"/>
        <v>8.6700492014570377E-2</v>
      </c>
      <c r="AG112" s="455">
        <f t="shared" si="48"/>
        <v>8.8023038890229416E-2</v>
      </c>
      <c r="AH112" s="455">
        <f t="shared" si="48"/>
        <v>8.7701720281486359E-2</v>
      </c>
      <c r="AI112" s="455">
        <f t="shared" si="48"/>
        <v>0.43374996962142831</v>
      </c>
      <c r="AJ112" s="455">
        <f t="shared" si="48"/>
        <v>0.64068145861605774</v>
      </c>
      <c r="AK112" s="455">
        <f t="shared" si="48"/>
        <v>0.75170130984319095</v>
      </c>
      <c r="AL112" s="455">
        <f t="shared" si="48"/>
        <v>0.81265665071281834</v>
      </c>
      <c r="AM112" s="455">
        <f t="shared" si="48"/>
        <v>0.84815412628215436</v>
      </c>
      <c r="AN112" s="455">
        <f t="shared" si="48"/>
        <v>0.87044287801004183</v>
      </c>
      <c r="AO112" s="455">
        <f t="shared" si="48"/>
        <v>0.88578541662030641</v>
      </c>
      <c r="AP112" s="455">
        <f t="shared" si="48"/>
        <v>0.89745304188864716</v>
      </c>
      <c r="AQ112" s="455">
        <f t="shared" si="48"/>
        <v>0.90717647880401919</v>
      </c>
      <c r="AR112" s="455">
        <f t="shared" si="48"/>
        <v>0.91587803807550694</v>
      </c>
      <c r="AS112" s="455">
        <f t="shared" si="48"/>
        <v>0.92405130584745954</v>
      </c>
      <c r="AT112" s="455">
        <f t="shared" si="48"/>
        <v>0.9319611731463856</v>
      </c>
      <c r="AU112" s="455">
        <f t="shared" si="48"/>
        <v>0.93975014725057882</v>
      </c>
      <c r="AV112" s="455">
        <f t="shared" si="48"/>
        <v>0.94749512799151725</v>
      </c>
      <c r="AW112" s="455">
        <f t="shared" si="48"/>
        <v>0.95523780987986351</v>
      </c>
      <c r="AX112" s="455">
        <f t="shared" si="48"/>
        <v>0.96300098503053877</v>
      </c>
      <c r="AY112" s="455">
        <f t="shared" si="48"/>
        <v>0.97079729215962307</v>
      </c>
      <c r="AZ112" s="455">
        <f t="shared" si="48"/>
        <v>0.97863391347029016</v>
      </c>
      <c r="BA112" s="455">
        <f t="shared" si="48"/>
        <v>0.98651509644323254</v>
      </c>
      <c r="BB112" s="455">
        <f t="shared" si="48"/>
        <v>0.99444350768246614</v>
      </c>
      <c r="BC112" s="455">
        <f t="shared" si="48"/>
        <v>1.00242095954083</v>
      </c>
      <c r="BD112" s="455">
        <f t="shared" si="48"/>
        <v>1.0104487999262053</v>
      </c>
      <c r="BE112" s="455">
        <f t="shared" si="48"/>
        <v>1.0185281212760662</v>
      </c>
      <c r="BF112" s="455">
        <f t="shared" si="48"/>
        <v>1.0267133176573706</v>
      </c>
      <c r="BG112" s="455">
        <f t="shared" si="48"/>
        <v>1.0349517113930333</v>
      </c>
      <c r="BH112" s="455">
        <f t="shared" si="48"/>
        <v>1.0432299263927112</v>
      </c>
      <c r="BI112" s="455">
        <f t="shared" si="48"/>
        <v>1.0515484419304433</v>
      </c>
    </row>
    <row r="113" spans="1:61" s="40" customFormat="1" ht="18" customHeight="1" x14ac:dyDescent="0.2">
      <c r="A113" s="382" t="s">
        <v>949</v>
      </c>
      <c r="B113" s="383">
        <f>+Controls!B80</f>
        <v>0.54177826149727892</v>
      </c>
      <c r="C113" s="383">
        <f>+Controls!C80</f>
        <v>0.56968410834355332</v>
      </c>
      <c r="D113" s="383">
        <f>+Controls!D80</f>
        <v>0.55679019167974442</v>
      </c>
      <c r="E113" s="383">
        <f>+Controls!E80</f>
        <v>0.43830502998190735</v>
      </c>
      <c r="F113" s="383">
        <f>+Controls!F80</f>
        <v>0.3151119022520022</v>
      </c>
      <c r="G113" s="383">
        <f>+Controls!G80</f>
        <v>0.22187809777598549</v>
      </c>
      <c r="H113" s="383">
        <f>+Controls!H80</f>
        <v>0.18024775707711799</v>
      </c>
      <c r="I113" s="383">
        <f>+Controls!I80</f>
        <v>0.14941678258273108</v>
      </c>
      <c r="J113" s="383">
        <f>+Controls!J80</f>
        <v>0.12661452564220971</v>
      </c>
      <c r="K113" s="383">
        <f>+Controls!K80</f>
        <v>0.10973366750728797</v>
      </c>
      <c r="L113" s="383">
        <f>+Controls!L80</f>
        <v>9.7734722415556821E-2</v>
      </c>
      <c r="M113" s="383">
        <f>+Controls!M80</f>
        <v>8.8205586980040024E-2</v>
      </c>
      <c r="N113" s="383">
        <f>+Controls!N80</f>
        <v>7.9605542249486114E-2</v>
      </c>
      <c r="O113" s="383">
        <f>+Controls!O80</f>
        <v>7.1844001880161212E-2</v>
      </c>
      <c r="P113" s="383">
        <f>+Controls!P80</f>
        <v>6.4839211696845478E-2</v>
      </c>
      <c r="Q113" s="383">
        <f>+Controls!Q80</f>
        <v>5.8517388556403038E-2</v>
      </c>
      <c r="R113" s="383">
        <f>+Controls!R80</f>
        <v>5.2811943172153743E-2</v>
      </c>
      <c r="S113" s="383">
        <f>+Controls!S80</f>
        <v>4.7662778712868746E-2</v>
      </c>
      <c r="T113" s="383">
        <f>+Controls!T80</f>
        <v>4.301565778836404E-2</v>
      </c>
      <c r="U113" s="383">
        <f>+Controls!U80</f>
        <v>3.8821631153998545E-2</v>
      </c>
      <c r="V113" s="383">
        <f>+Controls!V80</f>
        <v>3.5036522116483684E-2</v>
      </c>
      <c r="W113" s="383">
        <f>+Controls!W80</f>
        <v>3.3284696010659497E-2</v>
      </c>
      <c r="X113" s="383">
        <f>+Controls!X80</f>
        <v>3.1620461210126523E-2</v>
      </c>
      <c r="Y113" s="383">
        <f>+Controls!Y80</f>
        <v>3.0039438149620196E-2</v>
      </c>
      <c r="Z113" s="383">
        <f>+Controls!Z80</f>
        <v>2.8537466242139185E-2</v>
      </c>
      <c r="AA113" s="383">
        <f>+Controls!AA80</f>
        <v>2.7110592930032224E-2</v>
      </c>
      <c r="AB113" s="383">
        <f>+Controls!AB80</f>
        <v>2.575506328353061E-2</v>
      </c>
      <c r="AC113" s="383">
        <f>+Controls!AC80</f>
        <v>2.4467310119354078E-2</v>
      </c>
      <c r="AD113" s="383">
        <f>+Controls!AD80</f>
        <v>2.3243944613386372E-2</v>
      </c>
      <c r="AE113" s="383">
        <f>+Controls!AE80</f>
        <v>2.2081747382717051E-2</v>
      </c>
      <c r="AF113" s="383">
        <f>+Controls!AF80</f>
        <v>2.0977660013581197E-2</v>
      </c>
      <c r="AG113" s="383">
        <f>+Controls!AG80</f>
        <v>1.9928777012902136E-2</v>
      </c>
      <c r="AH113" s="383">
        <f>+Controls!AH80</f>
        <v>1.8932338162257027E-2</v>
      </c>
      <c r="AI113" s="383">
        <f>+Controls!AI80</f>
        <v>1.7985721254144174E-2</v>
      </c>
      <c r="AJ113" s="383">
        <f>+Controls!AJ80</f>
        <v>1.7086435191436964E-2</v>
      </c>
      <c r="AK113" s="383">
        <f>+Controls!AK80</f>
        <v>1.6232113431865116E-2</v>
      </c>
      <c r="AL113" s="383">
        <f>+Controls!AL80</f>
        <v>1.5420507760271859E-2</v>
      </c>
      <c r="AM113" s="383">
        <f>+Controls!AM80</f>
        <v>1.4649482372258266E-2</v>
      </c>
      <c r="AN113" s="383">
        <f>+Controls!AN80</f>
        <v>1.3917008253645353E-2</v>
      </c>
      <c r="AO113" s="383">
        <f>+Controls!AO80</f>
        <v>1.3221157840963085E-2</v>
      </c>
      <c r="AP113" s="383">
        <f>+Controls!AP80</f>
        <v>1.2560099948914929E-2</v>
      </c>
      <c r="AQ113" s="383">
        <f>+Controls!AQ80</f>
        <v>1.1932094951469182E-2</v>
      </c>
      <c r="AR113" s="383">
        <f>+Controls!AR80</f>
        <v>1.1335490203895722E-2</v>
      </c>
      <c r="AS113" s="383">
        <f>+Controls!AS80</f>
        <v>1.0768715693700935E-2</v>
      </c>
      <c r="AT113" s="383">
        <f>+Controls!AT80</f>
        <v>1.0230279909015889E-2</v>
      </c>
      <c r="AU113" s="383">
        <f>+Controls!AU80</f>
        <v>9.7187659135650941E-3</v>
      </c>
      <c r="AV113" s="383">
        <f>+Controls!AV80</f>
        <v>9.2328276178868397E-3</v>
      </c>
      <c r="AW113" s="383">
        <f>+Controls!AW80</f>
        <v>8.7711862369924971E-3</v>
      </c>
      <c r="AX113" s="383">
        <f>+Controls!AX80</f>
        <v>8.3326269251428713E-3</v>
      </c>
      <c r="AY113" s="383">
        <f>+Controls!AY80</f>
        <v>7.9159955788857279E-3</v>
      </c>
      <c r="AZ113" s="383">
        <f>+Controls!AZ80</f>
        <v>7.5201957999414407E-3</v>
      </c>
      <c r="BA113" s="383">
        <f>+Controls!BA80</f>
        <v>7.1441860099443685E-3</v>
      </c>
      <c r="BB113" s="383">
        <f>+Controls!BB80</f>
        <v>6.7869767094471496E-3</v>
      </c>
      <c r="BC113" s="383">
        <f>+Controls!BC80</f>
        <v>6.4476278739747919E-3</v>
      </c>
      <c r="BD113" s="383">
        <f>+Controls!BD80</f>
        <v>6.1252464802760524E-3</v>
      </c>
      <c r="BE113" s="383">
        <f>+Controls!BE80</f>
        <v>5.8189841562622498E-3</v>
      </c>
      <c r="BF113" s="383">
        <f>+Controls!BF80</f>
        <v>5.5280349484491372E-3</v>
      </c>
      <c r="BG113" s="383">
        <f>+Controls!BG80</f>
        <v>5.25163320102668E-3</v>
      </c>
      <c r="BH113" s="383">
        <f>+Controls!BH80</f>
        <v>4.9890515409753457E-3</v>
      </c>
      <c r="BI113" s="383">
        <f>+Controls!BI80</f>
        <v>4.7395989639265786E-3</v>
      </c>
    </row>
    <row r="114" spans="1:61" ht="18" customHeight="1" x14ac:dyDescent="0.2">
      <c r="A114" s="382" t="s">
        <v>951</v>
      </c>
      <c r="B114" s="383">
        <f>IF(1-(B113/B112)&lt;0,0,1-(B113/B112))</f>
        <v>0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9">IF(1-(F113/F112)&lt;0,0,1-(F113/F112))</f>
        <v>0</v>
      </c>
      <c r="G114" s="383">
        <f t="shared" si="49"/>
        <v>0</v>
      </c>
      <c r="H114" s="383">
        <f t="shared" si="49"/>
        <v>0</v>
      </c>
      <c r="I114" s="383">
        <f t="shared" si="49"/>
        <v>5.511007488509756E-2</v>
      </c>
      <c r="J114" s="383">
        <f t="shared" si="49"/>
        <v>0.11481525448964314</v>
      </c>
      <c r="K114" s="383">
        <f t="shared" si="49"/>
        <v>0.20933693829304767</v>
      </c>
      <c r="L114" s="383">
        <f t="shared" si="49"/>
        <v>0.2770205472764915</v>
      </c>
      <c r="M114" s="383">
        <f t="shared" si="49"/>
        <v>0.30989120217838728</v>
      </c>
      <c r="N114" s="383">
        <f t="shared" si="49"/>
        <v>0.35810840445272618</v>
      </c>
      <c r="O114" s="383">
        <f t="shared" si="49"/>
        <v>0.39560346656233525</v>
      </c>
      <c r="P114" s="383">
        <f t="shared" si="49"/>
        <v>0.44453720282805653</v>
      </c>
      <c r="Q114" s="383">
        <f t="shared" si="49"/>
        <v>0.48769465195436879</v>
      </c>
      <c r="R114" s="383">
        <f t="shared" si="49"/>
        <v>0.52996538361821421</v>
      </c>
      <c r="S114" s="383">
        <f t="shared" si="49"/>
        <v>0.57099004974809497</v>
      </c>
      <c r="T114" s="383">
        <f t="shared" si="49"/>
        <v>0.60099213860747758</v>
      </c>
      <c r="U114" s="383">
        <f t="shared" si="49"/>
        <v>0.62005555208315766</v>
      </c>
      <c r="V114" s="383">
        <f t="shared" si="49"/>
        <v>0.65889680628565195</v>
      </c>
      <c r="W114" s="383">
        <f t="shared" si="49"/>
        <v>0.67332309327309958</v>
      </c>
      <c r="X114" s="383">
        <f t="shared" si="49"/>
        <v>0.68463889635588226</v>
      </c>
      <c r="Y114" s="383">
        <f t="shared" si="49"/>
        <v>0.69711753607464866</v>
      </c>
      <c r="Z114" s="383">
        <f t="shared" si="49"/>
        <v>0.70931284949725015</v>
      </c>
      <c r="AA114" s="383">
        <f t="shared" si="49"/>
        <v>0.71800214178629229</v>
      </c>
      <c r="AB114" s="383">
        <f t="shared" si="49"/>
        <v>0.72851239792360323</v>
      </c>
      <c r="AC114" s="383">
        <f t="shared" si="49"/>
        <v>0.74110149370543876</v>
      </c>
      <c r="AD114" s="383">
        <f t="shared" si="49"/>
        <v>0.75279557992846602</v>
      </c>
      <c r="AE114" s="383">
        <f t="shared" si="49"/>
        <v>0.76129747834563943</v>
      </c>
      <c r="AF114" s="383">
        <f t="shared" si="49"/>
        <v>0.75804451017353147</v>
      </c>
      <c r="AG114" s="383">
        <f t="shared" si="49"/>
        <v>0.77359589870835244</v>
      </c>
      <c r="AH114" s="383">
        <f t="shared" si="49"/>
        <v>0.78412808663852851</v>
      </c>
      <c r="AI114" s="383">
        <f t="shared" si="49"/>
        <v>0.95853435731686187</v>
      </c>
      <c r="AJ114" s="383">
        <f t="shared" si="49"/>
        <v>0.97333084177534102</v>
      </c>
      <c r="AK114" s="383">
        <f t="shared" si="49"/>
        <v>0.97840616582768591</v>
      </c>
      <c r="AL114" s="383">
        <f t="shared" si="49"/>
        <v>0.98102457200498416</v>
      </c>
      <c r="AM114" s="383">
        <f t="shared" si="49"/>
        <v>0.982727806281538</v>
      </c>
      <c r="AN114" s="383">
        <f t="shared" si="49"/>
        <v>0.98401157777812875</v>
      </c>
      <c r="AO114" s="383">
        <f t="shared" si="49"/>
        <v>0.98507408499520333</v>
      </c>
      <c r="AP114" s="383">
        <f t="shared" si="49"/>
        <v>0.9860047274200745</v>
      </c>
      <c r="AQ114" s="383">
        <f t="shared" si="49"/>
        <v>0.98684699699533662</v>
      </c>
      <c r="AR114" s="383">
        <f t="shared" si="49"/>
        <v>0.98762336279215246</v>
      </c>
      <c r="AS114" s="383">
        <f t="shared" si="49"/>
        <v>0.98834619287310588</v>
      </c>
      <c r="AT114" s="383">
        <f t="shared" si="49"/>
        <v>0.98902284751361735</v>
      </c>
      <c r="AU114" s="383">
        <f t="shared" si="49"/>
        <v>0.98965813845094974</v>
      </c>
      <c r="AV114" s="383">
        <f t="shared" si="49"/>
        <v>0.99025554079897127</v>
      </c>
      <c r="AW114" s="383">
        <f t="shared" si="49"/>
        <v>0.99081779830501515</v>
      </c>
      <c r="AX114" s="383">
        <f t="shared" si="49"/>
        <v>0.99134722907383255</v>
      </c>
      <c r="AY114" s="383">
        <f t="shared" si="49"/>
        <v>0.99184588209833602</v>
      </c>
      <c r="AZ114" s="383">
        <f t="shared" si="49"/>
        <v>0.99231561905179189</v>
      </c>
      <c r="BA114" s="383">
        <f t="shared" si="49"/>
        <v>0.99275815845525128</v>
      </c>
      <c r="BB114" s="383">
        <f t="shared" si="49"/>
        <v>0.99317510079052751</v>
      </c>
      <c r="BC114" s="383">
        <f t="shared" si="49"/>
        <v>0.99356794387367142</v>
      </c>
      <c r="BD114" s="383">
        <f t="shared" si="49"/>
        <v>0.99393809317134785</v>
      </c>
      <c r="BE114" s="383">
        <f t="shared" si="49"/>
        <v>0.99428686941999023</v>
      </c>
      <c r="BF114" s="383">
        <f t="shared" si="49"/>
        <v>0.99461579502926645</v>
      </c>
      <c r="BG114" s="383">
        <f t="shared" si="49"/>
        <v>0.9949257215160715</v>
      </c>
      <c r="BH114" s="383">
        <f t="shared" si="49"/>
        <v>0.99521768747736505</v>
      </c>
      <c r="BI114" s="383">
        <f t="shared" si="49"/>
        <v>0.99549274310632274</v>
      </c>
    </row>
    <row r="115" spans="1:61" s="40" customFormat="1" ht="18" customHeight="1" x14ac:dyDescent="0.2">
      <c r="A115" s="382" t="s">
        <v>952</v>
      </c>
      <c r="B115" s="384">
        <f t="shared" ref="B115:BI115" si="50">+B$36*1000*B114^($B$38-1)</f>
        <v>0</v>
      </c>
      <c r="C115" s="384">
        <f t="shared" si="50"/>
        <v>0</v>
      </c>
      <c r="D115" s="384">
        <f t="shared" si="50"/>
        <v>0</v>
      </c>
      <c r="E115" s="384">
        <f t="shared" si="50"/>
        <v>0</v>
      </c>
      <c r="F115" s="384">
        <f t="shared" si="50"/>
        <v>0</v>
      </c>
      <c r="G115" s="384">
        <f t="shared" si="50"/>
        <v>0</v>
      </c>
      <c r="H115" s="384">
        <f t="shared" si="50"/>
        <v>0</v>
      </c>
      <c r="I115" s="384">
        <f t="shared" si="50"/>
        <v>5.4753352350848639</v>
      </c>
      <c r="J115" s="384">
        <f t="shared" si="50"/>
        <v>19.635597248514362</v>
      </c>
      <c r="K115" s="384">
        <f t="shared" si="50"/>
        <v>55.406122417346019</v>
      </c>
      <c r="L115" s="384">
        <f t="shared" si="50"/>
        <v>87.840075991586289</v>
      </c>
      <c r="M115" s="384">
        <f t="shared" si="50"/>
        <v>102.95195103956716</v>
      </c>
      <c r="N115" s="384">
        <f t="shared" si="50"/>
        <v>127.97557358029712</v>
      </c>
      <c r="O115" s="384">
        <f t="shared" si="50"/>
        <v>146.74854051520967</v>
      </c>
      <c r="P115" s="384">
        <f t="shared" si="50"/>
        <v>173.58494064699033</v>
      </c>
      <c r="Q115" s="384">
        <f t="shared" si="50"/>
        <v>196.73803474645544</v>
      </c>
      <c r="R115" s="384">
        <f t="shared" si="50"/>
        <v>219.27555570116229</v>
      </c>
      <c r="S115" s="384">
        <f t="shared" si="50"/>
        <v>240.75912349544993</v>
      </c>
      <c r="T115" s="384">
        <f t="shared" si="50"/>
        <v>253.57789954975451</v>
      </c>
      <c r="U115" s="384">
        <f t="shared" si="50"/>
        <v>257.75910603390554</v>
      </c>
      <c r="V115" s="384">
        <f t="shared" si="50"/>
        <v>276.44097051054632</v>
      </c>
      <c r="W115" s="384">
        <f t="shared" si="50"/>
        <v>276.45976547347931</v>
      </c>
      <c r="X115" s="384">
        <f t="shared" si="50"/>
        <v>274.13905312832236</v>
      </c>
      <c r="Y115" s="384">
        <f t="shared" si="50"/>
        <v>272.6583390490249</v>
      </c>
      <c r="Z115" s="384">
        <f t="shared" si="50"/>
        <v>270.9734701342685</v>
      </c>
      <c r="AA115" s="384">
        <f t="shared" si="50"/>
        <v>266.9462714496521</v>
      </c>
      <c r="AB115" s="384">
        <f t="shared" si="50"/>
        <v>264.23856020748866</v>
      </c>
      <c r="AC115" s="384">
        <f t="shared" si="50"/>
        <v>262.92994903211746</v>
      </c>
      <c r="AD115" s="384">
        <f t="shared" si="50"/>
        <v>261.07946345365667</v>
      </c>
      <c r="AE115" s="384">
        <f t="shared" si="50"/>
        <v>257.3319207598945</v>
      </c>
      <c r="AF115" s="384">
        <f t="shared" si="50"/>
        <v>246.79733738463781</v>
      </c>
      <c r="AG115" s="384">
        <f t="shared" si="50"/>
        <v>247.55203916383616</v>
      </c>
      <c r="AH115" s="384">
        <f t="shared" si="50"/>
        <v>245.44235803957289</v>
      </c>
      <c r="AI115" s="384">
        <f t="shared" si="50"/>
        <v>341.13262888826841</v>
      </c>
      <c r="AJ115" s="384">
        <f t="shared" si="50"/>
        <v>339.73714574041321</v>
      </c>
      <c r="AK115" s="384">
        <f t="shared" si="50"/>
        <v>332.4488741952643</v>
      </c>
      <c r="AL115" s="384">
        <f t="shared" si="50"/>
        <v>324.04454207925528</v>
      </c>
      <c r="AM115" s="384">
        <f t="shared" si="50"/>
        <v>315.52106479188689</v>
      </c>
      <c r="AN115" s="384">
        <f t="shared" si="50"/>
        <v>307.18203828208823</v>
      </c>
      <c r="AO115" s="384">
        <f t="shared" si="50"/>
        <v>299.13529169326813</v>
      </c>
      <c r="AP115" s="384">
        <f t="shared" si="50"/>
        <v>291.41836741935327</v>
      </c>
      <c r="AQ115" s="384">
        <f t="shared" si="50"/>
        <v>284.04006976364889</v>
      </c>
      <c r="AR115" s="384">
        <f t="shared" si="50"/>
        <v>276.99667870836316</v>
      </c>
      <c r="AS115" s="384">
        <f t="shared" si="50"/>
        <v>270.27892426006628</v>
      </c>
      <c r="AT115" s="384">
        <f t="shared" si="50"/>
        <v>263.87515907631177</v>
      </c>
      <c r="AU115" s="384">
        <f t="shared" si="50"/>
        <v>257.77284699391186</v>
      </c>
      <c r="AV115" s="384">
        <f t="shared" si="50"/>
        <v>251.95927229672492</v>
      </c>
      <c r="AW115" s="384">
        <f t="shared" si="50"/>
        <v>246.42187906078769</v>
      </c>
      <c r="AX115" s="384">
        <f t="shared" si="50"/>
        <v>241.14843210338844</v>
      </c>
      <c r="AY115" s="384">
        <f t="shared" si="50"/>
        <v>236.12709093511674</v>
      </c>
      <c r="AZ115" s="384">
        <f t="shared" si="50"/>
        <v>231.34644086112823</v>
      </c>
      <c r="BA115" s="384">
        <f t="shared" si="50"/>
        <v>226.79550273619628</v>
      </c>
      <c r="BB115" s="384">
        <f t="shared" si="50"/>
        <v>222.46373193017467</v>
      </c>
      <c r="BC115" s="384">
        <f t="shared" si="50"/>
        <v>218.34101173498158</v>
      </c>
      <c r="BD115" s="384">
        <f t="shared" si="50"/>
        <v>214.41764384094151</v>
      </c>
      <c r="BE115" s="384">
        <f t="shared" si="50"/>
        <v>107.27654731567861</v>
      </c>
      <c r="BF115" s="384">
        <f t="shared" si="50"/>
        <v>53.67021776425382</v>
      </c>
      <c r="BG115" s="384">
        <f t="shared" si="50"/>
        <v>26.850162238217742</v>
      </c>
      <c r="BH115" s="384">
        <f t="shared" si="50"/>
        <v>13.432173335235326</v>
      </c>
      <c r="BI115" s="384">
        <f t="shared" si="50"/>
        <v>6.719428150620236</v>
      </c>
    </row>
    <row r="116" spans="1:61" s="379" customFormat="1" ht="18" customHeight="1" x14ac:dyDescent="0.2">
      <c r="A116" s="382" t="s">
        <v>969</v>
      </c>
      <c r="B116" s="383">
        <f t="shared" ref="B116:AG116" si="51">+B112*(1-B103)</f>
        <v>0.34033529692301251</v>
      </c>
      <c r="C116" s="383">
        <f t="shared" si="51"/>
        <v>0.27581559498477043</v>
      </c>
      <c r="D116" s="383">
        <f t="shared" si="51"/>
        <v>0.23915711361147821</v>
      </c>
      <c r="E116" s="383">
        <f t="shared" si="51"/>
        <v>0.21456976214660378</v>
      </c>
      <c r="F116" s="383">
        <f t="shared" si="51"/>
        <v>0.19734421907434549</v>
      </c>
      <c r="G116" s="383">
        <f t="shared" si="51"/>
        <v>0.18185921672301247</v>
      </c>
      <c r="H116" s="383">
        <f t="shared" si="51"/>
        <v>0.16831072703376512</v>
      </c>
      <c r="I116" s="383">
        <f t="shared" si="51"/>
        <v>0.15805841151597019</v>
      </c>
      <c r="J116" s="383">
        <f t="shared" si="51"/>
        <v>0.14296972682679959</v>
      </c>
      <c r="K116" s="383">
        <f t="shared" si="51"/>
        <v>0.13871961040872122</v>
      </c>
      <c r="L116" s="383">
        <f t="shared" si="51"/>
        <v>0.13511613081483118</v>
      </c>
      <c r="M116" s="383">
        <f t="shared" si="51"/>
        <v>0.12774901897803409</v>
      </c>
      <c r="N116" s="383">
        <f t="shared" si="51"/>
        <v>0.12395251689460306</v>
      </c>
      <c r="O116" s="383">
        <f t="shared" si="51"/>
        <v>0.11880559561726957</v>
      </c>
      <c r="P116" s="383">
        <f t="shared" si="51"/>
        <v>0.11666635455867309</v>
      </c>
      <c r="Q116" s="383">
        <f t="shared" si="51"/>
        <v>0.11415984845238324</v>
      </c>
      <c r="R116" s="383">
        <f t="shared" si="51"/>
        <v>0.11229334670360908</v>
      </c>
      <c r="S116" s="383">
        <f t="shared" si="51"/>
        <v>0.11103452245269654</v>
      </c>
      <c r="T116" s="383">
        <f t="shared" si="51"/>
        <v>0.10774209103047874</v>
      </c>
      <c r="U116" s="383">
        <f t="shared" si="51"/>
        <v>0.10211467134907042</v>
      </c>
      <c r="V116" s="383">
        <f t="shared" si="51"/>
        <v>0.10265114416825621</v>
      </c>
      <c r="W116" s="383">
        <f t="shared" si="51"/>
        <v>0.10182368660613779</v>
      </c>
      <c r="X116" s="383">
        <f t="shared" si="51"/>
        <v>0.10020208152147085</v>
      </c>
      <c r="Y116" s="383">
        <f t="shared" si="51"/>
        <v>9.9112472490304429E-2</v>
      </c>
      <c r="Z116" s="383">
        <f t="shared" si="51"/>
        <v>9.8105675090629563E-2</v>
      </c>
      <c r="AA116" s="383">
        <f t="shared" si="51"/>
        <v>9.6070851753860431E-2</v>
      </c>
      <c r="AB116" s="383">
        <f t="shared" si="51"/>
        <v>0</v>
      </c>
      <c r="AC116" s="383">
        <f t="shared" si="51"/>
        <v>0</v>
      </c>
      <c r="AD116" s="383">
        <f t="shared" si="51"/>
        <v>0</v>
      </c>
      <c r="AE116" s="383">
        <f t="shared" si="51"/>
        <v>0</v>
      </c>
      <c r="AF116" s="383">
        <f t="shared" si="51"/>
        <v>0</v>
      </c>
      <c r="AG116" s="383">
        <f t="shared" si="51"/>
        <v>0</v>
      </c>
      <c r="AH116" s="383">
        <f t="shared" ref="AH116:BI116" si="52">+AH112*(1-AH103)</f>
        <v>0</v>
      </c>
      <c r="AI116" s="383">
        <f t="shared" si="52"/>
        <v>0</v>
      </c>
      <c r="AJ116" s="383">
        <f t="shared" si="52"/>
        <v>0</v>
      </c>
      <c r="AK116" s="383">
        <f t="shared" si="52"/>
        <v>0</v>
      </c>
      <c r="AL116" s="383">
        <f t="shared" si="52"/>
        <v>0</v>
      </c>
      <c r="AM116" s="383">
        <f t="shared" si="52"/>
        <v>0</v>
      </c>
      <c r="AN116" s="383">
        <f t="shared" si="52"/>
        <v>0</v>
      </c>
      <c r="AO116" s="383">
        <f t="shared" si="52"/>
        <v>0</v>
      </c>
      <c r="AP116" s="383">
        <f t="shared" si="52"/>
        <v>0</v>
      </c>
      <c r="AQ116" s="383">
        <f t="shared" si="52"/>
        <v>0</v>
      </c>
      <c r="AR116" s="383">
        <f t="shared" si="52"/>
        <v>0</v>
      </c>
      <c r="AS116" s="383">
        <f t="shared" si="52"/>
        <v>0</v>
      </c>
      <c r="AT116" s="383">
        <f t="shared" si="52"/>
        <v>0</v>
      </c>
      <c r="AU116" s="383">
        <f t="shared" si="52"/>
        <v>0</v>
      </c>
      <c r="AV116" s="383">
        <f t="shared" si="52"/>
        <v>0</v>
      </c>
      <c r="AW116" s="383">
        <f t="shared" si="52"/>
        <v>0</v>
      </c>
      <c r="AX116" s="383">
        <f t="shared" si="52"/>
        <v>0</v>
      </c>
      <c r="AY116" s="383">
        <f t="shared" si="52"/>
        <v>0</v>
      </c>
      <c r="AZ116" s="383">
        <f t="shared" si="52"/>
        <v>0</v>
      </c>
      <c r="BA116" s="383">
        <f t="shared" si="52"/>
        <v>0</v>
      </c>
      <c r="BB116" s="383">
        <f t="shared" si="52"/>
        <v>0</v>
      </c>
      <c r="BC116" s="383">
        <f t="shared" si="52"/>
        <v>0</v>
      </c>
      <c r="BD116" s="383">
        <f t="shared" si="52"/>
        <v>0</v>
      </c>
      <c r="BE116" s="383">
        <f t="shared" si="52"/>
        <v>0</v>
      </c>
      <c r="BF116" s="383">
        <f t="shared" si="52"/>
        <v>0</v>
      </c>
      <c r="BG116" s="383">
        <f t="shared" si="52"/>
        <v>0</v>
      </c>
      <c r="BH116" s="383">
        <f t="shared" si="52"/>
        <v>0</v>
      </c>
      <c r="BI116" s="383">
        <f t="shared" si="52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0.34046711788931838</v>
      </c>
      <c r="C119" s="405">
        <f t="shared" ref="C119:BI120" si="53">+C112</f>
        <v>0.2759251948228138</v>
      </c>
      <c r="D119" s="405">
        <f t="shared" si="53"/>
        <v>0.23925459653980644</v>
      </c>
      <c r="E119" s="405">
        <f t="shared" si="53"/>
        <v>0.21465946496278185</v>
      </c>
      <c r="F119" s="405">
        <f t="shared" si="53"/>
        <v>0.19742882287474969</v>
      </c>
      <c r="G119" s="405">
        <f t="shared" si="53"/>
        <v>0.1819391562757309</v>
      </c>
      <c r="H119" s="405">
        <f t="shared" si="53"/>
        <v>0.16838657248016431</v>
      </c>
      <c r="I119" s="405">
        <f t="shared" si="53"/>
        <v>0.15813141680451445</v>
      </c>
      <c r="J119" s="405">
        <f t="shared" si="53"/>
        <v>0.14303740127063486</v>
      </c>
      <c r="K119" s="405">
        <f t="shared" si="53"/>
        <v>0.13878689017087173</v>
      </c>
      <c r="L119" s="405">
        <f t="shared" si="53"/>
        <v>0.13518326426481977</v>
      </c>
      <c r="M119" s="405">
        <f t="shared" si="53"/>
        <v>0.12781403056803287</v>
      </c>
      <c r="N119" s="405">
        <f t="shared" si="53"/>
        <v>0.12401711254937806</v>
      </c>
      <c r="O119" s="405">
        <f t="shared" si="53"/>
        <v>0.11886898402863018</v>
      </c>
      <c r="P119" s="405">
        <f t="shared" si="53"/>
        <v>0.11673007090117414</v>
      </c>
      <c r="Q119" s="405">
        <f t="shared" si="53"/>
        <v>0.11422365349032208</v>
      </c>
      <c r="R119" s="405">
        <f t="shared" si="53"/>
        <v>0.11235756119131707</v>
      </c>
      <c r="S119" s="405">
        <f t="shared" si="53"/>
        <v>0.11109947143389619</v>
      </c>
      <c r="T119" s="405">
        <f t="shared" si="53"/>
        <v>0.10780654205218165</v>
      </c>
      <c r="U119" s="405">
        <f t="shared" si="53"/>
        <v>0.10217712448977632</v>
      </c>
      <c r="V119" s="405">
        <f t="shared" si="53"/>
        <v>0.10271531537117333</v>
      </c>
      <c r="W119" s="405">
        <f t="shared" si="53"/>
        <v>0.10188873264459208</v>
      </c>
      <c r="X119" s="405">
        <f t="shared" si="53"/>
        <v>0.10026747384106677</v>
      </c>
      <c r="Y119" s="405">
        <f t="shared" si="53"/>
        <v>9.9178532029585362E-2</v>
      </c>
      <c r="Z119" s="405">
        <f t="shared" si="53"/>
        <v>9.8172437938116655E-2</v>
      </c>
      <c r="AA119" s="405">
        <f t="shared" si="53"/>
        <v>9.6137584525506845E-2</v>
      </c>
      <c r="AB119" s="405">
        <f t="shared" si="53"/>
        <v>9.4866443574403519E-2</v>
      </c>
      <c r="AC119" s="405">
        <f t="shared" si="53"/>
        <v>9.4505412447287135E-2</v>
      </c>
      <c r="AD119" s="405">
        <f t="shared" si="53"/>
        <v>9.4027220899449274E-2</v>
      </c>
      <c r="AE119" s="405">
        <f t="shared" si="53"/>
        <v>9.2507390494563996E-2</v>
      </c>
      <c r="AF119" s="405">
        <f t="shared" si="53"/>
        <v>8.6700492014570377E-2</v>
      </c>
      <c r="AG119" s="405">
        <f t="shared" si="53"/>
        <v>8.8023038890229416E-2</v>
      </c>
      <c r="AH119" s="405">
        <f t="shared" si="53"/>
        <v>8.7701720281486359E-2</v>
      </c>
      <c r="AI119" s="405">
        <f t="shared" si="53"/>
        <v>0.43374996962142831</v>
      </c>
      <c r="AJ119" s="405">
        <f t="shared" si="53"/>
        <v>0.64068145861605774</v>
      </c>
      <c r="AK119" s="405">
        <f t="shared" si="53"/>
        <v>0.75170130984319095</v>
      </c>
      <c r="AL119" s="405">
        <f t="shared" si="53"/>
        <v>0.81265665071281834</v>
      </c>
      <c r="AM119" s="405">
        <f t="shared" si="53"/>
        <v>0.84815412628215436</v>
      </c>
      <c r="AN119" s="405">
        <f t="shared" si="53"/>
        <v>0.87044287801004183</v>
      </c>
      <c r="AO119" s="405">
        <f t="shared" si="53"/>
        <v>0.88578541662030641</v>
      </c>
      <c r="AP119" s="405">
        <f t="shared" si="53"/>
        <v>0.89745304188864716</v>
      </c>
      <c r="AQ119" s="405">
        <f t="shared" si="53"/>
        <v>0.90717647880401919</v>
      </c>
      <c r="AR119" s="405">
        <f t="shared" si="53"/>
        <v>0.91587803807550694</v>
      </c>
      <c r="AS119" s="405">
        <f t="shared" si="53"/>
        <v>0.92405130584745954</v>
      </c>
      <c r="AT119" s="405">
        <f t="shared" si="53"/>
        <v>0.9319611731463856</v>
      </c>
      <c r="AU119" s="405">
        <f t="shared" si="53"/>
        <v>0.93975014725057882</v>
      </c>
      <c r="AV119" s="405">
        <f t="shared" si="53"/>
        <v>0.94749512799151725</v>
      </c>
      <c r="AW119" s="405">
        <f t="shared" si="53"/>
        <v>0.95523780987986351</v>
      </c>
      <c r="AX119" s="405">
        <f t="shared" si="53"/>
        <v>0.96300098503053877</v>
      </c>
      <c r="AY119" s="405">
        <f t="shared" si="53"/>
        <v>0.97079729215962307</v>
      </c>
      <c r="AZ119" s="405">
        <f t="shared" si="53"/>
        <v>0.97863391347029016</v>
      </c>
      <c r="BA119" s="405">
        <f t="shared" si="53"/>
        <v>0.98651509644323254</v>
      </c>
      <c r="BB119" s="405">
        <f t="shared" si="53"/>
        <v>0.99444350768246614</v>
      </c>
      <c r="BC119" s="405">
        <f t="shared" si="53"/>
        <v>1.00242095954083</v>
      </c>
      <c r="BD119" s="405">
        <f t="shared" si="53"/>
        <v>1.0104487999262053</v>
      </c>
      <c r="BE119" s="405">
        <f t="shared" si="53"/>
        <v>1.0185281212760662</v>
      </c>
      <c r="BF119" s="405">
        <f t="shared" si="53"/>
        <v>1.0267133176573706</v>
      </c>
      <c r="BG119" s="405">
        <f t="shared" si="53"/>
        <v>1.0349517113930333</v>
      </c>
      <c r="BH119" s="405">
        <f t="shared" si="53"/>
        <v>1.0432299263927112</v>
      </c>
      <c r="BI119" s="405">
        <f t="shared" si="53"/>
        <v>1.0515484419304433</v>
      </c>
    </row>
    <row r="120" spans="1:61" s="401" customFormat="1" ht="18" customHeight="1" x14ac:dyDescent="0.2">
      <c r="A120" s="403" t="s">
        <v>949</v>
      </c>
      <c r="B120" s="405">
        <f>+B113</f>
        <v>0.54177826149727892</v>
      </c>
      <c r="C120" s="405">
        <f t="shared" si="53"/>
        <v>0.56968410834355332</v>
      </c>
      <c r="D120" s="405">
        <f t="shared" si="53"/>
        <v>0.55679019167974442</v>
      </c>
      <c r="E120" s="405">
        <f t="shared" si="53"/>
        <v>0.43830502998190735</v>
      </c>
      <c r="F120" s="405">
        <f t="shared" si="53"/>
        <v>0.3151119022520022</v>
      </c>
      <c r="G120" s="405">
        <f t="shared" si="53"/>
        <v>0.22187809777598549</v>
      </c>
      <c r="H120" s="405">
        <f t="shared" si="53"/>
        <v>0.18024775707711799</v>
      </c>
      <c r="I120" s="405">
        <f t="shared" si="53"/>
        <v>0.14941678258273108</v>
      </c>
      <c r="J120" s="405">
        <f t="shared" si="53"/>
        <v>0.12661452564220971</v>
      </c>
      <c r="K120" s="405">
        <f t="shared" si="53"/>
        <v>0.10973366750728797</v>
      </c>
      <c r="L120" s="405">
        <f t="shared" si="53"/>
        <v>9.7734722415556821E-2</v>
      </c>
      <c r="M120" s="405">
        <f t="shared" si="53"/>
        <v>8.8205586980040024E-2</v>
      </c>
      <c r="N120" s="405">
        <f t="shared" si="53"/>
        <v>7.9605542249486114E-2</v>
      </c>
      <c r="O120" s="405">
        <f t="shared" si="53"/>
        <v>7.1844001880161212E-2</v>
      </c>
      <c r="P120" s="405">
        <f t="shared" si="53"/>
        <v>6.4839211696845478E-2</v>
      </c>
      <c r="Q120" s="405">
        <f t="shared" si="53"/>
        <v>5.8517388556403038E-2</v>
      </c>
      <c r="R120" s="405">
        <f t="shared" si="53"/>
        <v>5.2811943172153743E-2</v>
      </c>
      <c r="S120" s="405">
        <f t="shared" si="53"/>
        <v>4.7662778712868746E-2</v>
      </c>
      <c r="T120" s="405">
        <f t="shared" si="53"/>
        <v>4.301565778836404E-2</v>
      </c>
      <c r="U120" s="405">
        <f t="shared" si="53"/>
        <v>3.8821631153998545E-2</v>
      </c>
      <c r="V120" s="405">
        <f t="shared" si="53"/>
        <v>3.5036522116483684E-2</v>
      </c>
      <c r="W120" s="405">
        <f t="shared" si="53"/>
        <v>3.3284696010659497E-2</v>
      </c>
      <c r="X120" s="405">
        <f t="shared" si="53"/>
        <v>3.1620461210126523E-2</v>
      </c>
      <c r="Y120" s="405">
        <f t="shared" si="53"/>
        <v>3.0039438149620196E-2</v>
      </c>
      <c r="Z120" s="405">
        <f t="shared" si="53"/>
        <v>2.8537466242139185E-2</v>
      </c>
      <c r="AA120" s="405">
        <f t="shared" si="53"/>
        <v>2.7110592930032224E-2</v>
      </c>
      <c r="AB120" s="405">
        <f t="shared" si="53"/>
        <v>2.575506328353061E-2</v>
      </c>
      <c r="AC120" s="405">
        <f t="shared" si="53"/>
        <v>2.4467310119354078E-2</v>
      </c>
      <c r="AD120" s="405">
        <f t="shared" si="53"/>
        <v>2.3243944613386372E-2</v>
      </c>
      <c r="AE120" s="405">
        <f t="shared" si="53"/>
        <v>2.2081747382717051E-2</v>
      </c>
      <c r="AF120" s="405">
        <f t="shared" si="53"/>
        <v>2.0977660013581197E-2</v>
      </c>
      <c r="AG120" s="405">
        <f t="shared" si="53"/>
        <v>1.9928777012902136E-2</v>
      </c>
      <c r="AH120" s="405">
        <f t="shared" si="53"/>
        <v>1.8932338162257027E-2</v>
      </c>
      <c r="AI120" s="405">
        <f t="shared" si="53"/>
        <v>1.7985721254144174E-2</v>
      </c>
      <c r="AJ120" s="405">
        <f t="shared" si="53"/>
        <v>1.7086435191436964E-2</v>
      </c>
      <c r="AK120" s="405">
        <f t="shared" si="53"/>
        <v>1.6232113431865116E-2</v>
      </c>
      <c r="AL120" s="405">
        <f t="shared" si="53"/>
        <v>1.5420507760271859E-2</v>
      </c>
      <c r="AM120" s="405">
        <f t="shared" si="53"/>
        <v>1.4649482372258266E-2</v>
      </c>
      <c r="AN120" s="405">
        <f t="shared" si="53"/>
        <v>1.3917008253645353E-2</v>
      </c>
      <c r="AO120" s="405">
        <f t="shared" si="53"/>
        <v>1.3221157840963085E-2</v>
      </c>
      <c r="AP120" s="405">
        <f t="shared" si="53"/>
        <v>1.2560099948914929E-2</v>
      </c>
      <c r="AQ120" s="405">
        <f t="shared" si="53"/>
        <v>1.1932094951469182E-2</v>
      </c>
      <c r="AR120" s="405">
        <f t="shared" si="53"/>
        <v>1.1335490203895722E-2</v>
      </c>
      <c r="AS120" s="405">
        <f t="shared" si="53"/>
        <v>1.0768715693700935E-2</v>
      </c>
      <c r="AT120" s="405">
        <f t="shared" si="53"/>
        <v>1.0230279909015889E-2</v>
      </c>
      <c r="AU120" s="405">
        <f t="shared" si="53"/>
        <v>9.7187659135650941E-3</v>
      </c>
      <c r="AV120" s="405">
        <f t="shared" si="53"/>
        <v>9.2328276178868397E-3</v>
      </c>
      <c r="AW120" s="405">
        <f t="shared" si="53"/>
        <v>8.7711862369924971E-3</v>
      </c>
      <c r="AX120" s="405">
        <f t="shared" si="53"/>
        <v>8.3326269251428713E-3</v>
      </c>
      <c r="AY120" s="405">
        <f t="shared" si="53"/>
        <v>7.9159955788857279E-3</v>
      </c>
      <c r="AZ120" s="405">
        <f t="shared" si="53"/>
        <v>7.5201957999414407E-3</v>
      </c>
      <c r="BA120" s="405">
        <f t="shared" si="53"/>
        <v>7.1441860099443685E-3</v>
      </c>
      <c r="BB120" s="405">
        <f t="shared" si="53"/>
        <v>6.7869767094471496E-3</v>
      </c>
      <c r="BC120" s="405">
        <f t="shared" si="53"/>
        <v>6.4476278739747919E-3</v>
      </c>
      <c r="BD120" s="405">
        <f t="shared" si="53"/>
        <v>6.1252464802760524E-3</v>
      </c>
      <c r="BE120" s="405">
        <f t="shared" si="53"/>
        <v>5.8189841562622498E-3</v>
      </c>
      <c r="BF120" s="405">
        <f t="shared" si="53"/>
        <v>5.5280349484491372E-3</v>
      </c>
      <c r="BG120" s="405">
        <f t="shared" si="53"/>
        <v>5.25163320102668E-3</v>
      </c>
      <c r="BH120" s="405">
        <f t="shared" si="53"/>
        <v>4.9890515409753457E-3</v>
      </c>
      <c r="BI120" s="405">
        <f t="shared" si="53"/>
        <v>4.7395989639265786E-3</v>
      </c>
    </row>
    <row r="121" spans="1:61" s="402" customFormat="1" ht="18" customHeight="1" x14ac:dyDescent="0.2">
      <c r="A121" s="404" t="s">
        <v>965</v>
      </c>
      <c r="B121" s="405">
        <f>+B119*(1-B122)</f>
        <v>0.34046711788931838</v>
      </c>
      <c r="C121" s="405">
        <f t="shared" ref="C121:BI121" si="54">+C119*(1-C122)</f>
        <v>0.25764871675063628</v>
      </c>
      <c r="D121" s="405">
        <f t="shared" si="54"/>
        <v>0.20034108519184657</v>
      </c>
      <c r="E121" s="405">
        <f t="shared" si="54"/>
        <v>0.15779000002913729</v>
      </c>
      <c r="F121" s="405">
        <f t="shared" si="54"/>
        <v>0.1161017116115127</v>
      </c>
      <c r="G121" s="405">
        <f t="shared" si="54"/>
        <v>8.739364738315733E-2</v>
      </c>
      <c r="H121" s="405">
        <f t="shared" si="54"/>
        <v>7.0745341284014565E-2</v>
      </c>
      <c r="I121" s="405">
        <f t="shared" si="54"/>
        <v>6.6961232618550304E-2</v>
      </c>
      <c r="J121" s="405">
        <f t="shared" si="54"/>
        <v>5.4969111685044959E-2</v>
      </c>
      <c r="K121" s="405">
        <f t="shared" si="54"/>
        <v>4.9285748197194092E-2</v>
      </c>
      <c r="L121" s="405">
        <f t="shared" si="54"/>
        <v>4.517591472558305E-2</v>
      </c>
      <c r="M121" s="405">
        <f t="shared" si="54"/>
        <v>4.0651190669496698E-2</v>
      </c>
      <c r="N121" s="405">
        <f t="shared" si="54"/>
        <v>3.7731930525627788E-2</v>
      </c>
      <c r="O121" s="405">
        <f t="shared" si="54"/>
        <v>3.4703301276460249E-2</v>
      </c>
      <c r="P121" s="405">
        <f t="shared" si="54"/>
        <v>3.2868718146821616E-2</v>
      </c>
      <c r="Q121" s="405">
        <f t="shared" si="54"/>
        <v>3.1140823212687827E-2</v>
      </c>
      <c r="R121" s="405">
        <f t="shared" si="54"/>
        <v>2.9781602065643349E-2</v>
      </c>
      <c r="S121" s="405">
        <f t="shared" si="54"/>
        <v>2.8760379126344771E-2</v>
      </c>
      <c r="T121" s="405">
        <f t="shared" si="54"/>
        <v>2.728467548566859E-2</v>
      </c>
      <c r="U121" s="405">
        <f t="shared" si="54"/>
        <v>2.5314188388147758E-2</v>
      </c>
      <c r="V121" s="405">
        <f t="shared" si="54"/>
        <v>2.4947418692851595E-2</v>
      </c>
      <c r="W121" s="405">
        <f t="shared" si="54"/>
        <v>2.7542291331253528E-2</v>
      </c>
      <c r="X121" s="405">
        <f t="shared" si="54"/>
        <v>2.9774597221989305E-2</v>
      </c>
      <c r="Y121" s="405">
        <f t="shared" si="54"/>
        <v>3.2015053412466535E-2</v>
      </c>
      <c r="Z121" s="405">
        <f t="shared" si="54"/>
        <v>3.4153032637006947E-2</v>
      </c>
      <c r="AA121" s="405">
        <f t="shared" si="54"/>
        <v>3.5785110220338194E-2</v>
      </c>
      <c r="AB121" s="405">
        <f t="shared" si="54"/>
        <v>3.7551920033636665E-2</v>
      </c>
      <c r="AC121" s="405">
        <f t="shared" si="54"/>
        <v>3.9573272738662672E-2</v>
      </c>
      <c r="AD121" s="405">
        <f t="shared" si="54"/>
        <v>4.1461084339325549E-2</v>
      </c>
      <c r="AE121" s="405">
        <f t="shared" si="54"/>
        <v>4.2782509447197394E-2</v>
      </c>
      <c r="AF121" s="405">
        <f t="shared" si="54"/>
        <v>4.1906117296662396E-2</v>
      </c>
      <c r="AG121" s="405">
        <f t="shared" si="54"/>
        <v>4.4325174720439196E-2</v>
      </c>
      <c r="AH121" s="405">
        <f t="shared" si="54"/>
        <v>4.588124306056976E-2</v>
      </c>
      <c r="AI121" s="405">
        <f t="shared" si="54"/>
        <v>0.23514490630803059</v>
      </c>
      <c r="AJ121" s="405">
        <f t="shared" si="54"/>
        <v>0.35909354981244335</v>
      </c>
      <c r="AK121" s="405">
        <f t="shared" si="54"/>
        <v>0.43468081696354932</v>
      </c>
      <c r="AL121" s="405">
        <f t="shared" si="54"/>
        <v>0.48390581583354492</v>
      </c>
      <c r="AM121" s="405">
        <f t="shared" si="54"/>
        <v>0.51915224027683071</v>
      </c>
      <c r="AN121" s="405">
        <f t="shared" si="54"/>
        <v>0.54679516465432865</v>
      </c>
      <c r="AO121" s="405">
        <f t="shared" si="54"/>
        <v>0.57020271788025767</v>
      </c>
      <c r="AP121" s="405">
        <f t="shared" si="54"/>
        <v>0.59119208743723406</v>
      </c>
      <c r="AQ121" s="405">
        <f t="shared" si="54"/>
        <v>0.6107554076985704</v>
      </c>
      <c r="AR121" s="405">
        <f t="shared" si="54"/>
        <v>0.62943781752393058</v>
      </c>
      <c r="AS121" s="405">
        <f t="shared" si="54"/>
        <v>0.64753999911160076</v>
      </c>
      <c r="AT121" s="405">
        <f t="shared" si="54"/>
        <v>0.66522838434725196</v>
      </c>
      <c r="AU121" s="405">
        <f t="shared" si="54"/>
        <v>0.68259558979162893</v>
      </c>
      <c r="AV121" s="405">
        <f t="shared" si="54"/>
        <v>0.69969367321501152</v>
      </c>
      <c r="AW121" s="405">
        <f t="shared" si="54"/>
        <v>0.71655245541621249</v>
      </c>
      <c r="AX121" s="405">
        <f t="shared" si="54"/>
        <v>0.73318961364910507</v>
      </c>
      <c r="AY121" s="405">
        <f t="shared" si="54"/>
        <v>0.74961623822734424</v>
      </c>
      <c r="AZ121" s="405">
        <f t="shared" si="54"/>
        <v>0.76583988821693383</v>
      </c>
      <c r="BA121" s="405">
        <f t="shared" si="54"/>
        <v>0.78186626934787151</v>
      </c>
      <c r="BB121" s="405">
        <f t="shared" si="54"/>
        <v>0.79770015341415534</v>
      </c>
      <c r="BC121" s="405">
        <f t="shared" si="54"/>
        <v>0.81334588031260646</v>
      </c>
      <c r="BD121" s="405">
        <f t="shared" si="54"/>
        <v>0.82880763046820427</v>
      </c>
      <c r="BE121" s="405">
        <f t="shared" si="54"/>
        <v>0.76472844748698621</v>
      </c>
      <c r="BF121" s="405">
        <f t="shared" si="54"/>
        <v>0.67207530133793758</v>
      </c>
      <c r="BG121" s="405">
        <f t="shared" si="54"/>
        <v>0.53941682016518611</v>
      </c>
      <c r="BH121" s="405">
        <f t="shared" si="54"/>
        <v>0.35083759795070812</v>
      </c>
      <c r="BI121" s="405">
        <f t="shared" si="54"/>
        <v>8.4118436657179038E-2</v>
      </c>
    </row>
    <row r="122" spans="1:61" s="401" customFormat="1" ht="18" customHeight="1" x14ac:dyDescent="0.2">
      <c r="A122" s="403" t="s">
        <v>951</v>
      </c>
      <c r="B122" s="406">
        <f t="shared" ref="B122:L122" si="55">+(B123/(1000*B$36))^(1/($B$38-1))</f>
        <v>0</v>
      </c>
      <c r="C122" s="406">
        <f t="shared" si="55"/>
        <v>6.6237075899914843E-2</v>
      </c>
      <c r="D122" s="406">
        <f t="shared" si="55"/>
        <v>0.16264478054232717</v>
      </c>
      <c r="E122" s="406">
        <f t="shared" si="55"/>
        <v>0.26492875561534046</v>
      </c>
      <c r="F122" s="406">
        <f t="shared" si="55"/>
        <v>0.4119312979687445</v>
      </c>
      <c r="G122" s="406">
        <f t="shared" si="55"/>
        <v>0.51965454181445558</v>
      </c>
      <c r="H122" s="406">
        <f t="shared" si="55"/>
        <v>0.57986352330825985</v>
      </c>
      <c r="I122" s="406">
        <f t="shared" si="55"/>
        <v>0.57654693816264702</v>
      </c>
      <c r="J122" s="406">
        <f t="shared" si="55"/>
        <v>0.6157011299370555</v>
      </c>
      <c r="K122" s="406">
        <f t="shared" si="55"/>
        <v>0.64488181746478768</v>
      </c>
      <c r="L122" s="406">
        <f t="shared" si="55"/>
        <v>0.66581725207430376</v>
      </c>
      <c r="M122" s="406">
        <f t="shared" ref="M122:BI122" si="56">+(M123/(1000*M$36))^(1/($B$38-1))</f>
        <v>0.68195048314465856</v>
      </c>
      <c r="N122" s="406">
        <f t="shared" si="56"/>
        <v>0.69575222523742741</v>
      </c>
      <c r="O122" s="406">
        <f t="shared" si="56"/>
        <v>0.70805419462404262</v>
      </c>
      <c r="P122" s="406">
        <f t="shared" si="56"/>
        <v>0.71842115837787091</v>
      </c>
      <c r="Q122" s="406">
        <f t="shared" si="56"/>
        <v>0.72736974995002834</v>
      </c>
      <c r="R122" s="406">
        <f t="shared" si="56"/>
        <v>0.73493904860632686</v>
      </c>
      <c r="S122" s="406">
        <f t="shared" si="56"/>
        <v>0.74112946933814083</v>
      </c>
      <c r="T122" s="406">
        <f t="shared" si="56"/>
        <v>0.74691076286945579</v>
      </c>
      <c r="U122" s="406">
        <f t="shared" si="56"/>
        <v>0.75225190066216185</v>
      </c>
      <c r="V122" s="406">
        <f t="shared" si="56"/>
        <v>0.75712075066214524</v>
      </c>
      <c r="W122" s="406">
        <f t="shared" si="56"/>
        <v>0.72968265855924963</v>
      </c>
      <c r="X122" s="406">
        <f t="shared" si="56"/>
        <v>0.70304829590915197</v>
      </c>
      <c r="Y122" s="406">
        <f t="shared" si="56"/>
        <v>0.67719774877373351</v>
      </c>
      <c r="Z122" s="406">
        <f t="shared" si="56"/>
        <v>0.65211180088513809</v>
      </c>
      <c r="AA122" s="406">
        <f t="shared" si="56"/>
        <v>0.62777190214464118</v>
      </c>
      <c r="AB122" s="406">
        <f t="shared" si="56"/>
        <v>0.60416013693836024</v>
      </c>
      <c r="AC122" s="406">
        <f t="shared" si="56"/>
        <v>0.58125919231625278</v>
      </c>
      <c r="AD122" s="406">
        <f t="shared" si="56"/>
        <v>0.55905232609540634</v>
      </c>
      <c r="AE122" s="406">
        <f t="shared" si="56"/>
        <v>0.53752333496304361</v>
      </c>
      <c r="AF122" s="406">
        <f t="shared" si="56"/>
        <v>0.51665652266863837</v>
      </c>
      <c r="AG122" s="406">
        <f t="shared" si="56"/>
        <v>0.49643666840773765</v>
      </c>
      <c r="AH122" s="406">
        <f t="shared" si="56"/>
        <v>0.47684899551217591</v>
      </c>
      <c r="AI122" s="406">
        <f t="shared" si="56"/>
        <v>0.45787914057201612</v>
      </c>
      <c r="AJ122" s="406">
        <f t="shared" si="56"/>
        <v>0.43951312312342422</v>
      </c>
      <c r="AK122" s="406">
        <f t="shared" si="56"/>
        <v>0.42173731604348785</v>
      </c>
      <c r="AL122" s="406">
        <f t="shared" si="56"/>
        <v>0.40453841679743963</v>
      </c>
      <c r="AM122" s="406">
        <f t="shared" si="56"/>
        <v>0.38790341968562803</v>
      </c>
      <c r="AN122" s="406">
        <f t="shared" si="56"/>
        <v>0.37181958923670982</v>
      </c>
      <c r="AO122" s="406">
        <f t="shared" si="56"/>
        <v>0.35627443488982602</v>
      </c>
      <c r="AP122" s="406">
        <f t="shared" si="56"/>
        <v>0.34125568710191401</v>
      </c>
      <c r="AQ122" s="406">
        <f t="shared" si="56"/>
        <v>0.32675127500686202</v>
      </c>
      <c r="AR122" s="406">
        <f t="shared" si="56"/>
        <v>0.31274930574103527</v>
      </c>
      <c r="AS122" s="406">
        <f t="shared" si="56"/>
        <v>0.29923804553500061</v>
      </c>
      <c r="AT122" s="406">
        <f t="shared" si="56"/>
        <v>0.28620590265431295</v>
      </c>
      <c r="AU122" s="406">
        <f t="shared" si="56"/>
        <v>0.27364141225335842</v>
      </c>
      <c r="AV122" s="406">
        <f t="shared" si="56"/>
        <v>0.26153322318584454</v>
      </c>
      <c r="AW122" s="406">
        <f t="shared" si="56"/>
        <v>0.24987008679406189</v>
      </c>
      <c r="AX122" s="406">
        <f t="shared" si="56"/>
        <v>0.23864084767695837</v>
      </c>
      <c r="AY122" s="406">
        <f t="shared" si="56"/>
        <v>0.22783443641487947</v>
      </c>
      <c r="AZ122" s="406">
        <f t="shared" si="56"/>
        <v>0.2174398642070117</v>
      </c>
      <c r="BA122" s="406">
        <f t="shared" si="56"/>
        <v>0.20744621935660079</v>
      </c>
      <c r="BB122" s="406">
        <f t="shared" si="56"/>
        <v>0.19784266551934951</v>
      </c>
      <c r="BC122" s="406">
        <f t="shared" si="56"/>
        <v>0.18861844161242552</v>
      </c>
      <c r="BD122" s="406">
        <f t="shared" si="56"/>
        <v>0.17976286326557725</v>
      </c>
      <c r="BE122" s="406">
        <f t="shared" si="56"/>
        <v>0.24918278492998922</v>
      </c>
      <c r="BF122" s="406">
        <f t="shared" si="56"/>
        <v>0.34541094404872708</v>
      </c>
      <c r="BG122" s="406">
        <f t="shared" si="56"/>
        <v>0.47880001141392664</v>
      </c>
      <c r="BH122" s="406">
        <f t="shared" si="56"/>
        <v>0.66370060034240275</v>
      </c>
      <c r="BI122" s="406">
        <f t="shared" si="56"/>
        <v>0.92000517208436583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9.9942147064251596</v>
      </c>
      <c r="D123" s="400">
        <f>+Global!D118*D46</f>
        <v>48.096041961936649</v>
      </c>
      <c r="E123" s="400">
        <f>+Global!E118*E46</f>
        <v>110.59398723631982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0.34046711788931838</v>
      </c>
      <c r="C124" s="405">
        <f t="shared" ref="C124:BI124" si="57">+C119*(1-C122)</f>
        <v>0.25764871675063628</v>
      </c>
      <c r="D124" s="405">
        <f t="shared" si="57"/>
        <v>0.20034108519184657</v>
      </c>
      <c r="E124" s="405">
        <f t="shared" si="57"/>
        <v>0.15779000002913729</v>
      </c>
      <c r="F124" s="405">
        <f t="shared" si="57"/>
        <v>0.1161017116115127</v>
      </c>
      <c r="G124" s="405">
        <f t="shared" si="57"/>
        <v>8.739364738315733E-2</v>
      </c>
      <c r="H124" s="405">
        <f t="shared" si="57"/>
        <v>7.0745341284014565E-2</v>
      </c>
      <c r="I124" s="405">
        <f t="shared" si="57"/>
        <v>6.6961232618550304E-2</v>
      </c>
      <c r="J124" s="405">
        <f t="shared" si="57"/>
        <v>5.4969111685044959E-2</v>
      </c>
      <c r="K124" s="405">
        <f t="shared" si="57"/>
        <v>4.9285748197194092E-2</v>
      </c>
      <c r="L124" s="405">
        <f t="shared" si="57"/>
        <v>4.517591472558305E-2</v>
      </c>
      <c r="M124" s="405">
        <f t="shared" si="57"/>
        <v>4.0651190669496698E-2</v>
      </c>
      <c r="N124" s="405">
        <f t="shared" si="57"/>
        <v>3.7731930525627788E-2</v>
      </c>
      <c r="O124" s="405">
        <f t="shared" si="57"/>
        <v>3.4703301276460249E-2</v>
      </c>
      <c r="P124" s="405">
        <f t="shared" si="57"/>
        <v>3.2868718146821616E-2</v>
      </c>
      <c r="Q124" s="405">
        <f t="shared" si="57"/>
        <v>3.1140823212687827E-2</v>
      </c>
      <c r="R124" s="405">
        <f t="shared" si="57"/>
        <v>2.9781602065643349E-2</v>
      </c>
      <c r="S124" s="405">
        <f t="shared" si="57"/>
        <v>2.8760379126344771E-2</v>
      </c>
      <c r="T124" s="405">
        <f t="shared" si="57"/>
        <v>2.728467548566859E-2</v>
      </c>
      <c r="U124" s="405">
        <f t="shared" si="57"/>
        <v>2.5314188388147758E-2</v>
      </c>
      <c r="V124" s="405">
        <f t="shared" si="57"/>
        <v>2.4947418692851595E-2</v>
      </c>
      <c r="W124" s="405">
        <f t="shared" si="57"/>
        <v>2.7542291331253528E-2</v>
      </c>
      <c r="X124" s="405">
        <f t="shared" si="57"/>
        <v>2.9774597221989305E-2</v>
      </c>
      <c r="Y124" s="405">
        <f t="shared" si="57"/>
        <v>3.2015053412466535E-2</v>
      </c>
      <c r="Z124" s="405">
        <f t="shared" si="57"/>
        <v>3.4153032637006947E-2</v>
      </c>
      <c r="AA124" s="405">
        <f t="shared" si="57"/>
        <v>3.5785110220338194E-2</v>
      </c>
      <c r="AB124" s="405">
        <f t="shared" si="57"/>
        <v>3.7551920033636665E-2</v>
      </c>
      <c r="AC124" s="405">
        <f t="shared" si="57"/>
        <v>3.9573272738662672E-2</v>
      </c>
      <c r="AD124" s="405">
        <f t="shared" si="57"/>
        <v>4.1461084339325549E-2</v>
      </c>
      <c r="AE124" s="405">
        <f t="shared" si="57"/>
        <v>4.2782509447197394E-2</v>
      </c>
      <c r="AF124" s="405">
        <f t="shared" si="57"/>
        <v>4.1906117296662396E-2</v>
      </c>
      <c r="AG124" s="405">
        <f t="shared" si="57"/>
        <v>4.4325174720439196E-2</v>
      </c>
      <c r="AH124" s="405">
        <f t="shared" si="57"/>
        <v>4.588124306056976E-2</v>
      </c>
      <c r="AI124" s="405">
        <f t="shared" si="57"/>
        <v>0.23514490630803059</v>
      </c>
      <c r="AJ124" s="405">
        <f t="shared" si="57"/>
        <v>0.35909354981244335</v>
      </c>
      <c r="AK124" s="405">
        <f t="shared" si="57"/>
        <v>0.43468081696354932</v>
      </c>
      <c r="AL124" s="405">
        <f t="shared" si="57"/>
        <v>0.48390581583354492</v>
      </c>
      <c r="AM124" s="405">
        <f t="shared" si="57"/>
        <v>0.51915224027683071</v>
      </c>
      <c r="AN124" s="405">
        <f t="shared" si="57"/>
        <v>0.54679516465432865</v>
      </c>
      <c r="AO124" s="405">
        <f t="shared" si="57"/>
        <v>0.57020271788025767</v>
      </c>
      <c r="AP124" s="405">
        <f t="shared" si="57"/>
        <v>0.59119208743723406</v>
      </c>
      <c r="AQ124" s="405">
        <f t="shared" si="57"/>
        <v>0.6107554076985704</v>
      </c>
      <c r="AR124" s="405">
        <f t="shared" si="57"/>
        <v>0.62943781752393058</v>
      </c>
      <c r="AS124" s="405">
        <f t="shared" si="57"/>
        <v>0.64753999911160076</v>
      </c>
      <c r="AT124" s="405">
        <f t="shared" si="57"/>
        <v>0.66522838434725196</v>
      </c>
      <c r="AU124" s="405">
        <f t="shared" si="57"/>
        <v>0.68259558979162893</v>
      </c>
      <c r="AV124" s="405">
        <f t="shared" si="57"/>
        <v>0.69969367321501152</v>
      </c>
      <c r="AW124" s="405">
        <f t="shared" si="57"/>
        <v>0.71655245541621249</v>
      </c>
      <c r="AX124" s="405">
        <f t="shared" si="57"/>
        <v>0.73318961364910507</v>
      </c>
      <c r="AY124" s="405">
        <f t="shared" si="57"/>
        <v>0.74961623822734424</v>
      </c>
      <c r="AZ124" s="405">
        <f t="shared" si="57"/>
        <v>0.76583988821693383</v>
      </c>
      <c r="BA124" s="405">
        <f t="shared" si="57"/>
        <v>0.78186626934787151</v>
      </c>
      <c r="BB124" s="405">
        <f t="shared" si="57"/>
        <v>0.79770015341415534</v>
      </c>
      <c r="BC124" s="405">
        <f t="shared" si="57"/>
        <v>0.81334588031260646</v>
      </c>
      <c r="BD124" s="405">
        <f t="shared" si="57"/>
        <v>0.82880763046820427</v>
      </c>
      <c r="BE124" s="405">
        <f t="shared" si="57"/>
        <v>0.76472844748698621</v>
      </c>
      <c r="BF124" s="405">
        <f t="shared" si="57"/>
        <v>0.67207530133793758</v>
      </c>
      <c r="BG124" s="405">
        <f t="shared" si="57"/>
        <v>0.53941682016518611</v>
      </c>
      <c r="BH124" s="405">
        <f t="shared" si="57"/>
        <v>0.35083759795070812</v>
      </c>
      <c r="BI124" s="405">
        <f t="shared" si="57"/>
        <v>8.4118436657179038E-2</v>
      </c>
    </row>
    <row r="126" spans="1:61" ht="26.25" customHeight="1" x14ac:dyDescent="0.2">
      <c r="A126" s="51" t="s">
        <v>165</v>
      </c>
      <c r="B126" s="23"/>
    </row>
    <row r="127" spans="1:61" ht="18" customHeight="1" x14ac:dyDescent="0.2">
      <c r="A127" s="23" t="s">
        <v>7</v>
      </c>
      <c r="B127" s="23"/>
    </row>
    <row r="128" spans="1:61" ht="18" customHeight="1" x14ac:dyDescent="0.2">
      <c r="A128" s="23" t="s">
        <v>8</v>
      </c>
      <c r="B128" s="23"/>
      <c r="C128" s="23">
        <f t="shared" ref="C128:BI128" si="58">+$B$7*C61/C74</f>
        <v>0.10720847635410696</v>
      </c>
      <c r="D128" s="23">
        <f t="shared" si="58"/>
        <v>0.10277278391227346</v>
      </c>
      <c r="E128" s="23">
        <f t="shared" si="58"/>
        <v>0.1051111453681375</v>
      </c>
      <c r="F128" s="23">
        <f t="shared" si="58"/>
        <v>0.10898275344771294</v>
      </c>
      <c r="G128" s="23">
        <f t="shared" si="58"/>
        <v>0.11044643061229008</v>
      </c>
      <c r="H128" s="23">
        <f t="shared" si="58"/>
        <v>0.11052105564014177</v>
      </c>
      <c r="I128" s="23">
        <f t="shared" si="58"/>
        <v>0.11046239650774776</v>
      </c>
      <c r="J128" s="23">
        <f t="shared" si="58"/>
        <v>0.10484112225361844</v>
      </c>
      <c r="K128" s="23">
        <f t="shared" si="58"/>
        <v>0.10898364263601246</v>
      </c>
      <c r="L128" s="23">
        <f t="shared" si="58"/>
        <v>0.1075181347502884</v>
      </c>
      <c r="M128" s="23">
        <f t="shared" si="58"/>
        <v>0.10125075804782582</v>
      </c>
      <c r="N128" s="23">
        <f t="shared" si="58"/>
        <v>9.845662811909757E-2</v>
      </c>
      <c r="O128" s="23">
        <f t="shared" si="58"/>
        <v>9.5923281746762359E-2</v>
      </c>
      <c r="P128" s="23">
        <f t="shared" si="58"/>
        <v>9.7006351659388784E-2</v>
      </c>
      <c r="Q128" s="23">
        <f t="shared" si="58"/>
        <v>9.6636728530059238E-2</v>
      </c>
      <c r="R128" s="23">
        <f t="shared" si="58"/>
        <v>9.6710069024817866E-2</v>
      </c>
      <c r="S128" s="23">
        <f t="shared" si="58"/>
        <v>9.693704568470797E-2</v>
      </c>
      <c r="T128" s="23">
        <f t="shared" si="58"/>
        <v>9.4947527787828612E-2</v>
      </c>
      <c r="U128" s="23">
        <f t="shared" si="58"/>
        <v>9.1850341934061455E-2</v>
      </c>
      <c r="V128" s="23">
        <f t="shared" si="58"/>
        <v>9.6127184992946146E-2</v>
      </c>
      <c r="W128" s="23">
        <f t="shared" si="58"/>
        <v>9.6161758293180091E-2</v>
      </c>
      <c r="X128" s="23">
        <f t="shared" si="58"/>
        <v>9.5231339372654711E-2</v>
      </c>
      <c r="Y128" s="23">
        <f t="shared" si="58"/>
        <v>9.5269602012064691E-2</v>
      </c>
      <c r="Z128" s="23">
        <f t="shared" si="58"/>
        <v>9.5229098467998236E-2</v>
      </c>
      <c r="AA128" s="23">
        <f t="shared" si="58"/>
        <v>9.4098566536122474E-2</v>
      </c>
      <c r="AB128" s="23">
        <f t="shared" si="58"/>
        <v>9.4373490996609133E-2</v>
      </c>
      <c r="AC128" s="23">
        <f t="shared" si="58"/>
        <v>9.5476750250947665E-2</v>
      </c>
      <c r="AD128" s="23">
        <f t="shared" si="58"/>
        <v>9.5630924087760388E-2</v>
      </c>
      <c r="AE128" s="23">
        <f t="shared" si="58"/>
        <v>9.4529518524748932E-2</v>
      </c>
      <c r="AF128" s="23">
        <f t="shared" si="58"/>
        <v>8.9667479485443805E-2</v>
      </c>
      <c r="AG128" s="23">
        <f t="shared" si="58"/>
        <v>9.5319882836128716E-2</v>
      </c>
      <c r="AH128" s="23">
        <f t="shared" si="58"/>
        <v>9.5454857386908884E-2</v>
      </c>
      <c r="AI128" s="23">
        <f t="shared" si="58"/>
        <v>0.47392356640705574</v>
      </c>
      <c r="AJ128" s="23">
        <f t="shared" si="58"/>
        <v>0.19434285404332907</v>
      </c>
      <c r="AK128" s="23">
        <f t="shared" si="58"/>
        <v>0.13638914461872523</v>
      </c>
      <c r="AL128" s="23">
        <f t="shared" si="58"/>
        <v>0.11586057245987014</v>
      </c>
      <c r="AM128" s="23">
        <f t="shared" si="58"/>
        <v>0.10685362042855169</v>
      </c>
      <c r="AN128" s="23">
        <f t="shared" si="58"/>
        <v>0.10249198742689045</v>
      </c>
      <c r="AO128" s="23">
        <f t="shared" si="58"/>
        <v>0.10027141045392669</v>
      </c>
      <c r="AP128" s="23">
        <f t="shared" si="58"/>
        <v>9.9109145884499053E-2</v>
      </c>
      <c r="AQ128" s="23">
        <f t="shared" si="58"/>
        <v>9.8490352820176819E-2</v>
      </c>
      <c r="AR128" s="23">
        <f t="shared" si="58"/>
        <v>9.8157015658754052E-2</v>
      </c>
      <c r="AS128" s="23">
        <f t="shared" si="58"/>
        <v>9.7976017911011778E-2</v>
      </c>
      <c r="AT128" s="23">
        <f t="shared" si="58"/>
        <v>9.7877546598897178E-2</v>
      </c>
      <c r="AU128" s="23">
        <f t="shared" si="58"/>
        <v>9.7824621958408575E-2</v>
      </c>
      <c r="AV128" s="23">
        <f t="shared" si="58"/>
        <v>9.7797514147308848E-2</v>
      </c>
      <c r="AW128" s="23">
        <f t="shared" si="58"/>
        <v>9.7785623456990989E-2</v>
      </c>
      <c r="AX128" s="23">
        <f t="shared" si="58"/>
        <v>9.7783205389248715E-2</v>
      </c>
      <c r="AY128" s="23">
        <f t="shared" si="58"/>
        <v>9.7787106864137469E-2</v>
      </c>
      <c r="AZ128" s="23">
        <f t="shared" si="58"/>
        <v>9.7795563312754338E-2</v>
      </c>
      <c r="BA128" s="23">
        <f t="shared" si="58"/>
        <v>9.7807558028051869E-2</v>
      </c>
      <c r="BB128" s="23">
        <f t="shared" si="58"/>
        <v>9.7822480305902057E-2</v>
      </c>
      <c r="BC128" s="23">
        <f t="shared" si="58"/>
        <v>9.7839942626979731E-2</v>
      </c>
      <c r="BD128" s="23">
        <f t="shared" si="58"/>
        <v>9.7859682592057795E-2</v>
      </c>
      <c r="BE128" s="23">
        <f t="shared" si="58"/>
        <v>9.7881510070828334E-2</v>
      </c>
      <c r="BF128" s="23">
        <f t="shared" si="58"/>
        <v>9.7893387264017487E-2</v>
      </c>
      <c r="BG128" s="23">
        <f t="shared" si="58"/>
        <v>9.7907292175892918E-2</v>
      </c>
      <c r="BH128" s="23">
        <f t="shared" si="58"/>
        <v>9.7926229165799655E-2</v>
      </c>
      <c r="BI128" s="23">
        <f t="shared" si="58"/>
        <v>9.7950101981962412E-2</v>
      </c>
    </row>
    <row r="129" spans="1:61" ht="18" customHeight="1" x14ac:dyDescent="0.2">
      <c r="A129" s="23" t="s">
        <v>11</v>
      </c>
      <c r="B129" s="23"/>
      <c r="C129" s="23">
        <f>+$B$14+LN(D56/C56)/10+$B$18*LN(D88/C88)/10</f>
        <v>1.750201416628782E-2</v>
      </c>
      <c r="D129" s="23">
        <f t="shared" ref="D129:BH129" si="59">+$B$14+LN(E56/D56)/10+$B$18*LN(E88/D88)/10</f>
        <v>2.1429907702395772E-2</v>
      </c>
      <c r="E129" s="23">
        <f t="shared" si="59"/>
        <v>2.3930955231135004E-2</v>
      </c>
      <c r="F129" s="23">
        <f t="shared" si="59"/>
        <v>2.3106999919839284E-2</v>
      </c>
      <c r="G129" s="23">
        <f t="shared" si="59"/>
        <v>2.2414716164017912E-2</v>
      </c>
      <c r="H129" s="23">
        <f t="shared" si="59"/>
        <v>2.3068544601728545E-2</v>
      </c>
      <c r="I129" s="23">
        <f t="shared" si="59"/>
        <v>1.6115871422120155E-2</v>
      </c>
      <c r="J129" s="23">
        <f t="shared" si="59"/>
        <v>2.468453394009975E-2</v>
      </c>
      <c r="K129" s="23">
        <f t="shared" si="59"/>
        <v>2.3515123103257173E-2</v>
      </c>
      <c r="L129" s="23">
        <f t="shared" si="59"/>
        <v>1.6679447443923363E-2</v>
      </c>
      <c r="M129" s="23">
        <f t="shared" si="59"/>
        <v>2.1490305809523554E-2</v>
      </c>
      <c r="N129" s="23">
        <f t="shared" si="59"/>
        <v>1.8928238040847582E-2</v>
      </c>
      <c r="O129" s="23">
        <f t="shared" si="59"/>
        <v>2.1914535050820711E-2</v>
      </c>
      <c r="P129" s="23">
        <f t="shared" si="59"/>
        <v>2.0671235170115133E-2</v>
      </c>
      <c r="Q129" s="23">
        <f t="shared" si="59"/>
        <v>2.0966910268714969E-2</v>
      </c>
      <c r="R129" s="23">
        <f t="shared" si="59"/>
        <v>2.1227808779536957E-2</v>
      </c>
      <c r="S129" s="23">
        <f t="shared" si="59"/>
        <v>1.801032031186544E-2</v>
      </c>
      <c r="T129" s="23">
        <f t="shared" si="59"/>
        <v>1.3991290632684391E-2</v>
      </c>
      <c r="U129" s="23">
        <f t="shared" si="59"/>
        <v>2.245613102807565E-2</v>
      </c>
      <c r="V129" s="23">
        <f t="shared" si="59"/>
        <v>2.0167662502474232E-2</v>
      </c>
      <c r="W129" s="23">
        <f t="shared" si="59"/>
        <v>1.862238667468756E-2</v>
      </c>
      <c r="X129" s="23">
        <f t="shared" si="59"/>
        <v>1.9130098168902199E-2</v>
      </c>
      <c r="Y129" s="23">
        <f t="shared" si="59"/>
        <v>1.8982450732320112E-2</v>
      </c>
      <c r="Z129" s="23">
        <f t="shared" si="59"/>
        <v>1.7097608590383721E-2</v>
      </c>
      <c r="AA129" s="23">
        <f t="shared" si="59"/>
        <v>1.7672089547916395E-2</v>
      </c>
      <c r="AB129" s="23">
        <f t="shared" si="59"/>
        <v>1.9452953171695632E-2</v>
      </c>
      <c r="AC129" s="23">
        <f t="shared" si="59"/>
        <v>1.9091036378866916E-2</v>
      </c>
      <c r="AD129" s="23">
        <f t="shared" si="59"/>
        <v>1.7156474331165652E-2</v>
      </c>
      <c r="AE129" s="23">
        <f t="shared" si="59"/>
        <v>9.9537628902774244E-3</v>
      </c>
      <c r="AF129" s="23">
        <f t="shared" si="59"/>
        <v>2.2116939933169821E-2</v>
      </c>
      <c r="AG129" s="23">
        <f t="shared" si="59"/>
        <v>1.9048760655704836E-2</v>
      </c>
      <c r="AH129" s="23">
        <f t="shared" si="59"/>
        <v>0.25913798618225242</v>
      </c>
      <c r="AI129" s="23">
        <f t="shared" si="59"/>
        <v>7.7369517053582249E-2</v>
      </c>
      <c r="AJ129" s="23">
        <f t="shared" si="59"/>
        <v>4.3047607305656058E-2</v>
      </c>
      <c r="AK129" s="23">
        <f t="shared" si="59"/>
        <v>3.0888004645742314E-2</v>
      </c>
      <c r="AL129" s="23">
        <f t="shared" si="59"/>
        <v>2.5615726070539212E-2</v>
      </c>
      <c r="AM129" s="23">
        <f t="shared" si="59"/>
        <v>2.3070083521785023E-2</v>
      </c>
      <c r="AN129" s="23">
        <f t="shared" si="59"/>
        <v>2.1765306134148281E-2</v>
      </c>
      <c r="AO129" s="23">
        <f t="shared" si="59"/>
        <v>2.106976238704706E-2</v>
      </c>
      <c r="AP129" s="23">
        <f t="shared" si="59"/>
        <v>2.0686264010582663E-2</v>
      </c>
      <c r="AQ129" s="23">
        <f t="shared" si="59"/>
        <v>2.0466731791598611E-2</v>
      </c>
      <c r="AR129" s="23">
        <f t="shared" si="59"/>
        <v>2.0334970105786131E-2</v>
      </c>
      <c r="AS129" s="23">
        <f t="shared" si="59"/>
        <v>2.0251037067122085E-2</v>
      </c>
      <c r="AT129" s="23">
        <f t="shared" si="59"/>
        <v>2.019374607953478E-2</v>
      </c>
      <c r="AU129" s="23">
        <f t="shared" si="59"/>
        <v>2.0151753506510696E-2</v>
      </c>
      <c r="AV129" s="23">
        <f t="shared" si="59"/>
        <v>2.0118925210442111E-2</v>
      </c>
      <c r="AW129" s="23">
        <f t="shared" si="59"/>
        <v>2.0091899865294537E-2</v>
      </c>
      <c r="AX129" s="23">
        <f t="shared" si="59"/>
        <v>2.0068799176796381E-2</v>
      </c>
      <c r="AY129" s="23">
        <f t="shared" si="59"/>
        <v>2.004854249477489E-2</v>
      </c>
      <c r="AZ129" s="23">
        <f t="shared" si="59"/>
        <v>2.003048158337891E-2</v>
      </c>
      <c r="BA129" s="23">
        <f t="shared" si="59"/>
        <v>2.0014205491890539E-2</v>
      </c>
      <c r="BB129" s="23">
        <f t="shared" si="59"/>
        <v>1.9999435969903924E-2</v>
      </c>
      <c r="BC129" s="23">
        <f t="shared" si="59"/>
        <v>1.9985971147795583E-2</v>
      </c>
      <c r="BD129" s="23">
        <f t="shared" si="59"/>
        <v>2.0012928430374395E-2</v>
      </c>
      <c r="BE129" s="23">
        <f t="shared" si="59"/>
        <v>1.9987695513222853E-2</v>
      </c>
      <c r="BF129" s="23">
        <f t="shared" si="59"/>
        <v>1.9966603066620799E-2</v>
      </c>
      <c r="BG129" s="23">
        <f t="shared" si="59"/>
        <v>1.9949827771044204E-2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23"/>
      <c r="C130" s="23">
        <f>+$B$14+LN(C56/B56)/10+$B$18*LN(C88/B88)/10</f>
        <v>1.1404923182673624E-2</v>
      </c>
      <c r="D130" s="23">
        <f t="shared" ref="D130:BH130" si="60">+$B$14+LN(D56/C56)/10+$B$18*LN(D88/C88)/10</f>
        <v>1.750201416628782E-2</v>
      </c>
      <c r="E130" s="23">
        <f t="shared" si="60"/>
        <v>2.1429907702395772E-2</v>
      </c>
      <c r="F130" s="23">
        <f t="shared" si="60"/>
        <v>2.3930955231135004E-2</v>
      </c>
      <c r="G130" s="23">
        <f t="shared" si="60"/>
        <v>2.3106999919839284E-2</v>
      </c>
      <c r="H130" s="23">
        <f t="shared" si="60"/>
        <v>2.2414716164017912E-2</v>
      </c>
      <c r="I130" s="23">
        <f t="shared" si="60"/>
        <v>2.3068544601728545E-2</v>
      </c>
      <c r="J130" s="23">
        <f t="shared" si="60"/>
        <v>1.6115871422120155E-2</v>
      </c>
      <c r="K130" s="23">
        <f t="shared" si="60"/>
        <v>2.468453394009975E-2</v>
      </c>
      <c r="L130" s="23">
        <f t="shared" si="60"/>
        <v>2.3515123103257173E-2</v>
      </c>
      <c r="M130" s="23">
        <f t="shared" si="60"/>
        <v>1.6679447443923363E-2</v>
      </c>
      <c r="N130" s="23">
        <f t="shared" si="60"/>
        <v>2.1490305809523554E-2</v>
      </c>
      <c r="O130" s="23">
        <f t="shared" si="60"/>
        <v>1.8928238040847582E-2</v>
      </c>
      <c r="P130" s="23">
        <f t="shared" si="60"/>
        <v>2.1914535050820711E-2</v>
      </c>
      <c r="Q130" s="23">
        <f t="shared" si="60"/>
        <v>2.0671235170115133E-2</v>
      </c>
      <c r="R130" s="23">
        <f t="shared" si="60"/>
        <v>2.0966910268714969E-2</v>
      </c>
      <c r="S130" s="23">
        <f t="shared" si="60"/>
        <v>2.1227808779536957E-2</v>
      </c>
      <c r="T130" s="23">
        <f t="shared" si="60"/>
        <v>1.801032031186544E-2</v>
      </c>
      <c r="U130" s="23">
        <f t="shared" si="60"/>
        <v>1.3991290632684391E-2</v>
      </c>
      <c r="V130" s="23">
        <f t="shared" si="60"/>
        <v>2.245613102807565E-2</v>
      </c>
      <c r="W130" s="23">
        <f t="shared" si="60"/>
        <v>2.0167662502474232E-2</v>
      </c>
      <c r="X130" s="23">
        <f t="shared" si="60"/>
        <v>1.862238667468756E-2</v>
      </c>
      <c r="Y130" s="23">
        <f t="shared" si="60"/>
        <v>1.9130098168902199E-2</v>
      </c>
      <c r="Z130" s="23">
        <f t="shared" si="60"/>
        <v>1.8982450732320112E-2</v>
      </c>
      <c r="AA130" s="23">
        <f t="shared" si="60"/>
        <v>1.7097608590383721E-2</v>
      </c>
      <c r="AB130" s="23">
        <f t="shared" si="60"/>
        <v>1.7672089547916395E-2</v>
      </c>
      <c r="AC130" s="23">
        <f t="shared" si="60"/>
        <v>1.9452953171695632E-2</v>
      </c>
      <c r="AD130" s="23">
        <f t="shared" si="60"/>
        <v>1.9091036378866916E-2</v>
      </c>
      <c r="AE130" s="23">
        <f t="shared" si="60"/>
        <v>1.7156474331165652E-2</v>
      </c>
      <c r="AF130" s="23">
        <f t="shared" si="60"/>
        <v>9.9537628902774244E-3</v>
      </c>
      <c r="AG130" s="23">
        <f t="shared" si="60"/>
        <v>2.2116939933169821E-2</v>
      </c>
      <c r="AH130" s="23">
        <f t="shared" si="60"/>
        <v>1.9048760655704836E-2</v>
      </c>
      <c r="AI130" s="23">
        <f t="shared" si="60"/>
        <v>0.25913798618225242</v>
      </c>
      <c r="AJ130" s="23">
        <f t="shared" si="60"/>
        <v>7.7369517053582249E-2</v>
      </c>
      <c r="AK130" s="23">
        <f t="shared" si="60"/>
        <v>4.3047607305656058E-2</v>
      </c>
      <c r="AL130" s="23">
        <f t="shared" si="60"/>
        <v>3.0888004645742314E-2</v>
      </c>
      <c r="AM130" s="23">
        <f t="shared" si="60"/>
        <v>2.5615726070539212E-2</v>
      </c>
      <c r="AN130" s="23">
        <f t="shared" si="60"/>
        <v>2.3070083521785023E-2</v>
      </c>
      <c r="AO130" s="23">
        <f t="shared" si="60"/>
        <v>2.1765306134148281E-2</v>
      </c>
      <c r="AP130" s="23">
        <f t="shared" si="60"/>
        <v>2.106976238704706E-2</v>
      </c>
      <c r="AQ130" s="23">
        <f t="shared" si="60"/>
        <v>2.0686264010582663E-2</v>
      </c>
      <c r="AR130" s="23">
        <f t="shared" si="60"/>
        <v>2.0466731791598611E-2</v>
      </c>
      <c r="AS130" s="23">
        <f t="shared" si="60"/>
        <v>2.0334970105786131E-2</v>
      </c>
      <c r="AT130" s="23">
        <f t="shared" si="60"/>
        <v>2.0251037067122085E-2</v>
      </c>
      <c r="AU130" s="23">
        <f t="shared" si="60"/>
        <v>2.019374607953478E-2</v>
      </c>
      <c r="AV130" s="23">
        <f t="shared" si="60"/>
        <v>2.0151753506510696E-2</v>
      </c>
      <c r="AW130" s="23">
        <f t="shared" si="60"/>
        <v>2.0118925210442111E-2</v>
      </c>
      <c r="AX130" s="23">
        <f t="shared" si="60"/>
        <v>2.0091899865294537E-2</v>
      </c>
      <c r="AY130" s="23">
        <f t="shared" si="60"/>
        <v>2.0068799176796381E-2</v>
      </c>
      <c r="AZ130" s="23">
        <f t="shared" si="60"/>
        <v>2.004854249477489E-2</v>
      </c>
      <c r="BA130" s="23">
        <f t="shared" si="60"/>
        <v>2.003048158337891E-2</v>
      </c>
      <c r="BB130" s="23">
        <f t="shared" si="60"/>
        <v>2.0014205491890539E-2</v>
      </c>
      <c r="BC130" s="23">
        <f t="shared" si="60"/>
        <v>1.9999435969903924E-2</v>
      </c>
      <c r="BD130" s="23">
        <f t="shared" si="60"/>
        <v>1.9985971147795583E-2</v>
      </c>
      <c r="BE130" s="23">
        <f t="shared" si="60"/>
        <v>2.0012928430374395E-2</v>
      </c>
      <c r="BF130" s="23">
        <f t="shared" si="60"/>
        <v>1.9987695513222853E-2</v>
      </c>
      <c r="BG130" s="23">
        <f t="shared" si="60"/>
        <v>1.9966603066620799E-2</v>
      </c>
      <c r="BH130" s="23">
        <f t="shared" si="60"/>
        <v>1.9949827771044204E-2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23"/>
      <c r="C131" s="23">
        <f t="shared" ref="C131:BB131" si="61">+AVERAGE(C129:C130)</f>
        <v>1.4453468674480722E-2</v>
      </c>
      <c r="D131" s="23">
        <f t="shared" si="61"/>
        <v>1.9465960934341796E-2</v>
      </c>
      <c r="E131" s="23">
        <f t="shared" si="61"/>
        <v>2.2680431466765388E-2</v>
      </c>
      <c r="F131" s="23">
        <f t="shared" si="61"/>
        <v>2.3518977575487144E-2</v>
      </c>
      <c r="G131" s="23">
        <f t="shared" si="61"/>
        <v>2.2760858041928598E-2</v>
      </c>
      <c r="H131" s="23">
        <f t="shared" si="61"/>
        <v>2.2741630382873228E-2</v>
      </c>
      <c r="I131" s="23">
        <f t="shared" si="61"/>
        <v>1.959220801192435E-2</v>
      </c>
      <c r="J131" s="23">
        <f t="shared" si="61"/>
        <v>2.0400202681109952E-2</v>
      </c>
      <c r="K131" s="23">
        <f t="shared" si="61"/>
        <v>2.4099828521678461E-2</v>
      </c>
      <c r="L131" s="23">
        <f t="shared" si="61"/>
        <v>2.0097285273590268E-2</v>
      </c>
      <c r="M131" s="23">
        <f t="shared" si="61"/>
        <v>1.9084876626723458E-2</v>
      </c>
      <c r="N131" s="23">
        <f t="shared" si="61"/>
        <v>2.0209271925185568E-2</v>
      </c>
      <c r="O131" s="23">
        <f t="shared" si="61"/>
        <v>2.0421386545834148E-2</v>
      </c>
      <c r="P131" s="23">
        <f t="shared" si="61"/>
        <v>2.1292885110467924E-2</v>
      </c>
      <c r="Q131" s="23">
        <f t="shared" si="61"/>
        <v>2.0819072719415049E-2</v>
      </c>
      <c r="R131" s="23">
        <f t="shared" si="61"/>
        <v>2.1097359524125961E-2</v>
      </c>
      <c r="S131" s="23">
        <f t="shared" si="61"/>
        <v>1.9619064545701198E-2</v>
      </c>
      <c r="T131" s="23">
        <f t="shared" si="61"/>
        <v>1.6000805472274914E-2</v>
      </c>
      <c r="U131" s="23">
        <f t="shared" si="61"/>
        <v>1.8223710830380019E-2</v>
      </c>
      <c r="V131" s="23">
        <f t="shared" si="61"/>
        <v>2.1311896765274941E-2</v>
      </c>
      <c r="W131" s="23">
        <f t="shared" si="61"/>
        <v>1.9395024588580896E-2</v>
      </c>
      <c r="X131" s="23">
        <f t="shared" si="61"/>
        <v>1.8876242421794878E-2</v>
      </c>
      <c r="Y131" s="23">
        <f t="shared" si="61"/>
        <v>1.9056274450611158E-2</v>
      </c>
      <c r="Z131" s="23">
        <f t="shared" si="61"/>
        <v>1.8040029661351917E-2</v>
      </c>
      <c r="AA131" s="23">
        <f t="shared" si="61"/>
        <v>1.7384849069150058E-2</v>
      </c>
      <c r="AB131" s="23">
        <f t="shared" si="61"/>
        <v>1.8562521359806013E-2</v>
      </c>
      <c r="AC131" s="23">
        <f t="shared" si="61"/>
        <v>1.9271994775281274E-2</v>
      </c>
      <c r="AD131" s="23">
        <f t="shared" si="61"/>
        <v>1.8123755355016286E-2</v>
      </c>
      <c r="AE131" s="23">
        <f t="shared" si="61"/>
        <v>1.3555118610721537E-2</v>
      </c>
      <c r="AF131" s="23">
        <f t="shared" si="61"/>
        <v>1.6035351411723624E-2</v>
      </c>
      <c r="AG131" s="23">
        <f t="shared" si="61"/>
        <v>2.0582850294437328E-2</v>
      </c>
      <c r="AH131" s="23">
        <f t="shared" si="61"/>
        <v>0.13909337341897862</v>
      </c>
      <c r="AI131" s="23">
        <f t="shared" si="61"/>
        <v>0.16825375161791734</v>
      </c>
      <c r="AJ131" s="23">
        <f t="shared" si="61"/>
        <v>6.0208562179619153E-2</v>
      </c>
      <c r="AK131" s="23">
        <f t="shared" si="61"/>
        <v>3.6967805975699188E-2</v>
      </c>
      <c r="AL131" s="23">
        <f t="shared" si="61"/>
        <v>2.8251865358140761E-2</v>
      </c>
      <c r="AM131" s="23">
        <f t="shared" si="61"/>
        <v>2.4342904796162117E-2</v>
      </c>
      <c r="AN131" s="23">
        <f t="shared" si="61"/>
        <v>2.2417694827966652E-2</v>
      </c>
      <c r="AO131" s="23">
        <f t="shared" si="61"/>
        <v>2.141753426059767E-2</v>
      </c>
      <c r="AP131" s="23">
        <f t="shared" si="61"/>
        <v>2.0878013198814861E-2</v>
      </c>
      <c r="AQ131" s="23">
        <f t="shared" si="61"/>
        <v>2.0576497901090639E-2</v>
      </c>
      <c r="AR131" s="23">
        <f t="shared" si="61"/>
        <v>2.0400850948692373E-2</v>
      </c>
      <c r="AS131" s="23">
        <f t="shared" si="61"/>
        <v>2.0293003586454108E-2</v>
      </c>
      <c r="AT131" s="23">
        <f t="shared" si="61"/>
        <v>2.0222391573328433E-2</v>
      </c>
      <c r="AU131" s="23">
        <f t="shared" si="61"/>
        <v>2.0172749793022738E-2</v>
      </c>
      <c r="AV131" s="23">
        <f t="shared" si="61"/>
        <v>2.0135339358476403E-2</v>
      </c>
      <c r="AW131" s="23">
        <f t="shared" si="61"/>
        <v>2.0105412537868322E-2</v>
      </c>
      <c r="AX131" s="23">
        <f t="shared" si="61"/>
        <v>2.0080349521045461E-2</v>
      </c>
      <c r="AY131" s="23">
        <f t="shared" si="61"/>
        <v>2.0058670835785636E-2</v>
      </c>
      <c r="AZ131" s="23">
        <f t="shared" si="61"/>
        <v>2.00395120390769E-2</v>
      </c>
      <c r="BA131" s="23">
        <f t="shared" si="61"/>
        <v>2.0022343537634726E-2</v>
      </c>
      <c r="BB131" s="23">
        <f t="shared" si="61"/>
        <v>2.0006820730897233E-2</v>
      </c>
      <c r="BC131" s="23">
        <f>+AVERAGE(BC129:BC130)</f>
        <v>1.9992703558849752E-2</v>
      </c>
      <c r="BD131" s="23">
        <f>+AVERAGE(BD129:BD130)</f>
        <v>1.9999449789084987E-2</v>
      </c>
      <c r="BE131" s="23">
        <f>+AVERAGE(BE129:BE130)</f>
        <v>2.0000311971798624E-2</v>
      </c>
      <c r="BF131" s="23">
        <f>+AVERAGE(BF129:BF130)</f>
        <v>1.9977149289921826E-2</v>
      </c>
      <c r="BG131" s="23">
        <f>+AVERAGE(BG129:BG130)</f>
        <v>1.9958215418832501E-2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23">
        <f t="shared" ref="B132:BI132" si="62">+B88^-$B$18</f>
        <v>1.6897970997988343E-2</v>
      </c>
      <c r="C132" s="23">
        <f t="shared" si="62"/>
        <v>1.8838066451791872E-2</v>
      </c>
      <c r="D132" s="23">
        <f t="shared" si="62"/>
        <v>1.9379931112164586E-2</v>
      </c>
      <c r="E132" s="23">
        <f t="shared" si="62"/>
        <v>1.8754911509017782E-2</v>
      </c>
      <c r="F132" s="23">
        <f t="shared" si="62"/>
        <v>1.7311655308374134E-2</v>
      </c>
      <c r="G132" s="23">
        <f t="shared" si="62"/>
        <v>1.5750628519154271E-2</v>
      </c>
      <c r="H132" s="23">
        <f t="shared" si="62"/>
        <v>1.4254883602461467E-2</v>
      </c>
      <c r="I132" s="23">
        <f t="shared" si="62"/>
        <v>1.2817104386146218E-2</v>
      </c>
      <c r="J132" s="23">
        <f t="shared" si="62"/>
        <v>1.2354103720978775E-2</v>
      </c>
      <c r="K132" s="23">
        <f t="shared" si="62"/>
        <v>1.0929979227820422E-2</v>
      </c>
      <c r="L132" s="23">
        <f t="shared" si="62"/>
        <v>9.9358864723251093E-3</v>
      </c>
      <c r="M132" s="23">
        <f t="shared" si="62"/>
        <v>9.8215802770594968E-3</v>
      </c>
      <c r="N132" s="23">
        <f t="shared" si="62"/>
        <v>9.2525795659237787E-3</v>
      </c>
      <c r="O132" s="23">
        <f t="shared" si="62"/>
        <v>8.9427523702934868E-3</v>
      </c>
      <c r="P132" s="23">
        <f t="shared" si="62"/>
        <v>8.3890012398778885E-3</v>
      </c>
      <c r="Q132" s="23">
        <f t="shared" si="62"/>
        <v>7.9679921009186052E-3</v>
      </c>
      <c r="R132" s="23">
        <f t="shared" si="62"/>
        <v>7.545767689945959E-3</v>
      </c>
      <c r="S132" s="23">
        <f t="shared" si="62"/>
        <v>7.1272976858215344E-3</v>
      </c>
      <c r="T132" s="23">
        <f t="shared" si="62"/>
        <v>6.9521597190118816E-3</v>
      </c>
      <c r="U132" s="23">
        <f t="shared" si="62"/>
        <v>7.059419786297364E-3</v>
      </c>
      <c r="V132" s="23">
        <f t="shared" si="62"/>
        <v>6.5891871429683601E-3</v>
      </c>
      <c r="W132" s="23">
        <f t="shared" si="62"/>
        <v>6.2951962237777007E-3</v>
      </c>
      <c r="X132" s="23">
        <f t="shared" si="62"/>
        <v>6.1079820047763283E-3</v>
      </c>
      <c r="Y132" s="23">
        <f t="shared" si="62"/>
        <v>5.8963229572224643E-3</v>
      </c>
      <c r="Z132" s="23">
        <f t="shared" si="62"/>
        <v>5.7004087982328892E-3</v>
      </c>
      <c r="AA132" s="23">
        <f t="shared" si="62"/>
        <v>5.6158630171799194E-3</v>
      </c>
      <c r="AB132" s="23">
        <f t="shared" si="62"/>
        <v>5.5008787321810578E-3</v>
      </c>
      <c r="AC132" s="23">
        <f t="shared" si="62"/>
        <v>5.2931407634708369E-3</v>
      </c>
      <c r="AD132" s="23">
        <f t="shared" si="62"/>
        <v>5.1117146329848441E-3</v>
      </c>
      <c r="AE132" s="23">
        <f t="shared" si="62"/>
        <v>5.0329365392411205E-3</v>
      </c>
      <c r="AF132" s="23">
        <f t="shared" si="62"/>
        <v>5.3094206543092921E-3</v>
      </c>
      <c r="AG132" s="23">
        <f t="shared" si="62"/>
        <v>4.9446853114263577E-3</v>
      </c>
      <c r="AH132" s="23">
        <f t="shared" si="62"/>
        <v>4.748485469906802E-3</v>
      </c>
      <c r="AI132" s="23">
        <f t="shared" si="62"/>
        <v>4.1331133052882591E-4</v>
      </c>
      <c r="AJ132" s="23">
        <f t="shared" si="62"/>
        <v>2.2151846853208813E-4</v>
      </c>
      <c r="AK132" s="23">
        <f t="shared" si="62"/>
        <v>1.6734037173997808E-4</v>
      </c>
      <c r="AL132" s="23">
        <f t="shared" si="62"/>
        <v>1.4275785108569094E-4</v>
      </c>
      <c r="AM132" s="23">
        <f t="shared" si="62"/>
        <v>1.2837973929690465E-4</v>
      </c>
      <c r="AN132" s="23">
        <f t="shared" si="62"/>
        <v>1.1842640940085031E-4</v>
      </c>
      <c r="AO132" s="23">
        <f t="shared" si="62"/>
        <v>1.1067950566983142E-4</v>
      </c>
      <c r="AP132" s="23">
        <f t="shared" si="62"/>
        <v>1.0416134224328713E-4</v>
      </c>
      <c r="AQ132" s="23">
        <f t="shared" si="62"/>
        <v>9.840370193406457E-5</v>
      </c>
      <c r="AR132" s="23">
        <f t="shared" si="62"/>
        <v>9.3168632763888459E-5</v>
      </c>
      <c r="AS132" s="23">
        <f t="shared" si="62"/>
        <v>8.832837517583224E-5</v>
      </c>
      <c r="AT132" s="23">
        <f t="shared" si="62"/>
        <v>8.3809891288091803E-5</v>
      </c>
      <c r="AU132" s="23">
        <f t="shared" si="62"/>
        <v>7.9568125098410913E-5</v>
      </c>
      <c r="AV132" s="23">
        <f t="shared" si="62"/>
        <v>7.5572770454050887E-5</v>
      </c>
      <c r="AW132" s="23">
        <f t="shared" si="62"/>
        <v>7.1801601945341648E-5</v>
      </c>
      <c r="AX132" s="23">
        <f t="shared" si="62"/>
        <v>6.8237057908474271E-5</v>
      </c>
      <c r="AY132" s="23">
        <f t="shared" si="62"/>
        <v>6.4864455757551132E-5</v>
      </c>
      <c r="AZ132" s="23">
        <f t="shared" si="62"/>
        <v>6.167103499469101E-5</v>
      </c>
      <c r="BA132" s="23">
        <f t="shared" si="62"/>
        <v>5.8645424347713901E-5</v>
      </c>
      <c r="BB132" s="23">
        <f t="shared" si="62"/>
        <v>5.5777329245084617E-5</v>
      </c>
      <c r="BC132" s="23">
        <f t="shared" si="62"/>
        <v>5.3057336056488298E-5</v>
      </c>
      <c r="BD132" s="23">
        <f t="shared" si="62"/>
        <v>5.0476780058736046E-5</v>
      </c>
      <c r="BE132" s="23">
        <f t="shared" si="62"/>
        <v>4.8008791261531684E-5</v>
      </c>
      <c r="BF132" s="23">
        <f t="shared" si="62"/>
        <v>4.5672994364502711E-5</v>
      </c>
      <c r="BG132" s="23">
        <f t="shared" si="62"/>
        <v>4.3460008031101602E-5</v>
      </c>
      <c r="BH132" s="23">
        <f t="shared" si="62"/>
        <v>4.1361185051727216E-5</v>
      </c>
      <c r="BI132" s="23">
        <f t="shared" si="62"/>
        <v>4.1361185051727216E-5</v>
      </c>
    </row>
    <row r="133" spans="1:61" ht="18" customHeight="1" x14ac:dyDescent="0.2">
      <c r="A133" s="23" t="s">
        <v>14</v>
      </c>
      <c r="B133" s="23">
        <f t="shared" ref="B133:AG133" si="63">+B17*B132/$B132</f>
        <v>1</v>
      </c>
      <c r="C133" s="23">
        <f t="shared" si="63"/>
        <v>0.96059725587447464</v>
      </c>
      <c r="D133" s="23">
        <f t="shared" si="63"/>
        <v>0.85152386400176239</v>
      </c>
      <c r="E133" s="23">
        <f t="shared" si="63"/>
        <v>0.71006677435526688</v>
      </c>
      <c r="F133" s="23">
        <f t="shared" si="63"/>
        <v>0.56475794064329199</v>
      </c>
      <c r="G133" s="23">
        <f t="shared" si="63"/>
        <v>0.44275269753096774</v>
      </c>
      <c r="H133" s="23">
        <f t="shared" si="63"/>
        <v>0.34527614973674031</v>
      </c>
      <c r="I133" s="23">
        <f t="shared" si="63"/>
        <v>0.26750530771230607</v>
      </c>
      <c r="J133" s="23">
        <f t="shared" si="63"/>
        <v>0.22217403518624354</v>
      </c>
      <c r="K133" s="23">
        <f t="shared" si="63"/>
        <v>0.16937174958819856</v>
      </c>
      <c r="L133" s="23">
        <f t="shared" si="63"/>
        <v>0.13266850501390087</v>
      </c>
      <c r="M133" s="23">
        <f t="shared" si="63"/>
        <v>0.11300096776892776</v>
      </c>
      <c r="N133" s="23">
        <f t="shared" si="63"/>
        <v>9.1728269017876146E-2</v>
      </c>
      <c r="O133" s="23">
        <f t="shared" si="63"/>
        <v>7.6392575533093948E-2</v>
      </c>
      <c r="P133" s="23">
        <f t="shared" si="63"/>
        <v>6.1748979316780056E-2</v>
      </c>
      <c r="Q133" s="23">
        <f t="shared" si="63"/>
        <v>5.0536830051706436E-2</v>
      </c>
      <c r="R133" s="23">
        <f t="shared" si="63"/>
        <v>4.1238428811369625E-2</v>
      </c>
      <c r="S133" s="23">
        <f t="shared" si="63"/>
        <v>3.3563184136039134E-2</v>
      </c>
      <c r="T133" s="23">
        <f t="shared" si="63"/>
        <v>2.8209642071055037E-2</v>
      </c>
      <c r="U133" s="23">
        <f t="shared" si="63"/>
        <v>2.4682345096060449E-2</v>
      </c>
      <c r="V133" s="23">
        <f t="shared" si="63"/>
        <v>1.9851294491056083E-2</v>
      </c>
      <c r="W133" s="23">
        <f t="shared" si="63"/>
        <v>1.6342023814925766E-2</v>
      </c>
      <c r="X133" s="23">
        <f t="shared" si="63"/>
        <v>1.3662616987062611E-2</v>
      </c>
      <c r="Y133" s="23">
        <f t="shared" si="63"/>
        <v>1.1364674076015905E-2</v>
      </c>
      <c r="Z133" s="23">
        <f t="shared" si="63"/>
        <v>9.4671945409116956E-3</v>
      </c>
      <c r="AA133" s="23">
        <f t="shared" si="63"/>
        <v>8.036582052963202E-3</v>
      </c>
      <c r="AB133" s="23">
        <f t="shared" si="63"/>
        <v>6.78307354288161E-3</v>
      </c>
      <c r="AC133" s="23">
        <f t="shared" si="63"/>
        <v>5.6240280217769471E-3</v>
      </c>
      <c r="AD133" s="23">
        <f t="shared" si="63"/>
        <v>4.6799391974618378E-3</v>
      </c>
      <c r="AE133" s="23">
        <f t="shared" si="63"/>
        <v>3.9704034695538133E-3</v>
      </c>
      <c r="AF133" s="23">
        <f t="shared" si="63"/>
        <v>3.6091081792932488E-3</v>
      </c>
      <c r="AG133" s="23">
        <f t="shared" si="63"/>
        <v>2.8962163430025483E-3</v>
      </c>
      <c r="AH133" s="23">
        <f t="shared" ref="AH133:BI133" si="64">+AH17*AH132/$B132</f>
        <v>2.3965529744909455E-3</v>
      </c>
      <c r="AI133" s="23">
        <f t="shared" si="64"/>
        <v>1.7974168494566732E-4</v>
      </c>
      <c r="AJ133" s="23">
        <f t="shared" si="64"/>
        <v>8.3008203566493362E-5</v>
      </c>
      <c r="AK133" s="23">
        <f t="shared" si="64"/>
        <v>5.4032042113944385E-5</v>
      </c>
      <c r="AL133" s="23">
        <f t="shared" si="64"/>
        <v>3.9718261592823407E-5</v>
      </c>
      <c r="AM133" s="23">
        <f t="shared" si="64"/>
        <v>3.0777000869677262E-5</v>
      </c>
      <c r="AN133" s="23">
        <f t="shared" si="64"/>
        <v>2.4463463673998701E-5</v>
      </c>
      <c r="AO133" s="23">
        <f t="shared" si="64"/>
        <v>1.9700451211066863E-5</v>
      </c>
      <c r="AP133" s="23">
        <f t="shared" si="64"/>
        <v>1.597552383722752E-5</v>
      </c>
      <c r="AQ133" s="23">
        <f t="shared" si="64"/>
        <v>1.3004676528639436E-5</v>
      </c>
      <c r="AR133" s="23">
        <f t="shared" si="64"/>
        <v>1.0609561076201682E-5</v>
      </c>
      <c r="AS133" s="23">
        <f t="shared" si="64"/>
        <v>8.6669744041710211E-6</v>
      </c>
      <c r="AT133" s="23">
        <f t="shared" si="64"/>
        <v>7.0860159778464547E-6</v>
      </c>
      <c r="AU133" s="23">
        <f t="shared" si="64"/>
        <v>5.7967630999858864E-6</v>
      </c>
      <c r="AV133" s="23">
        <f t="shared" si="64"/>
        <v>4.744072839256481E-6</v>
      </c>
      <c r="AW133" s="23">
        <f t="shared" si="64"/>
        <v>3.8838255660250914E-6</v>
      </c>
      <c r="AX133" s="23">
        <f t="shared" si="64"/>
        <v>3.1804271603337538E-6</v>
      </c>
      <c r="AY133" s="23">
        <f t="shared" si="64"/>
        <v>2.6050227235380324E-6</v>
      </c>
      <c r="AZ133" s="23">
        <f t="shared" si="64"/>
        <v>2.1341530035744181E-6</v>
      </c>
      <c r="BA133" s="23">
        <f t="shared" si="64"/>
        <v>1.7487109343413726E-6</v>
      </c>
      <c r="BB133" s="23">
        <f t="shared" si="64"/>
        <v>1.4331154741522835E-6</v>
      </c>
      <c r="BC133" s="23">
        <f t="shared" si="64"/>
        <v>1.1746500143096927E-6</v>
      </c>
      <c r="BD133" s="23">
        <f t="shared" si="64"/>
        <v>9.6292900431886925E-7</v>
      </c>
      <c r="BE133" s="23">
        <f t="shared" si="64"/>
        <v>7.891562023847132E-7</v>
      </c>
      <c r="BF133" s="23">
        <f t="shared" si="64"/>
        <v>6.4690612828788363E-7</v>
      </c>
      <c r="BG133" s="23">
        <f t="shared" si="64"/>
        <v>5.3040933610093257E-7</v>
      </c>
      <c r="BH133" s="23">
        <f t="shared" si="64"/>
        <v>4.3496459547731552E-7</v>
      </c>
      <c r="BI133" s="23">
        <f t="shared" si="64"/>
        <v>3.7479473888209833E-7</v>
      </c>
    </row>
    <row r="134" spans="1:61" ht="18" customHeight="1" x14ac:dyDescent="0.2">
      <c r="A134" s="23" t="s">
        <v>15</v>
      </c>
      <c r="B134" s="23"/>
      <c r="C134" s="23">
        <f>+(C133/B133)^-0.1-1</f>
        <v>4.0280957004783513E-3</v>
      </c>
      <c r="D134" s="23">
        <f t="shared" ref="D134:BI134" si="65">+(D133/C133)^-0.1-1</f>
        <v>1.2125698038330412E-2</v>
      </c>
      <c r="E134" s="23">
        <f t="shared" si="65"/>
        <v>1.8332872231450192E-2</v>
      </c>
      <c r="F134" s="23">
        <f t="shared" si="65"/>
        <v>2.3160309355043207E-2</v>
      </c>
      <c r="G134" s="23">
        <f t="shared" si="65"/>
        <v>2.4637185576779963E-2</v>
      </c>
      <c r="H134" s="23">
        <f t="shared" si="65"/>
        <v>2.5178438565333083E-2</v>
      </c>
      <c r="I134" s="23">
        <f t="shared" si="65"/>
        <v>2.5848948557558815E-2</v>
      </c>
      <c r="J134" s="23">
        <f t="shared" si="65"/>
        <v>1.8741293320344576E-2</v>
      </c>
      <c r="K134" s="23">
        <f t="shared" si="65"/>
        <v>2.7508049705039062E-2</v>
      </c>
      <c r="L134" s="23">
        <f t="shared" si="65"/>
        <v>2.4724957813340831E-2</v>
      </c>
      <c r="M134" s="23">
        <f t="shared" si="65"/>
        <v>1.6175142896762695E-2</v>
      </c>
      <c r="N134" s="23">
        <f t="shared" si="65"/>
        <v>2.1075595824881832E-2</v>
      </c>
      <c r="O134" s="23">
        <f t="shared" si="65"/>
        <v>1.8462879358957629E-2</v>
      </c>
      <c r="P134" s="23">
        <f t="shared" si="65"/>
        <v>2.150885784491674E-2</v>
      </c>
      <c r="Q134" s="23">
        <f t="shared" si="65"/>
        <v>2.0239605198151045E-2</v>
      </c>
      <c r="R134" s="23">
        <f t="shared" si="65"/>
        <v>2.0541309245002415E-2</v>
      </c>
      <c r="S134" s="23">
        <f t="shared" si="65"/>
        <v>2.0807601688957122E-2</v>
      </c>
      <c r="T134" s="23">
        <f t="shared" si="65"/>
        <v>1.7528443159071871E-2</v>
      </c>
      <c r="U134" s="23">
        <f t="shared" si="65"/>
        <v>1.3447173013119595E-2</v>
      </c>
      <c r="V134" s="23">
        <f t="shared" si="65"/>
        <v>2.2020856999295457E-2</v>
      </c>
      <c r="W134" s="23">
        <f t="shared" si="65"/>
        <v>1.964336912086373E-2</v>
      </c>
      <c r="X134" s="23">
        <f t="shared" si="65"/>
        <v>1.8068955634441997E-2</v>
      </c>
      <c r="Y134" s="23">
        <f t="shared" si="65"/>
        <v>1.8585972181636601E-2</v>
      </c>
      <c r="Z134" s="23">
        <f t="shared" si="65"/>
        <v>1.8435591675826979E-2</v>
      </c>
      <c r="AA134" s="23">
        <f t="shared" si="65"/>
        <v>1.6517809280091722E-2</v>
      </c>
      <c r="AB134" s="23">
        <f t="shared" si="65"/>
        <v>1.7101947176499932E-2</v>
      </c>
      <c r="AC134" s="23">
        <f t="shared" si="65"/>
        <v>1.8914880850578353E-2</v>
      </c>
      <c r="AD134" s="23">
        <f t="shared" si="65"/>
        <v>1.8546185167339413E-2</v>
      </c>
      <c r="AE134" s="23">
        <f t="shared" si="65"/>
        <v>1.6577649115193882E-2</v>
      </c>
      <c r="AF134" s="23">
        <f t="shared" si="65"/>
        <v>9.5863594894916027E-3</v>
      </c>
      <c r="AG134" s="23">
        <f t="shared" si="65"/>
        <v>2.2249460420103784E-2</v>
      </c>
      <c r="AH134" s="23">
        <f t="shared" si="65"/>
        <v>1.9117822479258084E-2</v>
      </c>
      <c r="AI134" s="23">
        <f t="shared" si="65"/>
        <v>0.29566826743016916</v>
      </c>
      <c r="AJ134" s="23">
        <f t="shared" si="65"/>
        <v>8.0320903150044032E-2</v>
      </c>
      <c r="AK134" s="23">
        <f t="shared" si="65"/>
        <v>4.3871314405551809E-2</v>
      </c>
      <c r="AL134" s="23">
        <f t="shared" si="65"/>
        <v>3.1255113437689719E-2</v>
      </c>
      <c r="AM134" s="23">
        <f t="shared" si="65"/>
        <v>2.5832356900420628E-2</v>
      </c>
      <c r="AN134" s="23">
        <f t="shared" si="65"/>
        <v>2.3224275434809316E-2</v>
      </c>
      <c r="AO134" s="23">
        <f t="shared" si="65"/>
        <v>2.1890066150078047E-2</v>
      </c>
      <c r="AP134" s="23">
        <f t="shared" si="65"/>
        <v>2.1179544032595476E-2</v>
      </c>
      <c r="AQ134" s="23">
        <f t="shared" si="65"/>
        <v>2.0787998418732245E-2</v>
      </c>
      <c r="AR134" s="23">
        <f t="shared" si="65"/>
        <v>2.0563927160657469E-2</v>
      </c>
      <c r="AS134" s="23">
        <f t="shared" si="65"/>
        <v>2.042946479582386E-2</v>
      </c>
      <c r="AT134" s="23">
        <f t="shared" si="65"/>
        <v>2.0343820644338484E-2</v>
      </c>
      <c r="AU134" s="23">
        <f t="shared" si="65"/>
        <v>2.0285365813658807E-2</v>
      </c>
      <c r="AV134" s="23">
        <f t="shared" si="65"/>
        <v>2.0242522305490063E-2</v>
      </c>
      <c r="AW134" s="23">
        <f t="shared" si="65"/>
        <v>2.0209030031656416E-2</v>
      </c>
      <c r="AX134" s="23">
        <f t="shared" si="65"/>
        <v>2.0181458903058447E-2</v>
      </c>
      <c r="AY134" s="23">
        <f t="shared" si="65"/>
        <v>2.0157892281168044E-2</v>
      </c>
      <c r="AZ134" s="23">
        <f t="shared" si="65"/>
        <v>2.0137227476433539E-2</v>
      </c>
      <c r="BA134" s="23">
        <f t="shared" si="65"/>
        <v>2.0118803034737898E-2</v>
      </c>
      <c r="BB134" s="23">
        <f t="shared" si="65"/>
        <v>2.0102199622890504E-2</v>
      </c>
      <c r="BC134" s="23">
        <f t="shared" si="65"/>
        <v>2.0087133312285843E-2</v>
      </c>
      <c r="BD134" s="23">
        <f t="shared" si="65"/>
        <v>2.0073398112972152E-2</v>
      </c>
      <c r="BE134" s="23">
        <f t="shared" si="65"/>
        <v>2.0100896890460573E-2</v>
      </c>
      <c r="BF134" s="23">
        <f t="shared" si="65"/>
        <v>2.0075157093789597E-2</v>
      </c>
      <c r="BG134" s="23">
        <f t="shared" si="65"/>
        <v>2.0053641439918168E-2</v>
      </c>
      <c r="BH134" s="23">
        <f t="shared" si="65"/>
        <v>2.0036529882105247E-2</v>
      </c>
      <c r="BI134" s="23">
        <f t="shared" si="65"/>
        <v>1.4999999999999902E-2</v>
      </c>
    </row>
    <row r="135" spans="1:61" ht="18" customHeight="1" x14ac:dyDescent="0.2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 x14ac:dyDescent="0.2">
      <c r="A136" s="23" t="s">
        <v>207</v>
      </c>
      <c r="B136" s="23"/>
      <c r="C136" s="23">
        <f>+C134+C135</f>
        <v>1.1301626733486569E-2</v>
      </c>
      <c r="D136" s="23">
        <f t="shared" ref="D136:K136" si="67">+D134+D135</f>
        <v>1.7463553998456338E-2</v>
      </c>
      <c r="E136" s="23">
        <f t="shared" si="67"/>
        <v>2.1484541272789936E-2</v>
      </c>
      <c r="F136" s="23">
        <f t="shared" si="67"/>
        <v>2.4083697250512008E-2</v>
      </c>
      <c r="G136" s="23">
        <f t="shared" si="67"/>
        <v>2.3294213351445211E-2</v>
      </c>
      <c r="H136" s="23">
        <f t="shared" si="67"/>
        <v>2.2615083378806817E-2</v>
      </c>
      <c r="I136" s="23">
        <f t="shared" si="67"/>
        <v>2.3285593371032573E-2</v>
      </c>
      <c r="J136" s="23">
        <f t="shared" si="67"/>
        <v>1.617793813381832E-2</v>
      </c>
      <c r="K136" s="23">
        <f t="shared" si="67"/>
        <v>2.4944694518512806E-2</v>
      </c>
    </row>
    <row r="137" spans="1:61" ht="18" customHeight="1" x14ac:dyDescent="0.2">
      <c r="A137" s="23" t="s">
        <v>208</v>
      </c>
      <c r="B137" s="23"/>
      <c r="C137" s="23">
        <f>+C136-C129</f>
        <v>-6.2003874328012513E-3</v>
      </c>
      <c r="D137" s="23">
        <f t="shared" ref="D137:K137" si="68">+D136-D129</f>
        <v>-3.9663537039394334E-3</v>
      </c>
      <c r="E137" s="23">
        <f t="shared" si="68"/>
        <v>-2.4464139583450679E-3</v>
      </c>
      <c r="F137" s="23">
        <f t="shared" si="68"/>
        <v>9.7669733067272391E-4</v>
      </c>
      <c r="G137" s="23">
        <f t="shared" si="68"/>
        <v>8.7949718742729929E-4</v>
      </c>
      <c r="H137" s="23">
        <f t="shared" si="68"/>
        <v>-4.5346122292172844E-4</v>
      </c>
      <c r="I137" s="23">
        <f t="shared" si="68"/>
        <v>7.1697219489124178E-3</v>
      </c>
      <c r="J137" s="23">
        <f t="shared" si="68"/>
        <v>-8.5065958062814293E-3</v>
      </c>
      <c r="K137" s="23">
        <f t="shared" si="68"/>
        <v>1.429571415255633E-3</v>
      </c>
    </row>
    <row r="138" spans="1:61" ht="18" customHeight="1" x14ac:dyDescent="0.2">
      <c r="A138" s="23"/>
      <c r="B138" s="23" t="s">
        <v>28</v>
      </c>
    </row>
    <row r="139" spans="1:61" ht="18" customHeight="1" x14ac:dyDescent="0.2">
      <c r="A139" s="23" t="s">
        <v>209</v>
      </c>
      <c r="B139" s="23">
        <f t="shared" ref="B139:BI139" si="69">+$B$7*B68/B74-(1-(1-0.1)^10)/10</f>
        <v>4.021049190214955E-2</v>
      </c>
      <c r="C139" s="23">
        <f t="shared" si="69"/>
        <v>4.1842040136055136E-2</v>
      </c>
      <c r="D139" s="23">
        <f t="shared" si="69"/>
        <v>3.7424265900786485E-2</v>
      </c>
      <c r="E139" s="23">
        <f t="shared" si="69"/>
        <v>3.9725441433480099E-2</v>
      </c>
      <c r="F139" s="23">
        <f t="shared" si="69"/>
        <v>4.3539471753770639E-2</v>
      </c>
      <c r="G139" s="23">
        <f t="shared" si="69"/>
        <v>4.493207325465251E-2</v>
      </c>
      <c r="H139" s="23">
        <f t="shared" si="69"/>
        <v>4.4989243370099671E-2</v>
      </c>
      <c r="I139" s="23">
        <f t="shared" si="69"/>
        <v>4.4862387446594251E-2</v>
      </c>
      <c r="J139" s="23">
        <f t="shared" si="69"/>
        <v>3.9186650102081999E-2</v>
      </c>
      <c r="K139" s="23">
        <f t="shared" si="69"/>
        <v>4.332255918633883E-2</v>
      </c>
      <c r="L139" s="23">
        <f t="shared" si="69"/>
        <v>4.1819231130774959E-2</v>
      </c>
      <c r="M139" s="23">
        <f t="shared" si="69"/>
        <v>3.5511482976934017E-2</v>
      </c>
      <c r="N139" s="23">
        <f t="shared" si="69"/>
        <v>3.2675504230380056E-2</v>
      </c>
      <c r="O139" s="23">
        <f t="shared" si="69"/>
        <v>3.0124367919373091E-2</v>
      </c>
      <c r="P139" s="23">
        <f t="shared" si="69"/>
        <v>3.1187930266309061E-2</v>
      </c>
      <c r="Q139" s="23">
        <f t="shared" si="69"/>
        <v>3.074870044921231E-2</v>
      </c>
      <c r="R139" s="23">
        <f t="shared" si="69"/>
        <v>3.0791279084806181E-2</v>
      </c>
      <c r="S139" s="23">
        <f t="shared" si="69"/>
        <v>3.0972541840535897E-2</v>
      </c>
      <c r="T139" s="23">
        <f t="shared" si="69"/>
        <v>2.8992446614548875E-2</v>
      </c>
      <c r="U139" s="23">
        <f t="shared" si="69"/>
        <v>2.586438583945451E-2</v>
      </c>
      <c r="V139" s="23">
        <f t="shared" si="69"/>
        <v>3.005171280836598E-2</v>
      </c>
      <c r="W139" s="23">
        <f t="shared" si="69"/>
        <v>3.0073996039350945E-2</v>
      </c>
      <c r="X139" s="23">
        <f t="shared" si="69"/>
        <v>2.9105649337960712E-2</v>
      </c>
      <c r="Y139" s="23">
        <f t="shared" si="69"/>
        <v>2.9099603615840977E-2</v>
      </c>
      <c r="Z139" s="23">
        <f t="shared" si="69"/>
        <v>2.9004850945408014E-2</v>
      </c>
      <c r="AA139" s="23">
        <f t="shared" si="69"/>
        <v>2.7797698102416835E-2</v>
      </c>
      <c r="AB139" s="23">
        <f t="shared" si="69"/>
        <v>2.7745601897801869E-2</v>
      </c>
      <c r="AC139" s="23">
        <f t="shared" si="69"/>
        <v>2.8836850398723995E-2</v>
      </c>
      <c r="AD139" s="23">
        <f t="shared" si="69"/>
        <v>2.8983935350807177E-2</v>
      </c>
      <c r="AE139" s="23">
        <f t="shared" si="69"/>
        <v>2.78271765112523E-2</v>
      </c>
      <c r="AF139" s="23">
        <f t="shared" si="69"/>
        <v>2.3008284078985877E-2</v>
      </c>
      <c r="AG139" s="23">
        <f t="shared" si="69"/>
        <v>2.8606558648114594E-2</v>
      </c>
      <c r="AH139" s="23">
        <f t="shared" si="69"/>
        <v>2.8690202771014639E-2</v>
      </c>
      <c r="AI139" s="23">
        <f t="shared" si="69"/>
        <v>0.39999039471895559</v>
      </c>
      <c r="AJ139" s="23">
        <f t="shared" si="69"/>
        <v>0.12478959638032906</v>
      </c>
      <c r="AK139" s="23">
        <f t="shared" si="69"/>
        <v>6.7845151223331526E-2</v>
      </c>
      <c r="AL139" s="23">
        <f t="shared" si="69"/>
        <v>4.770603284147415E-2</v>
      </c>
      <c r="AM139" s="23">
        <f t="shared" si="69"/>
        <v>3.8868850136021385E-2</v>
      </c>
      <c r="AN139" s="23">
        <f t="shared" si="69"/>
        <v>3.4581846986519504E-2</v>
      </c>
      <c r="AO139" s="23">
        <f t="shared" si="69"/>
        <v>3.2389996077554079E-2</v>
      </c>
      <c r="AP139" s="23">
        <f t="shared" si="69"/>
        <v>3.1232825475271939E-2</v>
      </c>
      <c r="AQ139" s="23">
        <f t="shared" si="69"/>
        <v>3.0606375328034244E-2</v>
      </c>
      <c r="AR139" s="23">
        <f t="shared" si="69"/>
        <v>3.0258182580877049E-2</v>
      </c>
      <c r="AS139" s="23">
        <f t="shared" si="69"/>
        <v>3.0058035610248779E-2</v>
      </c>
      <c r="AT139" s="23">
        <f t="shared" si="69"/>
        <v>2.9937664312144299E-2</v>
      </c>
      <c r="AU139" s="23">
        <f t="shared" si="69"/>
        <v>2.9860917183588825E-2</v>
      </c>
      <c r="AV139" s="23">
        <f t="shared" si="69"/>
        <v>2.9808513304564799E-2</v>
      </c>
      <c r="AW139" s="23">
        <f t="shared" si="69"/>
        <v>2.977009898666573E-2</v>
      </c>
      <c r="AX139" s="23">
        <f t="shared" si="69"/>
        <v>2.9740066556396397E-2</v>
      </c>
      <c r="AY139" s="23">
        <f t="shared" si="69"/>
        <v>2.9715340608465757E-2</v>
      </c>
      <c r="AZ139" s="23">
        <f t="shared" si="69"/>
        <v>2.9694201927616834E-2</v>
      </c>
      <c r="BA139" s="23">
        <f t="shared" si="69"/>
        <v>2.9675661268239548E-2</v>
      </c>
      <c r="BB139" s="23">
        <f t="shared" si="69"/>
        <v>2.9659125282069376E-2</v>
      </c>
      <c r="BC139" s="23">
        <f t="shared" si="69"/>
        <v>2.9644217921248703E-2</v>
      </c>
      <c r="BD139" s="23">
        <f t="shared" si="69"/>
        <v>2.9630684677136421E-2</v>
      </c>
      <c r="BE139" s="23">
        <f t="shared" si="69"/>
        <v>2.9643152105072776E-2</v>
      </c>
      <c r="BF139" s="23">
        <f t="shared" si="69"/>
        <v>2.9631414673661996E-2</v>
      </c>
      <c r="BG139" s="23">
        <f t="shared" si="69"/>
        <v>2.9614132775971164E-2</v>
      </c>
      <c r="BH139" s="23">
        <f t="shared" si="69"/>
        <v>2.9597709889006063E-2</v>
      </c>
      <c r="BI139" s="23">
        <f t="shared" si="69"/>
        <v>2.958374025208084E-2</v>
      </c>
    </row>
    <row r="140" spans="1:61" ht="18" customHeight="1" x14ac:dyDescent="0.2">
      <c r="A140" s="23" t="s">
        <v>94</v>
      </c>
      <c r="B140" s="23">
        <v>1</v>
      </c>
      <c r="C140" s="23">
        <f t="shared" ref="C140:AH140" si="70">+B140/(1+C131)^10</f>
        <v>0.8663206878500318</v>
      </c>
      <c r="D140" s="23">
        <f t="shared" si="70"/>
        <v>0.71441635637171419</v>
      </c>
      <c r="E140" s="23">
        <f t="shared" si="70"/>
        <v>0.57088933396997299</v>
      </c>
      <c r="F140" s="23">
        <f t="shared" si="70"/>
        <v>0.45247327565342838</v>
      </c>
      <c r="G140" s="23">
        <f t="shared" si="70"/>
        <v>0.3612866758777547</v>
      </c>
      <c r="H140" s="23">
        <f t="shared" si="70"/>
        <v>0.28853108170568592</v>
      </c>
      <c r="I140" s="23">
        <f t="shared" si="70"/>
        <v>0.23764436769913241</v>
      </c>
      <c r="J140" s="23">
        <f t="shared" si="70"/>
        <v>0.19418789934652464</v>
      </c>
      <c r="K140" s="23">
        <f t="shared" si="70"/>
        <v>0.15303798171503263</v>
      </c>
      <c r="L140" s="23">
        <f t="shared" si="70"/>
        <v>0.12542476947474751</v>
      </c>
      <c r="M140" s="23">
        <f t="shared" si="70"/>
        <v>0.10381969413620366</v>
      </c>
      <c r="N140" s="23">
        <f t="shared" si="70"/>
        <v>8.4993768006915257E-2</v>
      </c>
      <c r="O140" s="23">
        <f t="shared" si="70"/>
        <v>6.9437097843618928E-2</v>
      </c>
      <c r="P140" s="23">
        <f t="shared" si="70"/>
        <v>5.6245592643239924E-2</v>
      </c>
      <c r="Q140" s="23">
        <f t="shared" si="70"/>
        <v>4.5772089681554037E-2</v>
      </c>
      <c r="R140" s="23">
        <f t="shared" si="70"/>
        <v>3.7147467272565654E-2</v>
      </c>
      <c r="S140" s="23">
        <f t="shared" si="70"/>
        <v>3.0587905295605591E-2</v>
      </c>
      <c r="T140" s="23">
        <f t="shared" si="70"/>
        <v>2.6098119439639765E-2</v>
      </c>
      <c r="U140" s="23">
        <f t="shared" si="70"/>
        <v>2.1785982696112049E-2</v>
      </c>
      <c r="V140" s="23">
        <f t="shared" si="70"/>
        <v>1.7643845497807887E-2</v>
      </c>
      <c r="W140" s="23">
        <f t="shared" si="70"/>
        <v>1.456022715128813E-2</v>
      </c>
      <c r="X140" s="23">
        <f t="shared" si="70"/>
        <v>1.2076853362331188E-2</v>
      </c>
      <c r="Y140" s="23">
        <f t="shared" si="70"/>
        <v>9.999358055100856E-3</v>
      </c>
      <c r="Z140" s="23">
        <f t="shared" si="70"/>
        <v>8.3622581496231151E-3</v>
      </c>
      <c r="AA140" s="23">
        <f t="shared" si="70"/>
        <v>7.0383508565003486E-3</v>
      </c>
      <c r="AB140" s="23">
        <f t="shared" si="70"/>
        <v>5.8559045918106546E-3</v>
      </c>
      <c r="AC140" s="23">
        <f t="shared" si="70"/>
        <v>4.8383031265909439E-3</v>
      </c>
      <c r="AD140" s="23">
        <f t="shared" si="70"/>
        <v>4.042847565835229E-3</v>
      </c>
      <c r="AE140" s="23">
        <f t="shared" si="70"/>
        <v>3.5335696355327049E-3</v>
      </c>
      <c r="AF140" s="23">
        <f t="shared" si="70"/>
        <v>3.0138765958481642E-3</v>
      </c>
      <c r="AG140" s="23">
        <f t="shared" si="70"/>
        <v>2.4583448448003736E-3</v>
      </c>
      <c r="AH140" s="23">
        <f t="shared" si="70"/>
        <v>6.684201747558106E-4</v>
      </c>
      <c r="AI140" s="23">
        <f t="shared" ref="AI140:BG140" si="71">+AH140/(1+AI131)^10</f>
        <v>1.4114896765344233E-4</v>
      </c>
      <c r="AJ140" s="23">
        <f t="shared" si="71"/>
        <v>7.8661936508101263E-5</v>
      </c>
      <c r="AK140" s="23">
        <f t="shared" si="71"/>
        <v>5.471569249684787E-5</v>
      </c>
      <c r="AL140" s="23">
        <f t="shared" si="71"/>
        <v>4.1411106958134949E-5</v>
      </c>
      <c r="AM140" s="23">
        <f t="shared" si="71"/>
        <v>3.2558411190946942E-5</v>
      </c>
      <c r="AN140" s="23">
        <f t="shared" si="71"/>
        <v>2.6084326773889075E-5</v>
      </c>
      <c r="AO140" s="23">
        <f t="shared" si="71"/>
        <v>2.1103113893246248E-5</v>
      </c>
      <c r="AP140" s="23">
        <f t="shared" si="71"/>
        <v>1.7163586311028219E-5</v>
      </c>
      <c r="AQ140" s="23">
        <f t="shared" si="71"/>
        <v>1.4000785681662806E-5</v>
      </c>
      <c r="AR140" s="23">
        <f t="shared" si="71"/>
        <v>1.1440481062023742E-5</v>
      </c>
      <c r="AS140" s="23">
        <f t="shared" si="71"/>
        <v>9.3582620170466745E-6</v>
      </c>
      <c r="AT140" s="23">
        <f t="shared" si="71"/>
        <v>7.6603160788431267E-6</v>
      </c>
      <c r="AU140" s="23">
        <f t="shared" si="71"/>
        <v>6.2734942212226166E-6</v>
      </c>
      <c r="AV140" s="23">
        <f t="shared" si="71"/>
        <v>5.1396266984990684E-6</v>
      </c>
      <c r="AW140" s="23">
        <f t="shared" si="71"/>
        <v>4.2119291547105098E-6</v>
      </c>
      <c r="AX140" s="23">
        <f t="shared" si="71"/>
        <v>3.4525282609707095E-6</v>
      </c>
      <c r="AY140" s="23">
        <f t="shared" si="71"/>
        <v>2.8306470673602759E-6</v>
      </c>
      <c r="AZ140" s="23">
        <f t="shared" si="71"/>
        <v>2.3212171757933934E-6</v>
      </c>
      <c r="BA140" s="23">
        <f t="shared" si="71"/>
        <v>1.9037894894359634E-6</v>
      </c>
      <c r="BB140" s="23">
        <f t="shared" si="71"/>
        <v>1.5616660393678374E-6</v>
      </c>
      <c r="BC140" s="23">
        <f t="shared" si="71"/>
        <v>1.2812017265650794E-6</v>
      </c>
      <c r="BD140" s="23">
        <f t="shared" si="71"/>
        <v>1.0510373277024829E-6</v>
      </c>
      <c r="BE140" s="23">
        <f t="shared" si="71"/>
        <v>8.622140477601999E-7</v>
      </c>
      <c r="BF140" s="23">
        <f t="shared" si="71"/>
        <v>7.0747430527306126E-7</v>
      </c>
      <c r="BG140" s="23">
        <f t="shared" si="71"/>
        <v>5.8061314947195156E-7</v>
      </c>
      <c r="BH140" s="23">
        <f>+BG140</f>
        <v>5.8061314947195156E-7</v>
      </c>
      <c r="BI140" s="23">
        <f>+BH140</f>
        <v>5.8061314947195156E-7</v>
      </c>
    </row>
    <row r="141" spans="1:61" ht="18" customHeight="1" x14ac:dyDescent="0.2">
      <c r="A141" s="23" t="s">
        <v>208</v>
      </c>
      <c r="B141" s="23">
        <f t="shared" ref="B141:K141" si="72">+B139-C131</f>
        <v>2.5757023227668829E-2</v>
      </c>
      <c r="C141" s="23">
        <f t="shared" si="72"/>
        <v>2.2376079201713341E-2</v>
      </c>
      <c r="D141" s="23">
        <f t="shared" si="72"/>
        <v>1.4743834434021098E-2</v>
      </c>
      <c r="E141" s="23">
        <f t="shared" si="72"/>
        <v>1.6206463857992955E-2</v>
      </c>
      <c r="F141" s="23">
        <f t="shared" si="72"/>
        <v>2.0778613711842042E-2</v>
      </c>
      <c r="G141" s="23">
        <f t="shared" si="72"/>
        <v>2.2190442871779282E-2</v>
      </c>
      <c r="H141" s="23">
        <f t="shared" si="72"/>
        <v>2.5397035358175321E-2</v>
      </c>
      <c r="I141" s="23">
        <f t="shared" si="72"/>
        <v>2.4462184765484299E-2</v>
      </c>
      <c r="J141" s="23">
        <f t="shared" si="72"/>
        <v>1.5086821580403538E-2</v>
      </c>
      <c r="K141" s="23">
        <f t="shared" si="72"/>
        <v>2.3225273912748562E-2</v>
      </c>
    </row>
    <row r="142" spans="1:61" ht="18" customHeight="1" x14ac:dyDescent="0.2">
      <c r="A142" s="23" t="s">
        <v>13</v>
      </c>
      <c r="B142" s="23"/>
      <c r="C142" s="23">
        <f>+EXP(C128-0.1)</f>
        <v>1.0072345199604118</v>
      </c>
      <c r="D142" s="23">
        <f>+EXP(D128-0.1)</f>
        <v>1.0027766316330631</v>
      </c>
    </row>
    <row r="143" spans="1:61" ht="18" customHeight="1" x14ac:dyDescent="0.2">
      <c r="A143" s="23" t="s">
        <v>149</v>
      </c>
      <c r="B143" s="23"/>
    </row>
    <row r="144" spans="1:61" ht="18" customHeight="1" x14ac:dyDescent="0.2">
      <c r="A144" s="23" t="s">
        <v>152</v>
      </c>
      <c r="B144" s="23">
        <f>+SUMPRODUCT(B140:U140*B84:U84)*10</f>
        <v>124.35842910814911</v>
      </c>
    </row>
    <row r="145" spans="1:74" ht="18" customHeight="1" x14ac:dyDescent="0.2">
      <c r="A145" s="23" t="s">
        <v>150</v>
      </c>
      <c r="B145" s="23">
        <f>+SUMPRODUCT(B140:AE140*B84:AE84)*10</f>
        <v>128.24181422000242</v>
      </c>
    </row>
    <row r="146" spans="1:74" ht="18" customHeight="1" x14ac:dyDescent="0.2">
      <c r="A146" s="23" t="s">
        <v>151</v>
      </c>
      <c r="B146" s="23">
        <f>+SUMPRODUCT(B140:BI140*B84:BI84)*10</f>
        <v>128.79674506608589</v>
      </c>
    </row>
    <row r="147" spans="1:74" ht="18" customHeight="1" x14ac:dyDescent="0.2">
      <c r="A147" s="23"/>
      <c r="B147" s="23"/>
    </row>
    <row r="148" spans="1:74" s="63" customFormat="1" ht="18" customHeight="1" x14ac:dyDescent="0.2">
      <c r="A148" s="23" t="s">
        <v>69</v>
      </c>
      <c r="B148" s="23">
        <v>1</v>
      </c>
      <c r="C148" s="23">
        <f t="shared" ref="C148:AH148" si="73">+B148/(1+B79)^10</f>
        <v>0.96059725587447353</v>
      </c>
      <c r="D148" s="23">
        <f t="shared" si="73"/>
        <v>0.85152386400176217</v>
      </c>
      <c r="E148" s="23">
        <f t="shared" si="73"/>
        <v>0.71006677435526733</v>
      </c>
      <c r="F148" s="23">
        <f t="shared" si="73"/>
        <v>0.56475794064329277</v>
      </c>
      <c r="G148" s="23">
        <f t="shared" si="73"/>
        <v>0.44275269753096796</v>
      </c>
      <c r="H148" s="23">
        <f t="shared" si="73"/>
        <v>0.34527614973674053</v>
      </c>
      <c r="I148" s="23">
        <f t="shared" si="73"/>
        <v>0.26750530771230618</v>
      </c>
      <c r="J148" s="23">
        <f t="shared" si="73"/>
        <v>0.22217403518624379</v>
      </c>
      <c r="K148" s="23">
        <f t="shared" si="73"/>
        <v>0.16937174958819851</v>
      </c>
      <c r="L148" s="23">
        <f t="shared" si="73"/>
        <v>0.13266850501390101</v>
      </c>
      <c r="M148" s="23">
        <f t="shared" si="73"/>
        <v>0.11300096776892775</v>
      </c>
      <c r="N148" s="23">
        <f t="shared" si="73"/>
        <v>9.1728269017876146E-2</v>
      </c>
      <c r="O148" s="23">
        <f t="shared" si="73"/>
        <v>7.6392575533093962E-2</v>
      </c>
      <c r="P148" s="23">
        <f t="shared" si="73"/>
        <v>6.1748979316780056E-2</v>
      </c>
      <c r="Q148" s="23">
        <f t="shared" si="73"/>
        <v>5.0536830051706415E-2</v>
      </c>
      <c r="R148" s="23">
        <f t="shared" si="73"/>
        <v>4.1238428811369604E-2</v>
      </c>
      <c r="S148" s="23">
        <f t="shared" si="73"/>
        <v>3.3563184136039148E-2</v>
      </c>
      <c r="T148" s="23">
        <f t="shared" si="73"/>
        <v>2.8209642071055054E-2</v>
      </c>
      <c r="U148" s="23">
        <f t="shared" si="73"/>
        <v>2.4682345096060456E-2</v>
      </c>
      <c r="V148" s="23">
        <f t="shared" si="73"/>
        <v>1.9851294491056087E-2</v>
      </c>
      <c r="W148" s="23">
        <f t="shared" si="73"/>
        <v>1.6342023814925756E-2</v>
      </c>
      <c r="X148" s="23">
        <f t="shared" si="73"/>
        <v>1.3662616987062611E-2</v>
      </c>
      <c r="Y148" s="23">
        <f t="shared" si="73"/>
        <v>1.1364674076015905E-2</v>
      </c>
      <c r="Z148" s="23">
        <f t="shared" si="73"/>
        <v>9.4671945409116852E-3</v>
      </c>
      <c r="AA148" s="23">
        <f t="shared" si="73"/>
        <v>8.0365820529632002E-3</v>
      </c>
      <c r="AB148" s="23">
        <f t="shared" si="73"/>
        <v>6.7830735428816074E-3</v>
      </c>
      <c r="AC148" s="23">
        <f t="shared" si="73"/>
        <v>5.6240280217769428E-3</v>
      </c>
      <c r="AD148" s="23">
        <f t="shared" si="73"/>
        <v>4.6799391974618352E-3</v>
      </c>
      <c r="AE148" s="23">
        <f t="shared" si="73"/>
        <v>3.9704034695538159E-3</v>
      </c>
      <c r="AF148" s="23">
        <f t="shared" si="73"/>
        <v>3.6091081792932493E-3</v>
      </c>
      <c r="AG148" s="23">
        <f t="shared" si="73"/>
        <v>2.8962163430025526E-3</v>
      </c>
      <c r="AH148" s="23">
        <f t="shared" si="73"/>
        <v>2.396552974490949E-3</v>
      </c>
      <c r="AI148" s="23">
        <f t="shared" ref="AI148:BI148" si="74">+AH148/(1+AH79)^10</f>
        <v>1.7974168494566765E-4</v>
      </c>
      <c r="AJ148" s="23">
        <f t="shared" si="74"/>
        <v>8.3008203566493417E-5</v>
      </c>
      <c r="AK148" s="23">
        <f t="shared" si="74"/>
        <v>5.4032042113944365E-5</v>
      </c>
      <c r="AL148" s="23">
        <f t="shared" si="74"/>
        <v>3.9718261592823359E-5</v>
      </c>
      <c r="AM148" s="23">
        <f t="shared" si="74"/>
        <v>3.0777000869677235E-5</v>
      </c>
      <c r="AN148" s="23">
        <f t="shared" si="74"/>
        <v>2.4463463673998644E-5</v>
      </c>
      <c r="AO148" s="23">
        <f t="shared" si="74"/>
        <v>1.9700451211066815E-5</v>
      </c>
      <c r="AP148" s="23">
        <f t="shared" si="74"/>
        <v>1.5975523837227483E-5</v>
      </c>
      <c r="AQ148" s="23">
        <f t="shared" si="74"/>
        <v>1.3004676528639417E-5</v>
      </c>
      <c r="AR148" s="23">
        <f t="shared" si="74"/>
        <v>1.0609561076201663E-5</v>
      </c>
      <c r="AS148" s="23">
        <f t="shared" si="74"/>
        <v>8.666974404171011E-6</v>
      </c>
      <c r="AT148" s="23">
        <f t="shared" si="74"/>
        <v>7.0860159778464555E-6</v>
      </c>
      <c r="AU148" s="23">
        <f t="shared" si="74"/>
        <v>5.7967630999858805E-6</v>
      </c>
      <c r="AV148" s="23">
        <f t="shared" si="74"/>
        <v>4.7440728392564759E-6</v>
      </c>
      <c r="AW148" s="23">
        <f t="shared" si="74"/>
        <v>3.8838255660250872E-6</v>
      </c>
      <c r="AX148" s="23">
        <f t="shared" si="74"/>
        <v>3.1804271603337517E-6</v>
      </c>
      <c r="AY148" s="23">
        <f t="shared" si="74"/>
        <v>2.6050227235380319E-6</v>
      </c>
      <c r="AZ148" s="23">
        <f t="shared" si="74"/>
        <v>2.1341530035744193E-6</v>
      </c>
      <c r="BA148" s="23">
        <f t="shared" si="74"/>
        <v>1.7487109343413733E-6</v>
      </c>
      <c r="BB148" s="23">
        <f t="shared" si="74"/>
        <v>1.4331154741522839E-6</v>
      </c>
      <c r="BC148" s="23">
        <f t="shared" si="74"/>
        <v>1.1746500143096919E-6</v>
      </c>
      <c r="BD148" s="23">
        <f t="shared" si="74"/>
        <v>9.6292900431886862E-7</v>
      </c>
      <c r="BE148" s="23">
        <f t="shared" si="74"/>
        <v>7.8915620238471214E-7</v>
      </c>
      <c r="BF148" s="23">
        <f t="shared" si="74"/>
        <v>6.4690612828788246E-7</v>
      </c>
      <c r="BG148" s="23">
        <f t="shared" si="74"/>
        <v>5.3040933610093162E-7</v>
      </c>
      <c r="BH148" s="23">
        <f t="shared" si="74"/>
        <v>4.3496459547731489E-7</v>
      </c>
      <c r="BI148" s="23">
        <f t="shared" si="74"/>
        <v>3.747947388820978E-7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23"/>
    </row>
    <row r="150" spans="1:74" ht="18" customHeight="1" x14ac:dyDescent="0.2">
      <c r="A150" s="23" t="s">
        <v>149</v>
      </c>
      <c r="B150" s="23"/>
    </row>
    <row r="151" spans="1:74" ht="18" customHeight="1" x14ac:dyDescent="0.2">
      <c r="A151" s="23" t="s">
        <v>152</v>
      </c>
      <c r="B151" s="23">
        <f>+SUMPRODUCT(B148:U148*B84:U84)*10</f>
        <v>141.57544595925484</v>
      </c>
    </row>
    <row r="152" spans="1:74" ht="18" customHeight="1" x14ac:dyDescent="0.2">
      <c r="A152" s="23" t="s">
        <v>150</v>
      </c>
      <c r="B152" s="23">
        <f>+SUMPRODUCT(B148:AE148*B84:AE84)*10</f>
        <v>145.98368530036035</v>
      </c>
    </row>
    <row r="153" spans="1:74" ht="18" customHeight="1" x14ac:dyDescent="0.2">
      <c r="A153" s="23" t="s">
        <v>151</v>
      </c>
      <c r="B153" s="23">
        <f>+SUMPRODUCT(B148:BI148*B84:BI84)*10</f>
        <v>146.68460624544534</v>
      </c>
    </row>
    <row r="154" spans="1:74" ht="18" customHeight="1" x14ac:dyDescent="0.2">
      <c r="A154" s="23" t="s">
        <v>151</v>
      </c>
      <c r="B154" s="23">
        <f>+SUMPRODUCT(B149:BI149*B84:BI84)*10</f>
        <v>0</v>
      </c>
    </row>
    <row r="155" spans="1:74" ht="18" customHeight="1" x14ac:dyDescent="0.2">
      <c r="A155" s="21" t="s">
        <v>228</v>
      </c>
      <c r="B155" s="29">
        <f>+B63*B61</f>
        <v>1.9574682465392317E-3</v>
      </c>
      <c r="C155" s="29">
        <f t="shared" ref="C155:BI155" si="75">+C63*C61</f>
        <v>5.3921149582079201E-3</v>
      </c>
      <c r="D155" s="29">
        <f t="shared" si="75"/>
        <v>5.3421075532266151E-3</v>
      </c>
      <c r="E155" s="29">
        <f t="shared" si="75"/>
        <v>6.419125611979523E-3</v>
      </c>
      <c r="F155" s="29">
        <f t="shared" si="75"/>
        <v>8.0607877242466833E-3</v>
      </c>
      <c r="G155" s="29">
        <f t="shared" si="75"/>
        <v>1.0266162924768408E-2</v>
      </c>
      <c r="H155" s="29">
        <f t="shared" si="75"/>
        <v>1.1200401343431591E-2</v>
      </c>
      <c r="I155" s="29">
        <f t="shared" si="75"/>
        <v>1.3765506973418455E-2</v>
      </c>
      <c r="J155" s="29">
        <f t="shared" si="75"/>
        <v>1.6225244062021704E-2</v>
      </c>
      <c r="K155" s="29">
        <f t="shared" si="75"/>
        <v>1.6858678116370752E-2</v>
      </c>
      <c r="L155" s="29">
        <f t="shared" si="75"/>
        <v>1.9469165874956659E-2</v>
      </c>
      <c r="M155" s="29">
        <f t="shared" si="75"/>
        <v>2.2715631891225007E-2</v>
      </c>
      <c r="N155" s="29">
        <f t="shared" si="75"/>
        <v>2.6135760528020385E-2</v>
      </c>
      <c r="O155" s="29">
        <f t="shared" si="75"/>
        <v>2.8352266150334454E-2</v>
      </c>
      <c r="P155" s="29">
        <f t="shared" si="75"/>
        <v>3.0273693853519086E-2</v>
      </c>
      <c r="Q155" s="29">
        <f t="shared" si="75"/>
        <v>3.4848384621337797E-2</v>
      </c>
      <c r="R155" s="29">
        <f t="shared" si="75"/>
        <v>3.7787342483045022E-2</v>
      </c>
      <c r="S155" s="29">
        <f t="shared" si="75"/>
        <v>4.1672173479626547E-2</v>
      </c>
      <c r="T155" s="29">
        <f t="shared" si="75"/>
        <v>4.2994711473652157E-2</v>
      </c>
      <c r="U155" s="29">
        <f t="shared" si="75"/>
        <v>4.5911851860738574E-2</v>
      </c>
      <c r="V155" s="29">
        <f t="shared" si="75"/>
        <v>5.1061073679885757E-2</v>
      </c>
      <c r="W155" s="29">
        <f t="shared" si="75"/>
        <v>5.3634635078915499E-2</v>
      </c>
      <c r="X155" s="29">
        <f t="shared" si="75"/>
        <v>5.7829609880358721E-2</v>
      </c>
      <c r="Y155" s="29">
        <f t="shared" si="75"/>
        <v>6.2224021651424932E-2</v>
      </c>
      <c r="Z155" s="29">
        <f t="shared" si="75"/>
        <v>6.7441377119937293E-2</v>
      </c>
      <c r="AA155" s="29">
        <f t="shared" si="75"/>
        <v>7.4289395044098594E-2</v>
      </c>
      <c r="AB155" s="29">
        <f t="shared" si="75"/>
        <v>8.1201583303033648E-2</v>
      </c>
      <c r="AC155" s="29">
        <f t="shared" si="75"/>
        <v>8.4573402636165779E-2</v>
      </c>
      <c r="AD155" s="29">
        <f t="shared" si="75"/>
        <v>8.8462100295295554E-2</v>
      </c>
      <c r="AE155" s="29">
        <f t="shared" si="75"/>
        <v>9.6071906188363823E-2</v>
      </c>
      <c r="AF155" s="29">
        <f t="shared" si="75"/>
        <v>9.658380134857722E-2</v>
      </c>
      <c r="AG155" s="29">
        <f t="shared" si="75"/>
        <v>9.9095949791731724E-2</v>
      </c>
      <c r="AH155" s="29">
        <f t="shared" si="75"/>
        <v>0.10620019730907511</v>
      </c>
      <c r="AI155" s="29">
        <f t="shared" si="75"/>
        <v>0.59693822466390212</v>
      </c>
      <c r="AJ155" s="29">
        <f t="shared" si="75"/>
        <v>1.1377303444383426</v>
      </c>
      <c r="AK155" s="29">
        <f t="shared" si="75"/>
        <v>1.5274411345995915</v>
      </c>
      <c r="AL155" s="29">
        <f t="shared" si="75"/>
        <v>1.783137989054963</v>
      </c>
      <c r="AM155" s="29">
        <f t="shared" si="75"/>
        <v>1.9682727879583519</v>
      </c>
      <c r="AN155" s="29">
        <f t="shared" si="75"/>
        <v>2.1170906571266555</v>
      </c>
      <c r="AO155" s="29">
        <f t="shared" si="75"/>
        <v>2.2479589399444477</v>
      </c>
      <c r="AP155" s="29">
        <f t="shared" si="75"/>
        <v>2.3709722787518328</v>
      </c>
      <c r="AQ155" s="29">
        <f t="shared" si="75"/>
        <v>2.4917982670403358</v>
      </c>
      <c r="AR155" s="29">
        <f t="shared" si="75"/>
        <v>2.6136931311928535</v>
      </c>
      <c r="AS155" s="29">
        <f t="shared" si="75"/>
        <v>2.7385882623172715</v>
      </c>
      <c r="AT155" s="29">
        <f t="shared" si="75"/>
        <v>2.8676855721034116</v>
      </c>
      <c r="AU155" s="29">
        <f t="shared" si="75"/>
        <v>3.001786727249621</v>
      </c>
      <c r="AV155" s="29">
        <f t="shared" si="75"/>
        <v>3.1414762024828482</v>
      </c>
      <c r="AW155" s="29">
        <f t="shared" si="75"/>
        <v>3.2872234414148322</v>
      </c>
      <c r="AX155" s="29">
        <f t="shared" si="75"/>
        <v>3.4394400838234556</v>
      </c>
      <c r="AY155" s="29">
        <f t="shared" si="75"/>
        <v>3.5985121889147336</v>
      </c>
      <c r="AZ155" s="29">
        <f t="shared" si="75"/>
        <v>3.7648185370583369</v>
      </c>
      <c r="BA155" s="29">
        <f t="shared" si="75"/>
        <v>3.9387411835244825</v>
      </c>
      <c r="BB155" s="29">
        <f t="shared" si="75"/>
        <v>4.120671706379964</v>
      </c>
      <c r="BC155" s="29">
        <f t="shared" si="75"/>
        <v>4.3110150688280395</v>
      </c>
      <c r="BD155" s="29">
        <f t="shared" si="75"/>
        <v>4.5101921677490884</v>
      </c>
      <c r="BE155" s="29">
        <f t="shared" si="75"/>
        <v>4.7186416669701172</v>
      </c>
      <c r="BF155" s="29">
        <f t="shared" si="75"/>
        <v>4.9370784475725475</v>
      </c>
      <c r="BG155" s="29">
        <f t="shared" si="75"/>
        <v>5.1658101385107571</v>
      </c>
      <c r="BH155" s="29">
        <f t="shared" si="75"/>
        <v>5.4052020803007155</v>
      </c>
      <c r="BI155" s="29">
        <f t="shared" si="75"/>
        <v>5.6557492675778356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tabSelected="1" zoomScale="85" zoomScaleNormal="85" workbookViewId="0">
      <pane xSplit="1" ySplit="4" topLeftCell="BX62" activePane="bottomRight" state="frozen"/>
      <selection pane="topRight" activeCell="B1" sqref="B1"/>
      <selection pane="bottomLeft" activeCell="A5" sqref="A5"/>
      <selection pane="bottomRight" activeCell="B64" sqref="B64:CV64"/>
    </sheetView>
  </sheetViews>
  <sheetFormatPr baseColWidth="10" defaultColWidth="9.6640625" defaultRowHeight="18" customHeight="1" x14ac:dyDescent="0.2"/>
  <cols>
    <col min="1" max="1" width="41.1640625" style="21" customWidth="1"/>
    <col min="2" max="2" width="13.6640625" style="144" customWidth="1"/>
    <col min="3" max="3" width="9.6640625" style="143"/>
    <col min="4" max="4" width="11.5" style="23" customWidth="1"/>
    <col min="5" max="18" width="9.6640625" style="23"/>
    <col min="19" max="19" width="16.5" style="23" customWidth="1"/>
    <col min="20" max="20" width="16" style="23" customWidth="1"/>
    <col min="21" max="21" width="15.1640625" style="23" customWidth="1"/>
    <col min="22" max="16384" width="9.6640625" style="23"/>
  </cols>
  <sheetData>
    <row r="1" spans="1:61" ht="18" customHeight="1" x14ac:dyDescent="0.2">
      <c r="A1" s="21" t="s">
        <v>50</v>
      </c>
      <c r="B1" s="196"/>
    </row>
    <row r="2" spans="1:61" s="26" customFormat="1" ht="18" customHeight="1" x14ac:dyDescent="0.2">
      <c r="A2" s="24"/>
      <c r="B2" s="144">
        <v>1</v>
      </c>
      <c r="C2" s="143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 x14ac:dyDescent="0.2">
      <c r="A3" s="27"/>
      <c r="B3" s="144"/>
      <c r="C3" s="143"/>
    </row>
    <row r="4" spans="1:61" s="26" customFormat="1" ht="18" customHeight="1" x14ac:dyDescent="0.2">
      <c r="A4" s="27"/>
      <c r="B4" s="144">
        <f>US!B4</f>
        <v>1990</v>
      </c>
      <c r="C4" s="143">
        <f>US!C4</f>
        <v>1991</v>
      </c>
      <c r="D4" s="26">
        <f>US!D4</f>
        <v>1992</v>
      </c>
      <c r="E4" s="26">
        <f>US!E4</f>
        <v>1993</v>
      </c>
      <c r="F4" s="26">
        <f>US!F4</f>
        <v>1994</v>
      </c>
      <c r="G4" s="26">
        <f>US!G4</f>
        <v>1995</v>
      </c>
      <c r="H4" s="26">
        <f>US!H4</f>
        <v>1996</v>
      </c>
      <c r="I4" s="26">
        <f>US!I4</f>
        <v>1997</v>
      </c>
      <c r="J4" s="26">
        <f>US!J4</f>
        <v>1998</v>
      </c>
      <c r="K4" s="26">
        <f>US!K4</f>
        <v>1999</v>
      </c>
      <c r="L4" s="26">
        <f>US!L4</f>
        <v>2000</v>
      </c>
      <c r="M4" s="26">
        <f>US!M4</f>
        <v>2001</v>
      </c>
      <c r="N4" s="26">
        <f>US!N4</f>
        <v>2002</v>
      </c>
      <c r="O4" s="26">
        <f>US!O4</f>
        <v>2003</v>
      </c>
      <c r="P4" s="26">
        <f>US!P4</f>
        <v>2004</v>
      </c>
      <c r="Q4" s="26">
        <f>US!Q4</f>
        <v>2005</v>
      </c>
      <c r="R4" s="26">
        <f>US!R4</f>
        <v>2006</v>
      </c>
      <c r="S4" s="26">
        <f>US!S4</f>
        <v>2007</v>
      </c>
      <c r="T4" s="26">
        <f>US!T4</f>
        <v>2008</v>
      </c>
      <c r="U4" s="26">
        <f>US!U4</f>
        <v>2009</v>
      </c>
      <c r="V4" s="26">
        <f>US!V4</f>
        <v>2010</v>
      </c>
      <c r="W4" s="26">
        <f>US!W4</f>
        <v>2011</v>
      </c>
      <c r="X4" s="26">
        <f>US!X4</f>
        <v>2012</v>
      </c>
      <c r="Y4" s="26">
        <f>US!Y4</f>
        <v>2013</v>
      </c>
      <c r="Z4" s="26">
        <f>US!Z4</f>
        <v>2014</v>
      </c>
      <c r="AA4" s="26">
        <f>US!AA4</f>
        <v>2015</v>
      </c>
      <c r="AB4" s="26">
        <f>US!AB4</f>
        <v>2016</v>
      </c>
      <c r="AC4" s="26">
        <f>US!AC4</f>
        <v>2017</v>
      </c>
      <c r="AD4" s="26">
        <f>US!AD4</f>
        <v>2018</v>
      </c>
      <c r="AE4" s="26">
        <f>US!AE4</f>
        <v>2019</v>
      </c>
      <c r="AF4" s="26">
        <f>US!AF4</f>
        <v>2020</v>
      </c>
      <c r="AG4" s="26">
        <f>US!AG4</f>
        <v>2021</v>
      </c>
      <c r="AH4" s="26">
        <f>US!AH4</f>
        <v>2022</v>
      </c>
      <c r="AI4" s="26">
        <f t="shared" ref="D4:BI4" si="1">+AH4+10</f>
        <v>2032</v>
      </c>
      <c r="AJ4" s="26">
        <f t="shared" si="1"/>
        <v>2042</v>
      </c>
      <c r="AK4" s="26">
        <f t="shared" si="1"/>
        <v>2052</v>
      </c>
      <c r="AL4" s="26">
        <f t="shared" si="1"/>
        <v>2062</v>
      </c>
      <c r="AM4" s="26">
        <f t="shared" si="1"/>
        <v>2072</v>
      </c>
      <c r="AN4" s="26">
        <f t="shared" si="1"/>
        <v>2082</v>
      </c>
      <c r="AO4" s="26">
        <f t="shared" si="1"/>
        <v>2092</v>
      </c>
      <c r="AP4" s="26">
        <f t="shared" si="1"/>
        <v>2102</v>
      </c>
      <c r="AQ4" s="26">
        <f t="shared" si="1"/>
        <v>2112</v>
      </c>
      <c r="AR4" s="26">
        <f t="shared" si="1"/>
        <v>2122</v>
      </c>
      <c r="AS4" s="26">
        <f t="shared" si="1"/>
        <v>2132</v>
      </c>
      <c r="AT4" s="26">
        <f t="shared" si="1"/>
        <v>2142</v>
      </c>
      <c r="AU4" s="26">
        <f t="shared" si="1"/>
        <v>2152</v>
      </c>
      <c r="AV4" s="26">
        <f t="shared" si="1"/>
        <v>2162</v>
      </c>
      <c r="AW4" s="26">
        <f t="shared" si="1"/>
        <v>2172</v>
      </c>
      <c r="AX4" s="26">
        <f t="shared" si="1"/>
        <v>2182</v>
      </c>
      <c r="AY4" s="26">
        <f t="shared" si="1"/>
        <v>2192</v>
      </c>
      <c r="AZ4" s="26">
        <f t="shared" si="1"/>
        <v>2202</v>
      </c>
      <c r="BA4" s="26">
        <f t="shared" si="1"/>
        <v>2212</v>
      </c>
      <c r="BB4" s="26">
        <f t="shared" si="1"/>
        <v>2222</v>
      </c>
      <c r="BC4" s="26">
        <f t="shared" si="1"/>
        <v>2232</v>
      </c>
      <c r="BD4" s="26">
        <f t="shared" si="1"/>
        <v>2242</v>
      </c>
      <c r="BE4" s="26">
        <f t="shared" si="1"/>
        <v>2252</v>
      </c>
      <c r="BF4" s="26">
        <f t="shared" si="1"/>
        <v>2262</v>
      </c>
      <c r="BG4" s="26">
        <f t="shared" si="1"/>
        <v>2272</v>
      </c>
      <c r="BH4" s="26">
        <f t="shared" si="1"/>
        <v>2282</v>
      </c>
      <c r="BI4" s="26">
        <f t="shared" si="1"/>
        <v>2292</v>
      </c>
    </row>
    <row r="5" spans="1:61" ht="18" customHeight="1" x14ac:dyDescent="0.2">
      <c r="A5" s="28"/>
    </row>
    <row r="6" spans="1:61" ht="18" customHeight="1" x14ac:dyDescent="0.2">
      <c r="A6" s="30" t="s">
        <v>77</v>
      </c>
    </row>
    <row r="7" spans="1:61" ht="18" customHeight="1" x14ac:dyDescent="0.2">
      <c r="A7" s="21" t="s">
        <v>112</v>
      </c>
      <c r="B7" s="144">
        <f>+Parameters!Q35</f>
        <v>0.3</v>
      </c>
    </row>
    <row r="8" spans="1:61" ht="18" customHeight="1" x14ac:dyDescent="0.2">
      <c r="A8" s="21" t="s">
        <v>108</v>
      </c>
      <c r="B8" s="197">
        <f>+Parameters!Q36</f>
        <v>0.1</v>
      </c>
    </row>
    <row r="9" spans="1:61" ht="18" customHeight="1" x14ac:dyDescent="0.2">
      <c r="A9" s="23" t="s">
        <v>49</v>
      </c>
      <c r="B9" s="144">
        <f>Parameters!Q37</f>
        <v>2.6191887369437761</v>
      </c>
    </row>
    <row r="10" spans="1:61" ht="18" customHeight="1" x14ac:dyDescent="0.2">
      <c r="A10" s="23" t="str">
        <f>+Parameters!A38</f>
        <v>Initial real interest rate (percent per decade annualized)</v>
      </c>
      <c r="B10" s="144">
        <f>+Parameters!Q38</f>
        <v>7.7765473111546274E-2</v>
      </c>
    </row>
    <row r="11" spans="1:61" ht="18" customHeight="1" x14ac:dyDescent="0.2">
      <c r="A11" s="23" t="s">
        <v>38</v>
      </c>
      <c r="B11" s="144">
        <f>+Parameters!Q39</f>
        <v>4.4201869312950182</v>
      </c>
    </row>
    <row r="12" spans="1:61" ht="18" customHeight="1" x14ac:dyDescent="0.2">
      <c r="A12" s="23" t="s">
        <v>162</v>
      </c>
      <c r="B12" s="144">
        <f>+Parameters!Q40</f>
        <v>1.7549043305648544</v>
      </c>
    </row>
    <row r="13" spans="1:61" ht="18" customHeight="1" x14ac:dyDescent="0.2">
      <c r="A13" s="30" t="s">
        <v>117</v>
      </c>
    </row>
    <row r="14" spans="1:61" ht="18" customHeight="1" x14ac:dyDescent="0.2">
      <c r="A14" s="21" t="s">
        <v>118</v>
      </c>
      <c r="B14" s="143">
        <f>+$B$15</f>
        <v>1.4999999999999999E-2</v>
      </c>
      <c r="C14" s="14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 x14ac:dyDescent="0.2">
      <c r="A15" s="21" t="s">
        <v>172</v>
      </c>
      <c r="B15" s="144">
        <f>+Parameters!Q43</f>
        <v>1.4999999999999999E-2</v>
      </c>
    </row>
    <row r="16" spans="1:61" ht="18" customHeight="1" x14ac:dyDescent="0.2">
      <c r="A16" s="23" t="s">
        <v>95</v>
      </c>
      <c r="B16" s="143">
        <f>+Parameters!C44</f>
        <v>0</v>
      </c>
    </row>
    <row r="17" spans="1:103" s="552" customFormat="1" ht="18" customHeight="1" x14ac:dyDescent="0.2">
      <c r="A17" s="590" t="s">
        <v>119</v>
      </c>
      <c r="B17" s="591">
        <v>1</v>
      </c>
      <c r="C17" s="552">
        <f t="shared" ref="C17:BN17" si="3">B17/(1+B14)^10</f>
        <v>0.86166723172218462</v>
      </c>
      <c r="D17" s="552">
        <f t="shared" si="3"/>
        <v>0.74247041822377302</v>
      </c>
      <c r="E17" s="552">
        <f t="shared" si="3"/>
        <v>0.63976242990649113</v>
      </c>
      <c r="F17" s="552">
        <f t="shared" si="3"/>
        <v>0.55126232193738434</v>
      </c>
      <c r="G17" s="552">
        <f t="shared" si="3"/>
        <v>0.4750046788965297</v>
      </c>
      <c r="H17" s="552">
        <f t="shared" si="3"/>
        <v>0.40929596671985796</v>
      </c>
      <c r="I17" s="552">
        <f t="shared" si="3"/>
        <v>0.35267692259855543</v>
      </c>
      <c r="J17" s="552">
        <f t="shared" si="3"/>
        <v>0.30389014758779642</v>
      </c>
      <c r="K17" s="552">
        <f t="shared" si="3"/>
        <v>0.26185218221962264</v>
      </c>
      <c r="L17" s="552">
        <f t="shared" si="3"/>
        <v>0.2256294449735953</v>
      </c>
      <c r="M17" s="552">
        <f t="shared" si="3"/>
        <v>0.19441749924541085</v>
      </c>
      <c r="N17" s="552">
        <f t="shared" si="3"/>
        <v>0.16752318837314309</v>
      </c>
      <c r="O17" s="552">
        <f t="shared" si="3"/>
        <v>0.14434924197476026</v>
      </c>
      <c r="P17" s="552">
        <f t="shared" si="3"/>
        <v>0.12438101173358745</v>
      </c>
      <c r="Q17" s="552">
        <f t="shared" si="3"/>
        <v>0.10717504205928487</v>
      </c>
      <c r="R17" s="552">
        <f t="shared" si="3"/>
        <v>9.234922180093269E-2</v>
      </c>
      <c r="S17" s="552">
        <f t="shared" si="3"/>
        <v>7.9574298300907689E-2</v>
      </c>
      <c r="T17" s="552">
        <f t="shared" si="3"/>
        <v>6.8566565333178467E-2</v>
      </c>
      <c r="U17" s="552">
        <f t="shared" si="3"/>
        <v>5.9081562539338203E-2</v>
      </c>
      <c r="V17" s="552">
        <f t="shared" si="3"/>
        <v>5.0908646439092674E-2</v>
      </c>
      <c r="W17" s="552">
        <f t="shared" si="3"/>
        <v>4.386631244789644E-2</v>
      </c>
      <c r="X17" s="552">
        <f t="shared" si="3"/>
        <v>3.7798164012839336E-2</v>
      </c>
      <c r="Y17" s="552">
        <f t="shared" si="3"/>
        <v>3.2569439349124374E-2</v>
      </c>
      <c r="Z17" s="552">
        <f t="shared" si="3"/>
        <v>2.8064018642703591E-2</v>
      </c>
      <c r="AA17" s="552">
        <f t="shared" si="3"/>
        <v>2.4181845254858184E-2</v>
      </c>
      <c r="AB17" s="552">
        <f t="shared" si="3"/>
        <v>2.0836703658687897E-2</v>
      </c>
      <c r="AC17" s="552">
        <f t="shared" si="3"/>
        <v>1.7954304759797118E-2</v>
      </c>
      <c r="AD17" s="552">
        <f t="shared" si="3"/>
        <v>1.5470636079870826E-2</v>
      </c>
      <c r="AE17" s="552">
        <f t="shared" si="3"/>
        <v>1.3330540163923646E-2</v>
      </c>
      <c r="AF17" s="552">
        <f t="shared" si="3"/>
        <v>1.1486489640409485E-2</v>
      </c>
      <c r="AG17" s="552">
        <f t="shared" si="3"/>
        <v>9.8975317306571921E-3</v>
      </c>
      <c r="AH17" s="552">
        <f t="shared" si="3"/>
        <v>8.5283787672378666E-3</v>
      </c>
      <c r="AI17" s="552">
        <f t="shared" si="3"/>
        <v>7.3486245234441099E-3</v>
      </c>
      <c r="AJ17" s="552">
        <f t="shared" si="3"/>
        <v>6.3320689500818445E-3</v>
      </c>
      <c r="AK17" s="552">
        <f t="shared" si="3"/>
        <v>5.4561363232910227E-3</v>
      </c>
      <c r="AL17" s="552">
        <f t="shared" si="3"/>
        <v>4.7013738815890344E-3</v>
      </c>
      <c r="AM17" s="552">
        <f t="shared" si="3"/>
        <v>4.0510198178398049E-3</v>
      </c>
      <c r="AN17" s="552">
        <f t="shared" si="3"/>
        <v>3.4906310320897333E-3</v>
      </c>
      <c r="AO17" s="552">
        <f t="shared" si="3"/>
        <v>3.0077623783843128E-3</v>
      </c>
      <c r="AP17" s="552">
        <f t="shared" si="3"/>
        <v>2.591690282260545E-3</v>
      </c>
      <c r="AQ17" s="552">
        <f t="shared" si="3"/>
        <v>2.2331745909967313E-3</v>
      </c>
      <c r="AR17" s="552">
        <f t="shared" si="3"/>
        <v>1.9242533677764754E-3</v>
      </c>
      <c r="AS17" s="552">
        <f t="shared" si="3"/>
        <v>1.6580660725440464E-3</v>
      </c>
      <c r="AT17" s="552">
        <f t="shared" si="3"/>
        <v>1.4287012027415034E-3</v>
      </c>
      <c r="AU17" s="552">
        <f t="shared" si="3"/>
        <v>1.2310650103244268E-3</v>
      </c>
      <c r="AV17" s="552">
        <f t="shared" si="3"/>
        <v>1.0607683795162916E-3</v>
      </c>
      <c r="AW17" s="552">
        <f t="shared" si="3"/>
        <v>9.140293530762307E-4</v>
      </c>
      <c r="AX17" s="552">
        <f t="shared" si="3"/>
        <v>7.8758914237801497E-4</v>
      </c>
      <c r="AY17" s="552">
        <f t="shared" si="3"/>
        <v>6.7863975604731371E-4</v>
      </c>
      <c r="AZ17" s="552">
        <f t="shared" si="3"/>
        <v>5.8476163992990751E-4</v>
      </c>
      <c r="BA17" s="552">
        <f t="shared" si="3"/>
        <v>5.0386994349572826E-4</v>
      </c>
      <c r="BB17" s="552">
        <f t="shared" si="3"/>
        <v>4.3416821935997774E-4</v>
      </c>
      <c r="BC17" s="552">
        <f t="shared" si="3"/>
        <v>3.741085276776622E-4</v>
      </c>
      <c r="BD17" s="552">
        <f t="shared" si="3"/>
        <v>3.223570594076735E-4</v>
      </c>
      <c r="BE17" s="552">
        <f t="shared" si="3"/>
        <v>2.7776451500591384E-4</v>
      </c>
      <c r="BF17" s="552">
        <f t="shared" si="3"/>
        <v>2.3934058071580099E-4</v>
      </c>
      <c r="BG17" s="552">
        <f t="shared" si="3"/>
        <v>2.0623193562416432E-4</v>
      </c>
      <c r="BH17" s="552">
        <f t="shared" si="3"/>
        <v>1.7770330106198147E-4</v>
      </c>
      <c r="BI17" s="552">
        <f t="shared" si="3"/>
        <v>1.5312111149397154E-4</v>
      </c>
      <c r="BJ17" s="552">
        <f t="shared" si="3"/>
        <v>1.3193944425923443E-4</v>
      </c>
      <c r="BK17" s="552">
        <f t="shared" si="3"/>
        <v>1.3193944425923443E-4</v>
      </c>
      <c r="BL17" s="552">
        <f t="shared" si="3"/>
        <v>1.3193944425923443E-4</v>
      </c>
      <c r="BM17" s="552">
        <f t="shared" si="3"/>
        <v>1.3193944425923443E-4</v>
      </c>
      <c r="BN17" s="552">
        <f t="shared" si="3"/>
        <v>1.3193944425923443E-4</v>
      </c>
      <c r="BO17" s="552">
        <f t="shared" ref="BO17:CY17" si="4">BN17/(1+BN14)^10</f>
        <v>1.3193944425923443E-4</v>
      </c>
      <c r="BP17" s="552">
        <f t="shared" si="4"/>
        <v>1.3193944425923443E-4</v>
      </c>
      <c r="BQ17" s="552">
        <f t="shared" si="4"/>
        <v>1.3193944425923443E-4</v>
      </c>
      <c r="BR17" s="552">
        <f t="shared" si="4"/>
        <v>1.3193944425923443E-4</v>
      </c>
      <c r="BS17" s="552">
        <f t="shared" si="4"/>
        <v>1.3193944425923443E-4</v>
      </c>
      <c r="BT17" s="552">
        <f t="shared" si="4"/>
        <v>1.3193944425923443E-4</v>
      </c>
      <c r="BU17" s="552">
        <f t="shared" si="4"/>
        <v>1.3193944425923443E-4</v>
      </c>
      <c r="BV17" s="552">
        <f t="shared" si="4"/>
        <v>1.3193944425923443E-4</v>
      </c>
      <c r="BW17" s="552">
        <f t="shared" si="4"/>
        <v>1.3193944425923443E-4</v>
      </c>
      <c r="BX17" s="552">
        <f t="shared" si="4"/>
        <v>1.3193944425923443E-4</v>
      </c>
      <c r="BY17" s="552">
        <f t="shared" si="4"/>
        <v>1.3193944425923443E-4</v>
      </c>
      <c r="BZ17" s="552">
        <f t="shared" si="4"/>
        <v>1.3193944425923443E-4</v>
      </c>
      <c r="CA17" s="552">
        <f t="shared" si="4"/>
        <v>1.3193944425923443E-4</v>
      </c>
      <c r="CB17" s="552">
        <f t="shared" si="4"/>
        <v>1.3193944425923443E-4</v>
      </c>
      <c r="CC17" s="552">
        <f t="shared" si="4"/>
        <v>1.3193944425923443E-4</v>
      </c>
      <c r="CD17" s="552">
        <f t="shared" si="4"/>
        <v>1.3193944425923443E-4</v>
      </c>
      <c r="CE17" s="552">
        <f t="shared" si="4"/>
        <v>1.3193944425923443E-4</v>
      </c>
      <c r="CF17" s="552">
        <f t="shared" si="4"/>
        <v>1.3193944425923443E-4</v>
      </c>
      <c r="CG17" s="552">
        <f t="shared" si="4"/>
        <v>1.3193944425923443E-4</v>
      </c>
      <c r="CH17" s="552">
        <f t="shared" si="4"/>
        <v>1.3193944425923443E-4</v>
      </c>
      <c r="CI17" s="552">
        <f t="shared" si="4"/>
        <v>1.3193944425923443E-4</v>
      </c>
      <c r="CJ17" s="552">
        <f t="shared" si="4"/>
        <v>1.3193944425923443E-4</v>
      </c>
      <c r="CK17" s="552">
        <f t="shared" si="4"/>
        <v>1.3193944425923443E-4</v>
      </c>
      <c r="CL17" s="552">
        <f t="shared" si="4"/>
        <v>1.3193944425923443E-4</v>
      </c>
      <c r="CM17" s="552">
        <f t="shared" si="4"/>
        <v>1.3193944425923443E-4</v>
      </c>
      <c r="CN17" s="552">
        <f t="shared" si="4"/>
        <v>1.3193944425923443E-4</v>
      </c>
      <c r="CO17" s="552">
        <f t="shared" si="4"/>
        <v>1.3193944425923443E-4</v>
      </c>
      <c r="CP17" s="552">
        <f t="shared" si="4"/>
        <v>1.3193944425923443E-4</v>
      </c>
      <c r="CQ17" s="552">
        <f t="shared" si="4"/>
        <v>1.3193944425923443E-4</v>
      </c>
      <c r="CR17" s="552">
        <f t="shared" si="4"/>
        <v>1.3193944425923443E-4</v>
      </c>
      <c r="CS17" s="552">
        <f t="shared" si="4"/>
        <v>1.3193944425923443E-4</v>
      </c>
      <c r="CT17" s="552">
        <f t="shared" si="4"/>
        <v>1.3193944425923443E-4</v>
      </c>
      <c r="CU17" s="552">
        <f t="shared" si="4"/>
        <v>1.3193944425923443E-4</v>
      </c>
      <c r="CV17" s="552">
        <f t="shared" si="4"/>
        <v>1.3193944425923443E-4</v>
      </c>
      <c r="CW17" s="552">
        <f t="shared" si="4"/>
        <v>1.3193944425923443E-4</v>
      </c>
      <c r="CX17" s="552">
        <f t="shared" si="4"/>
        <v>1.3193944425923443E-4</v>
      </c>
      <c r="CY17" s="552">
        <f t="shared" si="4"/>
        <v>1.3193944425923443E-4</v>
      </c>
    </row>
    <row r="18" spans="1:103" ht="18" customHeight="1" x14ac:dyDescent="0.2">
      <c r="A18" s="21" t="s">
        <v>125</v>
      </c>
      <c r="B18" s="144">
        <f>+Parameters!Q45</f>
        <v>1.5</v>
      </c>
    </row>
    <row r="19" spans="1:103" ht="18" customHeight="1" x14ac:dyDescent="0.2">
      <c r="A19" s="34" t="s">
        <v>42</v>
      </c>
      <c r="C19" s="143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2.207817184792045E-2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8.019942475849709E-3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 x14ac:dyDescent="0.2">
      <c r="A20" s="35" t="s">
        <v>189</v>
      </c>
      <c r="B20" s="144">
        <f>+B21</f>
        <v>1.7549043305648544</v>
      </c>
      <c r="C20" s="143">
        <f>+B20*EXP(C22*10)</f>
        <v>2.1341121937079226</v>
      </c>
      <c r="D20" s="37">
        <f>+C20*EXP(D22*10)</f>
        <v>2.7193573755683604</v>
      </c>
      <c r="E20" s="37">
        <f>+D20*EXP(E22*10)</f>
        <v>3.391177858368104</v>
      </c>
      <c r="F20" s="37">
        <f>+E20*EXP(F22*10)</f>
        <v>4.1475500494399373</v>
      </c>
      <c r="G20" s="37">
        <f t="shared" ref="G20:BI20" si="6">+F20*EXP(G22*10)</f>
        <v>4.9844850456656387</v>
      </c>
      <c r="H20" s="37">
        <f t="shared" si="6"/>
        <v>5.8963814021562984</v>
      </c>
      <c r="I20" s="37">
        <f t="shared" si="6"/>
        <v>6.8764251896381285</v>
      </c>
      <c r="J20" s="37">
        <f t="shared" si="6"/>
        <v>7.9169985095768673</v>
      </c>
      <c r="K20" s="37">
        <f t="shared" si="6"/>
        <v>9.0100658150455839</v>
      </c>
      <c r="L20" s="37">
        <f t="shared" si="6"/>
        <v>10.147516621720069</v>
      </c>
      <c r="M20" s="37">
        <f t="shared" si="6"/>
        <v>11.321452027885323</v>
      </c>
      <c r="N20" s="37">
        <f t="shared" si="6"/>
        <v>12.52440999339677</v>
      </c>
      <c r="O20" s="37">
        <f t="shared" si="6"/>
        <v>13.749530139241669</v>
      </c>
      <c r="P20" s="37">
        <f t="shared" si="6"/>
        <v>14.990662867261241</v>
      </c>
      <c r="Q20" s="37">
        <f t="shared" si="6"/>
        <v>16.242430039706235</v>
      </c>
      <c r="R20" s="37">
        <f t="shared" si="6"/>
        <v>17.500245594767176</v>
      </c>
      <c r="S20" s="37">
        <f t="shared" si="6"/>
        <v>18.760304636340212</v>
      </c>
      <c r="T20" s="37">
        <f t="shared" si="6"/>
        <v>20.019549035003479</v>
      </c>
      <c r="U20" s="37">
        <f t="shared" si="6"/>
        <v>21.275616676262658</v>
      </c>
      <c r="V20" s="37">
        <f t="shared" si="6"/>
        <v>22.526780397375216</v>
      </c>
      <c r="W20" s="37">
        <f t="shared" si="6"/>
        <v>23.771881514080093</v>
      </c>
      <c r="X20" s="37">
        <f t="shared" si="6"/>
        <v>25.010261751916662</v>
      </c>
      <c r="Y20" s="37">
        <f t="shared" si="6"/>
        <v>26.24169642189807</v>
      </c>
      <c r="Z20" s="37">
        <f t="shared" si="6"/>
        <v>27.466330845426722</v>
      </c>
      <c r="AA20" s="37">
        <f t="shared" si="6"/>
        <v>28.684621345834099</v>
      </c>
      <c r="AB20" s="37">
        <f t="shared" si="6"/>
        <v>29.897281577588295</v>
      </c>
      <c r="AC20" s="37">
        <f t="shared" si="6"/>
        <v>31.105234545014223</v>
      </c>
      <c r="AD20" s="37">
        <f t="shared" si="6"/>
        <v>32.309570352573488</v>
      </c>
      <c r="AE20" s="37">
        <f t="shared" si="6"/>
        <v>33.511509509686263</v>
      </c>
      <c r="AF20" s="37">
        <f t="shared" si="6"/>
        <v>34.712371466889294</v>
      </c>
      <c r="AG20" s="37">
        <f t="shared" si="6"/>
        <v>35.913547970743984</v>
      </c>
      <c r="AH20" s="37">
        <f t="shared" si="6"/>
        <v>37.116480778504283</v>
      </c>
      <c r="AI20" s="37">
        <f t="shared" si="6"/>
        <v>38.32264325862311</v>
      </c>
      <c r="AJ20" s="37">
        <f t="shared" si="6"/>
        <v>39.533525410431558</v>
      </c>
      <c r="AK20" s="37">
        <f t="shared" si="6"/>
        <v>40.750621858466552</v>
      </c>
      <c r="AL20" s="37">
        <f t="shared" si="6"/>
        <v>41.975422408351719</v>
      </c>
      <c r="AM20" s="37">
        <f t="shared" si="6"/>
        <v>43.209404787674366</v>
      </c>
      <c r="AN20" s="37">
        <f t="shared" si="6"/>
        <v>44.454029233914532</v>
      </c>
      <c r="AO20" s="37">
        <f t="shared" si="6"/>
        <v>45.710734630042374</v>
      </c>
      <c r="AP20" s="37">
        <f t="shared" si="6"/>
        <v>46.980935925478818</v>
      </c>
      <c r="AQ20" s="37">
        <f t="shared" si="6"/>
        <v>48.266022614811412</v>
      </c>
      <c r="AR20" s="37">
        <f t="shared" si="6"/>
        <v>49.567358078462391</v>
      </c>
      <c r="AS20" s="37">
        <f t="shared" si="6"/>
        <v>50.886279618190386</v>
      </c>
      <c r="AT20" s="37">
        <f t="shared" si="6"/>
        <v>52.224099045837434</v>
      </c>
      <c r="AU20" s="37">
        <f t="shared" si="6"/>
        <v>53.582103706207057</v>
      </c>
      <c r="AV20" s="37">
        <f t="shared" si="6"/>
        <v>54.961557834558988</v>
      </c>
      <c r="AW20" s="37">
        <f t="shared" si="6"/>
        <v>56.363704166160012</v>
      </c>
      <c r="AX20" s="37">
        <f t="shared" si="6"/>
        <v>57.789765729890377</v>
      </c>
      <c r="AY20" s="37">
        <f t="shared" si="6"/>
        <v>59.240947770328795</v>
      </c>
      <c r="AZ20" s="37">
        <f t="shared" si="6"/>
        <v>60.718439753274943</v>
      </c>
      <c r="BA20" s="37">
        <f t="shared" si="6"/>
        <v>62.223417418554945</v>
      </c>
      <c r="BB20" s="37">
        <f t="shared" si="6"/>
        <v>63.757044851409439</v>
      </c>
      <c r="BC20" s="37">
        <f t="shared" si="6"/>
        <v>65.320476549983439</v>
      </c>
      <c r="BD20" s="37">
        <f t="shared" si="6"/>
        <v>66.91485947160028</v>
      </c>
      <c r="BE20" s="37">
        <f t="shared" si="6"/>
        <v>68.541335044763159</v>
      </c>
      <c r="BF20" s="37">
        <f t="shared" si="6"/>
        <v>70.201041137326513</v>
      </c>
      <c r="BG20" s="37">
        <f t="shared" si="6"/>
        <v>71.895113974133238</v>
      </c>
      <c r="BH20" s="37">
        <f t="shared" si="6"/>
        <v>73.624689999726286</v>
      </c>
      <c r="BI20" s="37">
        <f t="shared" si="6"/>
        <v>75.390907683602862</v>
      </c>
    </row>
    <row r="21" spans="1:103" ht="18" customHeight="1" x14ac:dyDescent="0.2">
      <c r="A21" s="21" t="s">
        <v>190</v>
      </c>
      <c r="B21" s="144">
        <f>+Parameters!Q40</f>
        <v>1.7549043305648544</v>
      </c>
    </row>
    <row r="22" spans="1:103" ht="18" customHeight="1" x14ac:dyDescent="0.2">
      <c r="A22" s="21" t="s">
        <v>144</v>
      </c>
      <c r="C22" s="143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 x14ac:dyDescent="0.2">
      <c r="A23" s="30" t="s">
        <v>111</v>
      </c>
    </row>
    <row r="24" spans="1:103" ht="18" customHeight="1" x14ac:dyDescent="0.2">
      <c r="A24" s="21" t="s">
        <v>181</v>
      </c>
      <c r="B24" s="29">
        <f>+Parameters!Q51</f>
        <v>0.17551222871918021</v>
      </c>
    </row>
    <row r="25" spans="1:103" ht="18" customHeight="1" x14ac:dyDescent="0.2">
      <c r="A25" s="21" t="s">
        <v>182</v>
      </c>
      <c r="B25" s="29">
        <f>+Parameters!Q52</f>
        <v>0.17344211485103003</v>
      </c>
    </row>
    <row r="26" spans="1:103" ht="18" customHeight="1" x14ac:dyDescent="0.2">
      <c r="A26" s="21" t="s">
        <v>47</v>
      </c>
      <c r="B26" s="29">
        <f>+Parameters!Q53</f>
        <v>2</v>
      </c>
    </row>
    <row r="27" spans="1:103" ht="18" customHeight="1" x14ac:dyDescent="0.2">
      <c r="A27" s="21" t="str">
        <f>+Parameters!A54</f>
        <v>Threshold for catastrophic damages</v>
      </c>
      <c r="B27" s="29">
        <f>+Parameters!Q54</f>
        <v>4</v>
      </c>
    </row>
    <row r="28" spans="1:103" ht="18" customHeight="1" x14ac:dyDescent="0.2">
      <c r="A28" s="21" t="str">
        <f>+Parameters!A55</f>
        <v>Exponent for catastrophic damages</v>
      </c>
      <c r="B28" s="29">
        <f>+Parameters!Q55</f>
        <v>6</v>
      </c>
    </row>
    <row r="29" spans="1:103" ht="18" customHeight="1" x14ac:dyDescent="0.2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 x14ac:dyDescent="0.2">
      <c r="A30" s="30" t="s">
        <v>110</v>
      </c>
    </row>
    <row r="31" spans="1:103" s="33" customFormat="1" ht="18" customHeight="1" x14ac:dyDescent="0.2">
      <c r="A31" s="32" t="s">
        <v>80</v>
      </c>
      <c r="B31" s="143">
        <f>+B36*B40/$B38</f>
        <v>7.5036263216280361E-2</v>
      </c>
      <c r="C31" s="143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3.9722471004827523E-3</v>
      </c>
      <c r="AB31" s="23">
        <f t="shared" si="7"/>
        <v>3.6917485969148157E-3</v>
      </c>
      <c r="AC31" s="23">
        <f t="shared" si="7"/>
        <v>3.437021433127289E-3</v>
      </c>
      <c r="AD31" s="23">
        <f t="shared" si="7"/>
        <v>3.205087744133001E-3</v>
      </c>
      <c r="AE31" s="23">
        <f t="shared" si="7"/>
        <v>2.9933910117974387E-3</v>
      </c>
      <c r="AF31" s="23">
        <f t="shared" si="7"/>
        <v>2.7997261206843295E-3</v>
      </c>
      <c r="AG31" s="23">
        <f t="shared" si="7"/>
        <v>2.6221824770833765E-3</v>
      </c>
      <c r="AH31" s="23">
        <f t="shared" si="7"/>
        <v>2.4590975185412381E-3</v>
      </c>
      <c r="AI31" s="23">
        <f t="shared" si="7"/>
        <v>2.3090185319793038E-3</v>
      </c>
      <c r="AJ31" s="23">
        <f t="shared" si="7"/>
        <v>2.1706711493119273E-3</v>
      </c>
      <c r="AK31" s="23">
        <f t="shared" si="7"/>
        <v>2.0429332356601687E-3</v>
      </c>
      <c r="AL31" s="23">
        <f t="shared" si="7"/>
        <v>1.9248131526621018E-3</v>
      </c>
      <c r="AM31" s="23">
        <f t="shared" si="7"/>
        <v>1.8154315871131744E-3</v>
      </c>
      <c r="AN31" s="23">
        <f t="shared" si="7"/>
        <v>1.7140062974246131E-3</v>
      </c>
      <c r="AO31" s="23">
        <f t="shared" si="7"/>
        <v>1.6198392577804698E-3</v>
      </c>
      <c r="AP31" s="23">
        <f t="shared" si="7"/>
        <v>1.5323057803927696E-3</v>
      </c>
      <c r="AQ31" s="23">
        <f t="shared" si="7"/>
        <v>1.4508452759450629E-3</v>
      </c>
      <c r="AR31" s="23">
        <f t="shared" si="7"/>
        <v>1.3749533757797679E-3</v>
      </c>
      <c r="AS31" s="23">
        <f t="shared" si="7"/>
        <v>1.304175190146323E-3</v>
      </c>
      <c r="AT31" s="23">
        <f t="shared" si="7"/>
        <v>1.2380995175957387E-3</v>
      </c>
      <c r="AU31" s="23">
        <f t="shared" si="7"/>
        <v>1.176353853478831E-3</v>
      </c>
      <c r="AV31" s="23">
        <f t="shared" si="7"/>
        <v>1.1186000721094941E-3</v>
      </c>
      <c r="AW31" s="23">
        <f t="shared" si="7"/>
        <v>1.0645306787631357E-3</v>
      </c>
      <c r="AX31" s="23">
        <f t="shared" si="7"/>
        <v>1.0138655452920913E-3</v>
      </c>
      <c r="AY31" s="23">
        <f t="shared" si="7"/>
        <v>9.6634905754097071E-4</v>
      </c>
      <c r="AZ31" s="23">
        <f t="shared" si="7"/>
        <v>9.2174761455791237E-4</v>
      </c>
      <c r="BA31" s="23">
        <f t="shared" si="7"/>
        <v>8.7984742931716169E-4</v>
      </c>
      <c r="BB31" s="23">
        <f t="shared" si="7"/>
        <v>8.4045258868869046E-4</v>
      </c>
      <c r="BC31" s="23">
        <f t="shared" si="7"/>
        <v>8.0338333702755383E-4</v>
      </c>
      <c r="BD31" s="23">
        <f t="shared" si="7"/>
        <v>7.6847455326301039E-4</v>
      </c>
      <c r="BE31" s="23">
        <f t="shared" si="7"/>
        <v>3.7454080606291295E-4</v>
      </c>
      <c r="BF31" s="23">
        <f t="shared" si="7"/>
        <v>1.8255472988491396E-4</v>
      </c>
      <c r="BG31" s="23">
        <f t="shared" si="7"/>
        <v>8.8983382002542146E-5</v>
      </c>
      <c r="BH31" s="23">
        <f t="shared" si="7"/>
        <v>4.3375491473840016E-5</v>
      </c>
      <c r="BI31" s="23">
        <f t="shared" si="7"/>
        <v>2.1144509911926467E-5</v>
      </c>
    </row>
    <row r="32" spans="1:103" s="33" customFormat="1" ht="18" customHeight="1" x14ac:dyDescent="0.2">
      <c r="A32" s="32" t="s">
        <v>116</v>
      </c>
      <c r="B32" s="144">
        <f>+Parameters!Q58</f>
        <v>1.512</v>
      </c>
      <c r="C32" s="14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 x14ac:dyDescent="0.2">
      <c r="A33" s="32" t="s">
        <v>157</v>
      </c>
      <c r="B33" s="144">
        <f>+Parameters!Q60</f>
        <v>0.1</v>
      </c>
      <c r="C33" s="14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 x14ac:dyDescent="0.2">
      <c r="A34" s="32" t="s">
        <v>176</v>
      </c>
      <c r="B34" s="144">
        <f>+Parameters!Q61</f>
        <v>0.05</v>
      </c>
      <c r="C34" s="14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 x14ac:dyDescent="0.2">
      <c r="A35" s="32" t="s">
        <v>96</v>
      </c>
      <c r="B35" s="144">
        <f>+Parameters!Q65</f>
        <v>1</v>
      </c>
      <c r="C35" s="14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 x14ac:dyDescent="0.2">
      <c r="A36" s="496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0.5286717311041913</v>
      </c>
      <c r="AB36" s="23">
        <f>+IF(AB4&gt;$B$37,AA36*Parameters!$B$105,$B$33*$B$32+(AA36-$B$33*$B$32)*(1-$B$34))</f>
        <v>0.50979814454898165</v>
      </c>
      <c r="AC36" s="23">
        <f>+IF(AC4&gt;$B$37,AB36*Parameters!$B$105,$B$33*$B$32+(AB36-$B$33*$B$32)*(1-$B$34))</f>
        <v>0.49186823732153256</v>
      </c>
      <c r="AD36" s="23">
        <f>+IF(AD4&gt;$B$37,AC36*Parameters!$B$105,$B$33*$B$32+(AC36-$B$33*$B$32)*(1-$B$34))</f>
        <v>0.47483482545545591</v>
      </c>
      <c r="AE36" s="23">
        <f>+IF(AE4&gt;$B$37,AD36*Parameters!$B$105,$B$33*$B$32+(AD36-$B$33*$B$32)*(1-$B$34))</f>
        <v>0.45865308418268308</v>
      </c>
      <c r="AF36" s="23">
        <f>+IF(AF4&gt;$B$37,AE36*Parameters!$B$105,$B$33*$B$32+(AE36-$B$33*$B$32)*(1-$B$34))</f>
        <v>0.44328042997354894</v>
      </c>
      <c r="AG36" s="23">
        <f>+IF(AG4&gt;$B$37,AF36*Parameters!$B$105,$B$33*$B$32+(AF36-$B$33*$B$32)*(1-$B$34))</f>
        <v>0.42867640847487148</v>
      </c>
      <c r="AH36" s="23">
        <f>+IF(AH4&gt;$B$37,AG36*Parameters!$B$105,$B$33*$B$32+(AG36-$B$33*$B$32)*(1-$B$34))</f>
        <v>0.41480258805112791</v>
      </c>
      <c r="AI36" s="23">
        <f>+IF(AI4&gt;$B$37,AH36*Parameters!$B$105,$B$33*$B$32+(AH36-$B$33*$B$32)*(1-$B$34))</f>
        <v>0.40162245864857149</v>
      </c>
      <c r="AJ36" s="23">
        <f>+IF(AJ4&gt;$B$37,AI36*Parameters!$B$105,$B$33*$B$32+(AI36-$B$33*$B$32)*(1-$B$34))</f>
        <v>0.38910133571614292</v>
      </c>
      <c r="AK36" s="23">
        <f>+IF(AK4&gt;$B$37,AJ36*Parameters!$B$105,$B$33*$B$32+(AJ36-$B$33*$B$32)*(1-$B$34))</f>
        <v>0.37720626893033576</v>
      </c>
      <c r="AL36" s="23">
        <f>+IF(AL4&gt;$B$37,AK36*Parameters!$B$105,$B$33*$B$32+(AK36-$B$33*$B$32)*(1-$B$34))</f>
        <v>0.36590595548381899</v>
      </c>
      <c r="AM36" s="23">
        <f>+IF(AM4&gt;$B$37,AL36*Parameters!$B$105,$B$33*$B$32+(AL36-$B$33*$B$32)*(1-$B$34))</f>
        <v>0.35517065770962802</v>
      </c>
      <c r="AN36" s="23">
        <f>+IF(AN4&gt;$B$37,AM36*Parameters!$B$105,$B$33*$B$32+(AM36-$B$33*$B$32)*(1-$B$34))</f>
        <v>0.34497212482414663</v>
      </c>
      <c r="AO36" s="23">
        <f>+IF(AO4&gt;$B$37,AN36*Parameters!$B$105,$B$33*$B$32+(AN36-$B$33*$B$32)*(1-$B$34))</f>
        <v>0.33528351858293926</v>
      </c>
      <c r="AP36" s="23">
        <f>+IF(AP4&gt;$B$37,AO36*Parameters!$B$105,$B$33*$B$32+(AO36-$B$33*$B$32)*(1-$B$34))</f>
        <v>0.32607934265379229</v>
      </c>
      <c r="AQ36" s="23">
        <f>+IF(AQ4&gt;$B$37,AP36*Parameters!$B$105,$B$33*$B$32+(AP36-$B$33*$B$32)*(1-$B$34))</f>
        <v>0.31733537552110269</v>
      </c>
      <c r="AR36" s="23">
        <f>+IF(AR4&gt;$B$37,AQ36*Parameters!$B$105,$B$33*$B$32+(AQ36-$B$33*$B$32)*(1-$B$34))</f>
        <v>0.30902860674504756</v>
      </c>
      <c r="AS36" s="23">
        <f>+IF(AS4&gt;$B$37,AR36*Parameters!$B$105,$B$33*$B$32+(AR36-$B$33*$B$32)*(1-$B$34))</f>
        <v>0.30113717640779514</v>
      </c>
      <c r="AT36" s="23">
        <f>+IF(AT4&gt;$B$37,AS36*Parameters!$B$105,$B$33*$B$32+(AS36-$B$33*$B$32)*(1-$B$34))</f>
        <v>0.29364031758740539</v>
      </c>
      <c r="AU36" s="23">
        <f>+IF(AU4&gt;$B$37,AT36*Parameters!$B$105,$B$33*$B$32+(AT36-$B$33*$B$32)*(1-$B$34))</f>
        <v>0.28651830170803511</v>
      </c>
      <c r="AV36" s="23">
        <f>+IF(AV4&gt;$B$37,AU36*Parameters!$B$105,$B$33*$B$32+(AU36-$B$33*$B$32)*(1-$B$34))</f>
        <v>0.27975238662263335</v>
      </c>
      <c r="AW36" s="23">
        <f>+IF(AW4&gt;$B$37,AV36*Parameters!$B$105,$B$33*$B$32+(AV36-$B$33*$B$32)*(1-$B$34))</f>
        <v>0.27332476729150168</v>
      </c>
      <c r="AX36" s="23">
        <f>+IF(AX4&gt;$B$37,AW36*Parameters!$B$105,$B$33*$B$32+(AW36-$B$33*$B$32)*(1-$B$34))</f>
        <v>0.2672185289269266</v>
      </c>
      <c r="AY36" s="23">
        <f>+IF(AY4&gt;$B$37,AX36*Parameters!$B$105,$B$33*$B$32+(AX36-$B$33*$B$32)*(1-$B$34))</f>
        <v>0.26141760248058027</v>
      </c>
      <c r="AZ36" s="23">
        <f>+IF(AZ4&gt;$B$37,AY36*Parameters!$B$105,$B$33*$B$32+(AY36-$B$33*$B$32)*(1-$B$34))</f>
        <v>0.25590672235655126</v>
      </c>
      <c r="BA36" s="23">
        <f>+IF(BA4&gt;$B$37,AZ36*Parameters!$B$105,$B$33*$B$32+(AZ36-$B$33*$B$32)*(1-$B$34))</f>
        <v>0.2506713862387237</v>
      </c>
      <c r="BB36" s="23">
        <f>+IF(BB4&gt;$B$37,BA36*Parameters!$B$105,$B$33*$B$32+(BA36-$B$33*$B$32)*(1-$B$34))</f>
        <v>0.24569781692678749</v>
      </c>
      <c r="BC36" s="23">
        <f>+IF(BC4&gt;$B$37,BB36*Parameters!$B$105,$B$33*$B$32+(BB36-$B$33*$B$32)*(1-$B$34))</f>
        <v>0.24097292608044812</v>
      </c>
      <c r="BD36" s="23">
        <f>+IF(BD4&gt;$B$37,BC36*Parameters!$B$105,$B$33*$B$32+(BC36-$B$33*$B$32)*(1-$B$34))</f>
        <v>0.23648427977642572</v>
      </c>
      <c r="BE36" s="23">
        <f>+IF(BE4&gt;$B$37,BD36*Parameters!$B$105,$B$33*$B$32+(BD36-$B$33*$B$32)*(1-$B$34))</f>
        <v>0.11824213988821286</v>
      </c>
      <c r="BF36" s="23">
        <f>+IF(BF4&gt;$B$37,BE36*Parameters!$B$105,$B$33*$B$32+(BE36-$B$33*$B$32)*(1-$B$34))</f>
        <v>5.912106994410643E-2</v>
      </c>
      <c r="BG36" s="23">
        <f>+IF(BG4&gt;$B$37,BF36*Parameters!$B$105,$B$33*$B$32+(BF36-$B$33*$B$32)*(1-$B$34))</f>
        <v>2.9560534972053215E-2</v>
      </c>
      <c r="BH36" s="23">
        <f>+IF(BH4&gt;$B$37,BG36*Parameters!$B$105,$B$33*$B$32+(BG36-$B$33*$B$32)*(1-$B$34))</f>
        <v>1.4780267486026608E-2</v>
      </c>
      <c r="BI36" s="23">
        <f>+IF(BI4&gt;$B$37,BH36*Parameters!$B$105,$B$33*$B$32+(BH36-$B$33*$B$32)*(1-$B$34))</f>
        <v>7.3901337430133038E-3</v>
      </c>
    </row>
    <row r="37" spans="1:61 16384:16384" s="33" customFormat="1" ht="18" customHeight="1" x14ac:dyDescent="0.2">
      <c r="A37" s="32" t="s">
        <v>73</v>
      </c>
      <c r="B37" s="144">
        <f>+Parameters!Q64</f>
        <v>2250</v>
      </c>
      <c r="C37" s="14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 x14ac:dyDescent="0.2">
      <c r="A38" s="38" t="s">
        <v>81</v>
      </c>
      <c r="B38" s="198">
        <f>+Parameters!C63</f>
        <v>2.8</v>
      </c>
      <c r="C38" s="199"/>
    </row>
    <row r="39" spans="1:61 16384:16384" ht="18" customHeight="1" x14ac:dyDescent="0.2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 x14ac:dyDescent="0.2">
      <c r="A40" s="43" t="s">
        <v>203</v>
      </c>
      <c r="B40" s="144">
        <f>+B41</f>
        <v>0.13895604299311176</v>
      </c>
      <c r="C40" s="143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 x14ac:dyDescent="0.2">
      <c r="A41" s="21" t="s">
        <v>92</v>
      </c>
      <c r="B41" s="144">
        <f>+Parameters!Q69</f>
        <v>0.13895604299311176</v>
      </c>
    </row>
    <row r="42" spans="1:61 16384:16384" s="45" customFormat="1" ht="18" customHeight="1" x14ac:dyDescent="0.2">
      <c r="A42" s="43" t="s">
        <v>131</v>
      </c>
      <c r="B42" s="144"/>
      <c r="C42" s="143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 x14ac:dyDescent="0.2">
      <c r="A43" s="21" t="s">
        <v>169</v>
      </c>
      <c r="B43" s="144">
        <f>+B44</f>
        <v>0.7</v>
      </c>
      <c r="C43" s="143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 x14ac:dyDescent="0.2">
      <c r="A44" s="21" t="s">
        <v>23</v>
      </c>
      <c r="B44" s="144">
        <f>+Parameters!Q70</f>
        <v>0.7</v>
      </c>
    </row>
    <row r="45" spans="1:61 16384:16384" ht="18" customHeight="1" x14ac:dyDescent="0.2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 x14ac:dyDescent="0.2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 x14ac:dyDescent="0.2">
      <c r="A47" s="557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 x14ac:dyDescent="0.2">
      <c r="A48" s="556" t="s">
        <v>1130</v>
      </c>
      <c r="B48" s="219">
        <f>+Parameters!D142</f>
        <v>0</v>
      </c>
      <c r="C48" s="219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44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 x14ac:dyDescent="0.2">
      <c r="A49" s="556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 x14ac:dyDescent="0.2">
      <c r="A50" s="556" t="s">
        <v>1132</v>
      </c>
      <c r="B50" s="44">
        <v>0</v>
      </c>
      <c r="C50" s="44">
        <f>100*$B$49*(Global!B135*$B$48+Global!B135^2*$C$48)*(B61/$B61)^(1/$C$49)</f>
        <v>3.5885832352806272E-3</v>
      </c>
      <c r="D50" s="44">
        <f>100*$B$49*(Global!C135*$B$48+Global!C135^2*$C$48)*(C61/$B61)^(1/$C$49)</f>
        <v>4.8956504852947684E-3</v>
      </c>
      <c r="E50" s="44">
        <f>100*$B$49*(Global!D135*$B$48+Global!D135^2*$C$48)*(D61/$B61)^(1/$C$49)</f>
        <v>6.6954865937896959E-3</v>
      </c>
      <c r="F50" s="44">
        <f>100*$B$49*(Global!E135*$B$48+Global!E135^2*$C$48)*(E61/$B61)^(1/$C$49)</f>
        <v>8.8170146132993069E-3</v>
      </c>
      <c r="G50" s="44">
        <f>100*$B$49*(Global!F135*$B$48+Global!F135^2*$C$48)*(F61/$B61)^(1/$C$49)</f>
        <v>1.1447621581532393E-2</v>
      </c>
      <c r="H50" s="44">
        <f>100*$B$49*(Global!G135*$B$48+Global!G135^2*$C$48)*(G61/$B61)^(1/$C$49)</f>
        <v>1.4839076804362366E-2</v>
      </c>
      <c r="I50" s="44">
        <f>100*$B$49*(Global!H135*$B$48+Global!H135^2*$C$48)*(H61/$B61)^(1/$C$49)</f>
        <v>1.8328188801373831E-2</v>
      </c>
      <c r="J50" s="44">
        <f>100*$B$49*(Global!I135*$B$48+Global!I135^2*$C$48)*(I61/$B61)^(1/$C$49)</f>
        <v>2.2490746666241072E-2</v>
      </c>
      <c r="K50" s="44">
        <f>100*$B$49*(Global!J135*$B$48+Global!J135^2*$C$48)*(J61/$B61)^(1/$C$49)</f>
        <v>2.701449214978463E-2</v>
      </c>
      <c r="L50" s="44">
        <f>100*$B$49*(Global!K135*$B$48+Global!K135^2*$C$48)*(K61/$B61)^(1/$C$49)</f>
        <v>3.1615016577703596E-2</v>
      </c>
      <c r="M50" s="44">
        <f>100*$B$49*(Global!L135*$B$48+Global!L135^2*$C$48)*(L61/$B61)^(1/$C$49)</f>
        <v>3.6793105426993974E-2</v>
      </c>
      <c r="N50" s="44">
        <f>100*$B$49*(Global!M135*$B$48+Global!M135^2*$C$48)*(M61/$B61)^(1/$C$49)</f>
        <v>4.1637123695841056E-2</v>
      </c>
      <c r="O50" s="44">
        <f>100*$B$49*(Global!N135*$B$48+Global!N135^2*$C$48)*(N61/$B61)^(1/$C$49)</f>
        <v>4.7444967749162174E-2</v>
      </c>
      <c r="P50" s="44">
        <f>100*$B$49*(Global!O135*$B$48+Global!O135^2*$C$48)*(O61/$B61)^(1/$C$49)</f>
        <v>5.3622205681438835E-2</v>
      </c>
      <c r="Q50" s="44">
        <f>100*$B$49*(Global!P135*$B$48+Global!P135^2*$C$48)*(P61/$B61)^(1/$C$49)</f>
        <v>5.9751925030747943E-2</v>
      </c>
      <c r="R50" s="44">
        <f>100*$B$49*(Global!Q135*$B$48+Global!Q135^2*$C$48)*(Q61/$B61)^(1/$C$49)</f>
        <v>6.6995828335146168E-2</v>
      </c>
      <c r="S50" s="44">
        <f>100*$B$49*(Global!R135*$B$48+Global!R135^2*$C$48)*(R61/$B61)^(1/$C$49)</f>
        <v>7.4466084696440671E-2</v>
      </c>
      <c r="T50" s="44">
        <f>100*$B$49*(Global!S135*$B$48+Global!S135^2*$C$48)*(S61/$B61)^(1/$C$49)</f>
        <v>8.2526453777438905E-2</v>
      </c>
      <c r="U50" s="44">
        <f>100*$B$49*(Global!T135*$B$48+Global!T135^2*$C$48)*(T61/$B61)^(1/$C$49)</f>
        <v>8.9852947553921605E-2</v>
      </c>
      <c r="V50" s="44">
        <f>100*$B$49*(Global!U135*$B$48+Global!U135^2*$C$48)*(U61/$B61)^(1/$C$49)</f>
        <v>9.7894739056775079E-2</v>
      </c>
      <c r="W50" s="44">
        <f>100*$B$49*(Global!V135*$B$48+Global!V135^2*$C$48)*(V61/$B61)^(1/$C$49)</f>
        <v>0.10752442651782346</v>
      </c>
      <c r="X50" s="44">
        <f>100*$B$49*(Global!W135*$B$48+Global!W135^2*$C$48)*(W61/$B61)^(1/$C$49)</f>
        <v>0.11637864993436554</v>
      </c>
      <c r="Y50" s="44">
        <f>100*$B$49*(Global!X135*$B$48+Global!X135^2*$C$48)*(X61/$B61)^(1/$C$49)</f>
        <v>0.12626875480574223</v>
      </c>
      <c r="Z50" s="44">
        <f>100*$B$49*(Global!Y135*$B$48+Global!Y135^2*$C$48)*(Y61/$B61)^(1/$C$49)</f>
        <v>0.13652030985458172</v>
      </c>
      <c r="AA50" s="44">
        <f>100*$B$49*(Global!Z135*$B$48+Global!Z135^2*$C$48)*(Z61/$B61)^(1/$C$49)</f>
        <v>0.14760872578357895</v>
      </c>
      <c r="AB50" s="44">
        <f>100*$B$49*(Global!AA135*$B$48+Global!AA135^2*$C$48)*(AA61/$B61)^(1/$C$49)</f>
        <v>0.16056632276855631</v>
      </c>
      <c r="AC50" s="44">
        <f>100*$B$49*(Global!AB135*$B$48+Global!AB135^2*$C$48)*(AB61/$B61)^(1/$C$49)</f>
        <v>0.1751797647940502</v>
      </c>
      <c r="AD50" s="44">
        <f>100*$B$49*(Global!AC135*$B$48+Global!AC135^2*$C$48)*(AC61/$B61)^(1/$C$49)</f>
        <v>0.18956138034702347</v>
      </c>
      <c r="AE50" s="44">
        <f>100*$B$49*(Global!AD135*$B$48+Global!AD135^2*$C$48)*(AD61/$B61)^(1/$C$49)</f>
        <v>0.20380813283774607</v>
      </c>
      <c r="AF50" s="44">
        <f>100*$B$49*(Global!AE135*$B$48+Global!AE135^2*$C$48)*(AE61/$B61)^(1/$C$49)</f>
        <v>0.21948334607503414</v>
      </c>
      <c r="AG50" s="44">
        <f>100*$B$49*(Global!AF135*$B$48+Global!AF135^2*$C$48)*(AF61/$B61)^(1/$C$49)</f>
        <v>0.23158735811070946</v>
      </c>
      <c r="AH50" s="44">
        <f>100*$B$49*(Global!AG135*$B$48+Global!AG135^2*$C$48)*(AG61/$B61)^(1/$C$49)</f>
        <v>0.24581244359943027</v>
      </c>
      <c r="AI50" s="44">
        <f>100*$B$49*(Global!AH135*$B$48+Global!AH135^2*$C$48)*(AH61/$B61)^(1/$C$49)</f>
        <v>0.26158996014680602</v>
      </c>
      <c r="AJ50" s="44">
        <f>100*$B$49*(Global!AI135*$B$48+Global!AI135^2*$C$48)*(AI61/$B61)^(1/$C$49)</f>
        <v>0.52913397297755005</v>
      </c>
      <c r="AK50" s="44">
        <f>100*$B$49*(Global!AJ135*$B$48+Global!AJ135^2*$C$48)*(AJ61/$B61)^(1/$C$49)</f>
        <v>0.62952327243011297</v>
      </c>
      <c r="AL50" s="44">
        <f>100*$B$49*(Global!AK135*$B$48+Global!AK135^2*$C$48)*(AK61/$B61)^(1/$C$49)</f>
        <v>0.67531548416690723</v>
      </c>
      <c r="AM50" s="44">
        <f>100*$B$49*(Global!AL135*$B$48+Global!AL135^2*$C$48)*(AL61/$B61)^(1/$C$49)</f>
        <v>0.7009956342590683</v>
      </c>
      <c r="AN50" s="44">
        <f>100*$B$49*(Global!AM135*$B$48+Global!AM135^2*$C$48)*(AM61/$B61)^(1/$C$49)</f>
        <v>0.7182559120147195</v>
      </c>
      <c r="AO50" s="44">
        <f>100*$B$49*(Global!AN135*$B$48+Global!AN135^2*$C$48)*(AN61/$B61)^(1/$C$49)</f>
        <v>0.7316335129418331</v>
      </c>
      <c r="AP50" s="44">
        <f>100*$B$49*(Global!AO135*$B$48+Global!AO135^2*$C$48)*(AO61/$B61)^(1/$C$49)</f>
        <v>0.74317085781703163</v>
      </c>
      <c r="AQ50" s="44">
        <f>100*$B$49*(Global!AP135*$B$48+Global!AP135^2*$C$48)*(AP61/$B61)^(1/$C$49)</f>
        <v>0.75387128550239524</v>
      </c>
      <c r="AR50" s="44">
        <f>100*$B$49*(Global!AQ135*$B$48+Global!AQ135^2*$C$48)*(AQ61/$B61)^(1/$C$49)</f>
        <v>0.76425326416879003</v>
      </c>
      <c r="AS50" s="44">
        <f>100*$B$49*(Global!AR135*$B$48+Global!AR135^2*$C$48)*(AR61/$B61)^(1/$C$49)</f>
        <v>0.77459357693232311</v>
      </c>
      <c r="AT50" s="44">
        <f>100*$B$49*(Global!AS135*$B$48+Global!AS135^2*$C$48)*(AS61/$B61)^(1/$C$49)</f>
        <v>0.78504393725538968</v>
      </c>
      <c r="AU50" s="44">
        <f>100*$B$49*(Global!AT135*$B$48+Global!AT135^2*$C$48)*(AT61/$B61)^(1/$C$49)</f>
        <v>0.79568991769243458</v>
      </c>
      <c r="AV50" s="44">
        <f>100*$B$49*(Global!AU135*$B$48+Global!AU135^2*$C$48)*(AU61/$B61)^(1/$C$49)</f>
        <v>0.80658163687834439</v>
      </c>
      <c r="AW50" s="44">
        <f>100*$B$49*(Global!AV135*$B$48+Global!AV135^2*$C$48)*(AV61/$B61)^(1/$C$49)</f>
        <v>0.8177500180446271</v>
      </c>
      <c r="AX50" s="44">
        <f>100*$B$49*(Global!AW135*$B$48+Global!AW135^2*$C$48)*(AW61/$B61)^(1/$C$49)</f>
        <v>0.82921549295702446</v>
      </c>
      <c r="AY50" s="44">
        <f>100*$B$49*(Global!AX135*$B$48+Global!AX135^2*$C$48)*(AX61/$B61)^(1/$C$49)</f>
        <v>0.84099269456318138</v>
      </c>
      <c r="AZ50" s="44">
        <f>100*$B$49*(Global!AY135*$B$48+Global!AY135^2*$C$48)*(AY61/$B61)^(1/$C$49)</f>
        <v>0.85309300227815066</v>
      </c>
      <c r="BA50" s="44">
        <f>100*$B$49*(Global!AZ135*$B$48+Global!AZ135^2*$C$48)*(AZ61/$B61)^(1/$C$49)</f>
        <v>0.86552593182554138</v>
      </c>
      <c r="BB50" s="44">
        <f>100*$B$49*(Global!BA135*$B$48+Global!BA135^2*$C$48)*(BA61/$B61)^(1/$C$49)</f>
        <v>0.8782999010326098</v>
      </c>
      <c r="BC50" s="44">
        <f>100*$B$49*(Global!BB135*$B$48+Global!BB135^2*$C$48)*(BB61/$B61)^(1/$C$49)</f>
        <v>0.89142265741347571</v>
      </c>
      <c r="BD50" s="44">
        <f>100*$B$49*(Global!BC135*$B$48+Global!BC135^2*$C$48)*(BC61/$B61)^(1/$C$49)</f>
        <v>0.90490152170160421</v>
      </c>
      <c r="BE50" s="44">
        <f>100*$B$49*(Global!BD135*$B$48+Global!BD135^2*$C$48)*(BD61/$B61)^(1/$C$49)</f>
        <v>0.91874353065373582</v>
      </c>
      <c r="BF50" s="44">
        <f>100*$B$49*(Global!BE135*$B$48+Global!BE135^2*$C$48)*(BE61/$B61)^(1/$C$49)</f>
        <v>0.93295552425539074</v>
      </c>
      <c r="BG50" s="44">
        <f>100*$B$49*(Global!BF135*$B$48+Global!BF135^2*$C$48)*(BF61/$B61)^(1/$C$49)</f>
        <v>0.94756138359980147</v>
      </c>
      <c r="BH50" s="44">
        <f>100*$B$49*(Global!BG135*$B$48+Global!BG135^2*$C$48)*(BG61/$B61)^(1/$C$49)</f>
        <v>0.96255074588003786</v>
      </c>
      <c r="BI50" s="44">
        <f>100*$B$49*(Global!BH135*$B$48+Global!BH135^2*$C$48)*(BH61/$B61)^(1/$C$49)</f>
        <v>0.97792553695360662</v>
      </c>
      <c r="BJ50" s="44">
        <f>100*$B$49*(Global!BI135*$B$48+Global!BI135^2*$C$48)*(BI61/$B61)^(1/$C$49)</f>
        <v>0.99369202361629627</v>
      </c>
      <c r="BK50" s="44">
        <f>100*$B$49*(Global!BJ80*$B$48+Global!BJ80^2*$C$48)*(BJ61/$B61)^(1/$C$49)</f>
        <v>1.0013584945350524</v>
      </c>
      <c r="BL50" s="44">
        <f>100*$B$49*(Global!BK80*$B$48+Global!BK80^2*$C$48)*(BK61/$B61)^(1/$C$49)</f>
        <v>1.0092494158998118</v>
      </c>
      <c r="BM50" s="44">
        <f>100*$B$49*(Global!BL80*$B$48+Global!BL80^2*$C$48)*(BL61/$B61)^(1/$C$49)</f>
        <v>1.0173621408124751</v>
      </c>
      <c r="BN50" s="44">
        <f>100*$B$49*(Global!BM80*$B$48+Global!BM80^2*$C$48)*(BM61/$B61)^(1/$C$49)</f>
        <v>1.025694117662949</v>
      </c>
      <c r="BO50" s="44">
        <f>100*$B$49*(Global!BN80*$B$48+Global!BN80^2*$C$48)*(BN61/$B61)^(1/$C$49)</f>
        <v>1.0342428851525542</v>
      </c>
      <c r="BP50" s="44">
        <f>100*$B$49*(Global!BO80*$B$48+Global!BO80^2*$C$48)*(BO61/$B61)^(1/$C$49)</f>
        <v>1.0430060675886998</v>
      </c>
      <c r="BQ50" s="44">
        <f>100*$B$49*(Global!BP80*$B$48+Global!BP80^2*$C$48)*(BP61/$B61)^(1/$C$49)</f>
        <v>1.0519813704365071</v>
      </c>
      <c r="BR50" s="44">
        <f>100*$B$49*(Global!BQ80*$B$48+Global!BQ80^2*$C$48)*(BQ61/$B61)^(1/$C$49)</f>
        <v>1.0611665761137929</v>
      </c>
      <c r="BS50" s="44">
        <f>100*$B$49*(Global!BR80*$B$48+Global!BR80^2*$C$48)*(BR61/$B61)^(1/$C$49)</f>
        <v>1.0705595400165238</v>
      </c>
      <c r="BT50" s="44">
        <f>100*$B$49*(Global!BS80*$B$48+Global!BS80^2*$C$48)*(BS61/$B61)^(1/$C$49)</f>
        <v>1.0801581867625134</v>
      </c>
      <c r="BU50" s="44">
        <f>100*$B$49*(Global!BT80*$B$48+Global!BT80^2*$C$48)*(BT61/$B61)^(1/$C$49)</f>
        <v>1.0899605066417362</v>
      </c>
      <c r="BV50" s="44">
        <f>100*$B$49*(Global!BU80*$B$48+Global!BU80^2*$C$48)*(BU61/$B61)^(1/$C$49)</f>
        <v>1.0999645522622687</v>
      </c>
      <c r="BW50" s="44">
        <f>100*$B$49*(Global!BV80*$B$48+Global!BV80^2*$C$48)*(BV61/$B61)^(1/$C$49)</f>
        <v>1.1101684353813928</v>
      </c>
      <c r="BX50" s="44">
        <f>100*$B$49*(Global!BW80*$B$48+Global!BW80^2*$C$48)*(BW61/$B61)^(1/$C$49)</f>
        <v>1.1205703239119522</v>
      </c>
      <c r="BY50" s="44">
        <f>100*$B$49*(Global!BX80*$B$48+Global!BX80^2*$C$48)*(BX61/$B61)^(1/$C$49)</f>
        <v>1.1311684390945687</v>
      </c>
      <c r="BZ50" s="44">
        <f>100*$B$49*(Global!BY80*$B$48+Global!BY80^2*$C$48)*(BY61/$B61)^(1/$C$49)</f>
        <v>1.1419610528267925</v>
      </c>
      <c r="CA50" s="44">
        <f>100*$B$49*(Global!BZ80*$B$48+Global!BZ80^2*$C$48)*(BZ61/$B61)^(1/$C$49)</f>
        <v>1.1529464851407314</v>
      </c>
      <c r="CB50" s="44">
        <f>100*$B$49*(Global!CA80*$B$48+Global!CA80^2*$C$48)*(CA61/$B61)^(1/$C$49)</f>
        <v>1.1641231018211473</v>
      </c>
      <c r="CC50" s="44">
        <f>100*$B$49*(Global!CB80*$B$48+Global!CB80^2*$C$48)*(CB61/$B61)^(1/$C$49)</f>
        <v>1.1754893121564032</v>
      </c>
      <c r="CD50" s="44">
        <f>100*$B$49*(Global!CC80*$B$48+Global!CC80^2*$C$48)*(CC61/$B61)^(1/$C$49)</f>
        <v>1.1870435668150658</v>
      </c>
      <c r="CE50" s="44">
        <f>100*$B$49*(Global!CD80*$B$48+Global!CD80^2*$C$48)*(CD61/$B61)^(1/$C$49)</f>
        <v>1.1987843558413158</v>
      </c>
      <c r="CF50" s="44">
        <f>100*$B$49*(Global!CE80*$B$48+Global!CE80^2*$C$48)*(CE61/$B61)^(1/$C$49)</f>
        <v>1.2107102067626914</v>
      </c>
      <c r="CG50" s="44">
        <f>100*$B$49*(Global!CF80*$B$48+Global!CF80^2*$C$48)*(CF61/$B61)^(1/$C$49)</f>
        <v>1.222819682804035</v>
      </c>
      <c r="CH50" s="44">
        <f>100*$B$49*(Global!CG80*$B$48+Global!CG80^2*$C$48)*(CG61/$B61)^(1/$C$49)</f>
        <v>1.2351113812017993</v>
      </c>
      <c r="CI50" s="44">
        <f>100*$B$49*(Global!CH80*$B$48+Global!CH80^2*$C$48)*(CH61/$B61)^(1/$C$49)</f>
        <v>1.2475839316132229</v>
      </c>
      <c r="CJ50" s="44">
        <f>100*$B$49*(Global!CI80*$B$48+Global!CI80^2*$C$48)*(CI61/$B61)^(1/$C$49)</f>
        <v>1.2602359946151338</v>
      </c>
      <c r="CK50" s="44">
        <f>100*$B$49*(Global!CJ80*$B$48+Global!CJ80^2*$C$48)*(CJ61/$B61)^(1/$C$49)</f>
        <v>1.2730662602874294</v>
      </c>
      <c r="CL50" s="44">
        <f>100*$B$49*(Global!CK80*$B$48+Global!CK80^2*$C$48)*(CK61/$B61)^(1/$C$49)</f>
        <v>1.2860734468765564</v>
      </c>
      <c r="CM50" s="44">
        <f>100*$B$49*(Global!CL80*$B$48+Global!CL80^2*$C$48)*(CL61/$B61)^(1/$C$49)</f>
        <v>1.2992562995345245</v>
      </c>
      <c r="CN50" s="44">
        <f>100*$B$49*(Global!CM80*$B$48+Global!CM80^2*$C$48)*(CM61/$B61)^(1/$C$49)</f>
        <v>1.3126135891292696</v>
      </c>
      <c r="CO50" s="44">
        <f>100*$B$49*(Global!CN80*$B$48+Global!CN80^2*$C$48)*(CN61/$B61)^(1/$C$49)</f>
        <v>1.3261441111223675</v>
      </c>
      <c r="CP50" s="44">
        <f>100*$B$49*(Global!CO80*$B$48+Global!CO80^2*$C$48)*(CO61/$B61)^(1/$C$49)</f>
        <v>1.3398466845103203</v>
      </c>
      <c r="CQ50" s="44">
        <f>100*$B$49*(Global!CP80*$B$48+Global!CP80^2*$C$48)*(CP61/$B61)^(1/$C$49)</f>
        <v>1.3537201508258643</v>
      </c>
      <c r="CR50" s="44">
        <f>100*$B$49*(Global!CQ80*$B$48+Global!CQ80^2*$C$48)*(CQ61/$B61)^(1/$C$49)</f>
        <v>1.3677633731958891</v>
      </c>
      <c r="CS50" s="44">
        <f>100*$B$49*(Global!CR80*$B$48+Global!CR80^2*$C$48)*(CR61/$B61)^(1/$C$49)</f>
        <v>1.3819752354527917</v>
      </c>
      <c r="CT50" s="44">
        <f>100*$B$49*(Global!CS80*$B$48+Global!CS80^2*$C$48)*(CS61/$B61)^(1/$C$49)</f>
        <v>1.3963546412962162</v>
      </c>
      <c r="CU50" s="44">
        <f>100*$B$49*(Global!CT80*$B$48+Global!CT80^2*$C$48)*(CT61/$B61)^(1/$C$49)</f>
        <v>1.4109005135023289</v>
      </c>
      <c r="CV50" s="44">
        <f>100*$B$49*(Global!CU80*$B$48+Global!CU80^2*$C$48)*(CU61/$B61)^(1/$C$49)</f>
        <v>1.4256117931779051</v>
      </c>
      <c r="CW50" s="44"/>
      <c r="CX50" s="29"/>
      <c r="CY50" s="29"/>
      <c r="CZ50" s="29"/>
      <c r="DA50" s="29"/>
    </row>
    <row r="51" spans="1:105" ht="18" customHeight="1" x14ac:dyDescent="0.2">
      <c r="A51" s="51" t="s">
        <v>195</v>
      </c>
    </row>
    <row r="52" spans="1:105" ht="18" customHeight="1" x14ac:dyDescent="0.2">
      <c r="A52" s="23" t="s">
        <v>120</v>
      </c>
      <c r="B52" s="188">
        <f>+Data!B245/1000</f>
        <v>3.0776728258783042E-3</v>
      </c>
      <c r="C52" s="114">
        <f>+B95-B92</f>
        <v>-185.03163095592424</v>
      </c>
    </row>
    <row r="53" spans="1:105" ht="18" customHeight="1" x14ac:dyDescent="0.2">
      <c r="A53" s="21" t="s">
        <v>121</v>
      </c>
      <c r="B53" s="185">
        <f>+Data!O180</f>
        <v>11.799546802511543</v>
      </c>
      <c r="C53" s="114">
        <f>+Data!Q180</f>
        <v>126.98709766030743</v>
      </c>
    </row>
    <row r="54" spans="1:105" ht="18" customHeight="1" x14ac:dyDescent="0.2">
      <c r="A54" s="21" t="s">
        <v>122</v>
      </c>
    </row>
    <row r="55" spans="1:105" s="6" customFormat="1" ht="15" x14ac:dyDescent="0.2">
      <c r="A55" s="193" t="s">
        <v>44</v>
      </c>
      <c r="B55" s="186"/>
      <c r="C55" s="186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 x14ac:dyDescent="0.2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5" x14ac:dyDescent="0.2">
      <c r="A57" s="5" t="s">
        <v>113</v>
      </c>
      <c r="B57" s="186">
        <f>Parameters!Q48</f>
        <v>937.19556697899202</v>
      </c>
      <c r="C57" s="187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 x14ac:dyDescent="0.2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5" x14ac:dyDescent="0.2">
      <c r="A59" s="5" t="s">
        <v>129</v>
      </c>
      <c r="B59" s="186">
        <f>+BI56</f>
        <v>1425.1651397188009</v>
      </c>
      <c r="C59" s="187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 x14ac:dyDescent="0.2">
      <c r="A60" s="51" t="s">
        <v>123</v>
      </c>
      <c r="B60" s="143"/>
    </row>
    <row r="61" spans="1:105" s="45" customFormat="1" ht="18" customHeight="1" x14ac:dyDescent="0.2">
      <c r="A61" s="555" t="s">
        <v>124</v>
      </c>
      <c r="B61" s="682">
        <v>2.5310645558390918</v>
      </c>
      <c r="C61" s="682">
        <v>2.6763245161820541</v>
      </c>
      <c r="D61" s="682">
        <v>2.8491501397623828</v>
      </c>
      <c r="E61" s="682">
        <v>3.0348963876778576</v>
      </c>
      <c r="F61" s="682">
        <v>3.2302797870630342</v>
      </c>
      <c r="G61" s="682">
        <v>3.4665154561108027</v>
      </c>
      <c r="H61" s="682">
        <v>3.7004238513038312</v>
      </c>
      <c r="I61" s="682">
        <v>3.8264851091560619</v>
      </c>
      <c r="J61" s="682">
        <v>3.6293123668840765</v>
      </c>
      <c r="K61" s="682">
        <v>3.7527870552956908</v>
      </c>
      <c r="L61" s="682">
        <v>3.9547574966840977</v>
      </c>
      <c r="M61" s="682">
        <v>4.0941140837342962</v>
      </c>
      <c r="N61" s="682">
        <v>4.3104579364138846</v>
      </c>
      <c r="O61" s="682">
        <v>4.5561131185142543</v>
      </c>
      <c r="P61" s="682">
        <v>4.8391981572140033</v>
      </c>
      <c r="Q61" s="682">
        <v>5.1254540935967592</v>
      </c>
      <c r="R61" s="682">
        <v>5.4278614278595061</v>
      </c>
      <c r="S61" s="682">
        <v>5.7657960667030812</v>
      </c>
      <c r="T61" s="682">
        <v>6.0309826733733845</v>
      </c>
      <c r="U61" s="682">
        <v>6.2169585915366552</v>
      </c>
      <c r="V61" s="682">
        <v>6.6003634869238814</v>
      </c>
      <c r="W61" s="682">
        <v>6.9130088921068875</v>
      </c>
      <c r="X61" s="682">
        <v>7.3286682265273235</v>
      </c>
      <c r="Y61" s="682">
        <v>7.700600370788675</v>
      </c>
      <c r="Z61" s="682">
        <v>8.0777773997057949</v>
      </c>
      <c r="AA61" s="682">
        <v>8.4837690237828287</v>
      </c>
      <c r="AB61" s="682">
        <v>8.9406430846461209</v>
      </c>
      <c r="AC61" s="682">
        <v>9.4323147413416688</v>
      </c>
      <c r="AD61" s="682">
        <v>9.955699530646525</v>
      </c>
      <c r="AE61" s="682">
        <v>10.431558599864045</v>
      </c>
      <c r="AF61" s="682">
        <v>10.137916405356833</v>
      </c>
      <c r="AG61" s="682">
        <v>10.490305864619499</v>
      </c>
      <c r="AH61" s="682">
        <v>10.98461907662184</v>
      </c>
      <c r="AI61" s="45">
        <f t="shared" ref="B61:BI61" si="11">AI20*AI74^$B7*(AI56/1000)^(1-$B7)</f>
        <v>144.67208862149386</v>
      </c>
      <c r="AJ61" s="45">
        <f t="shared" si="11"/>
        <v>289.29902265446532</v>
      </c>
      <c r="AK61" s="45">
        <f t="shared" si="11"/>
        <v>381.78088307399901</v>
      </c>
      <c r="AL61" s="45">
        <f t="shared" si="11"/>
        <v>441.02577195775064</v>
      </c>
      <c r="AM61" s="45">
        <f t="shared" si="11"/>
        <v>482.92603652912686</v>
      </c>
      <c r="AN61" s="45">
        <f t="shared" si="11"/>
        <v>515.77786626866123</v>
      </c>
      <c r="AO61" s="45">
        <f t="shared" si="11"/>
        <v>543.93719721139337</v>
      </c>
      <c r="AP61" s="45">
        <f t="shared" si="11"/>
        <v>569.75397037040591</v>
      </c>
      <c r="AQ61" s="45">
        <f t="shared" si="11"/>
        <v>594.52266018599346</v>
      </c>
      <c r="AR61" s="45">
        <f t="shared" si="11"/>
        <v>618.96893579672223</v>
      </c>
      <c r="AS61" s="45">
        <f t="shared" si="11"/>
        <v>643.50770787412307</v>
      </c>
      <c r="AT61" s="45">
        <f t="shared" si="11"/>
        <v>668.38292849206448</v>
      </c>
      <c r="AU61" s="45">
        <f t="shared" si="11"/>
        <v>693.74424552951029</v>
      </c>
      <c r="AV61" s="45">
        <f t="shared" si="11"/>
        <v>719.68930565297262</v>
      </c>
      <c r="AW61" s="45">
        <f t="shared" si="11"/>
        <v>746.28718036900216</v>
      </c>
      <c r="AX61" s="45">
        <f t="shared" si="11"/>
        <v>773.59136441449368</v>
      </c>
      <c r="AY61" s="45">
        <f t="shared" si="11"/>
        <v>801.64699938843296</v>
      </c>
      <c r="AZ61" s="45">
        <f t="shared" si="11"/>
        <v>830.4948961423662</v>
      </c>
      <c r="BA61" s="45">
        <f t="shared" si="11"/>
        <v>860.17378231740997</v>
      </c>
      <c r="BB61" s="45">
        <f t="shared" si="11"/>
        <v>890.72156628509583</v>
      </c>
      <c r="BC61" s="45">
        <f t="shared" si="11"/>
        <v>922.17605649948132</v>
      </c>
      <c r="BD61" s="45">
        <f t="shared" si="11"/>
        <v>954.57537977724382</v>
      </c>
      <c r="BE61" s="45">
        <f t="shared" si="11"/>
        <v>987.95823351869853</v>
      </c>
      <c r="BF61" s="45">
        <f t="shared" si="11"/>
        <v>1022.4382025626908</v>
      </c>
      <c r="BG61" s="45">
        <f t="shared" si="11"/>
        <v>1057.9851406096536</v>
      </c>
      <c r="BH61" s="45">
        <f t="shared" si="11"/>
        <v>1094.6197322429928</v>
      </c>
      <c r="BI61" s="45">
        <f t="shared" si="11"/>
        <v>1132.3821992503065</v>
      </c>
      <c r="BJ61" s="45">
        <f>+BI61</f>
        <v>1132.3821992503065</v>
      </c>
      <c r="BK61" s="45">
        <f t="shared" ref="BK61:CV61" si="12">+BJ61</f>
        <v>1132.3821992503065</v>
      </c>
      <c r="BL61" s="45">
        <f t="shared" si="12"/>
        <v>1132.3821992503065</v>
      </c>
      <c r="BM61" s="45">
        <f t="shared" si="12"/>
        <v>1132.3821992503065</v>
      </c>
      <c r="BN61" s="45">
        <f t="shared" si="12"/>
        <v>1132.3821992503065</v>
      </c>
      <c r="BO61" s="45">
        <f t="shared" si="12"/>
        <v>1132.3821992503065</v>
      </c>
      <c r="BP61" s="45">
        <f t="shared" si="12"/>
        <v>1132.3821992503065</v>
      </c>
      <c r="BQ61" s="45">
        <f t="shared" si="12"/>
        <v>1132.3821992503065</v>
      </c>
      <c r="BR61" s="45">
        <f t="shared" si="12"/>
        <v>1132.3821992503065</v>
      </c>
      <c r="BS61" s="45">
        <f t="shared" si="12"/>
        <v>1132.3821992503065</v>
      </c>
      <c r="BT61" s="45">
        <f t="shared" si="12"/>
        <v>1132.3821992503065</v>
      </c>
      <c r="BU61" s="45">
        <f t="shared" si="12"/>
        <v>1132.3821992503065</v>
      </c>
      <c r="BV61" s="45">
        <f t="shared" si="12"/>
        <v>1132.3821992503065</v>
      </c>
      <c r="BW61" s="45">
        <f t="shared" si="12"/>
        <v>1132.3821992503065</v>
      </c>
      <c r="BX61" s="45">
        <f t="shared" si="12"/>
        <v>1132.3821992503065</v>
      </c>
      <c r="BY61" s="45">
        <f t="shared" si="12"/>
        <v>1132.3821992503065</v>
      </c>
      <c r="BZ61" s="45">
        <f t="shared" si="12"/>
        <v>1132.3821992503065</v>
      </c>
      <c r="CA61" s="45">
        <f t="shared" si="12"/>
        <v>1132.3821992503065</v>
      </c>
      <c r="CB61" s="45">
        <f t="shared" si="12"/>
        <v>1132.3821992503065</v>
      </c>
      <c r="CC61" s="45">
        <f t="shared" si="12"/>
        <v>1132.3821992503065</v>
      </c>
      <c r="CD61" s="45">
        <f t="shared" si="12"/>
        <v>1132.3821992503065</v>
      </c>
      <c r="CE61" s="45">
        <f t="shared" si="12"/>
        <v>1132.3821992503065</v>
      </c>
      <c r="CF61" s="45">
        <f t="shared" si="12"/>
        <v>1132.3821992503065</v>
      </c>
      <c r="CG61" s="45">
        <f t="shared" si="12"/>
        <v>1132.3821992503065</v>
      </c>
      <c r="CH61" s="45">
        <f t="shared" si="12"/>
        <v>1132.3821992503065</v>
      </c>
      <c r="CI61" s="45">
        <f t="shared" si="12"/>
        <v>1132.3821992503065</v>
      </c>
      <c r="CJ61" s="45">
        <f t="shared" si="12"/>
        <v>1132.3821992503065</v>
      </c>
      <c r="CK61" s="45">
        <f t="shared" si="12"/>
        <v>1132.3821992503065</v>
      </c>
      <c r="CL61" s="45">
        <f t="shared" si="12"/>
        <v>1132.3821992503065</v>
      </c>
      <c r="CM61" s="45">
        <f t="shared" si="12"/>
        <v>1132.3821992503065</v>
      </c>
      <c r="CN61" s="45">
        <f t="shared" si="12"/>
        <v>1132.3821992503065</v>
      </c>
      <c r="CO61" s="45">
        <f t="shared" si="12"/>
        <v>1132.3821992503065</v>
      </c>
      <c r="CP61" s="45">
        <f t="shared" si="12"/>
        <v>1132.3821992503065</v>
      </c>
      <c r="CQ61" s="45">
        <f t="shared" si="12"/>
        <v>1132.3821992503065</v>
      </c>
      <c r="CR61" s="45">
        <f t="shared" si="12"/>
        <v>1132.3821992503065</v>
      </c>
      <c r="CS61" s="45">
        <f t="shared" si="12"/>
        <v>1132.3821992503065</v>
      </c>
      <c r="CT61" s="45">
        <f t="shared" si="12"/>
        <v>1132.3821992503065</v>
      </c>
      <c r="CU61" s="45">
        <f t="shared" si="12"/>
        <v>1132.3821992503065</v>
      </c>
      <c r="CV61" s="45">
        <f t="shared" si="12"/>
        <v>1132.3821992503065</v>
      </c>
    </row>
    <row r="62" spans="1:105" s="63" customFormat="1" ht="18" customHeight="1" x14ac:dyDescent="0.2">
      <c r="A62" s="563" t="s">
        <v>1128</v>
      </c>
      <c r="B62" s="63">
        <f>($B24*B81+$B25*B81^$B$26+$B$29*(B81/$B$27)^$B$28)*Parameters!$B$116*0.01</f>
        <v>2.1628119701658371E-3</v>
      </c>
      <c r="C62" s="63">
        <f>($B24*C81+$B25*C81^$B$26+$B$29*(C81/$B$27)^$B$28)*Parameters!$B$116*0.01</f>
        <v>1.9545135859847817E-3</v>
      </c>
      <c r="D62" s="63">
        <f>($B24*D81+$B25*D81^$B$26+$B$29*(D81/$B$27)^$B$28)*Parameters!$B$116*0.01</f>
        <v>1.2764444384813062E-3</v>
      </c>
      <c r="E62" s="63">
        <f>($B24*E81+$B25*E81^$B$26+$B$29*(E81/$B$27)^$B$28)*Parameters!$B$116*0.01</f>
        <v>1.3111664307234761E-3</v>
      </c>
      <c r="F62" s="63">
        <f>($B24*F81+$B25*F81^$B$26+$B$29*(F81/$B$27)^$B$28)*Parameters!$B$116*0.01</f>
        <v>1.6014302009301103E-3</v>
      </c>
      <c r="G62" s="63">
        <f>($B24*G81+$B25*G81^$B$26+$B$29*(G81/$B$27)^$B$28)*Parameters!$B$116*0.01</f>
        <v>2.1204585248702219E-3</v>
      </c>
      <c r="H62" s="63">
        <f>($B24*H81+$B25*H81^$B$26+$B$29*(H81/$B$27)^$B$28)*Parameters!$B$116*0.01</f>
        <v>1.6774649857787894E-3</v>
      </c>
      <c r="I62" s="63">
        <f>($B24*I81+$B25*I81^$B$26+$B$29*(I81/$B$27)^$B$28)*Parameters!$B$116*0.01</f>
        <v>2.2055122996911545E-3</v>
      </c>
      <c r="J62" s="63">
        <f>($B24*J81+$B25*J81^$B$26+$B$29*(J81/$B$27)^$B$28)*Parameters!$B$116*0.01</f>
        <v>2.8397397571643143E-3</v>
      </c>
      <c r="K62" s="63">
        <f>($B24*K81+$B25*K81^$B$26+$B$29*(K81/$B$27)^$B$28)*Parameters!$B$116*0.01</f>
        <v>1.8736224219202736E-3</v>
      </c>
      <c r="L62" s="63">
        <f>($B24*L81+$B25*L81^$B$26+$B$29*(L81/$B$27)^$B$28)*Parameters!$B$116*0.01</f>
        <v>1.9138945618376764E-3</v>
      </c>
      <c r="M62" s="63">
        <f>($B24*M81+$B25*M81^$B$26+$B$29*(M81/$B$27)^$B$28)*Parameters!$B$116*0.01</f>
        <v>2.514127364800034E-3</v>
      </c>
      <c r="N62" s="63">
        <f>($B24*N81+$B25*N81^$B$26+$B$29*(N81/$B$27)^$B$28)*Parameters!$B$116*0.01</f>
        <v>2.9844911887659652E-3</v>
      </c>
      <c r="O62" s="63">
        <f>($B24*O81+$B25*O81^$B$26+$B$29*(O81/$B$27)^$B$28)*Parameters!$B$116*0.01</f>
        <v>2.9358938273357127E-3</v>
      </c>
      <c r="P62" s="63">
        <f>($B24*P81+$B25*P81^$B$26+$B$29*(P81/$B$27)^$B$28)*Parameters!$B$116*0.01</f>
        <v>2.514127364800034E-3</v>
      </c>
      <c r="Q62" s="63">
        <f>($B24*Q81+$B25*Q81^$B$26+$B$29*(Q81/$B$27)^$B$28)*Parameters!$B$116*0.01</f>
        <v>3.1823494767839952E-3</v>
      </c>
      <c r="R62" s="63">
        <f>($B24*R81+$B25*R81^$B$26+$B$29*(R81/$B$27)^$B$28)*Parameters!$B$116*0.01</f>
        <v>3.0334354344259198E-3</v>
      </c>
      <c r="S62" s="63">
        <f>($B24*S81+$B25*S81^$B$26+$B$29*(S81/$B$27)^$B$28)*Parameters!$B$116*0.01</f>
        <v>3.1323645784349353E-3</v>
      </c>
      <c r="T62" s="63">
        <f>($B24*T81+$B25*T81^$B$26+$B$29*(T81/$B$27)^$B$28)*Parameters!$B$116*0.01</f>
        <v>2.5596027681629679E-3</v>
      </c>
      <c r="U62" s="63">
        <f>($B24*U81+$B25*U81^$B$26+$B$29*(U81/$B$27)^$B$28)*Parameters!$B$116*0.01</f>
        <v>3.0827265643155761E-3</v>
      </c>
      <c r="V62" s="63">
        <f>($B24*V81+$B25*V81^$B$26+$B$29*(V81/$B$27)^$B$28)*Parameters!$B$116*0.01</f>
        <v>3.4374772319748295E-3</v>
      </c>
      <c r="W62" s="63">
        <f>($B24*W81+$B25*W81^$B$26+$B$29*(W81/$B$27)^$B$28)*Parameters!$B$116*0.01</f>
        <v>2.8876433501351623E-3</v>
      </c>
      <c r="X62" s="63">
        <f>($B24*X81+$B25*X81^$B$26+$B$29*(X81/$B$27)^$B$28)*Parameters!$B$116*0.01</f>
        <v>3.0827265643155761E-3</v>
      </c>
      <c r="Y62" s="63">
        <f>($B24*Y81+$B25*Y81^$B$26+$B$29*(Y81/$B$27)^$B$28)*Parameters!$B$116*0.01</f>
        <v>3.2326812593627581E-3</v>
      </c>
      <c r="Z62" s="63">
        <f>($B24*Z81+$B25*Z81^$B$26+$B$29*(Z81/$B$27)^$B$28)*Parameters!$B$116*0.01</f>
        <v>3.5419565236590777E-3</v>
      </c>
      <c r="AA62" s="63">
        <f>($B24*AA81+$B25*AA81^$B$26+$B$29*(AA81/$B$27)^$B$28)*Parameters!$B$116*0.01</f>
        <v>4.4277421862101577E-3</v>
      </c>
      <c r="AB62" s="63">
        <f>($B24*AB81+$B25*AB81^$B$26+$B$29*(AB81/$B$27)^$B$28)*Parameters!$B$116*0.01</f>
        <v>5.0882321373247833E-3</v>
      </c>
      <c r="AC62" s="63">
        <f>($B24*AC81+$B25*AC81^$B$26+$B$29*(AC81/$B$27)^$B$28)*Parameters!$B$116*0.01</f>
        <v>4.5447093101636804E-3</v>
      </c>
      <c r="AD62" s="63">
        <f>($B24*AD81+$B25*AD81^$B$26+$B$29*(AD81/$B$27)^$B$28)*Parameters!$B$116*0.01</f>
        <v>4.1413948503461395E-3</v>
      </c>
      <c r="AE62" s="63">
        <f>($B24*AE81+$B25*AE81^$B$26+$B$29*(AE81/$B$27)^$B$28)*Parameters!$B$116*0.01</f>
        <v>4.9039359035370966E-3</v>
      </c>
      <c r="AF62" s="63">
        <f>($B24*AF81+$B25*AF81^$B$26+$B$29*(AF81/$B$27)^$B$28)*Parameters!$B$116*0.01</f>
        <v>5.0882321373247833E-3</v>
      </c>
      <c r="AG62" s="63">
        <f>($B24*AG81+$B25*AG81^$B$26+$B$29*(AG81/$B$27)^$B$28)*Parameters!$B$116*0.01</f>
        <v>4.1413948503461395E-3</v>
      </c>
      <c r="AH62" s="63">
        <f>($B24*AH81+$B25*AH81^$B$26+$B$29*(AH81/$B$27)^$B$28)*Parameters!$B$116*0.01</f>
        <v>4.3697789505779509E-3</v>
      </c>
      <c r="AI62" s="63">
        <f>($B24*AI81+$B25*AI81^$B$26+$B$29*(AI81/$B$27)^$B$28)*Parameters!$B$116*0.01</f>
        <v>6.1238717871071532E-3</v>
      </c>
      <c r="AJ62" s="63">
        <f>($B24*AJ81+$B25*AJ81^$B$26+$B$29*(AJ81/$B$27)^$B$28)*Parameters!$B$116*0.01</f>
        <v>0</v>
      </c>
      <c r="AK62" s="63">
        <f>($B24*AK81+$B25*AK81^$B$26+$B$29*(AK81/$B$27)^$B$28)*Parameters!$B$116*0.01</f>
        <v>0</v>
      </c>
      <c r="AL62" s="63">
        <f>($B24*AL81+$B25*AL81^$B$26+$B$29*(AL81/$B$27)^$B$28)*Parameters!$B$116*0.01</f>
        <v>0</v>
      </c>
      <c r="AM62" s="63">
        <f>($B24*AM81+$B25*AM81^$B$26+$B$29*(AM81/$B$27)^$B$28)*Parameters!$B$116*0.01</f>
        <v>0</v>
      </c>
      <c r="AN62" s="63">
        <f>($B24*AN81+$B25*AN81^$B$26+$B$29*(AN81/$B$27)^$B$28)*Parameters!$B$116*0.01</f>
        <v>0</v>
      </c>
      <c r="AO62" s="63">
        <f>($B24*AO81+$B25*AO81^$B$26+$B$29*(AO81/$B$27)^$B$28)*Parameters!$B$116*0.01</f>
        <v>0</v>
      </c>
      <c r="AP62" s="63">
        <f>($B24*AP81+$B25*AP81^$B$26+$B$29*(AP81/$B$27)^$B$28)*Parameters!$B$116*0.01</f>
        <v>0</v>
      </c>
      <c r="AQ62" s="63">
        <f>($B24*AQ81+$B25*AQ81^$B$26+$B$29*(AQ81/$B$27)^$B$28)*Parameters!$B$116*0.01</f>
        <v>0</v>
      </c>
      <c r="AR62" s="63">
        <f>($B24*AR81+$B25*AR81^$B$26+$B$29*(AR81/$B$27)^$B$28)*Parameters!$B$116*0.01</f>
        <v>0</v>
      </c>
      <c r="AS62" s="63">
        <f>($B24*AS81+$B25*AS81^$B$26+$B$29*(AS81/$B$27)^$B$28)*Parameters!$B$116*0.01</f>
        <v>0</v>
      </c>
      <c r="AT62" s="63">
        <f>($B24*AT81+$B25*AT81^$B$26+$B$29*(AT81/$B$27)^$B$28)*Parameters!$B$116*0.01</f>
        <v>0</v>
      </c>
      <c r="AU62" s="63">
        <f>($B24*AU81+$B25*AU81^$B$26+$B$29*(AU81/$B$27)^$B$28)*Parameters!$B$116*0.01</f>
        <v>0</v>
      </c>
      <c r="AV62" s="63">
        <f>($B24*AV81+$B25*AV81^$B$26+$B$29*(AV81/$B$27)^$B$28)*Parameters!$B$116*0.01</f>
        <v>0</v>
      </c>
      <c r="AW62" s="63">
        <f>($B24*AW81+$B25*AW81^$B$26+$B$29*(AW81/$B$27)^$B$28)*Parameters!$B$116*0.01</f>
        <v>0</v>
      </c>
      <c r="AX62" s="63">
        <f>($B24*AX81+$B25*AX81^$B$26+$B$29*(AX81/$B$27)^$B$28)*Parameters!$B$116*0.01</f>
        <v>0</v>
      </c>
      <c r="AY62" s="63">
        <f>($B24*AY81+$B25*AY81^$B$26+$B$29*(AY81/$B$27)^$B$28)*Parameters!$B$116*0.01</f>
        <v>0</v>
      </c>
      <c r="AZ62" s="63">
        <f>($B24*AZ81+$B25*AZ81^$B$26+$B$29*(AZ81/$B$27)^$B$28)*Parameters!$B$116*0.01</f>
        <v>0</v>
      </c>
      <c r="BA62" s="63">
        <f>($B24*BA81+$B25*BA81^$B$26+$B$29*(BA81/$B$27)^$B$28)*Parameters!$B$116*0.01</f>
        <v>0</v>
      </c>
      <c r="BB62" s="63">
        <f>($B24*BB81+$B25*BB81^$B$26+$B$29*(BB81/$B$27)^$B$28)*Parameters!$B$116*0.01</f>
        <v>0</v>
      </c>
      <c r="BC62" s="63">
        <f>($B24*BC81+$B25*BC81^$B$26+$B$29*(BC81/$B$27)^$B$28)*Parameters!$B$116*0.01</f>
        <v>0</v>
      </c>
      <c r="BD62" s="63">
        <f>($B24*BD81+$B25*BD81^$B$26+$B$29*(BD81/$B$27)^$B$28)*Parameters!$B$116*0.01</f>
        <v>0</v>
      </c>
      <c r="BE62" s="63">
        <f>($B24*BE81+$B25*BE81^$B$26+$B$29*(BE81/$B$27)^$B$28)*Parameters!$B$116*0.01</f>
        <v>0</v>
      </c>
      <c r="BF62" s="63">
        <f>($B24*BF81+$B25*BF81^$B$26+$B$29*(BF81/$B$27)^$B$28)*Parameters!$B$116*0.01</f>
        <v>0</v>
      </c>
      <c r="BG62" s="63">
        <f>($B24*BG81+$B25*BG81^$B$26+$B$29*(BG81/$B$27)^$B$28)*Parameters!$B$116*0.01</f>
        <v>0</v>
      </c>
      <c r="BH62" s="63">
        <f>($B24*BH81+$B25*BH81^$B$26+$B$29*(BH81/$B$27)^$B$28)*Parameters!$B$116*0.01</f>
        <v>0</v>
      </c>
      <c r="BI62" s="63">
        <f>($B24*BI81+$B25*BI81^$B$26+$B$29*(BI81/$B$27)^$B$28)*Parameters!$B$116*0.01</f>
        <v>0</v>
      </c>
      <c r="BJ62" s="63">
        <f>($B24*BJ81+$B25*BJ81^$B$26+$B$29*(BJ81/$B$27)^$B$28)*Parameters!$B$116*0.01</f>
        <v>0</v>
      </c>
      <c r="BK62" s="63">
        <f>($B24*BK81+$B25*BK81^$B$26+$B$29*(BK81/$B$27)^$B$28)*Parameters!$B$116*0.01</f>
        <v>0</v>
      </c>
      <c r="BL62" s="63">
        <f>($B24*BL81+$B25*BL81^$B$26+$B$29*(BL81/$B$27)^$B$28)*Parameters!$B$116*0.01</f>
        <v>0</v>
      </c>
      <c r="BM62" s="63">
        <f>($B24*BM81+$B25*BM81^$B$26+$B$29*(BM81/$B$27)^$B$28)*Parameters!$B$116*0.01</f>
        <v>0</v>
      </c>
      <c r="BN62" s="63">
        <f>($B24*BN81+$B25*BN81^$B$26+$B$29*(BN81/$B$27)^$B$28)*Parameters!$B$116*0.01</f>
        <v>0</v>
      </c>
      <c r="BO62" s="63">
        <f>($B24*BO81+$B25*BO81^$B$26+$B$29*(BO81/$B$27)^$B$28)*Parameters!$B$116*0.01</f>
        <v>0</v>
      </c>
      <c r="BP62" s="63">
        <f>($B24*BP81+$B25*BP81^$B$26+$B$29*(BP81/$B$27)^$B$28)*Parameters!$B$116*0.01</f>
        <v>0</v>
      </c>
      <c r="BQ62" s="63">
        <f>($B24*BQ81+$B25*BQ81^$B$26+$B$29*(BQ81/$B$27)^$B$28)*Parameters!$B$116*0.01</f>
        <v>0</v>
      </c>
      <c r="BR62" s="63">
        <f>($B24*BR81+$B25*BR81^$B$26+$B$29*(BR81/$B$27)^$B$28)*Parameters!$B$116*0.01</f>
        <v>0</v>
      </c>
      <c r="BS62" s="63">
        <f>($B24*BS81+$B25*BS81^$B$26+$B$29*(BS81/$B$27)^$B$28)*Parameters!$B$116*0.01</f>
        <v>0</v>
      </c>
      <c r="BT62" s="63">
        <f>($B24*BT81+$B25*BT81^$B$26+$B$29*(BT81/$B$27)^$B$28)*Parameters!$B$116*0.01</f>
        <v>0</v>
      </c>
      <c r="BU62" s="63">
        <f>($B24*BU81+$B25*BU81^$B$26+$B$29*(BU81/$B$27)^$B$28)*Parameters!$B$116*0.01</f>
        <v>0</v>
      </c>
      <c r="BV62" s="63">
        <f>($B24*BV81+$B25*BV81^$B$26+$B$29*(BV81/$B$27)^$B$28)*Parameters!$B$116*0.01</f>
        <v>0</v>
      </c>
      <c r="BW62" s="63">
        <f>($B24*BW81+$B25*BW81^$B$26+$B$29*(BW81/$B$27)^$B$28)*Parameters!$B$116*0.01</f>
        <v>0</v>
      </c>
      <c r="BX62" s="63">
        <f>($B24*BX81+$B25*BX81^$B$26+$B$29*(BX81/$B$27)^$B$28)*Parameters!$B$116*0.01</f>
        <v>0</v>
      </c>
      <c r="BY62" s="63">
        <f>($B24*BY81+$B25*BY81^$B$26+$B$29*(BY81/$B$27)^$B$28)*Parameters!$B$116*0.01</f>
        <v>0</v>
      </c>
      <c r="BZ62" s="63">
        <f>($B24*BZ81+$B25*BZ81^$B$26+$B$29*(BZ81/$B$27)^$B$28)*Parameters!$B$116*0.01</f>
        <v>0</v>
      </c>
      <c r="CA62" s="63">
        <f>($B24*CA81+$B25*CA81^$B$26+$B$29*(CA81/$B$27)^$B$28)*Parameters!$B$116*0.01</f>
        <v>0</v>
      </c>
      <c r="CB62" s="63">
        <f>($B24*CB81+$B25*CB81^$B$26+$B$29*(CB81/$B$27)^$B$28)*Parameters!$B$116*0.01</f>
        <v>0</v>
      </c>
      <c r="CC62" s="63">
        <f>($B24*CC81+$B25*CC81^$B$26+$B$29*(CC81/$B$27)^$B$28)*Parameters!$B$116*0.01</f>
        <v>0</v>
      </c>
      <c r="CD62" s="63">
        <f>($B24*CD81+$B25*CD81^$B$26+$B$29*(CD81/$B$27)^$B$28)*Parameters!$B$116*0.01</f>
        <v>0</v>
      </c>
      <c r="CE62" s="63">
        <f>($B24*CE81+$B25*CE81^$B$26+$B$29*(CE81/$B$27)^$B$28)*Parameters!$B$116*0.01</f>
        <v>0</v>
      </c>
      <c r="CF62" s="63">
        <f>($B24*CF81+$B25*CF81^$B$26+$B$29*(CF81/$B$27)^$B$28)*Parameters!$B$116*0.01</f>
        <v>0</v>
      </c>
      <c r="CG62" s="63">
        <f>($B24*CG81+$B25*CG81^$B$26+$B$29*(CG81/$B$27)^$B$28)*Parameters!$B$116*0.01</f>
        <v>0</v>
      </c>
      <c r="CH62" s="63">
        <f>($B24*CH81+$B25*CH81^$B$26+$B$29*(CH81/$B$27)^$B$28)*Parameters!$B$116*0.01</f>
        <v>0</v>
      </c>
      <c r="CI62" s="63">
        <f>($B24*CI81+$B25*CI81^$B$26+$B$29*(CI81/$B$27)^$B$28)*Parameters!$B$116*0.01</f>
        <v>0</v>
      </c>
      <c r="CJ62" s="63">
        <f>($B24*CJ81+$B25*CJ81^$B$26+$B$29*(CJ81/$B$27)^$B$28)*Parameters!$B$116*0.01</f>
        <v>0</v>
      </c>
      <c r="CK62" s="63">
        <f>($B24*CK81+$B25*CK81^$B$26+$B$29*(CK81/$B$27)^$B$28)*Parameters!$B$116*0.01</f>
        <v>0</v>
      </c>
      <c r="CL62" s="63">
        <f>($B24*CL81+$B25*CL81^$B$26+$B$29*(CL81/$B$27)^$B$28)*Parameters!$B$116*0.01</f>
        <v>0</v>
      </c>
      <c r="CM62" s="63">
        <f>($B24*CM81+$B25*CM81^$B$26+$B$29*(CM81/$B$27)^$B$28)*Parameters!$B$116*0.01</f>
        <v>0</v>
      </c>
      <c r="CN62" s="63">
        <f>($B24*CN81+$B25*CN81^$B$26+$B$29*(CN81/$B$27)^$B$28)*Parameters!$B$116*0.01</f>
        <v>0</v>
      </c>
      <c r="CO62" s="63">
        <f>($B24*CO81+$B25*CO81^$B$26+$B$29*(CO81/$B$27)^$B$28)*Parameters!$B$116*0.01</f>
        <v>0</v>
      </c>
      <c r="CP62" s="63">
        <f>($B24*CP81+$B25*CP81^$B$26+$B$29*(CP81/$B$27)^$B$28)*Parameters!$B$116*0.01</f>
        <v>0</v>
      </c>
      <c r="CQ62" s="63">
        <f>($B24*CQ81+$B25*CQ81^$B$26+$B$29*(CQ81/$B$27)^$B$28)*Parameters!$B$116*0.01</f>
        <v>0</v>
      </c>
      <c r="CR62" s="63">
        <f>($B24*CR81+$B25*CR81^$B$26+$B$29*(CR81/$B$27)^$B$28)*Parameters!$B$116*0.01</f>
        <v>0</v>
      </c>
      <c r="CS62" s="63">
        <f>($B24*CS81+$B25*CS81^$B$26+$B$29*(CS81/$B$27)^$B$28)*Parameters!$B$116*0.01</f>
        <v>0</v>
      </c>
      <c r="CT62" s="63">
        <f>($B24*CT81+$B25*CT81^$B$26+$B$29*(CT81/$B$27)^$B$28)*Parameters!$B$116*0.01</f>
        <v>0</v>
      </c>
      <c r="CU62" s="63">
        <f>($B24*CU81+$B25*CU81^$B$26+$B$29*(CU81/$B$27)^$B$28)*Parameters!$B$116*0.01</f>
        <v>0</v>
      </c>
      <c r="CV62" s="63">
        <f>($B24*CV81+$B25*CV81^$B$26+$B$29*(CV81/$B$27)^$B$28)*Parameters!$B$116*0.01</f>
        <v>0</v>
      </c>
    </row>
    <row r="63" spans="1:105" s="63" customFormat="1" ht="18" customHeight="1" x14ac:dyDescent="0.2">
      <c r="A63" s="563" t="s">
        <v>1129</v>
      </c>
      <c r="B63" s="63">
        <f t="shared" ref="B63:BM63" si="13">+B62+B50/100</f>
        <v>2.1628119701658371E-3</v>
      </c>
      <c r="C63" s="63">
        <f t="shared" si="13"/>
        <v>1.990399418337588E-3</v>
      </c>
      <c r="D63" s="63">
        <f t="shared" si="13"/>
        <v>1.3254009433342538E-3</v>
      </c>
      <c r="E63" s="63">
        <f t="shared" si="13"/>
        <v>1.3781212966613731E-3</v>
      </c>
      <c r="F63" s="63">
        <f t="shared" si="13"/>
        <v>1.6896003470631034E-3</v>
      </c>
      <c r="G63" s="63">
        <f t="shared" si="13"/>
        <v>2.2349347406855459E-3</v>
      </c>
      <c r="H63" s="63">
        <f t="shared" si="13"/>
        <v>1.8258557538224131E-3</v>
      </c>
      <c r="I63" s="63">
        <f t="shared" si="13"/>
        <v>2.3887941877048929E-3</v>
      </c>
      <c r="J63" s="63">
        <f t="shared" si="13"/>
        <v>3.0646472238267252E-3</v>
      </c>
      <c r="K63" s="63">
        <f t="shared" si="13"/>
        <v>2.1437673434181199E-3</v>
      </c>
      <c r="L63" s="63">
        <f t="shared" si="13"/>
        <v>2.2300447276147124E-3</v>
      </c>
      <c r="M63" s="63">
        <f t="shared" si="13"/>
        <v>2.8820584190699739E-3</v>
      </c>
      <c r="N63" s="63">
        <f t="shared" si="13"/>
        <v>3.400862425724376E-3</v>
      </c>
      <c r="O63" s="63">
        <f t="shared" si="13"/>
        <v>3.4103435048273346E-3</v>
      </c>
      <c r="P63" s="63">
        <f t="shared" si="13"/>
        <v>3.0503494216144221E-3</v>
      </c>
      <c r="Q63" s="63">
        <f t="shared" si="13"/>
        <v>3.7798687270914747E-3</v>
      </c>
      <c r="R63" s="63">
        <f t="shared" si="13"/>
        <v>3.7033937177773815E-3</v>
      </c>
      <c r="S63" s="63">
        <f t="shared" si="13"/>
        <v>3.8770254253993417E-3</v>
      </c>
      <c r="T63" s="63">
        <f t="shared" si="13"/>
        <v>3.3848673059373568E-3</v>
      </c>
      <c r="U63" s="63">
        <f t="shared" si="13"/>
        <v>3.9812560398547921E-3</v>
      </c>
      <c r="V63" s="63">
        <f t="shared" si="13"/>
        <v>4.4164246225425804E-3</v>
      </c>
      <c r="W63" s="63">
        <f t="shared" si="13"/>
        <v>3.9628876153133966E-3</v>
      </c>
      <c r="X63" s="63">
        <f t="shared" si="13"/>
        <v>4.246513063659231E-3</v>
      </c>
      <c r="Y63" s="63">
        <f t="shared" si="13"/>
        <v>4.4953688074201806E-3</v>
      </c>
      <c r="Z63" s="63">
        <f t="shared" si="13"/>
        <v>4.9071596222048947E-3</v>
      </c>
      <c r="AA63" s="63">
        <f t="shared" si="13"/>
        <v>5.9038294440459469E-3</v>
      </c>
      <c r="AB63" s="63">
        <f t="shared" si="13"/>
        <v>6.6938953650103467E-3</v>
      </c>
      <c r="AC63" s="63">
        <f t="shared" si="13"/>
        <v>6.2965069581041823E-3</v>
      </c>
      <c r="AD63" s="63">
        <f t="shared" si="13"/>
        <v>6.0370086538163743E-3</v>
      </c>
      <c r="AE63" s="63">
        <f t="shared" si="13"/>
        <v>6.942017231914557E-3</v>
      </c>
      <c r="AF63" s="63">
        <f t="shared" si="13"/>
        <v>7.2830655980751242E-3</v>
      </c>
      <c r="AG63" s="63">
        <f t="shared" si="13"/>
        <v>6.4572684314532346E-3</v>
      </c>
      <c r="AH63" s="63">
        <f t="shared" si="13"/>
        <v>6.8279033865722531E-3</v>
      </c>
      <c r="AI63" s="63">
        <f t="shared" si="13"/>
        <v>8.739771388575214E-3</v>
      </c>
      <c r="AJ63" s="63">
        <f t="shared" si="13"/>
        <v>5.2913397297755004E-3</v>
      </c>
      <c r="AK63" s="63">
        <f t="shared" si="13"/>
        <v>6.2952327243011299E-3</v>
      </c>
      <c r="AL63" s="63">
        <f t="shared" si="13"/>
        <v>6.753154841669072E-3</v>
      </c>
      <c r="AM63" s="63">
        <f t="shared" si="13"/>
        <v>7.0099563425906827E-3</v>
      </c>
      <c r="AN63" s="63">
        <f t="shared" si="13"/>
        <v>7.182559120147195E-3</v>
      </c>
      <c r="AO63" s="63">
        <f t="shared" si="13"/>
        <v>7.3163351294183313E-3</v>
      </c>
      <c r="AP63" s="63">
        <f t="shared" si="13"/>
        <v>7.4317085781703159E-3</v>
      </c>
      <c r="AQ63" s="63">
        <f t="shared" si="13"/>
        <v>7.5387128550239522E-3</v>
      </c>
      <c r="AR63" s="63">
        <f t="shared" si="13"/>
        <v>7.6425326416879004E-3</v>
      </c>
      <c r="AS63" s="63">
        <f t="shared" si="13"/>
        <v>7.7459357693232308E-3</v>
      </c>
      <c r="AT63" s="63">
        <f t="shared" si="13"/>
        <v>7.8504393725538964E-3</v>
      </c>
      <c r="AU63" s="63">
        <f t="shared" si="13"/>
        <v>7.9568991769243466E-3</v>
      </c>
      <c r="AV63" s="63">
        <f t="shared" si="13"/>
        <v>8.0658163687834447E-3</v>
      </c>
      <c r="AW63" s="63">
        <f t="shared" si="13"/>
        <v>8.1775001804462715E-3</v>
      </c>
      <c r="AX63" s="63">
        <f t="shared" si="13"/>
        <v>8.2921549295702449E-3</v>
      </c>
      <c r="AY63" s="63">
        <f t="shared" si="13"/>
        <v>8.409926945631814E-3</v>
      </c>
      <c r="AZ63" s="63">
        <f t="shared" si="13"/>
        <v>8.5309300227815067E-3</v>
      </c>
      <c r="BA63" s="63">
        <f t="shared" si="13"/>
        <v>8.6552593182554136E-3</v>
      </c>
      <c r="BB63" s="63">
        <f t="shared" si="13"/>
        <v>8.7829990103260973E-3</v>
      </c>
      <c r="BC63" s="63">
        <f t="shared" si="13"/>
        <v>8.9142265741347579E-3</v>
      </c>
      <c r="BD63" s="63">
        <f t="shared" si="13"/>
        <v>9.0490152170160428E-3</v>
      </c>
      <c r="BE63" s="63">
        <f t="shared" si="13"/>
        <v>9.1874353065373587E-3</v>
      </c>
      <c r="BF63" s="63">
        <f t="shared" si="13"/>
        <v>9.3295552425539073E-3</v>
      </c>
      <c r="BG63" s="63">
        <f t="shared" si="13"/>
        <v>9.4756138359980147E-3</v>
      </c>
      <c r="BH63" s="63">
        <f t="shared" si="13"/>
        <v>9.6255074588003781E-3</v>
      </c>
      <c r="BI63" s="63">
        <f t="shared" si="13"/>
        <v>9.7792553695360655E-3</v>
      </c>
      <c r="BJ63" s="63">
        <f t="shared" si="13"/>
        <v>9.9369202361629626E-3</v>
      </c>
      <c r="BK63" s="63">
        <f t="shared" si="13"/>
        <v>1.0013584945350524E-2</v>
      </c>
      <c r="BL63" s="63">
        <f t="shared" si="13"/>
        <v>1.0092494158998117E-2</v>
      </c>
      <c r="BM63" s="63">
        <f t="shared" si="13"/>
        <v>1.0173621408124752E-2</v>
      </c>
      <c r="BN63" s="63">
        <f t="shared" ref="BN63:CV63" si="14">+BN62+BN50/100</f>
        <v>1.0256941176629491E-2</v>
      </c>
      <c r="BO63" s="63">
        <f t="shared" si="14"/>
        <v>1.0342428851525542E-2</v>
      </c>
      <c r="BP63" s="63">
        <f t="shared" si="14"/>
        <v>1.0430060675886999E-2</v>
      </c>
      <c r="BQ63" s="63">
        <f t="shared" si="14"/>
        <v>1.0519813704365071E-2</v>
      </c>
      <c r="BR63" s="63">
        <f t="shared" si="14"/>
        <v>1.061166576113793E-2</v>
      </c>
      <c r="BS63" s="63">
        <f t="shared" si="14"/>
        <v>1.0705595400165238E-2</v>
      </c>
      <c r="BT63" s="63">
        <f t="shared" si="14"/>
        <v>1.0801581867625134E-2</v>
      </c>
      <c r="BU63" s="63">
        <f t="shared" si="14"/>
        <v>1.0899605066417361E-2</v>
      </c>
      <c r="BV63" s="63">
        <f t="shared" si="14"/>
        <v>1.0999645522622687E-2</v>
      </c>
      <c r="BW63" s="63">
        <f t="shared" si="14"/>
        <v>1.1101684353813928E-2</v>
      </c>
      <c r="BX63" s="63">
        <f t="shared" si="14"/>
        <v>1.1205703239119522E-2</v>
      </c>
      <c r="BY63" s="63">
        <f t="shared" si="14"/>
        <v>1.1311684390945686E-2</v>
      </c>
      <c r="BZ63" s="63">
        <f t="shared" si="14"/>
        <v>1.1419610528267924E-2</v>
      </c>
      <c r="CA63" s="63">
        <f t="shared" si="14"/>
        <v>1.1529464851407314E-2</v>
      </c>
      <c r="CB63" s="63">
        <f t="shared" si="14"/>
        <v>1.1641231018211472E-2</v>
      </c>
      <c r="CC63" s="63">
        <f t="shared" si="14"/>
        <v>1.1754893121564032E-2</v>
      </c>
      <c r="CD63" s="63">
        <f t="shared" si="14"/>
        <v>1.1870435668150658E-2</v>
      </c>
      <c r="CE63" s="63">
        <f t="shared" si="14"/>
        <v>1.1987843558413157E-2</v>
      </c>
      <c r="CF63" s="63">
        <f t="shared" si="14"/>
        <v>1.2107102067626914E-2</v>
      </c>
      <c r="CG63" s="63">
        <f t="shared" si="14"/>
        <v>1.222819682804035E-2</v>
      </c>
      <c r="CH63" s="63">
        <f t="shared" si="14"/>
        <v>1.2351113812017993E-2</v>
      </c>
      <c r="CI63" s="63">
        <f t="shared" si="14"/>
        <v>1.2475839316132229E-2</v>
      </c>
      <c r="CJ63" s="63">
        <f t="shared" si="14"/>
        <v>1.2602359946151338E-2</v>
      </c>
      <c r="CK63" s="63">
        <f t="shared" si="14"/>
        <v>1.2730662602874294E-2</v>
      </c>
      <c r="CL63" s="63">
        <f t="shared" si="14"/>
        <v>1.2860734468765565E-2</v>
      </c>
      <c r="CM63" s="63">
        <f t="shared" si="14"/>
        <v>1.2992562995345245E-2</v>
      </c>
      <c r="CN63" s="63">
        <f t="shared" si="14"/>
        <v>1.3126135891292696E-2</v>
      </c>
      <c r="CO63" s="63">
        <f t="shared" si="14"/>
        <v>1.3261441111223675E-2</v>
      </c>
      <c r="CP63" s="63">
        <f t="shared" si="14"/>
        <v>1.3398466845103202E-2</v>
      </c>
      <c r="CQ63" s="63">
        <f t="shared" si="14"/>
        <v>1.3537201508258642E-2</v>
      </c>
      <c r="CR63" s="63">
        <f t="shared" si="14"/>
        <v>1.3677633731958891E-2</v>
      </c>
      <c r="CS63" s="63">
        <f t="shared" si="14"/>
        <v>1.3819752354527917E-2</v>
      </c>
      <c r="CT63" s="63">
        <f t="shared" si="14"/>
        <v>1.3963546412962163E-2</v>
      </c>
      <c r="CU63" s="63">
        <f t="shared" si="14"/>
        <v>1.4109005135023289E-2</v>
      </c>
      <c r="CV63" s="63">
        <f t="shared" si="14"/>
        <v>1.425611793177905E-2</v>
      </c>
    </row>
    <row r="64" spans="1:105" s="143" customFormat="1" ht="18" customHeight="1" x14ac:dyDescent="0.2">
      <c r="A64" s="559" t="s">
        <v>1133</v>
      </c>
      <c r="B64" s="143">
        <f>+B61-B65</f>
        <v>5.4624025689689049E-3</v>
      </c>
      <c r="C64" s="143">
        <f>+C63*C61/(1+C63^Parameters!$B$125)</f>
        <v>5.3269547602913872E-3</v>
      </c>
      <c r="D64" s="143">
        <f>+D63*D61/(1+D63^Parameters!$B$125)</f>
        <v>3.7762662829419836E-3</v>
      </c>
      <c r="E64" s="143">
        <f>+E63*E61/(1+E63^Parameters!$B$125)</f>
        <v>4.1824553450195267E-3</v>
      </c>
      <c r="F64" s="143">
        <f>+F63*F61/(1+F63^Parameters!$B$125)</f>
        <v>5.4578818493326306E-3</v>
      </c>
      <c r="G64" s="143">
        <f>+G63*G61/(1+G63^Parameters!$B$125)</f>
        <v>7.7474358219854341E-3</v>
      </c>
      <c r="H64" s="143">
        <f>+H63*H61/(1+H63^Parameters!$B$125)</f>
        <v>6.7564401804847936E-3</v>
      </c>
      <c r="I64" s="143">
        <f>+I63*I61/(1+I63^Parameters!$B$125)</f>
        <v>9.1406853880913238E-3</v>
      </c>
      <c r="J64" s="143">
        <f>+J63*J61/(1+J63^Parameters!$B$125)</f>
        <v>1.1122562069571287E-2</v>
      </c>
      <c r="K64" s="143">
        <f>+K63*K61/(1+K63^Parameters!$B$125)</f>
        <v>8.0451023359451521E-3</v>
      </c>
      <c r="L64" s="143">
        <f>+L63*L61/(1+L63^Parameters!$B$125)</f>
        <v>8.8192861044751308E-3</v>
      </c>
      <c r="M64" s="143">
        <f>+M63*M61/(1+M63^Parameters!$B$125)</f>
        <v>1.179947596365938E-2</v>
      </c>
      <c r="N64" s="143">
        <f>+N63*N61/(1+N63^Parameters!$B$125)</f>
        <v>1.4659274433615413E-2</v>
      </c>
      <c r="O64" s="143">
        <f>+O63*O61/(1+O63^Parameters!$B$125)</f>
        <v>1.55379107809837E-2</v>
      </c>
      <c r="P64" s="143">
        <f>+P63*P61/(1+P63^Parameters!$B$125)</f>
        <v>1.4761245299935312E-2</v>
      </c>
      <c r="Q64" s="143">
        <f>+Q63*Q61/(1+Q63^Parameters!$B$125)</f>
        <v>1.9373543640529369E-2</v>
      </c>
      <c r="R64" s="143">
        <f>+R63*R61/(1+R63^Parameters!$B$125)</f>
        <v>2.0101507912901061E-2</v>
      </c>
      <c r="S64" s="143">
        <f>+S63*S61/(1+S63^Parameters!$B$125)</f>
        <v>2.2354137948275364E-2</v>
      </c>
      <c r="T64" s="143">
        <f>+T63*T61/(1+T63^Parameters!$B$125)</f>
        <v>2.0414076073776245E-2</v>
      </c>
      <c r="U64" s="143">
        <f>+U63*U61/(1+U63^Parameters!$B$125)</f>
        <v>2.4751303942082449E-2</v>
      </c>
      <c r="V64" s="143">
        <f>+V63*V61/(1+V63^Parameters!$B$125)</f>
        <v>2.9150007821381631E-2</v>
      </c>
      <c r="W64" s="143">
        <f>+W63*W61/(1+W63^Parameters!$B$125)</f>
        <v>2.7395477323081768E-2</v>
      </c>
      <c r="X64" s="143">
        <f>+X63*X61/(1+X63^Parameters!$B$125)</f>
        <v>3.1121285363172609E-2</v>
      </c>
      <c r="Y64" s="143">
        <f>+Y63*Y61/(1+Y63^Parameters!$B$125)</f>
        <v>3.4617038705251686E-2</v>
      </c>
      <c r="Z64" s="143">
        <f>+Z63*Z61/(1+Z63^Parameters!$B$125)</f>
        <v>3.9638943092995524E-2</v>
      </c>
      <c r="AA64" s="143">
        <f>+AA63*AA61/(1+AA63^Parameters!$B$125)</f>
        <v>5.0086725359094003E-2</v>
      </c>
      <c r="AB64" s="143">
        <f>+AB63*AB61/(1+AB63^Parameters!$B$125)</f>
        <v>5.9847729304524477E-2</v>
      </c>
      <c r="AC64" s="143">
        <f>+AC63*AC61/(1+AC63^Parameters!$B$125)</f>
        <v>5.9390635399886468E-2</v>
      </c>
      <c r="AD64" s="143">
        <f>+AD63*AD61/(1+AD63^Parameters!$B$125)</f>
        <v>6.010264422130869E-2</v>
      </c>
      <c r="AE64" s="143">
        <f>+AE63*AE61/(1+AE63^Parameters!$B$125)</f>
        <v>7.2416059555982695E-2</v>
      </c>
      <c r="AF64" s="143">
        <f>+AF63*AF61/(1+AF63^Parameters!$B$125)</f>
        <v>7.3835110208015781E-2</v>
      </c>
      <c r="AG64" s="143">
        <f>+AG63*AG61/(1+AG63^Parameters!$B$125)</f>
        <v>6.7738720895896221E-2</v>
      </c>
      <c r="AH64" s="143">
        <f>+AH63*AH61/(1+AH63^Parameters!$B$125)</f>
        <v>7.5001917793472442E-2</v>
      </c>
      <c r="AI64" s="143">
        <f>+AI63*AI61/(1+AI63^Parameters!$B$125)</f>
        <v>1.2644009808595498</v>
      </c>
      <c r="AJ64" s="143">
        <f>+AJ63*AJ61/(1+AJ63^Parameters!$B$125)</f>
        <v>1.5307794123567948</v>
      </c>
      <c r="AK64" s="143">
        <f>+AK63*AK61/(1+AK63^Parameters!$B$125)</f>
        <v>2.4033995086400219</v>
      </c>
      <c r="AL64" s="143">
        <f>+AL63*AL61/(1+AL63^Parameters!$B$125)</f>
        <v>2.9783153271973237</v>
      </c>
      <c r="AM64" s="143">
        <f>+AM63*AM61/(1+AM63^Parameters!$B$125)</f>
        <v>3.3852904327695326</v>
      </c>
      <c r="AN64" s="143">
        <f>+AN63*AN61/(1+AN63^Parameters!$B$125)</f>
        <v>3.7046050173380332</v>
      </c>
      <c r="AO64" s="143">
        <f>+AO63*AO61/(1+AO63^Parameters!$B$125)</f>
        <v>3.9796268241550643</v>
      </c>
      <c r="AP64" s="143">
        <f>+AP63*AP61/(1+AP63^Parameters!$B$125)</f>
        <v>4.234245469048342</v>
      </c>
      <c r="AQ64" s="143">
        <f>+AQ63*AQ61/(1+AQ63^Parameters!$B$125)</f>
        <v>4.4819356209471861</v>
      </c>
      <c r="AR64" s="143">
        <f>+AR63*AR61/(1+AR63^Parameters!$B$125)</f>
        <v>4.7304902960172717</v>
      </c>
      <c r="AS64" s="143">
        <f>+AS63*AS61/(1+AS63^Parameters!$B$125)</f>
        <v>4.9845693722573747</v>
      </c>
      <c r="AT64" s="143">
        <f>+AT63*AT61/(1+AT63^Parameters!$B$125)</f>
        <v>5.2470996577769782</v>
      </c>
      <c r="AU64" s="143">
        <f>+AU63*AU61/(1+AU63^Parameters!$B$125)</f>
        <v>5.5200530162497623</v>
      </c>
      <c r="AV64" s="143">
        <f>+AV63*AV61/(1+AV63^Parameters!$B$125)</f>
        <v>5.8048817819741378</v>
      </c>
      <c r="AW64" s="143">
        <f>+AW63*AW61/(1+AW63^Parameters!$B$125)</f>
        <v>6.1027635521322541</v>
      </c>
      <c r="AX64" s="143">
        <f>+AX63*AX61/(1+AX63^Parameters!$B$125)</f>
        <v>6.4147394459026152</v>
      </c>
      <c r="AY64" s="143">
        <f>+AY63*AY61/(1+AY63^Parameters!$B$125)</f>
        <v>6.7417927010416729</v>
      </c>
      <c r="AZ64" s="143">
        <f>+AZ63*AZ61/(1+AZ63^Parameters!$B$125)</f>
        <v>7.0848938432677215</v>
      </c>
      <c r="BA64" s="143">
        <f>+BA63*BA61/(1+BA63^Parameters!$B$125)</f>
        <v>7.4450271447217666</v>
      </c>
      <c r="BB64" s="143">
        <f>+BB63*BB61/(1+BB63^Parameters!$B$125)</f>
        <v>7.8232066351581082</v>
      </c>
      <c r="BC64" s="143">
        <f>+BC63*BC61/(1+BC63^Parameters!$B$125)</f>
        <v>8.2204863088784723</v>
      </c>
      <c r="BD64" s="143">
        <f>+BD63*BD61/(1+BD63^Parameters!$B$125)</f>
        <v>8.6379671373931473</v>
      </c>
      <c r="BE64" s="143">
        <f>+BE63*BE61/(1+BE63^Parameters!$B$125)</f>
        <v>9.076802356013971</v>
      </c>
      <c r="BF64" s="143">
        <f>+BF63*BF61/(1+BF63^Parameters!$B$125)</f>
        <v>9.5388936929061448</v>
      </c>
      <c r="BG64" s="143">
        <f>+BG63*BG61/(1+BG63^Parameters!$B$125)</f>
        <v>10.025058636641139</v>
      </c>
      <c r="BH64" s="143">
        <f>+BH63*BH61/(1+BH63^Parameters!$B$125)</f>
        <v>10.536270397254999</v>
      </c>
      <c r="BI64" s="143">
        <f>+BI63*BI61/(1+BI63^Parameters!$B$125)</f>
        <v>11.073854702385619</v>
      </c>
      <c r="BJ64" s="143">
        <f>+BJ63*BJ61/(1+BJ63^Parameters!$B$125)</f>
        <v>11.252391590801091</v>
      </c>
      <c r="BK64" s="143">
        <f>+BK63*BK61/(1+BK63^Parameters!$B$125)</f>
        <v>11.339205342795786</v>
      </c>
      <c r="BL64" s="143">
        <f>+BL63*BL61/(1+BL63^Parameters!$B$125)</f>
        <v>11.42856073168716</v>
      </c>
      <c r="BM64" s="143">
        <f>+BM63*BM61/(1+BM63^Parameters!$B$125)</f>
        <v>11.520427784472306</v>
      </c>
      <c r="BN64" s="143">
        <f>+BN63*BN61/(1+BN63^Parameters!$B$125)</f>
        <v>11.61477760717273</v>
      </c>
      <c r="BO64" s="143">
        <f>+BO63*BO61/(1+BO63^Parameters!$B$125)</f>
        <v>11.711582328480315</v>
      </c>
      <c r="BP64" s="143">
        <f>+BP63*BP61/(1+BP63^Parameters!$B$125)</f>
        <v>11.810815046475058</v>
      </c>
      <c r="BQ64" s="143">
        <f>+BQ63*BQ61/(1+BQ63^Parameters!$B$125)</f>
        <v>11.912449778252432</v>
      </c>
      <c r="BR64" s="143">
        <f>+BR63*BR61/(1+BR63^Parameters!$B$125)</f>
        <v>12.016461412306546</v>
      </c>
      <c r="BS64" s="143">
        <f>+BS63*BS61/(1+BS63^Parameters!$B$125)</f>
        <v>12.122825663523077</v>
      </c>
      <c r="BT64" s="143">
        <f>+BT63*BT61/(1+BT63^Parameters!$B$125)</f>
        <v>12.231519030643582</v>
      </c>
      <c r="BU64" s="143">
        <f>+BU63*BU61/(1+BU63^Parameters!$B$125)</f>
        <v>12.342518756069474</v>
      </c>
      <c r="BV64" s="143">
        <f>+BV63*BV61/(1+BV63^Parameters!$B$125)</f>
        <v>12.455802787881264</v>
      </c>
      <c r="BW64" s="143">
        <f>+BW63*BW61/(1+BW63^Parameters!$B$125)</f>
        <v>12.571349743954533</v>
      </c>
      <c r="BX64" s="143">
        <f>+BX63*BX61/(1+BX63^Parameters!$B$125)</f>
        <v>12.689138878060447</v>
      </c>
      <c r="BY64" s="143">
        <f>+BY63*BY61/(1+BY63^Parameters!$B$125)</f>
        <v>12.80915004784444</v>
      </c>
      <c r="BZ64" s="143">
        <f>+BZ63*BZ61/(1+BZ63^Parameters!$B$125)</f>
        <v>12.931363684581987</v>
      </c>
      <c r="CA64" s="143">
        <f>+CA63*CA61/(1+CA63^Parameters!$B$125)</f>
        <v>13.055760764615723</v>
      </c>
      <c r="CB64" s="143">
        <f>+CB63*CB61/(1+CB63^Parameters!$B$125)</f>
        <v>13.182322782383192</v>
      </c>
      <c r="CC64" s="143">
        <f>+CC63*CC61/(1+CC63^Parameters!$B$125)</f>
        <v>13.311031724948979</v>
      </c>
      <c r="CD64" s="143">
        <f>+CD63*CD61/(1+CD63^Parameters!$B$125)</f>
        <v>13.441870047959723</v>
      </c>
      <c r="CE64" s="143">
        <f>+CE63*CE61/(1+CE63^Parameters!$B$125)</f>
        <v>13.574820652944512</v>
      </c>
      <c r="CF64" s="143">
        <f>+CF63*CF61/(1+CF63^Parameters!$B$125)</f>
        <v>13.709866865887298</v>
      </c>
      <c r="CG64" s="143">
        <f>+CG63*CG61/(1+CG63^Parameters!$B$125)</f>
        <v>13.846992417001953</v>
      </c>
      <c r="CH64" s="143">
        <f>+CH63*CH61/(1+CH63^Parameters!$B$125)</f>
        <v>13.986181421643771</v>
      </c>
      <c r="CI64" s="143">
        <f>+CI63*CI61/(1+CI63^Parameters!$B$125)</f>
        <v>14.127418362295252</v>
      </c>
      <c r="CJ64" s="143">
        <f>+CJ63*CJ61/(1+CJ63^Parameters!$B$125)</f>
        <v>14.270688071566827</v>
      </c>
      <c r="CK64" s="143">
        <f>+CK63*CK61/(1+CK63^Parameters!$B$125)</f>
        <v>14.415975716156424</v>
      </c>
      <c r="CL64" s="143">
        <f>+CL63*CL61/(1+CL63^Parameters!$B$125)</f>
        <v>14.563266781714972</v>
      </c>
      <c r="CM64" s="143">
        <f>+CM63*CM61/(1+CM63^Parameters!$B$125)</f>
        <v>14.712547058567198</v>
      </c>
      <c r="CN64" s="143">
        <f>+CN63*CN61/(1+CN63^Parameters!$B$125)</f>
        <v>14.863802628240405</v>
      </c>
      <c r="CO64" s="143">
        <f>+CO63*CO61/(1+CO63^Parameters!$B$125)</f>
        <v>15.017019850755894</v>
      </c>
      <c r="CP64" s="143">
        <f>+CP63*CP61/(1+CP63^Parameters!$B$125)</f>
        <v>15.17218535264028</v>
      </c>
      <c r="CQ64" s="143">
        <f>+CQ63*CQ61/(1+CQ63^Parameters!$B$125)</f>
        <v>15.329286015616487</v>
      </c>
      <c r="CR64" s="143">
        <f>+CR63*CR61/(1+CR63^Parameters!$B$125)</f>
        <v>15.488308965935786</v>
      </c>
      <c r="CS64" s="143">
        <f>+CS63*CS61/(1+CS63^Parameters!$B$125)</f>
        <v>15.649241564314924</v>
      </c>
      <c r="CT64" s="143">
        <f>+CT63*CT61/(1+CT63^Parameters!$B$125)</f>
        <v>15.812071396443823</v>
      </c>
      <c r="CU64" s="143">
        <f>+CU63*CU61/(1+CU63^Parameters!$B$125)</f>
        <v>15.976786264031539</v>
      </c>
      <c r="CV64" s="143">
        <f>+CV63*CV61/(1+CV63^Parameters!$B$125)</f>
        <v>16.143374176359693</v>
      </c>
    </row>
    <row r="65" spans="1:237" s="45" customFormat="1" ht="18" customHeight="1" x14ac:dyDescent="0.2">
      <c r="A65" s="555" t="s">
        <v>21</v>
      </c>
      <c r="B65" s="45">
        <f>+B61/(1+B63)</f>
        <v>2.5256021532701229</v>
      </c>
      <c r="C65" s="45">
        <f t="shared" ref="C65:BN65" si="15">+C61-C64</f>
        <v>2.6709975614217627</v>
      </c>
      <c r="D65" s="45">
        <f t="shared" si="15"/>
        <v>2.8453738734794407</v>
      </c>
      <c r="E65" s="45">
        <f t="shared" si="15"/>
        <v>3.030713932332838</v>
      </c>
      <c r="F65" s="45">
        <f t="shared" si="15"/>
        <v>3.2248219052137017</v>
      </c>
      <c r="G65" s="45">
        <f t="shared" si="15"/>
        <v>3.4587680202888174</v>
      </c>
      <c r="H65" s="45">
        <f t="shared" si="15"/>
        <v>3.6936674111233465</v>
      </c>
      <c r="I65" s="45">
        <f t="shared" si="15"/>
        <v>3.8173444237679703</v>
      </c>
      <c r="J65" s="45">
        <f t="shared" si="15"/>
        <v>3.6181898048145054</v>
      </c>
      <c r="K65" s="45">
        <f t="shared" si="15"/>
        <v>3.7447419529597457</v>
      </c>
      <c r="L65" s="45">
        <f t="shared" si="15"/>
        <v>3.9459382105796226</v>
      </c>
      <c r="M65" s="45">
        <f t="shared" si="15"/>
        <v>4.0823146077706367</v>
      </c>
      <c r="N65" s="45">
        <f t="shared" si="15"/>
        <v>4.2957986619802693</v>
      </c>
      <c r="O65" s="45">
        <f t="shared" si="15"/>
        <v>4.5405752077332702</v>
      </c>
      <c r="P65" s="45">
        <f t="shared" si="15"/>
        <v>4.8244369119140682</v>
      </c>
      <c r="Q65" s="45">
        <f t="shared" si="15"/>
        <v>5.1060805499562294</v>
      </c>
      <c r="R65" s="45">
        <f t="shared" si="15"/>
        <v>5.4077599199466047</v>
      </c>
      <c r="S65" s="45">
        <f t="shared" si="15"/>
        <v>5.7434419287548062</v>
      </c>
      <c r="T65" s="45">
        <f t="shared" si="15"/>
        <v>6.0105685972996081</v>
      </c>
      <c r="U65" s="45">
        <f t="shared" si="15"/>
        <v>6.1922072875945728</v>
      </c>
      <c r="V65" s="45">
        <f t="shared" si="15"/>
        <v>6.5712134791025001</v>
      </c>
      <c r="W65" s="45">
        <f t="shared" si="15"/>
        <v>6.8856134147838057</v>
      </c>
      <c r="X65" s="45">
        <f t="shared" si="15"/>
        <v>7.2975469411641507</v>
      </c>
      <c r="Y65" s="45">
        <f t="shared" si="15"/>
        <v>7.6659833320834236</v>
      </c>
      <c r="Z65" s="45">
        <f t="shared" si="15"/>
        <v>8.0381384566127991</v>
      </c>
      <c r="AA65" s="45">
        <f t="shared" si="15"/>
        <v>8.4336822984237347</v>
      </c>
      <c r="AB65" s="45">
        <f t="shared" si="15"/>
        <v>8.880795355341597</v>
      </c>
      <c r="AC65" s="45">
        <f t="shared" si="15"/>
        <v>9.3729241059417827</v>
      </c>
      <c r="AD65" s="45">
        <f t="shared" si="15"/>
        <v>9.8955968864252171</v>
      </c>
      <c r="AE65" s="45">
        <f t="shared" si="15"/>
        <v>10.359142540308063</v>
      </c>
      <c r="AF65" s="45">
        <f t="shared" si="15"/>
        <v>10.064081295148817</v>
      </c>
      <c r="AG65" s="45">
        <f t="shared" si="15"/>
        <v>10.422567143723603</v>
      </c>
      <c r="AH65" s="45">
        <f t="shared" si="15"/>
        <v>10.909617158828368</v>
      </c>
      <c r="AI65" s="45">
        <f t="shared" si="15"/>
        <v>143.40768764063429</v>
      </c>
      <c r="AJ65" s="45">
        <f t="shared" si="15"/>
        <v>287.7682432421085</v>
      </c>
      <c r="AK65" s="45">
        <f t="shared" si="15"/>
        <v>379.377483565359</v>
      </c>
      <c r="AL65" s="45">
        <f t="shared" si="15"/>
        <v>438.04745663055331</v>
      </c>
      <c r="AM65" s="45">
        <f t="shared" si="15"/>
        <v>479.54074609635734</v>
      </c>
      <c r="AN65" s="45">
        <f t="shared" si="15"/>
        <v>512.07326125132317</v>
      </c>
      <c r="AO65" s="45">
        <f t="shared" si="15"/>
        <v>539.95757038723832</v>
      </c>
      <c r="AP65" s="45">
        <f t="shared" si="15"/>
        <v>565.51972490135756</v>
      </c>
      <c r="AQ65" s="45">
        <f t="shared" si="15"/>
        <v>590.04072456504628</v>
      </c>
      <c r="AR65" s="45">
        <f t="shared" si="15"/>
        <v>614.23844550070498</v>
      </c>
      <c r="AS65" s="45">
        <f t="shared" si="15"/>
        <v>638.52313850186567</v>
      </c>
      <c r="AT65" s="45">
        <f t="shared" si="15"/>
        <v>663.13582883428751</v>
      </c>
      <c r="AU65" s="45">
        <f t="shared" si="15"/>
        <v>688.2241925132605</v>
      </c>
      <c r="AV65" s="45">
        <f t="shared" si="15"/>
        <v>713.88442387099849</v>
      </c>
      <c r="AW65" s="45">
        <f t="shared" si="15"/>
        <v>740.18441681686988</v>
      </c>
      <c r="AX65" s="45">
        <f t="shared" si="15"/>
        <v>767.17662496859111</v>
      </c>
      <c r="AY65" s="45">
        <f t="shared" si="15"/>
        <v>794.90520668739134</v>
      </c>
      <c r="AZ65" s="45">
        <f t="shared" si="15"/>
        <v>823.41000229909844</v>
      </c>
      <c r="BA65" s="45">
        <f t="shared" si="15"/>
        <v>852.72875517268824</v>
      </c>
      <c r="BB65" s="45">
        <f t="shared" si="15"/>
        <v>882.89835964993767</v>
      </c>
      <c r="BC65" s="45">
        <f t="shared" si="15"/>
        <v>913.95557019060288</v>
      </c>
      <c r="BD65" s="45">
        <f t="shared" si="15"/>
        <v>945.93741263985066</v>
      </c>
      <c r="BE65" s="45">
        <f t="shared" si="15"/>
        <v>978.88143116268452</v>
      </c>
      <c r="BF65" s="45">
        <f t="shared" si="15"/>
        <v>1012.8993088697846</v>
      </c>
      <c r="BG65" s="45">
        <f t="shared" si="15"/>
        <v>1047.9600819730124</v>
      </c>
      <c r="BH65" s="45">
        <f t="shared" si="15"/>
        <v>1084.0834618457377</v>
      </c>
      <c r="BI65" s="45">
        <f t="shared" si="15"/>
        <v>1121.3083445479208</v>
      </c>
      <c r="BJ65" s="45">
        <f t="shared" si="15"/>
        <v>1121.1298076595053</v>
      </c>
      <c r="BK65" s="45">
        <f t="shared" si="15"/>
        <v>1121.0429939075107</v>
      </c>
      <c r="BL65" s="45">
        <f t="shared" si="15"/>
        <v>1120.9536385186193</v>
      </c>
      <c r="BM65" s="45">
        <f t="shared" si="15"/>
        <v>1120.8617714658342</v>
      </c>
      <c r="BN65" s="45">
        <f t="shared" si="15"/>
        <v>1120.7674216431337</v>
      </c>
      <c r="BO65" s="45">
        <f t="shared" ref="BO65:CV65" si="16">+BO61-BO64</f>
        <v>1120.6706169218262</v>
      </c>
      <c r="BP65" s="45">
        <f t="shared" si="16"/>
        <v>1120.5713842038315</v>
      </c>
      <c r="BQ65" s="45">
        <f t="shared" si="16"/>
        <v>1120.469749472054</v>
      </c>
      <c r="BR65" s="45">
        <f t="shared" si="16"/>
        <v>1120.3657378379999</v>
      </c>
      <c r="BS65" s="45">
        <f t="shared" si="16"/>
        <v>1120.2593735867833</v>
      </c>
      <c r="BT65" s="45">
        <f t="shared" si="16"/>
        <v>1120.1506802196629</v>
      </c>
      <c r="BU65" s="45">
        <f t="shared" si="16"/>
        <v>1120.039680494237</v>
      </c>
      <c r="BV65" s="45">
        <f t="shared" si="16"/>
        <v>1119.9263964624251</v>
      </c>
      <c r="BW65" s="45">
        <f t="shared" si="16"/>
        <v>1119.810849506352</v>
      </c>
      <c r="BX65" s="45">
        <f t="shared" si="16"/>
        <v>1119.693060372246</v>
      </c>
      <c r="BY65" s="45">
        <f t="shared" si="16"/>
        <v>1119.573049202462</v>
      </c>
      <c r="BZ65" s="45">
        <f t="shared" si="16"/>
        <v>1119.4508355657244</v>
      </c>
      <c r="CA65" s="45">
        <f t="shared" si="16"/>
        <v>1119.3264384856907</v>
      </c>
      <c r="CB65" s="45">
        <f t="shared" si="16"/>
        <v>1119.1998764679233</v>
      </c>
      <c r="CC65" s="45">
        <f t="shared" si="16"/>
        <v>1119.0711675253574</v>
      </c>
      <c r="CD65" s="45">
        <f t="shared" si="16"/>
        <v>1118.9403292023467</v>
      </c>
      <c r="CE65" s="45">
        <f t="shared" si="16"/>
        <v>1118.807378597362</v>
      </c>
      <c r="CF65" s="45">
        <f t="shared" si="16"/>
        <v>1118.6723323844192</v>
      </c>
      <c r="CG65" s="45">
        <f t="shared" si="16"/>
        <v>1118.5352068333045</v>
      </c>
      <c r="CH65" s="45">
        <f t="shared" si="16"/>
        <v>1118.3960178286627</v>
      </c>
      <c r="CI65" s="45">
        <f t="shared" si="16"/>
        <v>1118.2547808880113</v>
      </c>
      <c r="CJ65" s="45">
        <f t="shared" si="16"/>
        <v>1118.1115111787396</v>
      </c>
      <c r="CK65" s="45">
        <f t="shared" si="16"/>
        <v>1117.96622353415</v>
      </c>
      <c r="CL65" s="45">
        <f t="shared" si="16"/>
        <v>1117.8189324685916</v>
      </c>
      <c r="CM65" s="45">
        <f t="shared" si="16"/>
        <v>1117.6696521917393</v>
      </c>
      <c r="CN65" s="45">
        <f t="shared" si="16"/>
        <v>1117.5183966220661</v>
      </c>
      <c r="CO65" s="45">
        <f t="shared" si="16"/>
        <v>1117.3651793995507</v>
      </c>
      <c r="CP65" s="45">
        <f t="shared" si="16"/>
        <v>1117.2100138976662</v>
      </c>
      <c r="CQ65" s="45">
        <f t="shared" si="16"/>
        <v>1117.0529132346901</v>
      </c>
      <c r="CR65" s="45">
        <f t="shared" si="16"/>
        <v>1116.8938902843706</v>
      </c>
      <c r="CS65" s="45">
        <f t="shared" si="16"/>
        <v>1116.7329576859916</v>
      </c>
      <c r="CT65" s="45">
        <f t="shared" si="16"/>
        <v>1116.5701278538627</v>
      </c>
      <c r="CU65" s="45">
        <f t="shared" si="16"/>
        <v>1116.405412986275</v>
      </c>
      <c r="CV65" s="45">
        <f t="shared" si="16"/>
        <v>1116.2388250739468</v>
      </c>
    </row>
    <row r="66" spans="1:237" s="33" customFormat="1" ht="18" customHeight="1" x14ac:dyDescent="0.2">
      <c r="A66" s="23" t="s">
        <v>159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1.7584686634586257E-11</v>
      </c>
      <c r="E66" s="33">
        <f t="shared" si="17"/>
        <v>1.5383566788810809E-11</v>
      </c>
      <c r="F66" s="33">
        <f t="shared" si="17"/>
        <v>1.3637531608560832E-11</v>
      </c>
      <c r="G66" s="33">
        <f t="shared" si="17"/>
        <v>1.2234498133089342E-11</v>
      </c>
      <c r="H66" s="33">
        <f t="shared" si="17"/>
        <v>1.1093834699172079E-11</v>
      </c>
      <c r="I66" s="33">
        <f t="shared" si="17"/>
        <v>1.0156595862761148E-11</v>
      </c>
      <c r="J66" s="33">
        <f t="shared" si="17"/>
        <v>9.3790423984126943E-12</v>
      </c>
      <c r="K66" s="33">
        <f t="shared" si="17"/>
        <v>8.7282654168022763E-12</v>
      </c>
      <c r="L66" s="33">
        <f t="shared" si="17"/>
        <v>8.1791828244182613E-12</v>
      </c>
      <c r="M66" s="33">
        <f t="shared" si="17"/>
        <v>7.7124461354096279E-12</v>
      </c>
      <c r="N66" s="33">
        <f t="shared" si="17"/>
        <v>7.3129608200052953E-12</v>
      </c>
      <c r="O66" s="33">
        <f t="shared" si="17"/>
        <v>6.9688263390919868E-12</v>
      </c>
      <c r="P66" s="33">
        <f t="shared" si="17"/>
        <v>6.6705672916301414E-12</v>
      </c>
      <c r="Q66" s="33">
        <f t="shared" si="17"/>
        <v>6.410569153164159E-12</v>
      </c>
      <c r="R66" s="33">
        <f t="shared" si="17"/>
        <v>6.1826595793726346E-12</v>
      </c>
      <c r="S66" s="33">
        <f t="shared" si="17"/>
        <v>5.9817944895123502E-12</v>
      </c>
      <c r="T66" s="33">
        <f t="shared" si="17"/>
        <v>5.8038203957705355E-12</v>
      </c>
      <c r="U66" s="33">
        <f t="shared" si="17"/>
        <v>5.6452927884800701E-12</v>
      </c>
      <c r="V66" s="33">
        <f t="shared" si="17"/>
        <v>5.5033361418652664E-12</v>
      </c>
      <c r="W66" s="33">
        <f t="shared" si="17"/>
        <v>5.3755351462393465E-12</v>
      </c>
      <c r="X66" s="33">
        <f t="shared" si="17"/>
        <v>5.2598494445190045E-12</v>
      </c>
      <c r="Y66" s="33">
        <f t="shared" si="17"/>
        <v>5.1545463811408859E-12</v>
      </c>
      <c r="Z66" s="33">
        <f t="shared" si="17"/>
        <v>5.0581475428707937E-12</v>
      </c>
      <c r="AA66" s="33">
        <f t="shared" si="17"/>
        <v>4.9693859745474161E-12</v>
      </c>
      <c r="AB66" s="33">
        <f t="shared" si="17"/>
        <v>3.6917485969148157E-3</v>
      </c>
      <c r="AC66" s="33">
        <f t="shared" si="17"/>
        <v>3.437021433127289E-3</v>
      </c>
      <c r="AD66" s="33">
        <f t="shared" si="17"/>
        <v>3.205087744133001E-3</v>
      </c>
      <c r="AE66" s="33">
        <f t="shared" si="17"/>
        <v>2.9933910117974387E-3</v>
      </c>
      <c r="AF66" s="33">
        <f t="shared" si="17"/>
        <v>2.7997261206843295E-3</v>
      </c>
      <c r="AG66" s="33">
        <f t="shared" si="17"/>
        <v>2.6221824770833765E-3</v>
      </c>
      <c r="AH66" s="33">
        <f t="shared" ref="AH66:BI66" si="18">(AH31*(AH103)^$B38)</f>
        <v>2.4590975185412381E-3</v>
      </c>
      <c r="AI66" s="33">
        <f t="shared" si="18"/>
        <v>2.3090185319793038E-3</v>
      </c>
      <c r="AJ66" s="33">
        <f t="shared" si="18"/>
        <v>2.1706711493119273E-3</v>
      </c>
      <c r="AK66" s="33">
        <f t="shared" si="18"/>
        <v>2.0429332356601687E-3</v>
      </c>
      <c r="AL66" s="33">
        <f t="shared" si="18"/>
        <v>1.9248131526621018E-3</v>
      </c>
      <c r="AM66" s="33">
        <f t="shared" si="18"/>
        <v>1.8154315871131744E-3</v>
      </c>
      <c r="AN66" s="33">
        <f t="shared" si="18"/>
        <v>1.7140062974246131E-3</v>
      </c>
      <c r="AO66" s="33">
        <f t="shared" si="18"/>
        <v>1.6198392577804698E-3</v>
      </c>
      <c r="AP66" s="33">
        <f t="shared" si="18"/>
        <v>1.5323057803927696E-3</v>
      </c>
      <c r="AQ66" s="33">
        <f t="shared" si="18"/>
        <v>1.4508452759450629E-3</v>
      </c>
      <c r="AR66" s="33">
        <f t="shared" si="18"/>
        <v>1.3749533757797679E-3</v>
      </c>
      <c r="AS66" s="33">
        <f t="shared" si="18"/>
        <v>1.304175190146323E-3</v>
      </c>
      <c r="AT66" s="33">
        <f t="shared" si="18"/>
        <v>1.2380995175957387E-3</v>
      </c>
      <c r="AU66" s="33">
        <f t="shared" si="18"/>
        <v>1.176353853478831E-3</v>
      </c>
      <c r="AV66" s="33">
        <f t="shared" si="18"/>
        <v>1.1186000721094941E-3</v>
      </c>
      <c r="AW66" s="33">
        <f t="shared" si="18"/>
        <v>1.0645306787631357E-3</v>
      </c>
      <c r="AX66" s="33">
        <f t="shared" si="18"/>
        <v>1.0138655452920913E-3</v>
      </c>
      <c r="AY66" s="33">
        <f t="shared" si="18"/>
        <v>9.6634905754097071E-4</v>
      </c>
      <c r="AZ66" s="33">
        <f t="shared" si="18"/>
        <v>9.2174761455791237E-4</v>
      </c>
      <c r="BA66" s="33">
        <f t="shared" si="18"/>
        <v>8.7984742931716169E-4</v>
      </c>
      <c r="BB66" s="33">
        <f t="shared" si="18"/>
        <v>8.4045258868869046E-4</v>
      </c>
      <c r="BC66" s="33">
        <f t="shared" si="18"/>
        <v>8.0338333702755383E-4</v>
      </c>
      <c r="BD66" s="33">
        <f t="shared" si="18"/>
        <v>7.6847455326301039E-4</v>
      </c>
      <c r="BE66" s="33">
        <f t="shared" si="18"/>
        <v>3.7454080606291295E-4</v>
      </c>
      <c r="BF66" s="33">
        <f t="shared" si="18"/>
        <v>1.8255472988491396E-4</v>
      </c>
      <c r="BG66" s="33">
        <f t="shared" si="18"/>
        <v>8.8983382002542146E-5</v>
      </c>
      <c r="BH66" s="33">
        <f t="shared" si="18"/>
        <v>4.3375491473840016E-5</v>
      </c>
      <c r="BI66" s="33">
        <f t="shared" si="18"/>
        <v>2.1144509911926467E-5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 x14ac:dyDescent="0.2">
      <c r="A67" s="23" t="s">
        <v>160</v>
      </c>
      <c r="B67" s="143">
        <f>+B61*B66</f>
        <v>4.6338108353121508E-11</v>
      </c>
      <c r="C67" s="143">
        <f>+C61*C66</f>
        <v>5.4595467464945845E-11</v>
      </c>
      <c r="D67" s="23">
        <f t="shared" ref="D67:BI67" si="19">+D61*D66</f>
        <v>5.0101412382609136E-11</v>
      </c>
      <c r="E67" s="23">
        <f t="shared" si="19"/>
        <v>4.6687531276962983E-11</v>
      </c>
      <c r="F67" s="23">
        <f t="shared" si="19"/>
        <v>4.4053042700567285E-11</v>
      </c>
      <c r="G67" s="23">
        <f t="shared" si="19"/>
        <v>4.2411076876112966E-11</v>
      </c>
      <c r="H67" s="23">
        <f t="shared" si="19"/>
        <v>4.1051890523238423E-11</v>
      </c>
      <c r="I67" s="23">
        <f t="shared" si="19"/>
        <v>3.8864062828571595E-11</v>
      </c>
      <c r="J67" s="23">
        <f t="shared" si="19"/>
        <v>3.4039474566089278E-11</v>
      </c>
      <c r="K67" s="23">
        <f t="shared" si="19"/>
        <v>3.2755321471360631E-11</v>
      </c>
      <c r="L67" s="23">
        <f t="shared" si="19"/>
        <v>3.2346684591617929E-11</v>
      </c>
      <c r="M67" s="23">
        <f t="shared" si="19"/>
        <v>3.1575634343022703E-11</v>
      </c>
      <c r="N67" s="23">
        <f t="shared" si="19"/>
        <v>3.1522210005275617E-11</v>
      </c>
      <c r="O67" s="23">
        <f t="shared" si="19"/>
        <v>3.1750761104184665E-11</v>
      </c>
      <c r="P67" s="23">
        <f t="shared" si="19"/>
        <v>3.2280196945228586E-11</v>
      </c>
      <c r="Q67" s="23">
        <f t="shared" si="19"/>
        <v>3.285707790837035E-11</v>
      </c>
      <c r="R67" s="23">
        <f t="shared" si="19"/>
        <v>3.3558619452462802E-11</v>
      </c>
      <c r="S67" s="23">
        <f t="shared" si="19"/>
        <v>3.4489807139456474E-11</v>
      </c>
      <c r="T67" s="23">
        <f t="shared" si="19"/>
        <v>3.5002740246263159E-11</v>
      </c>
      <c r="U67" s="23">
        <f t="shared" si="19"/>
        <v>3.5096551503081096E-11</v>
      </c>
      <c r="V67" s="23">
        <f t="shared" si="19"/>
        <v>3.632401892703605E-11</v>
      </c>
      <c r="W67" s="23">
        <f t="shared" si="19"/>
        <v>3.7161122265785699E-11</v>
      </c>
      <c r="X67" s="23">
        <f t="shared" si="19"/>
        <v>3.8547691500363818E-11</v>
      </c>
      <c r="Y67" s="23">
        <f t="shared" si="19"/>
        <v>3.9693101773860926E-11</v>
      </c>
      <c r="Z67" s="23">
        <f t="shared" si="19"/>
        <v>4.0858589906179096E-11</v>
      </c>
      <c r="AA67" s="23">
        <f t="shared" si="19"/>
        <v>4.2159122798086212E-11</v>
      </c>
      <c r="AB67" s="23">
        <f t="shared" si="19"/>
        <v>3.3006606563258468E-2</v>
      </c>
      <c r="AC67" s="23">
        <f t="shared" si="19"/>
        <v>3.24190679299938E-2</v>
      </c>
      <c r="AD67" s="23">
        <f t="shared" si="19"/>
        <v>3.1908890549945848E-2</v>
      </c>
      <c r="AE67" s="23">
        <f t="shared" si="19"/>
        <v>3.1225733751871307E-2</v>
      </c>
      <c r="AF67" s="23">
        <f t="shared" si="19"/>
        <v>2.838338936939171E-2</v>
      </c>
      <c r="AG67" s="23">
        <f t="shared" si="19"/>
        <v>2.7507496217450231E-2</v>
      </c>
      <c r="AH67" s="23">
        <f t="shared" si="19"/>
        <v>2.7012249513441514E-2</v>
      </c>
      <c r="AI67" s="23">
        <f t="shared" si="19"/>
        <v>0.33405053368718152</v>
      </c>
      <c r="AJ67" s="23">
        <f t="shared" si="19"/>
        <v>0.62797304200018556</v>
      </c>
      <c r="AK67" s="23">
        <f t="shared" si="19"/>
        <v>0.77995285477156129</v>
      </c>
      <c r="AL67" s="23">
        <f t="shared" si="19"/>
        <v>0.84889220652723518</v>
      </c>
      <c r="AM67" s="23">
        <f t="shared" si="19"/>
        <v>0.87671918095434764</v>
      </c>
      <c r="AN67" s="23">
        <f t="shared" si="19"/>
        <v>0.88404651085671526</v>
      </c>
      <c r="AO67" s="23">
        <f t="shared" si="19"/>
        <v>0.88109082581009246</v>
      </c>
      <c r="AP67" s="23">
        <f t="shared" si="19"/>
        <v>0.87303730220030373</v>
      </c>
      <c r="AQ67" s="23">
        <f t="shared" si="19"/>
        <v>0.86256039297314058</v>
      </c>
      <c r="AR67" s="23">
        <f t="shared" si="19"/>
        <v>0.85105342777651372</v>
      </c>
      <c r="AS67" s="23">
        <f t="shared" si="19"/>
        <v>0.83924678727735891</v>
      </c>
      <c r="AT67" s="23">
        <f t="shared" si="19"/>
        <v>0.8275245813352522</v>
      </c>
      <c r="AU67" s="23">
        <f t="shared" si="19"/>
        <v>0.81608871655740367</v>
      </c>
      <c r="AV67" s="23">
        <f t="shared" si="19"/>
        <v>0.80504450919984694</v>
      </c>
      <c r="AW67" s="23">
        <f t="shared" si="19"/>
        <v>0.79444559867044051</v>
      </c>
      <c r="AX67" s="23">
        <f t="shared" si="19"/>
        <v>0.78431763051535353</v>
      </c>
      <c r="AY67" s="23">
        <f t="shared" si="19"/>
        <v>0.77467082233955931</v>
      </c>
      <c r="AZ67" s="23">
        <f t="shared" si="19"/>
        <v>0.76550668942174727</v>
      </c>
      <c r="BA67" s="23">
        <f t="shared" si="19"/>
        <v>0.75682169113799302</v>
      </c>
      <c r="BB67" s="23">
        <f t="shared" si="19"/>
        <v>0.74860924618515379</v>
      </c>
      <c r="BC67" s="23">
        <f t="shared" si="19"/>
        <v>0.74086087759746333</v>
      </c>
      <c r="BD67" s="23">
        <f t="shared" si="19"/>
        <v>0.73356688853018592</v>
      </c>
      <c r="BE67" s="23">
        <f t="shared" si="19"/>
        <v>0.37003067313858495</v>
      </c>
      <c r="BF67" s="23">
        <f t="shared" si="19"/>
        <v>0.18665092989284895</v>
      </c>
      <c r="BG67" s="23">
        <f t="shared" si="19"/>
        <v>9.4143095919882069E-2</v>
      </c>
      <c r="BH67" s="23">
        <f t="shared" si="19"/>
        <v>4.7479668863002977E-2</v>
      </c>
      <c r="BI67" s="23">
        <f t="shared" si="19"/>
        <v>2.3943666636137197E-2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 x14ac:dyDescent="0.2">
      <c r="A68" s="23" t="s">
        <v>27</v>
      </c>
      <c r="B68" s="143">
        <f>+B65-B67</f>
        <v>2.5256021532237849</v>
      </c>
      <c r="C68" s="143">
        <f>+C65-C67</f>
        <v>2.6709975613671673</v>
      </c>
      <c r="D68" s="23">
        <f>+D65-D67</f>
        <v>2.8453738734293395</v>
      </c>
      <c r="E68" s="23">
        <f>+E65-E67</f>
        <v>3.0307139322861505</v>
      </c>
      <c r="F68" s="23">
        <f>+F65-F67</f>
        <v>3.2248219051696485</v>
      </c>
      <c r="G68" s="23">
        <f t="shared" ref="G68:BI68" si="20">+G65-G67</f>
        <v>3.4587680202464064</v>
      </c>
      <c r="H68" s="23">
        <f t="shared" si="20"/>
        <v>3.6936674110822945</v>
      </c>
      <c r="I68" s="23">
        <f t="shared" si="20"/>
        <v>3.8173444237291063</v>
      </c>
      <c r="J68" s="23">
        <f t="shared" si="20"/>
        <v>3.6181898047804659</v>
      </c>
      <c r="K68" s="23">
        <f t="shared" si="20"/>
        <v>3.7447419529269905</v>
      </c>
      <c r="L68" s="23">
        <f t="shared" si="20"/>
        <v>3.945938210547276</v>
      </c>
      <c r="M68" s="23">
        <f t="shared" si="20"/>
        <v>4.0823146077390611</v>
      </c>
      <c r="N68" s="23">
        <f t="shared" si="20"/>
        <v>4.2957986619487469</v>
      </c>
      <c r="O68" s="23">
        <f t="shared" si="20"/>
        <v>4.5405752077015196</v>
      </c>
      <c r="P68" s="23">
        <f t="shared" si="20"/>
        <v>4.8244369118817882</v>
      </c>
      <c r="Q68" s="23">
        <f t="shared" si="20"/>
        <v>5.1060805499233721</v>
      </c>
      <c r="R68" s="23">
        <f t="shared" si="20"/>
        <v>5.4077599199130457</v>
      </c>
      <c r="S68" s="23">
        <f t="shared" si="20"/>
        <v>5.7434419287203164</v>
      </c>
      <c r="T68" s="23">
        <f t="shared" si="20"/>
        <v>6.010568597264605</v>
      </c>
      <c r="U68" s="23">
        <f t="shared" si="20"/>
        <v>6.1922072875594765</v>
      </c>
      <c r="V68" s="23">
        <f t="shared" si="20"/>
        <v>6.5712134790661763</v>
      </c>
      <c r="W68" s="23">
        <f t="shared" si="20"/>
        <v>6.8856134147466443</v>
      </c>
      <c r="X68" s="23">
        <f t="shared" si="20"/>
        <v>7.2975469411256029</v>
      </c>
      <c r="Y68" s="23">
        <f t="shared" si="20"/>
        <v>7.6659833320437309</v>
      </c>
      <c r="Z68" s="23">
        <f t="shared" si="20"/>
        <v>8.0381384565719411</v>
      </c>
      <c r="AA68" s="23">
        <f t="shared" si="20"/>
        <v>8.4336822983815765</v>
      </c>
      <c r="AB68" s="23">
        <f t="shared" si="20"/>
        <v>8.8477887487783384</v>
      </c>
      <c r="AC68" s="23">
        <f t="shared" si="20"/>
        <v>9.3405050380117896</v>
      </c>
      <c r="AD68" s="23">
        <f t="shared" si="20"/>
        <v>9.8636879958752708</v>
      </c>
      <c r="AE68" s="23">
        <f t="shared" si="20"/>
        <v>10.327916806556193</v>
      </c>
      <c r="AF68" s="23">
        <f t="shared" si="20"/>
        <v>10.035697905779426</v>
      </c>
      <c r="AG68" s="23">
        <f t="shared" si="20"/>
        <v>10.395059647506152</v>
      </c>
      <c r="AH68" s="23">
        <f t="shared" si="20"/>
        <v>10.882604909314926</v>
      </c>
      <c r="AI68" s="23">
        <f t="shared" si="20"/>
        <v>143.0736371069471</v>
      </c>
      <c r="AJ68" s="23">
        <f t="shared" si="20"/>
        <v>287.14027020010832</v>
      </c>
      <c r="AK68" s="23">
        <f t="shared" si="20"/>
        <v>378.59753071058742</v>
      </c>
      <c r="AL68" s="23">
        <f t="shared" si="20"/>
        <v>437.19856442402607</v>
      </c>
      <c r="AM68" s="23">
        <f t="shared" si="20"/>
        <v>478.66402691540299</v>
      </c>
      <c r="AN68" s="23">
        <f t="shared" si="20"/>
        <v>511.18921474046647</v>
      </c>
      <c r="AO68" s="23">
        <f t="shared" si="20"/>
        <v>539.07647956142819</v>
      </c>
      <c r="AP68" s="23">
        <f t="shared" si="20"/>
        <v>564.6466875991573</v>
      </c>
      <c r="AQ68" s="23">
        <f t="shared" si="20"/>
        <v>589.17816417207314</v>
      </c>
      <c r="AR68" s="23">
        <f t="shared" si="20"/>
        <v>613.38739207292849</v>
      </c>
      <c r="AS68" s="23">
        <f t="shared" si="20"/>
        <v>637.6838917145883</v>
      </c>
      <c r="AT68" s="23">
        <f t="shared" si="20"/>
        <v>662.30830425295221</v>
      </c>
      <c r="AU68" s="23">
        <f t="shared" si="20"/>
        <v>687.40810379670313</v>
      </c>
      <c r="AV68" s="23">
        <f t="shared" si="20"/>
        <v>713.0793793617986</v>
      </c>
      <c r="AW68" s="23">
        <f t="shared" si="20"/>
        <v>739.38997121819943</v>
      </c>
      <c r="AX68" s="23">
        <f t="shared" si="20"/>
        <v>766.39230733807574</v>
      </c>
      <c r="AY68" s="23">
        <f t="shared" si="20"/>
        <v>794.1305358650518</v>
      </c>
      <c r="AZ68" s="23">
        <f t="shared" si="20"/>
        <v>822.64449560967671</v>
      </c>
      <c r="BA68" s="23">
        <f t="shared" si="20"/>
        <v>851.9719334815502</v>
      </c>
      <c r="BB68" s="23">
        <f t="shared" si="20"/>
        <v>882.14975040375248</v>
      </c>
      <c r="BC68" s="23">
        <f t="shared" si="20"/>
        <v>913.21470931300541</v>
      </c>
      <c r="BD68" s="23">
        <f t="shared" si="20"/>
        <v>945.2038457513205</v>
      </c>
      <c r="BE68" s="23">
        <f t="shared" si="20"/>
        <v>978.51140048954596</v>
      </c>
      <c r="BF68" s="23">
        <f t="shared" si="20"/>
        <v>1012.7126579398918</v>
      </c>
      <c r="BG68" s="23">
        <f t="shared" si="20"/>
        <v>1047.8659388770925</v>
      </c>
      <c r="BH68" s="23">
        <f t="shared" si="20"/>
        <v>1084.0359821768748</v>
      </c>
      <c r="BI68" s="23">
        <f t="shared" si="20"/>
        <v>1121.2844008812847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 x14ac:dyDescent="0.2">
      <c r="A69" s="51" t="s">
        <v>82</v>
      </c>
      <c r="B69" s="143"/>
    </row>
    <row r="70" spans="1:237" s="45" customFormat="1" ht="18" customHeight="1" x14ac:dyDescent="0.2">
      <c r="A70" s="43" t="s">
        <v>36</v>
      </c>
      <c r="B70" s="143">
        <f t="shared" ref="B70:AG70" si="21">+B71+B43</f>
        <v>1.0515769685361294</v>
      </c>
      <c r="C70" s="143">
        <f t="shared" si="21"/>
        <v>0.96376188066653579</v>
      </c>
      <c r="D70" s="45">
        <f t="shared" si="21"/>
        <v>0.8092141339847444</v>
      </c>
      <c r="E70" s="45">
        <f t="shared" si="21"/>
        <v>0.68658867927761613</v>
      </c>
      <c r="F70" s="45">
        <f t="shared" si="21"/>
        <v>0.58869494392528177</v>
      </c>
      <c r="G70" s="45">
        <f t="shared" si="21"/>
        <v>0.51291551167130889</v>
      </c>
      <c r="H70" s="45">
        <f t="shared" si="21"/>
        <v>0.45121805151902078</v>
      </c>
      <c r="I70" s="45">
        <f t="shared" si="21"/>
        <v>0.39407132558622987</v>
      </c>
      <c r="J70" s="45">
        <f t="shared" si="21"/>
        <v>0.32877171088731832</v>
      </c>
      <c r="K70" s="45">
        <f t="shared" si="21"/>
        <v>0.29242333514655683</v>
      </c>
      <c r="L70" s="45">
        <f t="shared" si="21"/>
        <v>0.26648170495896462</v>
      </c>
      <c r="M70" s="45">
        <f t="shared" si="21"/>
        <v>0.24246913275088497</v>
      </c>
      <c r="N70" s="45">
        <f t="shared" si="21"/>
        <v>0.2258624126832994</v>
      </c>
      <c r="O70" s="45">
        <f t="shared" si="21"/>
        <v>0.21336437001651287</v>
      </c>
      <c r="P70" s="45">
        <f t="shared" si="21"/>
        <v>0.20448393112637694</v>
      </c>
      <c r="Q70" s="45">
        <f t="shared" si="21"/>
        <v>0.19739195665704443</v>
      </c>
      <c r="R70" s="45">
        <f t="shared" si="21"/>
        <v>0.19216328654279663</v>
      </c>
      <c r="S70" s="45">
        <f t="shared" si="21"/>
        <v>0.1890392731005302</v>
      </c>
      <c r="T70" s="45">
        <f t="shared" si="21"/>
        <v>0.18456775056039415</v>
      </c>
      <c r="U70" s="45">
        <f t="shared" si="21"/>
        <v>0.17872879889266322</v>
      </c>
      <c r="V70" s="45">
        <f t="shared" si="21"/>
        <v>0.17882880187009251</v>
      </c>
      <c r="W70" s="45">
        <f t="shared" si="21"/>
        <v>0.17741123666486508</v>
      </c>
      <c r="X70" s="45">
        <f t="shared" si="21"/>
        <v>0.17875054508252497</v>
      </c>
      <c r="Y70" s="45">
        <f t="shared" si="21"/>
        <v>0.17914616137790823</v>
      </c>
      <c r="Z70" s="45">
        <f t="shared" si="21"/>
        <v>0.17975014501085951</v>
      </c>
      <c r="AA70" s="45">
        <f t="shared" si="21"/>
        <v>0.18100955305863403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 x14ac:dyDescent="0.2">
      <c r="A71" s="43" t="s">
        <v>1</v>
      </c>
      <c r="B71" s="46">
        <f t="shared" ref="B71:AG71" si="23">+B102</f>
        <v>0.35157696853612941</v>
      </c>
      <c r="C71" s="46">
        <f t="shared" si="23"/>
        <v>0.40376188066653579</v>
      </c>
      <c r="D71" s="46">
        <f t="shared" si="23"/>
        <v>0.36121413398474445</v>
      </c>
      <c r="E71" s="46">
        <f t="shared" si="23"/>
        <v>0.32818867927761619</v>
      </c>
      <c r="F71" s="46">
        <f t="shared" si="23"/>
        <v>0.30197494392528174</v>
      </c>
      <c r="G71" s="46">
        <f t="shared" si="23"/>
        <v>0.28353951167130881</v>
      </c>
      <c r="H71" s="46">
        <f t="shared" si="23"/>
        <v>0.26771725151902076</v>
      </c>
      <c r="I71" s="46">
        <f t="shared" si="23"/>
        <v>0.24727068558622986</v>
      </c>
      <c r="J71" s="46">
        <f t="shared" si="23"/>
        <v>0.21133119888731833</v>
      </c>
      <c r="K71" s="46">
        <f t="shared" si="23"/>
        <v>0.19847092554655679</v>
      </c>
      <c r="L71" s="46">
        <f t="shared" si="23"/>
        <v>0.1913197772789646</v>
      </c>
      <c r="M71" s="46">
        <f t="shared" si="23"/>
        <v>0.18233959060688495</v>
      </c>
      <c r="N71" s="46">
        <f t="shared" si="23"/>
        <v>0.17775877896809938</v>
      </c>
      <c r="O71" s="46">
        <f t="shared" si="23"/>
        <v>0.17488146304435287</v>
      </c>
      <c r="P71" s="46">
        <f t="shared" si="23"/>
        <v>0.17369760554864894</v>
      </c>
      <c r="Q71" s="46">
        <f t="shared" si="23"/>
        <v>0.17276289619486201</v>
      </c>
      <c r="R71" s="46">
        <f t="shared" si="23"/>
        <v>0.17246003817305069</v>
      </c>
      <c r="S71" s="46">
        <f t="shared" si="23"/>
        <v>0.17327667440473346</v>
      </c>
      <c r="T71" s="46">
        <f t="shared" si="23"/>
        <v>0.17195767160375675</v>
      </c>
      <c r="U71" s="46">
        <f t="shared" si="23"/>
        <v>0.1686407357273533</v>
      </c>
      <c r="V71" s="46">
        <f t="shared" si="23"/>
        <v>0.17075835133784456</v>
      </c>
      <c r="W71" s="46">
        <f t="shared" si="23"/>
        <v>0.17095487623906674</v>
      </c>
      <c r="X71" s="46">
        <f t="shared" si="23"/>
        <v>0.1735854567418863</v>
      </c>
      <c r="Y71" s="46">
        <f t="shared" si="23"/>
        <v>0.17501409070539728</v>
      </c>
      <c r="Z71" s="46">
        <f t="shared" si="23"/>
        <v>0.17644448847285074</v>
      </c>
      <c r="AA71" s="46">
        <f t="shared" si="23"/>
        <v>0.17836502782822702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 x14ac:dyDescent="0.2">
      <c r="A72" s="30" t="s">
        <v>33</v>
      </c>
    </row>
    <row r="73" spans="1:237" s="45" customFormat="1" ht="18" customHeight="1" x14ac:dyDescent="0.2">
      <c r="A73" s="43" t="s">
        <v>34</v>
      </c>
      <c r="B73" s="144">
        <f>(B97)*B68</f>
        <v>0.60843467911904969</v>
      </c>
      <c r="C73" s="143">
        <f>(C97)*C68</f>
        <v>0.74464475888728887</v>
      </c>
      <c r="D73" s="45">
        <f>(D97)*D68</f>
        <v>0.75668201976453497</v>
      </c>
      <c r="E73" s="45">
        <f>(E97)*E68</f>
        <v>0.77078633591913226</v>
      </c>
      <c r="F73" s="45">
        <f>(F97)*F68</f>
        <v>0.77854019370570471</v>
      </c>
      <c r="G73" s="45">
        <f t="shared" ref="G73:BI73" si="25">(G97)*G68</f>
        <v>0.81118953486538203</v>
      </c>
      <c r="H73" s="45">
        <f t="shared" si="25"/>
        <v>0.86044716151319012</v>
      </c>
      <c r="I73" s="45">
        <f t="shared" si="25"/>
        <v>0.8849814408882497</v>
      </c>
      <c r="J73" s="45">
        <f t="shared" si="25"/>
        <v>0.83668725646841979</v>
      </c>
      <c r="K73" s="45">
        <f t="shared" si="25"/>
        <v>0.85676013612021851</v>
      </c>
      <c r="L73" s="45">
        <f t="shared" si="25"/>
        <v>0.90541316459362908</v>
      </c>
      <c r="M73" s="45">
        <f t="shared" si="25"/>
        <v>0.91326565708436525</v>
      </c>
      <c r="N73" s="45">
        <f t="shared" si="25"/>
        <v>0.96102475303332335</v>
      </c>
      <c r="O73" s="45">
        <f t="shared" si="25"/>
        <v>1.0157843770152573</v>
      </c>
      <c r="P73" s="45">
        <f t="shared" si="25"/>
        <v>1.0792878476438619</v>
      </c>
      <c r="Q73" s="45">
        <f t="shared" si="25"/>
        <v>1.1422951086893631</v>
      </c>
      <c r="R73" s="45">
        <f t="shared" si="25"/>
        <v>1.2097846175920115</v>
      </c>
      <c r="S73" s="45">
        <f t="shared" si="25"/>
        <v>1.2848809489143442</v>
      </c>
      <c r="T73" s="45">
        <f t="shared" si="25"/>
        <v>1.3446405793971037</v>
      </c>
      <c r="U73" s="45">
        <f t="shared" si="25"/>
        <v>1.3852754627374551</v>
      </c>
      <c r="V73" s="45">
        <f t="shared" si="25"/>
        <v>1.4700639643069386</v>
      </c>
      <c r="W73" s="45">
        <f t="shared" si="25"/>
        <v>1.5403992254115522</v>
      </c>
      <c r="X73" s="45">
        <f t="shared" si="25"/>
        <v>1.6325539902428485</v>
      </c>
      <c r="Y73" s="45">
        <f t="shared" si="25"/>
        <v>1.7149778930963311</v>
      </c>
      <c r="Z73" s="45">
        <f t="shared" si="25"/>
        <v>1.7982337239172206</v>
      </c>
      <c r="AA73" s="45">
        <f t="shared" si="25"/>
        <v>1.8867219080251125</v>
      </c>
      <c r="AB73" s="45">
        <f t="shared" si="25"/>
        <v>1.9793627835733909</v>
      </c>
      <c r="AC73" s="45">
        <f t="shared" si="25"/>
        <v>2.0895896790678989</v>
      </c>
      <c r="AD73" s="45">
        <f t="shared" si="25"/>
        <v>2.2066323555149161</v>
      </c>
      <c r="AE73" s="45">
        <f t="shared" si="25"/>
        <v>2.3104862400294204</v>
      </c>
      <c r="AF73" s="45">
        <f t="shared" si="25"/>
        <v>2.2451131583163062</v>
      </c>
      <c r="AG73" s="45">
        <f t="shared" si="25"/>
        <v>2.3255069468221867</v>
      </c>
      <c r="AH73" s="45">
        <f t="shared" si="25"/>
        <v>2.4345770177667578</v>
      </c>
      <c r="AI73" s="45">
        <f t="shared" si="25"/>
        <v>32.007390845433356</v>
      </c>
      <c r="AJ73" s="45">
        <f t="shared" si="25"/>
        <v>64.236927512286925</v>
      </c>
      <c r="AK73" s="45">
        <f t="shared" si="25"/>
        <v>84.697078956003764</v>
      </c>
      <c r="AL73" s="45">
        <f t="shared" si="25"/>
        <v>97.806874917997746</v>
      </c>
      <c r="AM73" s="45">
        <f t="shared" si="25"/>
        <v>107.08322583340838</v>
      </c>
      <c r="AN73" s="45">
        <f t="shared" si="25"/>
        <v>114.359523690153</v>
      </c>
      <c r="AO73" s="45">
        <f t="shared" si="25"/>
        <v>120.59825923070133</v>
      </c>
      <c r="AP73" s="45">
        <f t="shared" si="25"/>
        <v>126.31863972295693</v>
      </c>
      <c r="AQ73" s="45">
        <f t="shared" si="25"/>
        <v>131.80664278600889</v>
      </c>
      <c r="AR73" s="45">
        <f t="shared" si="25"/>
        <v>137.22255472588381</v>
      </c>
      <c r="AS73" s="45">
        <f t="shared" si="25"/>
        <v>142.65799046325333</v>
      </c>
      <c r="AT73" s="45">
        <f t="shared" si="25"/>
        <v>148.16678448283537</v>
      </c>
      <c r="AU73" s="45">
        <f t="shared" si="25"/>
        <v>153.78192861688953</v>
      </c>
      <c r="AV73" s="45">
        <f t="shared" si="25"/>
        <v>159.5249191994148</v>
      </c>
      <c r="AW73" s="45">
        <f t="shared" si="25"/>
        <v>165.4109329609368</v>
      </c>
      <c r="AX73" s="45">
        <f t="shared" si="25"/>
        <v>171.45169870510111</v>
      </c>
      <c r="AY73" s="45">
        <f t="shared" si="25"/>
        <v>177.65709293268495</v>
      </c>
      <c r="AZ73" s="45">
        <f t="shared" si="25"/>
        <v>184.03602809189218</v>
      </c>
      <c r="BA73" s="45">
        <f t="shared" si="25"/>
        <v>190.59694864609986</v>
      </c>
      <c r="BB73" s="45">
        <f t="shared" si="25"/>
        <v>197.34810980074948</v>
      </c>
      <c r="BC73" s="45">
        <f t="shared" si="25"/>
        <v>204.29773589198069</v>
      </c>
      <c r="BD73" s="45">
        <f t="shared" si="25"/>
        <v>211.45411224120073</v>
      </c>
      <c r="BE73" s="45">
        <f t="shared" si="25"/>
        <v>218.90543551898355</v>
      </c>
      <c r="BF73" s="45">
        <f t="shared" si="25"/>
        <v>226.55669145092179</v>
      </c>
      <c r="BG73" s="45">
        <f t="shared" si="25"/>
        <v>234.42092713548226</v>
      </c>
      <c r="BH73" s="45">
        <f t="shared" si="25"/>
        <v>242.51262548188686</v>
      </c>
      <c r="BI73" s="45">
        <f t="shared" si="25"/>
        <v>250.84557011063922</v>
      </c>
    </row>
    <row r="74" spans="1:237" s="45" customFormat="1" ht="18" customHeight="1" x14ac:dyDescent="0.2">
      <c r="A74" s="43" t="s">
        <v>35</v>
      </c>
      <c r="B74" s="144">
        <f>+B11</f>
        <v>4.4201869312950182</v>
      </c>
      <c r="C74" s="143">
        <f t="shared" ref="C74:BI74" si="26">+B74*(1-$B$8)^10+10*B73</f>
        <v>7.6255706753448509</v>
      </c>
      <c r="D74" s="45">
        <f t="shared" si="26"/>
        <v>10.105319676824436</v>
      </c>
      <c r="E74" s="45">
        <f t="shared" si="26"/>
        <v>11.090327299272332</v>
      </c>
      <c r="F74" s="45">
        <f t="shared" si="26"/>
        <v>11.574821382100048</v>
      </c>
      <c r="G74" s="45">
        <f t="shared" si="26"/>
        <v>11.821292601003819</v>
      </c>
      <c r="H74" s="45">
        <f t="shared" si="26"/>
        <v>12.233725212737507</v>
      </c>
      <c r="I74" s="45">
        <f t="shared" si="26"/>
        <v>12.870107838921257</v>
      </c>
      <c r="J74" s="45">
        <f t="shared" si="26"/>
        <v>13.337343534076346</v>
      </c>
      <c r="K74" s="45">
        <f t="shared" si="26"/>
        <v>13.017316703223761</v>
      </c>
      <c r="L74" s="45">
        <f t="shared" si="26"/>
        <v>13.106459043569922</v>
      </c>
      <c r="M74" s="45">
        <f t="shared" si="26"/>
        <v>13.624071340482791</v>
      </c>
      <c r="N74" s="45">
        <f t="shared" si="26"/>
        <v>13.883076513654309</v>
      </c>
      <c r="O74" s="45">
        <f t="shared" si="26"/>
        <v>14.450976992903165</v>
      </c>
      <c r="P74" s="45">
        <f t="shared" si="26"/>
        <v>15.196587885959039</v>
      </c>
      <c r="Q74" s="45">
        <f t="shared" si="26"/>
        <v>16.091601035357375</v>
      </c>
      <c r="R74" s="45">
        <f t="shared" si="26"/>
        <v>17.033745434613589</v>
      </c>
      <c r="S74" s="45">
        <f t="shared" si="26"/>
        <v>18.037145963121681</v>
      </c>
      <c r="T74" s="45">
        <f t="shared" si="26"/>
        <v>19.137973407420724</v>
      </c>
      <c r="U74" s="45">
        <f t="shared" si="26"/>
        <v>20.119404508345781</v>
      </c>
      <c r="V74" s="45">
        <f t="shared" si="26"/>
        <v>20.867957207085468</v>
      </c>
      <c r="W74" s="45">
        <f t="shared" si="26"/>
        <v>21.976846410109502</v>
      </c>
      <c r="X74" s="45">
        <f t="shared" si="26"/>
        <v>23.066844778709793</v>
      </c>
      <c r="Y74" s="45">
        <f t="shared" si="26"/>
        <v>24.368451357897847</v>
      </c>
      <c r="Z74" s="45">
        <f t="shared" si="26"/>
        <v>25.646532538087861</v>
      </c>
      <c r="AA74" s="45">
        <f t="shared" si="26"/>
        <v>26.924730198526582</v>
      </c>
      <c r="AB74" s="45">
        <f t="shared" si="26"/>
        <v>28.255292005986739</v>
      </c>
      <c r="AC74" s="45">
        <f t="shared" si="26"/>
        <v>29.645638976951368</v>
      </c>
      <c r="AD74" s="45">
        <f t="shared" si="26"/>
        <v>31.232691944930156</v>
      </c>
      <c r="AE74" s="45">
        <f t="shared" si="26"/>
        <v>32.956489862631244</v>
      </c>
      <c r="AF74" s="45">
        <f t="shared" si="26"/>
        <v>34.596079876767931</v>
      </c>
      <c r="AG74" s="45">
        <f t="shared" si="26"/>
        <v>34.514038748169511</v>
      </c>
      <c r="AH74" s="45">
        <f t="shared" si="26"/>
        <v>35.289370660484579</v>
      </c>
      <c r="AI74" s="45">
        <f t="shared" si="26"/>
        <v>36.650412891676055</v>
      </c>
      <c r="AJ74" s="45">
        <f t="shared" si="26"/>
        <v>332.85311725042408</v>
      </c>
      <c r="AK74" s="45">
        <f t="shared" si="26"/>
        <v>758.42798082816955</v>
      </c>
      <c r="AL74" s="45">
        <f t="shared" si="26"/>
        <v>1111.4182748433966</v>
      </c>
      <c r="AM74" s="45">
        <f t="shared" si="26"/>
        <v>1365.5963395510062</v>
      </c>
      <c r="AN74" s="45">
        <f t="shared" si="26"/>
        <v>1546.9862598149987</v>
      </c>
      <c r="AO74" s="45">
        <f t="shared" si="26"/>
        <v>1682.9959928299572</v>
      </c>
      <c r="AP74" s="45">
        <f t="shared" si="26"/>
        <v>1792.8070097815139</v>
      </c>
      <c r="AQ74" s="45">
        <f t="shared" si="26"/>
        <v>1888.2995488005333</v>
      </c>
      <c r="AR74" s="45">
        <f t="shared" si="26"/>
        <v>1976.4757689773928</v>
      </c>
      <c r="AS74" s="45">
        <f t="shared" si="26"/>
        <v>2061.3800352813237</v>
      </c>
      <c r="AT74" s="45">
        <f t="shared" si="26"/>
        <v>2145.3386797877083</v>
      </c>
      <c r="AU74" s="45">
        <f t="shared" si="26"/>
        <v>2229.7011891829256</v>
      </c>
      <c r="AV74" s="45">
        <f t="shared" si="26"/>
        <v>2315.2680187023134</v>
      </c>
      <c r="AW74" s="45">
        <f t="shared" si="26"/>
        <v>2402.5332331686886</v>
      </c>
      <c r="AX74" s="45">
        <f t="shared" si="26"/>
        <v>2491.8208696390366</v>
      </c>
      <c r="AY74" s="45">
        <f t="shared" si="26"/>
        <v>2583.3612008853761</v>
      </c>
      <c r="AZ74" s="45">
        <f t="shared" si="26"/>
        <v>2677.3332830664253</v>
      </c>
      <c r="BA74" s="45">
        <f t="shared" si="26"/>
        <v>2773.8886736863351</v>
      </c>
      <c r="BB74" s="45">
        <f t="shared" si="26"/>
        <v>2873.1646622130083</v>
      </c>
      <c r="BC74" s="45">
        <f t="shared" si="26"/>
        <v>2975.2916705783705</v>
      </c>
      <c r="BD74" s="45">
        <f t="shared" si="26"/>
        <v>3080.3974174595969</v>
      </c>
      <c r="BE74" s="45">
        <f t="shared" si="26"/>
        <v>3188.6092888198882</v>
      </c>
      <c r="BF74" s="45">
        <f t="shared" si="26"/>
        <v>3300.853668103925</v>
      </c>
      <c r="BG74" s="45">
        <f t="shared" si="26"/>
        <v>3416.5034225020581</v>
      </c>
      <c r="BH74" s="45">
        <f t="shared" si="26"/>
        <v>3535.4703553091522</v>
      </c>
      <c r="BI74" s="45">
        <f t="shared" si="26"/>
        <v>3657.868543327857</v>
      </c>
    </row>
    <row r="75" spans="1:237" s="45" customFormat="1" ht="18" customHeight="1" x14ac:dyDescent="0.2">
      <c r="A75" s="30" t="s">
        <v>204</v>
      </c>
      <c r="B75" s="144"/>
      <c r="C75" s="143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 x14ac:dyDescent="0.2">
      <c r="A76" s="35" t="s">
        <v>205</v>
      </c>
      <c r="B76" s="144">
        <f>+B14</f>
        <v>1.4999999999999999E-2</v>
      </c>
      <c r="C76" s="14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 x14ac:dyDescent="0.2">
      <c r="A77" s="35" t="s">
        <v>71</v>
      </c>
      <c r="B77" s="144">
        <f t="shared" ref="B77:BI77" si="28">+$B$7*B61/B74</f>
        <v>0.1717844468014984</v>
      </c>
      <c r="C77" s="143">
        <f t="shared" si="28"/>
        <v>0.10529013355689695</v>
      </c>
      <c r="D77" s="23">
        <f t="shared" si="28"/>
        <v>8.4583671696105672E-2</v>
      </c>
      <c r="E77" s="23">
        <f t="shared" si="28"/>
        <v>8.2095766133348985E-2</v>
      </c>
      <c r="F77" s="23">
        <f t="shared" si="28"/>
        <v>8.3723446274303281E-2</v>
      </c>
      <c r="G77" s="23">
        <f t="shared" si="28"/>
        <v>8.7973005316265659E-2</v>
      </c>
      <c r="H77" s="23">
        <f t="shared" si="28"/>
        <v>9.0743182153160296E-2</v>
      </c>
      <c r="I77" s="23">
        <f t="shared" si="28"/>
        <v>8.9194709719156218E-2</v>
      </c>
      <c r="J77" s="23">
        <f t="shared" si="28"/>
        <v>8.1634975306994331E-2</v>
      </c>
      <c r="K77" s="23">
        <f t="shared" si="28"/>
        <v>8.6487572074657432E-2</v>
      </c>
      <c r="L77" s="23">
        <f t="shared" si="28"/>
        <v>9.0522332924642596E-2</v>
      </c>
      <c r="M77" s="23">
        <f t="shared" si="28"/>
        <v>9.0151775811001034E-2</v>
      </c>
      <c r="N77" s="23">
        <f t="shared" si="28"/>
        <v>9.3144871718623498E-2</v>
      </c>
      <c r="O77" s="23">
        <f t="shared" si="28"/>
        <v>9.4584188752464604E-2</v>
      </c>
      <c r="P77" s="23">
        <f t="shared" si="28"/>
        <v>9.5531935067184479E-2</v>
      </c>
      <c r="Q77" s="23">
        <f t="shared" si="28"/>
        <v>9.5555204525668166E-2</v>
      </c>
      <c r="R77" s="23">
        <f t="shared" si="28"/>
        <v>9.559602934119997E-2</v>
      </c>
      <c r="S77" s="23">
        <f t="shared" si="28"/>
        <v>9.5898698361010504E-2</v>
      </c>
      <c r="T77" s="23">
        <f t="shared" si="28"/>
        <v>9.4539519075225786E-2</v>
      </c>
      <c r="U77" s="23">
        <f t="shared" si="28"/>
        <v>9.2700933404233452E-2</v>
      </c>
      <c r="V77" s="23">
        <f t="shared" si="28"/>
        <v>9.4887536256056809E-2</v>
      </c>
      <c r="W77" s="23">
        <f t="shared" si="28"/>
        <v>9.436761894454776E-2</v>
      </c>
      <c r="X77" s="23">
        <f t="shared" si="28"/>
        <v>9.5314313207997062E-2</v>
      </c>
      <c r="Y77" s="23">
        <f t="shared" si="28"/>
        <v>9.4802089689949465E-2</v>
      </c>
      <c r="Z77" s="23">
        <f t="shared" si="28"/>
        <v>9.4489702119100419E-2</v>
      </c>
      <c r="AA77" s="23">
        <f t="shared" si="28"/>
        <v>9.4527621572012152E-2</v>
      </c>
      <c r="AB77" s="23">
        <f t="shared" si="28"/>
        <v>9.4927099844713425E-2</v>
      </c>
      <c r="AC77" s="23">
        <f t="shared" si="28"/>
        <v>9.5450613312889176E-2</v>
      </c>
      <c r="AD77" s="23">
        <f t="shared" si="28"/>
        <v>9.5627679626852494E-2</v>
      </c>
      <c r="AE77" s="23">
        <f t="shared" si="28"/>
        <v>9.4957551395898482E-2</v>
      </c>
      <c r="AF77" s="23">
        <f t="shared" si="28"/>
        <v>8.7910969463606881E-2</v>
      </c>
      <c r="AG77" s="23">
        <f t="shared" si="28"/>
        <v>9.1182946810383317E-2</v>
      </c>
      <c r="AH77" s="23">
        <f t="shared" si="28"/>
        <v>9.3381821815161303E-2</v>
      </c>
      <c r="AI77" s="23">
        <f t="shared" si="28"/>
        <v>1.1842056654239062</v>
      </c>
      <c r="AJ77" s="23">
        <f t="shared" si="28"/>
        <v>0.26074476187357687</v>
      </c>
      <c r="AK77" s="23">
        <f t="shared" si="28"/>
        <v>0.15101534729392946</v>
      </c>
      <c r="AL77" s="23">
        <f t="shared" si="28"/>
        <v>0.11904404901563084</v>
      </c>
      <c r="AM77" s="23">
        <f t="shared" si="28"/>
        <v>0.10609124143256884</v>
      </c>
      <c r="AN77" s="23">
        <f t="shared" si="28"/>
        <v>0.10002245262288409</v>
      </c>
      <c r="AO77" s="23">
        <f t="shared" si="28"/>
        <v>9.6958733032411412E-2</v>
      </c>
      <c r="AP77" s="23">
        <f t="shared" si="28"/>
        <v>9.533998371188443E-2</v>
      </c>
      <c r="AQ77" s="23">
        <f t="shared" si="28"/>
        <v>9.4453657084805243E-2</v>
      </c>
      <c r="AR77" s="23">
        <f t="shared" si="28"/>
        <v>9.3950395776969745E-2</v>
      </c>
      <c r="AS77" s="23">
        <f t="shared" si="28"/>
        <v>9.3651975403890239E-2</v>
      </c>
      <c r="AT77" s="23">
        <f t="shared" si="28"/>
        <v>9.346537236137524E-2</v>
      </c>
      <c r="AU77" s="23">
        <f t="shared" si="28"/>
        <v>9.3341329622342761E-2</v>
      </c>
      <c r="AV77" s="23">
        <f t="shared" si="28"/>
        <v>9.325347646658444E-2</v>
      </c>
      <c r="AW77" s="23">
        <f t="shared" si="28"/>
        <v>9.3187536813140501E-2</v>
      </c>
      <c r="AX77" s="23">
        <f t="shared" si="28"/>
        <v>9.3135671248297497E-2</v>
      </c>
      <c r="AY77" s="23">
        <f t="shared" si="28"/>
        <v>9.3093486011211729E-2</v>
      </c>
      <c r="AZ77" s="23">
        <f t="shared" si="28"/>
        <v>9.3058443794996296E-2</v>
      </c>
      <c r="BA77" s="23">
        <f t="shared" si="28"/>
        <v>9.302901632035826E-2</v>
      </c>
      <c r="BB77" s="23">
        <f t="shared" si="28"/>
        <v>9.3004230979128633E-2</v>
      </c>
      <c r="BC77" s="23">
        <f t="shared" si="28"/>
        <v>9.298342736800172E-2</v>
      </c>
      <c r="BD77" s="23">
        <f t="shared" si="28"/>
        <v>9.2966125834940003E-2</v>
      </c>
      <c r="BE77" s="23">
        <f t="shared" si="28"/>
        <v>9.2951955918469775E-2</v>
      </c>
      <c r="BF77" s="23">
        <f t="shared" si="28"/>
        <v>9.2924889016664514E-2</v>
      </c>
      <c r="BG77" s="23">
        <f t="shared" si="28"/>
        <v>9.2900694930506789E-2</v>
      </c>
      <c r="BH77" s="23">
        <f t="shared" si="28"/>
        <v>9.2883233819162594E-2</v>
      </c>
      <c r="BI77" s="23">
        <f t="shared" si="28"/>
        <v>9.2872298649099683E-2</v>
      </c>
    </row>
    <row r="78" spans="1:237" s="37" customFormat="1" ht="18" customHeight="1" x14ac:dyDescent="0.2">
      <c r="A78" s="35" t="s">
        <v>72</v>
      </c>
      <c r="B78" s="144">
        <f t="shared" ref="B78:BI78" si="29">+$B$7*B61/B74*(1-(1-$B$8)^10)/$B$8/10</f>
        <v>0.11188691385731046</v>
      </c>
      <c r="C78" s="143">
        <f t="shared" si="29"/>
        <v>6.857773403035744E-2</v>
      </c>
      <c r="D78" s="23">
        <f t="shared" si="29"/>
        <v>5.5091168991177011E-2</v>
      </c>
      <c r="E78" s="23">
        <f t="shared" si="29"/>
        <v>5.3470742459158435E-2</v>
      </c>
      <c r="F78" s="23">
        <f t="shared" si="29"/>
        <v>5.4530885627583035E-2</v>
      </c>
      <c r="G78" s="23">
        <f t="shared" si="29"/>
        <v>5.7298715051681125E-2</v>
      </c>
      <c r="H78" s="23">
        <f t="shared" si="29"/>
        <v>5.9102990950286184E-2</v>
      </c>
      <c r="I78" s="23">
        <f t="shared" si="29"/>
        <v>5.8094437469108508E-2</v>
      </c>
      <c r="J78" s="23">
        <f t="shared" si="29"/>
        <v>5.3170619459349512E-2</v>
      </c>
      <c r="K78" s="23">
        <f t="shared" si="29"/>
        <v>5.6331220355629541E-2</v>
      </c>
      <c r="L78" s="23">
        <f t="shared" si="29"/>
        <v>5.8959147086265332E-2</v>
      </c>
      <c r="M78" s="23">
        <f t="shared" si="29"/>
        <v>5.8717795248976266E-2</v>
      </c>
      <c r="N78" s="23">
        <f t="shared" si="29"/>
        <v>6.0667263144459228E-2</v>
      </c>
      <c r="O78" s="23">
        <f t="shared" si="29"/>
        <v>6.1604721360131266E-2</v>
      </c>
      <c r="P78" s="23">
        <f t="shared" si="29"/>
        <v>6.2222008968224087E-2</v>
      </c>
      <c r="Q78" s="23">
        <f t="shared" si="29"/>
        <v>6.2237164868221707E-2</v>
      </c>
      <c r="R78" s="23">
        <f t="shared" si="29"/>
        <v>6.2263754950756513E-2</v>
      </c>
      <c r="S78" s="23">
        <f t="shared" si="29"/>
        <v>6.2460889808872912E-2</v>
      </c>
      <c r="T78" s="23">
        <f t="shared" si="29"/>
        <v>6.1575627036271841E-2</v>
      </c>
      <c r="U78" s="23">
        <f t="shared" si="29"/>
        <v>6.0378116549031337E-2</v>
      </c>
      <c r="V78" s="23">
        <f t="shared" si="29"/>
        <v>6.1802298129362707E-2</v>
      </c>
      <c r="W78" s="23">
        <f t="shared" si="29"/>
        <v>6.1463664775011619E-2</v>
      </c>
      <c r="X78" s="23">
        <f t="shared" si="29"/>
        <v>6.2080267159429804E-2</v>
      </c>
      <c r="Y78" s="23">
        <f t="shared" si="29"/>
        <v>6.1746644938637574E-2</v>
      </c>
      <c r="Z78" s="23">
        <f t="shared" si="29"/>
        <v>6.1543180178698809E-2</v>
      </c>
      <c r="AA78" s="23">
        <f t="shared" si="29"/>
        <v>6.1567877935919821E-2</v>
      </c>
      <c r="AB78" s="23">
        <f t="shared" si="29"/>
        <v>6.1828066747641776E-2</v>
      </c>
      <c r="AC78" s="23">
        <f t="shared" si="29"/>
        <v>6.2169042356362669E-2</v>
      </c>
      <c r="AD78" s="23">
        <f t="shared" si="29"/>
        <v>6.2284369464179E-2</v>
      </c>
      <c r="AE78" s="23">
        <f t="shared" si="29"/>
        <v>6.1847900499461005E-2</v>
      </c>
      <c r="AF78" s="23">
        <f t="shared" si="29"/>
        <v>5.7258309763357683E-2</v>
      </c>
      <c r="AG78" s="23">
        <f t="shared" si="29"/>
        <v>5.938941915281757E-2</v>
      </c>
      <c r="AH78" s="23">
        <f t="shared" si="29"/>
        <v>6.0821593850954689E-2</v>
      </c>
      <c r="AI78" s="23">
        <f t="shared" si="29"/>
        <v>0.77129868124631584</v>
      </c>
      <c r="AJ78" s="23">
        <f t="shared" si="29"/>
        <v>0.16982868503925208</v>
      </c>
      <c r="AK78" s="23">
        <f t="shared" si="29"/>
        <v>9.8359551568322351E-2</v>
      </c>
      <c r="AL78" s="23">
        <f t="shared" si="29"/>
        <v>7.7535955701672724E-2</v>
      </c>
      <c r="AM78" s="23">
        <f t="shared" si="29"/>
        <v>6.9099512861588233E-2</v>
      </c>
      <c r="AN78" s="23">
        <f t="shared" si="29"/>
        <v>6.5146779867360699E-2</v>
      </c>
      <c r="AO78" s="23">
        <f t="shared" si="29"/>
        <v>6.3151313244597843E-2</v>
      </c>
      <c r="AP78" s="23">
        <f t="shared" si="29"/>
        <v>6.2096986912065145E-2</v>
      </c>
      <c r="AQ78" s="23">
        <f t="shared" si="29"/>
        <v>6.1519703270735013E-2</v>
      </c>
      <c r="AR78" s="23">
        <f t="shared" si="29"/>
        <v>6.1191918330678295E-2</v>
      </c>
      <c r="AS78" s="23">
        <f t="shared" si="29"/>
        <v>6.0997550707778202E-2</v>
      </c>
      <c r="AT78" s="23">
        <f t="shared" si="29"/>
        <v>6.0876012123045255E-2</v>
      </c>
      <c r="AU78" s="23">
        <f t="shared" si="29"/>
        <v>6.0795220412764341E-2</v>
      </c>
      <c r="AV78" s="23">
        <f t="shared" si="29"/>
        <v>6.0737999758313697E-2</v>
      </c>
      <c r="AW78" s="23">
        <f t="shared" si="29"/>
        <v>6.0695051840373326E-2</v>
      </c>
      <c r="AX78" s="23">
        <f t="shared" si="29"/>
        <v>6.0661270679774691E-2</v>
      </c>
      <c r="AY78" s="23">
        <f t="shared" si="29"/>
        <v>6.0633794525351239E-2</v>
      </c>
      <c r="AZ78" s="23">
        <f t="shared" si="29"/>
        <v>6.0610970774423442E-2</v>
      </c>
      <c r="BA78" s="23">
        <f t="shared" si="29"/>
        <v>6.0591804025738286E-2</v>
      </c>
      <c r="BB78" s="23">
        <f t="shared" si="29"/>
        <v>6.0575660798625953E-2</v>
      </c>
      <c r="BC78" s="23">
        <f t="shared" si="29"/>
        <v>6.0562110958175208E-2</v>
      </c>
      <c r="BD78" s="23">
        <f t="shared" si="29"/>
        <v>6.0550842096672795E-2</v>
      </c>
      <c r="BE78" s="23">
        <f t="shared" si="29"/>
        <v>6.0541612924573752E-2</v>
      </c>
      <c r="BF78" s="23">
        <f t="shared" si="29"/>
        <v>6.0523983667868285E-2</v>
      </c>
      <c r="BG78" s="23">
        <f t="shared" si="29"/>
        <v>6.0508225537931691E-2</v>
      </c>
      <c r="BH78" s="23">
        <f t="shared" si="29"/>
        <v>6.0496852739653405E-2</v>
      </c>
      <c r="BI78" s="23">
        <f t="shared" si="29"/>
        <v>6.0489730427630249E-2</v>
      </c>
    </row>
    <row r="79" spans="1:237" s="37" customFormat="1" ht="18" customHeight="1" x14ac:dyDescent="0.2">
      <c r="A79" s="35" t="s">
        <v>70</v>
      </c>
      <c r="B79" s="144">
        <f>+C134</f>
        <v>-5.7918910501674192E-3</v>
      </c>
      <c r="C79" s="143">
        <f t="shared" ref="C79:BI79" si="30">+D134</f>
        <v>9.5863814567300754E-3</v>
      </c>
      <c r="D79" s="23">
        <f t="shared" si="30"/>
        <v>1.3391624491595699E-2</v>
      </c>
      <c r="E79" s="23">
        <f t="shared" si="30"/>
        <v>1.7257313695164145E-2</v>
      </c>
      <c r="F79" s="23">
        <f t="shared" si="30"/>
        <v>2.2982094359584426E-2</v>
      </c>
      <c r="G79" s="23">
        <f t="shared" si="30"/>
        <v>2.4222437105229977E-2</v>
      </c>
      <c r="H79" s="23">
        <f t="shared" si="30"/>
        <v>1.9107904441239887E-2</v>
      </c>
      <c r="I79" s="23">
        <f t="shared" si="30"/>
        <v>5.8629727446797286E-3</v>
      </c>
      <c r="J79" s="23">
        <f t="shared" si="30"/>
        <v>1.9592918012628635E-2</v>
      </c>
      <c r="K79" s="23">
        <f t="shared" si="30"/>
        <v>2.308891526664314E-2</v>
      </c>
      <c r="L79" s="23">
        <f t="shared" si="30"/>
        <v>2.2911385035438991E-2</v>
      </c>
      <c r="M79" s="23">
        <f t="shared" si="30"/>
        <v>2.4381142539348311E-2</v>
      </c>
      <c r="N79" s="23">
        <f t="shared" si="30"/>
        <v>2.5064046710012056E-2</v>
      </c>
      <c r="O79" s="23">
        <f t="shared" si="30"/>
        <v>2.5867618918744117E-2</v>
      </c>
      <c r="P79" s="23">
        <f t="shared" si="30"/>
        <v>2.5267314982959421E-2</v>
      </c>
      <c r="Q79" s="23">
        <f t="shared" si="30"/>
        <v>2.5369556900053825E-2</v>
      </c>
      <c r="R79" s="23">
        <f t="shared" si="30"/>
        <v>2.5803514685152518E-2</v>
      </c>
      <c r="S79" s="23">
        <f t="shared" si="30"/>
        <v>2.3534430844311283E-2</v>
      </c>
      <c r="T79" s="23">
        <f t="shared" si="30"/>
        <v>2.1128616540859291E-2</v>
      </c>
      <c r="U79" s="23">
        <f t="shared" si="30"/>
        <v>2.4503227284026652E-2</v>
      </c>
      <c r="V79" s="23">
        <f t="shared" si="30"/>
        <v>2.1386787350628156E-2</v>
      </c>
      <c r="W79" s="23">
        <f t="shared" si="30"/>
        <v>2.3129992000094912E-2</v>
      </c>
      <c r="X79" s="23">
        <f t="shared" si="30"/>
        <v>2.1772765112223258E-2</v>
      </c>
      <c r="Y79" s="23">
        <f t="shared" si="30"/>
        <v>2.1489291923288079E-2</v>
      </c>
      <c r="Z79" s="23">
        <f t="shared" si="30"/>
        <v>2.1586016607658021E-2</v>
      </c>
      <c r="AA79" s="23">
        <f t="shared" si="30"/>
        <v>2.1570404712603519E-2</v>
      </c>
      <c r="AB79" s="23">
        <f t="shared" si="30"/>
        <v>2.2529905996228283E-2</v>
      </c>
      <c r="AC79" s="23">
        <f t="shared" si="30"/>
        <v>2.2577003315793265E-2</v>
      </c>
      <c r="AD79" s="23">
        <f t="shared" si="30"/>
        <v>2.127261644805345E-2</v>
      </c>
      <c r="AE79" s="23">
        <f t="shared" si="30"/>
        <v>1.0266812912933521E-2</v>
      </c>
      <c r="AF79" s="23">
        <f t="shared" si="30"/>
        <v>2.037063848152143E-2</v>
      </c>
      <c r="AG79" s="23">
        <f t="shared" si="30"/>
        <v>2.2002419067957968E-2</v>
      </c>
      <c r="AH79" s="23">
        <f t="shared" si="30"/>
        <v>0.49379174639575396</v>
      </c>
      <c r="AI79" s="23">
        <f t="shared" si="30"/>
        <v>0.12679838360709694</v>
      </c>
      <c r="AJ79" s="23">
        <f t="shared" si="30"/>
        <v>5.7982765469869024E-2</v>
      </c>
      <c r="AK79" s="23">
        <f t="shared" si="30"/>
        <v>3.7149076007448878E-2</v>
      </c>
      <c r="AL79" s="23">
        <f t="shared" si="30"/>
        <v>2.8889775977900101E-2</v>
      </c>
      <c r="AM79" s="23">
        <f t="shared" si="30"/>
        <v>2.5058558612762738E-2</v>
      </c>
      <c r="AN79" s="23">
        <f t="shared" si="30"/>
        <v>2.3119465396394201E-2</v>
      </c>
      <c r="AO79" s="23">
        <f t="shared" si="30"/>
        <v>2.2080264315202713E-2</v>
      </c>
      <c r="AP79" s="23">
        <f t="shared" si="30"/>
        <v>2.1495648628493402E-2</v>
      </c>
      <c r="AQ79" s="23">
        <f t="shared" si="30"/>
        <v>2.1149367236249939E-2</v>
      </c>
      <c r="AR79" s="23">
        <f t="shared" si="30"/>
        <v>2.0931567389950168E-2</v>
      </c>
      <c r="AS79" s="23">
        <f t="shared" si="30"/>
        <v>2.0784942820023744E-2</v>
      </c>
      <c r="AT79" s="23">
        <f t="shared" si="30"/>
        <v>2.0679070239347341E-2</v>
      </c>
      <c r="AU79" s="23">
        <f t="shared" si="30"/>
        <v>2.0597562497663757E-2</v>
      </c>
      <c r="AV79" s="23">
        <f t="shared" si="30"/>
        <v>2.0531452109651793E-2</v>
      </c>
      <c r="AW79" s="23">
        <f t="shared" si="30"/>
        <v>2.0475727855769454E-2</v>
      </c>
      <c r="AX79" s="23">
        <f t="shared" si="30"/>
        <v>2.0427504655837536E-2</v>
      </c>
      <c r="AY79" s="23">
        <f t="shared" si="30"/>
        <v>2.0385050723545461E-2</v>
      </c>
      <c r="AZ79" s="23">
        <f t="shared" si="30"/>
        <v>2.0347268109325523E-2</v>
      </c>
      <c r="BA79" s="23">
        <f t="shared" si="30"/>
        <v>2.0313414110081585E-2</v>
      </c>
      <c r="BB79" s="23">
        <f t="shared" si="30"/>
        <v>2.0282951025695439E-2</v>
      </c>
      <c r="BC79" s="23">
        <f t="shared" si="30"/>
        <v>2.0255464472109352E-2</v>
      </c>
      <c r="BD79" s="23">
        <f t="shared" si="30"/>
        <v>2.0286414137353326E-2</v>
      </c>
      <c r="BE79" s="23">
        <f t="shared" si="30"/>
        <v>2.0244105977578863E-2</v>
      </c>
      <c r="BF79" s="23">
        <f t="shared" si="30"/>
        <v>2.0208564548611418E-2</v>
      </c>
      <c r="BG79" s="23">
        <f t="shared" si="30"/>
        <v>2.017984300687492E-2</v>
      </c>
      <c r="BH79" s="23">
        <f t="shared" si="30"/>
        <v>1.4999999999999902E-2</v>
      </c>
      <c r="BI79" s="23">
        <f t="shared" si="30"/>
        <v>0</v>
      </c>
    </row>
    <row r="80" spans="1:237" ht="18" customHeight="1" x14ac:dyDescent="0.2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 x14ac:dyDescent="0.2">
      <c r="A81" s="498" t="s">
        <v>40</v>
      </c>
      <c r="B81" s="56">
        <f>+Global!B70</f>
        <v>0.72</v>
      </c>
      <c r="C81" s="55">
        <f>+Global!C70</f>
        <v>0.67</v>
      </c>
      <c r="D81" s="55">
        <f>+Global!D70</f>
        <v>0.49</v>
      </c>
      <c r="E81" s="55">
        <f>+Global!E70</f>
        <v>0.5</v>
      </c>
      <c r="F81" s="55">
        <f>+Global!F70</f>
        <v>0.57999999999999996</v>
      </c>
      <c r="G81" s="55">
        <f>+Global!G70</f>
        <v>0.71</v>
      </c>
      <c r="H81" s="55">
        <f>+Global!H70</f>
        <v>0.6</v>
      </c>
      <c r="I81" s="55">
        <f>+Global!I70</f>
        <v>0.73</v>
      </c>
      <c r="J81" s="55">
        <f>+Global!J70</f>
        <v>0.87</v>
      </c>
      <c r="K81" s="55">
        <f>+Global!K70</f>
        <v>0.65</v>
      </c>
      <c r="L81" s="55">
        <f>+Global!L70</f>
        <v>0.66</v>
      </c>
      <c r="M81" s="55">
        <f>+Global!M70</f>
        <v>0.8</v>
      </c>
      <c r="N81" s="55">
        <f>+Global!N70</f>
        <v>0.9</v>
      </c>
      <c r="O81" s="55">
        <f>+Global!O70</f>
        <v>0.89</v>
      </c>
      <c r="P81" s="55">
        <f>+Global!P70</f>
        <v>0.8</v>
      </c>
      <c r="Q81" s="55">
        <f>+Global!Q70</f>
        <v>0.94</v>
      </c>
      <c r="R81" s="55">
        <f>+Global!R70</f>
        <v>0.91</v>
      </c>
      <c r="S81" s="55">
        <f>+Global!S70</f>
        <v>0.93</v>
      </c>
      <c r="T81" s="55">
        <f>+Global!T70</f>
        <v>0.81</v>
      </c>
      <c r="U81" s="55">
        <f>+Global!U70</f>
        <v>0.92</v>
      </c>
      <c r="V81" s="55">
        <f>+Global!V70</f>
        <v>0.99</v>
      </c>
      <c r="W81" s="55">
        <f>+Global!W70</f>
        <v>0.88</v>
      </c>
      <c r="X81" s="55">
        <f>+Global!X70</f>
        <v>0.92</v>
      </c>
      <c r="Y81" s="55">
        <f>+Global!Y70</f>
        <v>0.95</v>
      </c>
      <c r="Z81" s="55">
        <f>+Global!Z70</f>
        <v>1.01</v>
      </c>
      <c r="AA81" s="55">
        <f>+Global!AA70</f>
        <v>1.17</v>
      </c>
      <c r="AB81" s="55">
        <f>+Global!AB70</f>
        <v>1.28</v>
      </c>
      <c r="AC81" s="55">
        <f>+Global!AC70</f>
        <v>1.19</v>
      </c>
      <c r="AD81" s="55">
        <f>+Global!AD70</f>
        <v>1.1200000000000001</v>
      </c>
      <c r="AE81" s="55">
        <f>+Global!AE70</f>
        <v>1.25</v>
      </c>
      <c r="AF81" s="55">
        <f>+Global!AF70</f>
        <v>1.28</v>
      </c>
      <c r="AG81" s="55">
        <f>+Global!AG70</f>
        <v>1.1200000000000001</v>
      </c>
      <c r="AH81" s="55">
        <f>+Global!AH70</f>
        <v>1.1599999999999999</v>
      </c>
      <c r="AI81" s="55">
        <f>+Global!AI70</f>
        <v>1.44</v>
      </c>
      <c r="AJ81" s="55">
        <f>+Global!AJ70</f>
        <v>0</v>
      </c>
      <c r="AK81" s="55">
        <f>+Global!AK70</f>
        <v>0</v>
      </c>
      <c r="AL81" s="55">
        <f>+Global!AL70</f>
        <v>0</v>
      </c>
      <c r="AM81" s="55">
        <f>+Global!AM70</f>
        <v>0</v>
      </c>
      <c r="AN81" s="55">
        <f>+Global!AN70</f>
        <v>0</v>
      </c>
      <c r="AO81" s="55">
        <f>+Global!AO70</f>
        <v>0</v>
      </c>
      <c r="AP81" s="55">
        <f>+Global!AP70</f>
        <v>0</v>
      </c>
      <c r="AQ81" s="55">
        <f>+Global!AQ70</f>
        <v>0</v>
      </c>
      <c r="AR81" s="55">
        <f>+Global!AR70</f>
        <v>0</v>
      </c>
      <c r="AS81" s="55">
        <f>+Global!AS70</f>
        <v>0</v>
      </c>
      <c r="AT81" s="55">
        <f>+Global!AT70</f>
        <v>0</v>
      </c>
      <c r="AU81" s="55">
        <f>+Global!AU70</f>
        <v>0</v>
      </c>
      <c r="AV81" s="55">
        <f>+Global!AV70</f>
        <v>0</v>
      </c>
      <c r="AW81" s="55">
        <f>+Global!AW70</f>
        <v>0</v>
      </c>
      <c r="AX81" s="55">
        <f>+Global!AX70</f>
        <v>0</v>
      </c>
      <c r="AY81" s="55">
        <f>+Global!AY70</f>
        <v>0</v>
      </c>
      <c r="AZ81" s="55">
        <f>+Global!AZ70</f>
        <v>0</v>
      </c>
      <c r="BA81" s="55">
        <f>+Global!BA70</f>
        <v>0</v>
      </c>
      <c r="BB81" s="55">
        <f>+Global!BB70</f>
        <v>0</v>
      </c>
      <c r="BC81" s="55">
        <f>+Global!BC70</f>
        <v>0</v>
      </c>
      <c r="BD81" s="55">
        <f>+Global!BD70</f>
        <v>0</v>
      </c>
      <c r="BE81" s="55">
        <f>+Global!BE70</f>
        <v>0</v>
      </c>
      <c r="BF81" s="55">
        <f>+Global!BF70</f>
        <v>0</v>
      </c>
      <c r="BG81" s="55">
        <f>+Global!BG70</f>
        <v>0</v>
      </c>
      <c r="BH81" s="55">
        <f>+Global!BH70</f>
        <v>0</v>
      </c>
      <c r="BI81" s="55">
        <f>+Global!BI70</f>
        <v>0</v>
      </c>
      <c r="BJ81" s="55">
        <f>+Global!BJ70</f>
        <v>0</v>
      </c>
      <c r="BK81" s="55">
        <f>+Global!BK70</f>
        <v>0</v>
      </c>
      <c r="BL81" s="55">
        <f>+Global!BL70</f>
        <v>0</v>
      </c>
      <c r="BM81" s="55">
        <f>+Global!BM70</f>
        <v>0</v>
      </c>
      <c r="BN81" s="55">
        <f>+Global!BN70</f>
        <v>0</v>
      </c>
      <c r="BO81" s="55">
        <f>+Global!BO70</f>
        <v>0</v>
      </c>
      <c r="BP81" s="55">
        <f>+Global!BP70</f>
        <v>0</v>
      </c>
      <c r="BQ81" s="55">
        <f>+Global!BQ70</f>
        <v>0</v>
      </c>
      <c r="BR81" s="55">
        <f>+Global!BR70</f>
        <v>0</v>
      </c>
      <c r="BS81" s="55">
        <f>+Global!BS70</f>
        <v>0</v>
      </c>
      <c r="BT81" s="55">
        <f>+Global!BT70</f>
        <v>0</v>
      </c>
      <c r="BU81" s="55">
        <f>+Global!BU70</f>
        <v>0</v>
      </c>
      <c r="BV81" s="55">
        <f>+Global!BV70</f>
        <v>0</v>
      </c>
      <c r="BW81" s="55">
        <f>+Global!BW70</f>
        <v>0</v>
      </c>
      <c r="BX81" s="55">
        <f>+Global!BX70</f>
        <v>0</v>
      </c>
      <c r="BY81" s="55">
        <f>+Global!BY70</f>
        <v>0</v>
      </c>
      <c r="BZ81" s="55">
        <f>+Global!BZ70</f>
        <v>0</v>
      </c>
      <c r="CA81" s="55">
        <f>+Global!CA70</f>
        <v>0</v>
      </c>
      <c r="CB81" s="55">
        <f>+Global!CB70</f>
        <v>0</v>
      </c>
      <c r="CC81" s="55">
        <f>+Global!CC70</f>
        <v>0</v>
      </c>
      <c r="CD81" s="55">
        <f>+Global!CD70</f>
        <v>0</v>
      </c>
      <c r="CE81" s="55">
        <f>+Global!CE70</f>
        <v>0</v>
      </c>
      <c r="CF81" s="55">
        <f>+Global!CF70</f>
        <v>0</v>
      </c>
      <c r="CG81" s="55">
        <f>+Global!CG70</f>
        <v>0</v>
      </c>
      <c r="CH81" s="55">
        <f>+Global!CH70</f>
        <v>0</v>
      </c>
      <c r="CI81" s="55">
        <f>+Global!CI70</f>
        <v>0</v>
      </c>
      <c r="CJ81" s="55">
        <f>+Global!CJ70</f>
        <v>0</v>
      </c>
      <c r="CK81" s="55">
        <f>+Global!CK70</f>
        <v>0</v>
      </c>
      <c r="CL81" s="55">
        <f>+Global!CL70</f>
        <v>0</v>
      </c>
      <c r="CM81" s="55">
        <f>+Global!CM70</f>
        <v>0</v>
      </c>
      <c r="CN81" s="55">
        <f>+Global!CN70</f>
        <v>0</v>
      </c>
      <c r="CO81" s="55">
        <f>+Global!CO70</f>
        <v>0</v>
      </c>
      <c r="CP81" s="55">
        <f>+Global!CP70</f>
        <v>0</v>
      </c>
      <c r="CQ81" s="55">
        <f>+Global!CQ70</f>
        <v>0</v>
      </c>
      <c r="CR81" s="55">
        <f>+Global!CR70</f>
        <v>0</v>
      </c>
      <c r="CS81" s="55">
        <f>+Global!CS70</f>
        <v>0</v>
      </c>
      <c r="CT81" s="55">
        <f>+Global!CT70</f>
        <v>0</v>
      </c>
      <c r="CU81" s="55">
        <f>+Global!CU70</f>
        <v>0</v>
      </c>
      <c r="CV81" s="55">
        <f>+Global!CV70</f>
        <v>0</v>
      </c>
      <c r="CW81" s="55">
        <f>+Global!CW70</f>
        <v>0</v>
      </c>
      <c r="CX81" s="55">
        <f>+Global!CX70</f>
        <v>0</v>
      </c>
      <c r="CY81" s="55">
        <f>+Global!CY70</f>
        <v>0</v>
      </c>
    </row>
    <row r="83" spans="1:103" ht="18" customHeight="1" x14ac:dyDescent="0.2">
      <c r="A83" s="30" t="s">
        <v>117</v>
      </c>
    </row>
    <row r="84" spans="1:103" s="381" customFormat="1" ht="18" customHeight="1" x14ac:dyDescent="0.2">
      <c r="A84" s="410" t="s">
        <v>98</v>
      </c>
      <c r="B84" s="383">
        <f>B68-B73</f>
        <v>1.9171674741047351</v>
      </c>
      <c r="C84" s="381">
        <f t="shared" ref="C84:BH84" si="31">C68-C73</f>
        <v>1.9263528024798784</v>
      </c>
      <c r="D84" s="381">
        <f>D68-D73</f>
        <v>2.0886918536648045</v>
      </c>
      <c r="E84" s="381">
        <f>E68-E73</f>
        <v>2.2599275963670182</v>
      </c>
      <c r="F84" s="381">
        <f t="shared" si="31"/>
        <v>2.4462817114639437</v>
      </c>
      <c r="G84" s="381">
        <f t="shared" si="31"/>
        <v>2.6475784853810245</v>
      </c>
      <c r="H84" s="381">
        <f t="shared" si="31"/>
        <v>2.8332202495691043</v>
      </c>
      <c r="I84" s="381">
        <f t="shared" si="31"/>
        <v>2.9323629828408566</v>
      </c>
      <c r="J84" s="381">
        <f>J68-J73</f>
        <v>2.7815025483120461</v>
      </c>
      <c r="K84" s="381">
        <f t="shared" si="31"/>
        <v>2.8879818168067719</v>
      </c>
      <c r="L84" s="381">
        <f>L68-L73</f>
        <v>3.0405250459536468</v>
      </c>
      <c r="M84" s="381">
        <f t="shared" si="31"/>
        <v>3.1690489506546959</v>
      </c>
      <c r="N84" s="381">
        <f t="shared" si="31"/>
        <v>3.3347739089154236</v>
      </c>
      <c r="O84" s="381">
        <f t="shared" si="31"/>
        <v>3.5247908306862623</v>
      </c>
      <c r="P84" s="381">
        <f t="shared" si="31"/>
        <v>3.7451490642379266</v>
      </c>
      <c r="Q84" s="381">
        <f t="shared" si="31"/>
        <v>3.963785441234009</v>
      </c>
      <c r="R84" s="381">
        <f t="shared" si="31"/>
        <v>4.1979753023210344</v>
      </c>
      <c r="S84" s="381">
        <f t="shared" si="31"/>
        <v>4.4585609798059718</v>
      </c>
      <c r="T84" s="381">
        <f t="shared" si="31"/>
        <v>4.6659280178675013</v>
      </c>
      <c r="U84" s="381">
        <f t="shared" si="31"/>
        <v>4.806931824822021</v>
      </c>
      <c r="V84" s="381">
        <f t="shared" si="31"/>
        <v>5.1011495147592374</v>
      </c>
      <c r="W84" s="381">
        <f t="shared" si="31"/>
        <v>5.345214189335092</v>
      </c>
      <c r="X84" s="381">
        <f t="shared" si="31"/>
        <v>5.6649929508827546</v>
      </c>
      <c r="Y84" s="381">
        <f t="shared" si="31"/>
        <v>5.9510054389473996</v>
      </c>
      <c r="Z84" s="381">
        <f t="shared" si="31"/>
        <v>6.2399047326547201</v>
      </c>
      <c r="AA84" s="381">
        <f t="shared" si="31"/>
        <v>6.5469603903564639</v>
      </c>
      <c r="AB84" s="381">
        <f t="shared" si="31"/>
        <v>6.8684259652049473</v>
      </c>
      <c r="AC84" s="381">
        <f t="shared" si="31"/>
        <v>7.2509153589438906</v>
      </c>
      <c r="AD84" s="381">
        <f t="shared" si="31"/>
        <v>7.6570556403603547</v>
      </c>
      <c r="AE84" s="381">
        <f t="shared" si="31"/>
        <v>8.0174305665267731</v>
      </c>
      <c r="AF84" s="381">
        <f t="shared" si="31"/>
        <v>7.7905847474631198</v>
      </c>
      <c r="AG84" s="381">
        <f t="shared" si="31"/>
        <v>8.069552700683964</v>
      </c>
      <c r="AH84" s="381">
        <f t="shared" si="31"/>
        <v>8.4480278915481684</v>
      </c>
      <c r="AI84" s="381">
        <f t="shared" si="31"/>
        <v>111.06624626151375</v>
      </c>
      <c r="AJ84" s="381">
        <f t="shared" si="31"/>
        <v>222.90334268782141</v>
      </c>
      <c r="AK84" s="381">
        <f t="shared" si="31"/>
        <v>293.90045175458363</v>
      </c>
      <c r="AL84" s="381">
        <f t="shared" si="31"/>
        <v>339.39168950602834</v>
      </c>
      <c r="AM84" s="381">
        <f t="shared" si="31"/>
        <v>371.58080108199459</v>
      </c>
      <c r="AN84" s="381">
        <f t="shared" si="31"/>
        <v>396.8296910503135</v>
      </c>
      <c r="AO84" s="381">
        <f t="shared" si="31"/>
        <v>418.47822033072686</v>
      </c>
      <c r="AP84" s="381">
        <f t="shared" si="31"/>
        <v>438.32804787620034</v>
      </c>
      <c r="AQ84" s="381">
        <f t="shared" si="31"/>
        <v>457.37152138606427</v>
      </c>
      <c r="AR84" s="381">
        <f t="shared" si="31"/>
        <v>476.16483734704468</v>
      </c>
      <c r="AS84" s="381">
        <f t="shared" si="31"/>
        <v>495.02590125133497</v>
      </c>
      <c r="AT84" s="381">
        <f t="shared" si="31"/>
        <v>514.14151977011682</v>
      </c>
      <c r="AU84" s="381">
        <f t="shared" si="31"/>
        <v>533.62617517981357</v>
      </c>
      <c r="AV84" s="381">
        <f t="shared" si="31"/>
        <v>553.55446016238375</v>
      </c>
      <c r="AW84" s="381">
        <f t="shared" si="31"/>
        <v>573.97903825726257</v>
      </c>
      <c r="AX84" s="381">
        <f t="shared" si="31"/>
        <v>594.94060863297466</v>
      </c>
      <c r="AY84" s="381">
        <f t="shared" si="31"/>
        <v>616.47344293236688</v>
      </c>
      <c r="AZ84" s="381">
        <f t="shared" si="31"/>
        <v>638.60846751778456</v>
      </c>
      <c r="BA84" s="381">
        <f t="shared" si="31"/>
        <v>661.37498483545028</v>
      </c>
      <c r="BB84" s="381">
        <f t="shared" si="31"/>
        <v>684.80164060300297</v>
      </c>
      <c r="BC84" s="381">
        <f t="shared" si="31"/>
        <v>708.91697342102475</v>
      </c>
      <c r="BD84" s="381">
        <f t="shared" si="31"/>
        <v>733.74973351011977</v>
      </c>
      <c r="BE84" s="381">
        <f t="shared" si="31"/>
        <v>759.60596497056235</v>
      </c>
      <c r="BF84" s="381">
        <f t="shared" si="31"/>
        <v>786.15596648896997</v>
      </c>
      <c r="BG84" s="381">
        <f t="shared" si="31"/>
        <v>813.44501174161019</v>
      </c>
      <c r="BH84" s="381">
        <f t="shared" si="31"/>
        <v>841.52335669498791</v>
      </c>
      <c r="BI84" s="381">
        <f>+BH84</f>
        <v>841.52335669498791</v>
      </c>
    </row>
    <row r="85" spans="1:103" s="381" customFormat="1" ht="18" customHeight="1" x14ac:dyDescent="0.2">
      <c r="A85" s="411" t="s">
        <v>970</v>
      </c>
      <c r="B85" s="383">
        <f>+C85/C84*B84</f>
        <v>0.31900996786286173</v>
      </c>
      <c r="C85" s="383">
        <f>+(C74-B74)/10</f>
        <v>0.32053837440498328</v>
      </c>
      <c r="D85" s="383">
        <f t="shared" ref="D85:BI85" si="32">+(D74-C74)/10</f>
        <v>0.24797490014795853</v>
      </c>
      <c r="E85" s="383">
        <f t="shared" si="32"/>
        <v>9.8500762244789541E-2</v>
      </c>
      <c r="F85" s="383">
        <f t="shared" si="32"/>
        <v>4.8449408282771597E-2</v>
      </c>
      <c r="G85" s="383">
        <f t="shared" si="32"/>
        <v>2.464712189037712E-2</v>
      </c>
      <c r="H85" s="383">
        <f t="shared" si="32"/>
        <v>4.124326117336885E-2</v>
      </c>
      <c r="I85" s="383">
        <f t="shared" si="32"/>
        <v>6.3638262618374949E-2</v>
      </c>
      <c r="J85" s="383">
        <f t="shared" si="32"/>
        <v>4.6723569515508954E-2</v>
      </c>
      <c r="K85" s="383">
        <f t="shared" si="32"/>
        <v>-3.2002683085258533E-2</v>
      </c>
      <c r="L85" s="383">
        <f t="shared" si="32"/>
        <v>8.9142340346160861E-3</v>
      </c>
      <c r="M85" s="383">
        <f t="shared" si="32"/>
        <v>5.1761229691286915E-2</v>
      </c>
      <c r="N85" s="383">
        <f t="shared" si="32"/>
        <v>2.5900517317151817E-2</v>
      </c>
      <c r="O85" s="383">
        <f t="shared" si="32"/>
        <v>5.6790047924885553E-2</v>
      </c>
      <c r="P85" s="383">
        <f t="shared" si="32"/>
        <v>7.4561089305587386E-2</v>
      </c>
      <c r="Q85" s="383">
        <f t="shared" si="32"/>
        <v>8.9501314939833598E-2</v>
      </c>
      <c r="R85" s="383">
        <f t="shared" si="32"/>
        <v>9.4214439925621465E-2</v>
      </c>
      <c r="S85" s="383">
        <f t="shared" si="32"/>
        <v>0.10034005285080916</v>
      </c>
      <c r="T85" s="383">
        <f t="shared" si="32"/>
        <v>0.11008274442990426</v>
      </c>
      <c r="U85" s="383">
        <f t="shared" si="32"/>
        <v>9.8143110092505731E-2</v>
      </c>
      <c r="V85" s="383">
        <f t="shared" si="32"/>
        <v>7.4855269873968663E-2</v>
      </c>
      <c r="W85" s="383">
        <f t="shared" si="32"/>
        <v>0.11088892030240345</v>
      </c>
      <c r="X85" s="383">
        <f t="shared" si="32"/>
        <v>0.10899983686002912</v>
      </c>
      <c r="Y85" s="383">
        <f t="shared" si="32"/>
        <v>0.13016065791880535</v>
      </c>
      <c r="Z85" s="383">
        <f t="shared" si="32"/>
        <v>0.12780811801900144</v>
      </c>
      <c r="AA85" s="383">
        <f t="shared" si="32"/>
        <v>0.1278197660438721</v>
      </c>
      <c r="AB85" s="383">
        <f t="shared" si="32"/>
        <v>0.13305618074601569</v>
      </c>
      <c r="AC85" s="383">
        <f t="shared" si="32"/>
        <v>0.13903469709646288</v>
      </c>
      <c r="AD85" s="383">
        <f t="shared" si="32"/>
        <v>0.15870529679787887</v>
      </c>
      <c r="AE85" s="383">
        <f t="shared" si="32"/>
        <v>0.17237979177010879</v>
      </c>
      <c r="AF85" s="383">
        <f t="shared" si="32"/>
        <v>0.16395900141366865</v>
      </c>
      <c r="AG85" s="383">
        <f t="shared" si="32"/>
        <v>-8.2041128598419281E-3</v>
      </c>
      <c r="AH85" s="383">
        <f t="shared" si="32"/>
        <v>7.7533191231506746E-2</v>
      </c>
      <c r="AI85" s="383">
        <f t="shared" si="32"/>
        <v>0.1361042231191476</v>
      </c>
      <c r="AJ85" s="383">
        <f t="shared" si="32"/>
        <v>29.620270435874801</v>
      </c>
      <c r="AK85" s="383">
        <f t="shared" si="32"/>
        <v>42.55748635777455</v>
      </c>
      <c r="AL85" s="383">
        <f t="shared" si="32"/>
        <v>35.299029401522702</v>
      </c>
      <c r="AM85" s="383">
        <f t="shared" si="32"/>
        <v>25.417806470760958</v>
      </c>
      <c r="AN85" s="383">
        <f t="shared" si="32"/>
        <v>18.138992026399251</v>
      </c>
      <c r="AO85" s="383">
        <f t="shared" si="32"/>
        <v>13.600973301495856</v>
      </c>
      <c r="AP85" s="383">
        <f t="shared" si="32"/>
        <v>10.981101695155667</v>
      </c>
      <c r="AQ85" s="383">
        <f t="shared" si="32"/>
        <v>9.5492539019019436</v>
      </c>
      <c r="AR85" s="383">
        <f t="shared" si="32"/>
        <v>8.8176220176859488</v>
      </c>
      <c r="AS85" s="383">
        <f t="shared" si="32"/>
        <v>8.4904266303930847</v>
      </c>
      <c r="AT85" s="383">
        <f t="shared" si="32"/>
        <v>8.3958644506384648</v>
      </c>
      <c r="AU85" s="383">
        <f t="shared" si="32"/>
        <v>8.4362509395217327</v>
      </c>
      <c r="AV85" s="383">
        <f t="shared" si="32"/>
        <v>8.5566829519387735</v>
      </c>
      <c r="AW85" s="383">
        <f t="shared" si="32"/>
        <v>8.7265214466375252</v>
      </c>
      <c r="AX85" s="383">
        <f t="shared" si="32"/>
        <v>8.9287636470347937</v>
      </c>
      <c r="AY85" s="383">
        <f t="shared" si="32"/>
        <v>9.1540331246339512</v>
      </c>
      <c r="AZ85" s="383">
        <f t="shared" si="32"/>
        <v>9.3972082181049252</v>
      </c>
      <c r="BA85" s="383">
        <f t="shared" si="32"/>
        <v>9.6555390619909751</v>
      </c>
      <c r="BB85" s="383">
        <f t="shared" si="32"/>
        <v>9.9275988526673249</v>
      </c>
      <c r="BC85" s="383">
        <f t="shared" si="32"/>
        <v>10.212700836536214</v>
      </c>
      <c r="BD85" s="383">
        <f t="shared" si="32"/>
        <v>10.510574688122642</v>
      </c>
      <c r="BE85" s="383">
        <f t="shared" si="32"/>
        <v>10.821187136029129</v>
      </c>
      <c r="BF85" s="383">
        <f t="shared" si="32"/>
        <v>11.224437928403677</v>
      </c>
      <c r="BG85" s="383">
        <f t="shared" si="32"/>
        <v>11.564975439813315</v>
      </c>
      <c r="BH85" s="383">
        <f t="shared" si="32"/>
        <v>11.896693280709405</v>
      </c>
      <c r="BI85" s="383">
        <f t="shared" si="32"/>
        <v>12.239818801870479</v>
      </c>
    </row>
    <row r="86" spans="1:103" s="381" customFormat="1" ht="19.5" customHeight="1" x14ac:dyDescent="0.2">
      <c r="A86" s="411" t="s">
        <v>973</v>
      </c>
      <c r="B86" s="383">
        <f t="shared" ref="B86:AG86" si="33">+(1-$B$98)*(1-$B$99)*B46*B123*(B120-B124)/1000</f>
        <v>0</v>
      </c>
      <c r="C86" s="383">
        <f t="shared" si="33"/>
        <v>0</v>
      </c>
      <c r="D86" s="383">
        <f t="shared" si="33"/>
        <v>0</v>
      </c>
      <c r="E86" s="383">
        <f t="shared" si="33"/>
        <v>0</v>
      </c>
      <c r="F86" s="383">
        <f t="shared" si="33"/>
        <v>0</v>
      </c>
      <c r="G86" s="383">
        <f t="shared" si="33"/>
        <v>0</v>
      </c>
      <c r="H86" s="383">
        <f t="shared" si="33"/>
        <v>0</v>
      </c>
      <c r="I86" s="383">
        <f t="shared" si="33"/>
        <v>0</v>
      </c>
      <c r="J86" s="383">
        <f t="shared" si="33"/>
        <v>0</v>
      </c>
      <c r="K86" s="383">
        <f t="shared" si="33"/>
        <v>0</v>
      </c>
      <c r="L86" s="383">
        <f t="shared" si="33"/>
        <v>0</v>
      </c>
      <c r="M86" s="383">
        <f t="shared" si="33"/>
        <v>0</v>
      </c>
      <c r="N86" s="383">
        <f t="shared" si="33"/>
        <v>0</v>
      </c>
      <c r="O86" s="383">
        <f t="shared" si="33"/>
        <v>0</v>
      </c>
      <c r="P86" s="383">
        <f t="shared" si="33"/>
        <v>0</v>
      </c>
      <c r="Q86" s="383">
        <f t="shared" si="33"/>
        <v>0</v>
      </c>
      <c r="R86" s="383">
        <f t="shared" si="33"/>
        <v>0</v>
      </c>
      <c r="S86" s="383">
        <f t="shared" si="33"/>
        <v>0</v>
      </c>
      <c r="T86" s="383">
        <f t="shared" si="33"/>
        <v>0</v>
      </c>
      <c r="U86" s="383">
        <f t="shared" si="33"/>
        <v>0</v>
      </c>
      <c r="V86" s="383">
        <f t="shared" si="33"/>
        <v>0</v>
      </c>
      <c r="W86" s="383">
        <f t="shared" si="33"/>
        <v>0</v>
      </c>
      <c r="X86" s="383">
        <f t="shared" si="33"/>
        <v>0</v>
      </c>
      <c r="Y86" s="383">
        <f t="shared" si="33"/>
        <v>0</v>
      </c>
      <c r="Z86" s="383">
        <f t="shared" si="33"/>
        <v>0</v>
      </c>
      <c r="AA86" s="383">
        <f t="shared" si="33"/>
        <v>0</v>
      </c>
      <c r="AB86" s="383">
        <f t="shared" si="33"/>
        <v>0</v>
      </c>
      <c r="AC86" s="383">
        <f t="shared" si="33"/>
        <v>0</v>
      </c>
      <c r="AD86" s="383">
        <f t="shared" si="33"/>
        <v>0</v>
      </c>
      <c r="AE86" s="383">
        <f t="shared" si="33"/>
        <v>0</v>
      </c>
      <c r="AF86" s="383">
        <f t="shared" si="33"/>
        <v>0</v>
      </c>
      <c r="AG86" s="383">
        <f t="shared" si="33"/>
        <v>0</v>
      </c>
      <c r="AH86" s="383">
        <f t="shared" ref="AH86:BI86" si="34">+(1-$B$98)*(1-$B$99)*AH46*AH123*(AH120-AH124)/1000</f>
        <v>0</v>
      </c>
      <c r="AI86" s="383">
        <f t="shared" si="34"/>
        <v>0</v>
      </c>
      <c r="AJ86" s="383">
        <f t="shared" si="34"/>
        <v>0</v>
      </c>
      <c r="AK86" s="383">
        <f t="shared" si="34"/>
        <v>0</v>
      </c>
      <c r="AL86" s="383">
        <f t="shared" si="34"/>
        <v>0</v>
      </c>
      <c r="AM86" s="383">
        <f t="shared" si="34"/>
        <v>0</v>
      </c>
      <c r="AN86" s="383">
        <f t="shared" si="34"/>
        <v>0</v>
      </c>
      <c r="AO86" s="383">
        <f t="shared" si="34"/>
        <v>0</v>
      </c>
      <c r="AP86" s="383">
        <f t="shared" si="34"/>
        <v>0</v>
      </c>
      <c r="AQ86" s="383">
        <f t="shared" si="34"/>
        <v>0</v>
      </c>
      <c r="AR86" s="383">
        <f t="shared" si="34"/>
        <v>0</v>
      </c>
      <c r="AS86" s="383">
        <f t="shared" si="34"/>
        <v>0</v>
      </c>
      <c r="AT86" s="383">
        <f t="shared" si="34"/>
        <v>0</v>
      </c>
      <c r="AU86" s="383">
        <f t="shared" si="34"/>
        <v>0</v>
      </c>
      <c r="AV86" s="383">
        <f t="shared" si="34"/>
        <v>0</v>
      </c>
      <c r="AW86" s="383">
        <f t="shared" si="34"/>
        <v>0</v>
      </c>
      <c r="AX86" s="383">
        <f t="shared" si="34"/>
        <v>0</v>
      </c>
      <c r="AY86" s="383">
        <f t="shared" si="34"/>
        <v>0</v>
      </c>
      <c r="AZ86" s="383">
        <f t="shared" si="34"/>
        <v>0</v>
      </c>
      <c r="BA86" s="383">
        <f t="shared" si="34"/>
        <v>0</v>
      </c>
      <c r="BB86" s="383">
        <f t="shared" si="34"/>
        <v>0</v>
      </c>
      <c r="BC86" s="383">
        <f t="shared" si="34"/>
        <v>0</v>
      </c>
      <c r="BD86" s="383">
        <f t="shared" si="34"/>
        <v>0</v>
      </c>
      <c r="BE86" s="383">
        <f t="shared" si="34"/>
        <v>0</v>
      </c>
      <c r="BF86" s="383">
        <f t="shared" si="34"/>
        <v>0</v>
      </c>
      <c r="BG86" s="383">
        <f t="shared" si="34"/>
        <v>0</v>
      </c>
      <c r="BH86" s="383">
        <f t="shared" si="34"/>
        <v>0</v>
      </c>
      <c r="BI86" s="383">
        <f t="shared" si="34"/>
        <v>0</v>
      </c>
    </row>
    <row r="87" spans="1:103" s="381" customFormat="1" ht="18" customHeight="1" x14ac:dyDescent="0.2">
      <c r="A87" s="410" t="s">
        <v>972</v>
      </c>
      <c r="B87" s="383">
        <f>+SUM(B84:B86)</f>
        <v>2.2361774419675968</v>
      </c>
      <c r="C87" s="383">
        <f>+SUM(C84:C86)</f>
        <v>2.2468911768848616</v>
      </c>
      <c r="D87" s="383">
        <f t="shared" ref="D87:BI87" si="35">+SUM(D84:D86)</f>
        <v>2.336666753812763</v>
      </c>
      <c r="E87" s="383">
        <f t="shared" si="35"/>
        <v>2.3584283586118078</v>
      </c>
      <c r="F87" s="383">
        <f t="shared" si="35"/>
        <v>2.4947311197467155</v>
      </c>
      <c r="G87" s="383">
        <f t="shared" si="35"/>
        <v>2.6722256072714017</v>
      </c>
      <c r="H87" s="383">
        <f t="shared" si="35"/>
        <v>2.8744635107424732</v>
      </c>
      <c r="I87" s="383">
        <f t="shared" si="35"/>
        <v>2.9960012454592317</v>
      </c>
      <c r="J87" s="383">
        <f t="shared" si="35"/>
        <v>2.8282261178275552</v>
      </c>
      <c r="K87" s="383">
        <f t="shared" si="35"/>
        <v>2.8559791337215135</v>
      </c>
      <c r="L87" s="383">
        <f t="shared" si="35"/>
        <v>3.0494392799882628</v>
      </c>
      <c r="M87" s="383">
        <f t="shared" si="35"/>
        <v>3.2208101803459828</v>
      </c>
      <c r="N87" s="383">
        <f t="shared" si="35"/>
        <v>3.3606744262325754</v>
      </c>
      <c r="O87" s="383">
        <f t="shared" si="35"/>
        <v>3.581580878611148</v>
      </c>
      <c r="P87" s="383">
        <f t="shared" si="35"/>
        <v>3.8197101535435141</v>
      </c>
      <c r="Q87" s="383">
        <f t="shared" si="35"/>
        <v>4.0532867561738426</v>
      </c>
      <c r="R87" s="383">
        <f t="shared" si="35"/>
        <v>4.2921897422466557</v>
      </c>
      <c r="S87" s="383">
        <f t="shared" si="35"/>
        <v>4.5589010326567809</v>
      </c>
      <c r="T87" s="383">
        <f t="shared" si="35"/>
        <v>4.776010762297406</v>
      </c>
      <c r="U87" s="383">
        <f t="shared" si="35"/>
        <v>4.9050749349145271</v>
      </c>
      <c r="V87" s="383">
        <f t="shared" si="35"/>
        <v>5.1760047846332062</v>
      </c>
      <c r="W87" s="383">
        <f t="shared" si="35"/>
        <v>5.4561031096374952</v>
      </c>
      <c r="X87" s="383">
        <f t="shared" si="35"/>
        <v>5.7739927877427837</v>
      </c>
      <c r="Y87" s="383">
        <f t="shared" si="35"/>
        <v>6.0811660968662054</v>
      </c>
      <c r="Z87" s="383">
        <f t="shared" si="35"/>
        <v>6.3677128506737217</v>
      </c>
      <c r="AA87" s="383">
        <f t="shared" si="35"/>
        <v>6.6747801564003364</v>
      </c>
      <c r="AB87" s="383">
        <f t="shared" si="35"/>
        <v>7.0014821459509626</v>
      </c>
      <c r="AC87" s="383">
        <f t="shared" si="35"/>
        <v>7.3899500560403535</v>
      </c>
      <c r="AD87" s="383">
        <f t="shared" si="35"/>
        <v>7.8157609371582337</v>
      </c>
      <c r="AE87" s="383">
        <f t="shared" si="35"/>
        <v>8.1898103582968815</v>
      </c>
      <c r="AF87" s="383">
        <f t="shared" si="35"/>
        <v>7.9545437488767883</v>
      </c>
      <c r="AG87" s="383">
        <f t="shared" si="35"/>
        <v>8.0613485878241224</v>
      </c>
      <c r="AH87" s="383">
        <f t="shared" si="35"/>
        <v>8.5255610827796744</v>
      </c>
      <c r="AI87" s="383">
        <f t="shared" si="35"/>
        <v>111.2023504846329</v>
      </c>
      <c r="AJ87" s="383">
        <f t="shared" si="35"/>
        <v>252.52361312369621</v>
      </c>
      <c r="AK87" s="383">
        <f t="shared" si="35"/>
        <v>336.45793811235819</v>
      </c>
      <c r="AL87" s="383">
        <f t="shared" si="35"/>
        <v>374.69071890755106</v>
      </c>
      <c r="AM87" s="383">
        <f t="shared" si="35"/>
        <v>396.99860755275557</v>
      </c>
      <c r="AN87" s="383">
        <f t="shared" si="35"/>
        <v>414.96868307671275</v>
      </c>
      <c r="AO87" s="383">
        <f t="shared" si="35"/>
        <v>432.07919363222271</v>
      </c>
      <c r="AP87" s="383">
        <f t="shared" si="35"/>
        <v>449.30914957135599</v>
      </c>
      <c r="AQ87" s="383">
        <f t="shared" si="35"/>
        <v>466.92077528796619</v>
      </c>
      <c r="AR87" s="383">
        <f t="shared" si="35"/>
        <v>484.98245936473063</v>
      </c>
      <c r="AS87" s="383">
        <f t="shared" si="35"/>
        <v>503.51632788172805</v>
      </c>
      <c r="AT87" s="383">
        <f t="shared" si="35"/>
        <v>522.53738422075526</v>
      </c>
      <c r="AU87" s="383">
        <f t="shared" si="35"/>
        <v>542.06242611933533</v>
      </c>
      <c r="AV87" s="383">
        <f t="shared" si="35"/>
        <v>562.11114311432254</v>
      </c>
      <c r="AW87" s="383">
        <f t="shared" si="35"/>
        <v>582.70555970390012</v>
      </c>
      <c r="AX87" s="383">
        <f t="shared" si="35"/>
        <v>603.86937228000943</v>
      </c>
      <c r="AY87" s="383">
        <f t="shared" si="35"/>
        <v>625.62747605700088</v>
      </c>
      <c r="AZ87" s="383">
        <f t="shared" si="35"/>
        <v>648.00567573588944</v>
      </c>
      <c r="BA87" s="383">
        <f t="shared" si="35"/>
        <v>671.0305238974413</v>
      </c>
      <c r="BB87" s="383">
        <f t="shared" si="35"/>
        <v>694.72923945567027</v>
      </c>
      <c r="BC87" s="383">
        <f t="shared" si="35"/>
        <v>719.12967425756096</v>
      </c>
      <c r="BD87" s="383">
        <f t="shared" si="35"/>
        <v>744.26030819824246</v>
      </c>
      <c r="BE87" s="383">
        <f t="shared" si="35"/>
        <v>770.42715210659151</v>
      </c>
      <c r="BF87" s="383">
        <f t="shared" si="35"/>
        <v>797.3804044173736</v>
      </c>
      <c r="BG87" s="383">
        <f t="shared" si="35"/>
        <v>825.00998718142353</v>
      </c>
      <c r="BH87" s="383">
        <f t="shared" si="35"/>
        <v>853.42004997569734</v>
      </c>
      <c r="BI87" s="383">
        <f t="shared" si="35"/>
        <v>853.76317549685837</v>
      </c>
    </row>
    <row r="88" spans="1:103" ht="18" customHeight="1" x14ac:dyDescent="0.2">
      <c r="A88" s="21" t="s">
        <v>153</v>
      </c>
      <c r="B88" s="144">
        <f t="shared" ref="B88:AG88" si="36">(B84/B56)*1000</f>
        <v>2.0456429177152837</v>
      </c>
      <c r="C88" s="143">
        <f t="shared" si="36"/>
        <v>1.7819884507978854</v>
      </c>
      <c r="D88" s="23">
        <f t="shared" si="36"/>
        <v>1.7195751522433906</v>
      </c>
      <c r="E88" s="23">
        <f t="shared" si="36"/>
        <v>1.7014908447986654</v>
      </c>
      <c r="F88" s="23">
        <f t="shared" si="36"/>
        <v>1.7268772759185724</v>
      </c>
      <c r="G88" s="23">
        <f t="shared" si="36"/>
        <v>1.8194553710934505</v>
      </c>
      <c r="H88" s="23">
        <f t="shared" si="36"/>
        <v>1.9325453562505286</v>
      </c>
      <c r="I88" s="23">
        <f t="shared" si="36"/>
        <v>1.9852896620277698</v>
      </c>
      <c r="J88" s="23">
        <f t="shared" si="36"/>
        <v>1.8691424853090852</v>
      </c>
      <c r="K88" s="23">
        <f t="shared" si="36"/>
        <v>1.9262568479412403</v>
      </c>
      <c r="L88" s="23">
        <f t="shared" si="36"/>
        <v>2.0309369575144842</v>
      </c>
      <c r="M88" s="23">
        <f t="shared" si="36"/>
        <v>2.1388298830304615</v>
      </c>
      <c r="N88" s="23">
        <f t="shared" si="36"/>
        <v>2.2741186977415051</v>
      </c>
      <c r="O88" s="23">
        <f t="shared" si="36"/>
        <v>2.4287315941033825</v>
      </c>
      <c r="P88" s="23">
        <f t="shared" si="36"/>
        <v>2.6074423723178062</v>
      </c>
      <c r="Q88" s="23">
        <f t="shared" si="36"/>
        <v>2.7884007257728762</v>
      </c>
      <c r="R88" s="23">
        <f t="shared" si="36"/>
        <v>2.9839007004850631</v>
      </c>
      <c r="S88" s="23">
        <f t="shared" si="36"/>
        <v>3.2021276181410809</v>
      </c>
      <c r="T88" s="23">
        <f t="shared" si="36"/>
        <v>3.3859566872704057</v>
      </c>
      <c r="U88" s="23">
        <f t="shared" si="36"/>
        <v>3.5246075307277702</v>
      </c>
      <c r="V88" s="23">
        <f t="shared" si="36"/>
        <v>3.7505303874276477</v>
      </c>
      <c r="W88" s="23">
        <f t="shared" si="36"/>
        <v>3.9106952787319877</v>
      </c>
      <c r="X88" s="23">
        <f t="shared" si="36"/>
        <v>4.1243210716493834</v>
      </c>
      <c r="Y88" s="23">
        <f t="shared" si="36"/>
        <v>4.3112942932474834</v>
      </c>
      <c r="Z88" s="23">
        <f t="shared" si="36"/>
        <v>4.4984149104988118</v>
      </c>
      <c r="AA88" s="23">
        <f t="shared" si="36"/>
        <v>4.6966207559453608</v>
      </c>
      <c r="AB88" s="23">
        <f t="shared" si="36"/>
        <v>4.9030602478045946</v>
      </c>
      <c r="AC88" s="23">
        <f t="shared" si="36"/>
        <v>5.1507096952459737</v>
      </c>
      <c r="AD88" s="23">
        <f t="shared" si="36"/>
        <v>5.4125294074568249</v>
      </c>
      <c r="AE88" s="23">
        <f t="shared" si="36"/>
        <v>5.6394649570655124</v>
      </c>
      <c r="AF88" s="23">
        <f t="shared" si="36"/>
        <v>5.4664435231697279</v>
      </c>
      <c r="AG88" s="23">
        <f t="shared" si="36"/>
        <v>5.6621878235641985</v>
      </c>
      <c r="AH88" s="23">
        <f t="shared" ref="AH88:BI88" si="37">(AH84/AH56)*1000</f>
        <v>5.9277536729638554</v>
      </c>
      <c r="AI88" s="23">
        <f t="shared" si="37"/>
        <v>77.932194077823297</v>
      </c>
      <c r="AJ88" s="23">
        <f t="shared" si="37"/>
        <v>156.4052729579131</v>
      </c>
      <c r="AK88" s="23">
        <f t="shared" si="37"/>
        <v>206.22203249552757</v>
      </c>
      <c r="AL88" s="23">
        <f t="shared" si="37"/>
        <v>238.14200898360008</v>
      </c>
      <c r="AM88" s="23">
        <f t="shared" si="37"/>
        <v>260.72824174980252</v>
      </c>
      <c r="AN88" s="23">
        <f t="shared" si="37"/>
        <v>278.44470790845463</v>
      </c>
      <c r="AO88" s="23">
        <f t="shared" si="37"/>
        <v>293.63489792719508</v>
      </c>
      <c r="AP88" s="23">
        <f t="shared" si="37"/>
        <v>307.56298737610632</v>
      </c>
      <c r="AQ88" s="23">
        <f t="shared" si="37"/>
        <v>320.92527991269009</v>
      </c>
      <c r="AR88" s="23">
        <f t="shared" si="37"/>
        <v>334.11204363376214</v>
      </c>
      <c r="AS88" s="23">
        <f t="shared" si="37"/>
        <v>347.3463442622575</v>
      </c>
      <c r="AT88" s="23">
        <f t="shared" si="37"/>
        <v>360.75925900879247</v>
      </c>
      <c r="AU88" s="23">
        <f t="shared" si="37"/>
        <v>374.43111700381843</v>
      </c>
      <c r="AV88" s="23">
        <f t="shared" si="37"/>
        <v>388.41425792354528</v>
      </c>
      <c r="AW88" s="23">
        <f t="shared" si="37"/>
        <v>402.7456343554083</v>
      </c>
      <c r="AX88" s="23">
        <f t="shared" si="37"/>
        <v>417.45380380996573</v>
      </c>
      <c r="AY88" s="23">
        <f t="shared" si="37"/>
        <v>432.5628137760956</v>
      </c>
      <c r="AZ88" s="23">
        <f t="shared" si="37"/>
        <v>448.09436444943378</v>
      </c>
      <c r="BA88" s="23">
        <f t="shared" si="37"/>
        <v>464.06901656740359</v>
      </c>
      <c r="BB88" s="23">
        <f t="shared" si="37"/>
        <v>480.50687005866638</v>
      </c>
      <c r="BC88" s="23">
        <f t="shared" si="37"/>
        <v>497.42794969072918</v>
      </c>
      <c r="BD88" s="23">
        <f t="shared" si="37"/>
        <v>514.85242871916989</v>
      </c>
      <c r="BE88" s="23">
        <f t="shared" si="37"/>
        <v>532.99505004763171</v>
      </c>
      <c r="BF88" s="23">
        <f t="shared" si="37"/>
        <v>551.62447114310294</v>
      </c>
      <c r="BG88" s="23">
        <f t="shared" si="37"/>
        <v>570.77245932503718</v>
      </c>
      <c r="BH88" s="23">
        <f t="shared" si="37"/>
        <v>590.47427785177842</v>
      </c>
      <c r="BI88" s="23">
        <f t="shared" si="37"/>
        <v>590.47427785177842</v>
      </c>
    </row>
    <row r="89" spans="1:103" ht="18" customHeight="1" x14ac:dyDescent="0.2">
      <c r="A89" s="21" t="s">
        <v>166</v>
      </c>
      <c r="C89" s="143">
        <f>+LN(C88/B88)/10</f>
        <v>-1.3798227728306278E-2</v>
      </c>
      <c r="D89" s="23">
        <f>+LN(D88/C88)/10</f>
        <v>-3.5652592188814376E-3</v>
      </c>
      <c r="E89" s="23">
        <f>+LN(E88/D88)/10</f>
        <v>-1.0572421525623567E-3</v>
      </c>
      <c r="F89" s="23">
        <f>+LN(F88/E88)/10</f>
        <v>1.4809900355773561E-3</v>
      </c>
    </row>
    <row r="90" spans="1:103" s="33" customFormat="1" ht="18" customHeight="1" x14ac:dyDescent="0.2">
      <c r="A90" s="32" t="s">
        <v>5</v>
      </c>
      <c r="B90" s="144">
        <f t="shared" ref="B90:BI90" si="38">+(1/(1-$B$18))*(B88)^(1-$B$18)+1</f>
        <v>-0.39834740996498064</v>
      </c>
      <c r="C90" s="143">
        <f t="shared" si="38"/>
        <v>-0.49822677162197304</v>
      </c>
      <c r="D90" s="33">
        <f t="shared" si="38"/>
        <v>-0.52517407739664046</v>
      </c>
      <c r="E90" s="33">
        <f t="shared" si="38"/>
        <v>-0.53325781636937597</v>
      </c>
      <c r="F90" s="33">
        <f t="shared" si="38"/>
        <v>-0.52194605184406084</v>
      </c>
      <c r="G90" s="33">
        <f t="shared" si="38"/>
        <v>-0.48272049949424756</v>
      </c>
      <c r="H90" s="33">
        <f t="shared" si="38"/>
        <v>-0.43868311950685923</v>
      </c>
      <c r="I90" s="33">
        <f t="shared" si="38"/>
        <v>-0.41944331929735923</v>
      </c>
      <c r="J90" s="33">
        <f t="shared" si="38"/>
        <v>-0.46288029884001003</v>
      </c>
      <c r="K90" s="33">
        <f t="shared" si="38"/>
        <v>-0.44102958718640783</v>
      </c>
      <c r="L90" s="33">
        <f t="shared" si="38"/>
        <v>-0.40340097638233385</v>
      </c>
      <c r="M90" s="33">
        <f t="shared" si="38"/>
        <v>-0.367545780994188</v>
      </c>
      <c r="N90" s="33">
        <f t="shared" si="38"/>
        <v>-0.32624399706536078</v>
      </c>
      <c r="O90" s="33">
        <f t="shared" si="38"/>
        <v>-0.2833355782172331</v>
      </c>
      <c r="P90" s="33">
        <f t="shared" si="38"/>
        <v>-0.2385759312438287</v>
      </c>
      <c r="Q90" s="33">
        <f t="shared" si="38"/>
        <v>-0.19771200356780039</v>
      </c>
      <c r="R90" s="33">
        <f t="shared" si="38"/>
        <v>-0.15781137620728458</v>
      </c>
      <c r="S90" s="33">
        <f t="shared" si="38"/>
        <v>-0.11766249439594367</v>
      </c>
      <c r="T90" s="33">
        <f t="shared" si="38"/>
        <v>-8.6899268531010376E-2</v>
      </c>
      <c r="U90" s="33">
        <f t="shared" si="38"/>
        <v>-6.530658921241761E-2</v>
      </c>
      <c r="V90" s="33">
        <f t="shared" si="38"/>
        <v>-3.272252916473084E-2</v>
      </c>
      <c r="W90" s="33">
        <f t="shared" si="38"/>
        <v>-1.135355907299318E-2</v>
      </c>
      <c r="X90" s="33">
        <f t="shared" si="38"/>
        <v>1.518702429100538E-2</v>
      </c>
      <c r="Y90" s="33">
        <f t="shared" si="38"/>
        <v>3.6778515159128111E-2</v>
      </c>
      <c r="Z90" s="33">
        <f t="shared" si="38"/>
        <v>5.7024866014379061E-2</v>
      </c>
      <c r="AA90" s="33">
        <f t="shared" si="38"/>
        <v>7.7136968548853879E-2</v>
      </c>
      <c r="AB90" s="33">
        <f t="shared" si="38"/>
        <v>9.6774103587506599E-2</v>
      </c>
      <c r="AC90" s="33">
        <f t="shared" si="38"/>
        <v>0.11875541934140066</v>
      </c>
      <c r="AD90" s="33">
        <f t="shared" si="38"/>
        <v>0.14033378117851292</v>
      </c>
      <c r="AE90" s="33">
        <f t="shared" si="38"/>
        <v>0.15780813039654329</v>
      </c>
      <c r="AF90" s="33">
        <f t="shared" si="38"/>
        <v>0.14458361846182288</v>
      </c>
      <c r="AG90" s="33">
        <f t="shared" si="38"/>
        <v>0.15949972490690967</v>
      </c>
      <c r="AH90" s="33">
        <f t="shared" si="38"/>
        <v>0.17854283594198084</v>
      </c>
      <c r="AI90" s="33">
        <f t="shared" si="38"/>
        <v>0.77344609934983388</v>
      </c>
      <c r="AJ90" s="33">
        <f t="shared" si="38"/>
        <v>0.84007944055149908</v>
      </c>
      <c r="AK90" s="33">
        <f t="shared" si="38"/>
        <v>0.86072843230151541</v>
      </c>
      <c r="AL90" s="33">
        <f t="shared" si="38"/>
        <v>0.87039791477655692</v>
      </c>
      <c r="AM90" s="33">
        <f t="shared" si="38"/>
        <v>0.87613860764868912</v>
      </c>
      <c r="AN90" s="33">
        <f t="shared" si="38"/>
        <v>0.88014379802124298</v>
      </c>
      <c r="AO90" s="33">
        <f t="shared" si="38"/>
        <v>0.88328513796968311</v>
      </c>
      <c r="AP90" s="33">
        <f t="shared" si="38"/>
        <v>0.88595848965966739</v>
      </c>
      <c r="AQ90" s="33">
        <f t="shared" si="38"/>
        <v>0.88835789118022879</v>
      </c>
      <c r="AR90" s="33">
        <f t="shared" si="38"/>
        <v>0.89058321990371514</v>
      </c>
      <c r="AS90" s="33">
        <f t="shared" si="38"/>
        <v>0.89268791587071128</v>
      </c>
      <c r="AT90" s="33">
        <f t="shared" si="38"/>
        <v>0.8947017259854454</v>
      </c>
      <c r="AU90" s="33">
        <f t="shared" si="38"/>
        <v>0.89664201621299033</v>
      </c>
      <c r="AV90" s="33">
        <f t="shared" si="38"/>
        <v>0.89851954311075843</v>
      </c>
      <c r="AW90" s="33">
        <f t="shared" si="38"/>
        <v>0.90034144750272171</v>
      </c>
      <c r="AX90" s="33">
        <f t="shared" si="38"/>
        <v>0.90211282741756482</v>
      </c>
      <c r="AY90" s="33">
        <f t="shared" si="38"/>
        <v>0.90383757541429544</v>
      </c>
      <c r="AZ90" s="33">
        <f t="shared" si="38"/>
        <v>0.90551883174098169</v>
      </c>
      <c r="BA90" s="33">
        <f t="shared" si="38"/>
        <v>0.90715923534319876</v>
      </c>
      <c r="BB90" s="33">
        <f t="shared" si="38"/>
        <v>0.90876106758319042</v>
      </c>
      <c r="BC90" s="33">
        <f t="shared" si="38"/>
        <v>0.91032633834996701</v>
      </c>
      <c r="BD90" s="33">
        <f t="shared" si="38"/>
        <v>0.91185684070472428</v>
      </c>
      <c r="BE90" s="33">
        <f t="shared" si="38"/>
        <v>0.91336998136924663</v>
      </c>
      <c r="BF90" s="33">
        <f t="shared" si="38"/>
        <v>0.91484537639965091</v>
      </c>
      <c r="BG90" s="33">
        <f t="shared" si="38"/>
        <v>0.91628592345156112</v>
      </c>
      <c r="BH90" s="33">
        <f t="shared" si="38"/>
        <v>0.91769437752560612</v>
      </c>
      <c r="BI90" s="33">
        <f t="shared" si="38"/>
        <v>0.91769437752560612</v>
      </c>
    </row>
    <row r="91" spans="1:103" ht="18" customHeight="1" x14ac:dyDescent="0.2">
      <c r="A91" s="21" t="s">
        <v>115</v>
      </c>
      <c r="B91" s="144">
        <f t="shared" ref="B91:AG91" si="39">B17*B56*B90</f>
        <v>-373.32942673674302</v>
      </c>
      <c r="C91" s="143">
        <f t="shared" si="39"/>
        <v>-464.08505360327678</v>
      </c>
      <c r="D91" s="23">
        <f t="shared" si="39"/>
        <v>-473.62612310106914</v>
      </c>
      <c r="E91" s="23">
        <f t="shared" si="39"/>
        <v>-453.12797082922452</v>
      </c>
      <c r="F91" s="23">
        <f t="shared" si="39"/>
        <v>-407.59506839216408</v>
      </c>
      <c r="G91" s="23">
        <f t="shared" si="39"/>
        <v>-333.65763387086429</v>
      </c>
      <c r="H91" s="23">
        <f t="shared" si="39"/>
        <v>-263.23220990659797</v>
      </c>
      <c r="I91" s="23">
        <f t="shared" si="39"/>
        <v>-218.49634247441421</v>
      </c>
      <c r="J91" s="23">
        <f t="shared" si="39"/>
        <v>-209.32561212091406</v>
      </c>
      <c r="K91" s="23">
        <f t="shared" si="39"/>
        <v>-173.14269862930141</v>
      </c>
      <c r="L91" s="23">
        <f t="shared" si="39"/>
        <v>-136.26517009862656</v>
      </c>
      <c r="M91" s="23">
        <f t="shared" si="39"/>
        <v>-105.87648111584775</v>
      </c>
      <c r="N91" s="23">
        <f t="shared" si="39"/>
        <v>-80.143946680366398</v>
      </c>
      <c r="O91" s="23">
        <f t="shared" si="39"/>
        <v>-59.356658910152603</v>
      </c>
      <c r="P91" s="23">
        <f t="shared" si="39"/>
        <v>-42.622125370181372</v>
      </c>
      <c r="Q91" s="23">
        <f t="shared" si="39"/>
        <v>-30.121850649828051</v>
      </c>
      <c r="R91" s="23">
        <f t="shared" si="39"/>
        <v>-20.503455503602556</v>
      </c>
      <c r="S91" s="23">
        <f t="shared" si="39"/>
        <v>-13.036678130726877</v>
      </c>
      <c r="T91" s="23">
        <f t="shared" si="39"/>
        <v>-8.2107939219552399</v>
      </c>
      <c r="U91" s="23">
        <f t="shared" si="39"/>
        <v>-5.2621857340032419</v>
      </c>
      <c r="V91" s="23">
        <f t="shared" si="39"/>
        <v>-2.2657593349318934</v>
      </c>
      <c r="W91" s="23">
        <f t="shared" si="39"/>
        <v>-0.68072905426104591</v>
      </c>
      <c r="X91" s="23">
        <f t="shared" si="39"/>
        <v>0.78847930590232196</v>
      </c>
      <c r="Y91" s="23">
        <f t="shared" si="39"/>
        <v>1.6534350981032588</v>
      </c>
      <c r="Z91" s="23">
        <f t="shared" si="39"/>
        <v>2.2198957659832721</v>
      </c>
      <c r="AA91" s="23">
        <f t="shared" si="39"/>
        <v>2.6001968349145979</v>
      </c>
      <c r="AB91" s="23">
        <f t="shared" si="39"/>
        <v>2.8247379450731196</v>
      </c>
      <c r="AC91" s="23">
        <f t="shared" si="39"/>
        <v>3.0015652792216447</v>
      </c>
      <c r="AD91" s="23">
        <f t="shared" si="39"/>
        <v>3.071368538239303</v>
      </c>
      <c r="AE91" s="23">
        <f t="shared" si="39"/>
        <v>2.9907108582767306</v>
      </c>
      <c r="AF91" s="23">
        <f t="shared" si="39"/>
        <v>2.3668547429274001</v>
      </c>
      <c r="AG91" s="23">
        <f t="shared" si="39"/>
        <v>2.2498420617332107</v>
      </c>
      <c r="AH91" s="23">
        <f t="shared" ref="AH91:BI91" si="40">AH17*AH56*AH90</f>
        <v>2.1700717819040665</v>
      </c>
      <c r="AI91" s="23">
        <f t="shared" si="40"/>
        <v>8.1003037022226518</v>
      </c>
      <c r="AJ91" s="23">
        <f t="shared" si="40"/>
        <v>7.5810817920747349</v>
      </c>
      <c r="AK91" s="23">
        <f t="shared" si="40"/>
        <v>6.6929341588359383</v>
      </c>
      <c r="AL91" s="23">
        <f t="shared" si="40"/>
        <v>5.8318698455784626</v>
      </c>
      <c r="AM91" s="23">
        <f t="shared" si="40"/>
        <v>5.0582743023821521</v>
      </c>
      <c r="AN91" s="23">
        <f t="shared" si="40"/>
        <v>4.3784739387548557</v>
      </c>
      <c r="AO91" s="23">
        <f t="shared" si="40"/>
        <v>3.7862530541447783</v>
      </c>
      <c r="AP91" s="23">
        <f t="shared" si="40"/>
        <v>3.2723644438593689</v>
      </c>
      <c r="AQ91" s="23">
        <f t="shared" si="40"/>
        <v>2.8273256489674519</v>
      </c>
      <c r="AR91" s="23">
        <f t="shared" si="40"/>
        <v>2.4423165594811653</v>
      </c>
      <c r="AS91" s="23">
        <f t="shared" si="40"/>
        <v>2.1094375831802399</v>
      </c>
      <c r="AT91" s="23">
        <f t="shared" si="40"/>
        <v>1.8217336323481206</v>
      </c>
      <c r="AU91" s="23">
        <f t="shared" si="40"/>
        <v>1.5731323587350352</v>
      </c>
      <c r="AV91" s="23">
        <f t="shared" si="40"/>
        <v>1.3583549937394701</v>
      </c>
      <c r="AW91" s="23">
        <f t="shared" si="40"/>
        <v>1.172823277736563</v>
      </c>
      <c r="AX91" s="23">
        <f t="shared" si="40"/>
        <v>1.0125716628290982</v>
      </c>
      <c r="AY91" s="23">
        <f t="shared" si="40"/>
        <v>0.87416795257107482</v>
      </c>
      <c r="AZ91" s="23">
        <f t="shared" si="40"/>
        <v>0.75464300835127274</v>
      </c>
      <c r="BA91" s="23">
        <f t="shared" si="40"/>
        <v>0.65142912229105066</v>
      </c>
      <c r="BB91" s="23">
        <f t="shared" si="40"/>
        <v>0.56230628044475361</v>
      </c>
      <c r="BC91" s="23">
        <f t="shared" si="40"/>
        <v>0.48535544588084967</v>
      </c>
      <c r="BD91" s="23">
        <f t="shared" si="40"/>
        <v>0.4189180146679875</v>
      </c>
      <c r="BE91" s="23">
        <f t="shared" si="40"/>
        <v>0.36156691834072474</v>
      </c>
      <c r="BF91" s="23">
        <f t="shared" si="40"/>
        <v>0.3120536226357164</v>
      </c>
      <c r="BG91" s="23">
        <f t="shared" si="40"/>
        <v>0.26930977892602292</v>
      </c>
      <c r="BH91" s="23">
        <f t="shared" si="40"/>
        <v>0.23241211190236596</v>
      </c>
      <c r="BI91" s="23">
        <f t="shared" si="40"/>
        <v>0.20026190108161829</v>
      </c>
    </row>
    <row r="92" spans="1:103" ht="18" customHeight="1" x14ac:dyDescent="0.2">
      <c r="A92" s="57" t="s">
        <v>62</v>
      </c>
      <c r="B92" s="144">
        <f>SUM(B91:AO91)*10*B52+B53</f>
        <v>-105.35507389765225</v>
      </c>
      <c r="C92" s="84">
        <v>66.606869528485447</v>
      </c>
      <c r="D92" s="195">
        <f>+B92-C92</f>
        <v>-171.96194342613768</v>
      </c>
      <c r="I92" s="33"/>
    </row>
    <row r="93" spans="1:103" s="33" customFormat="1" ht="18" customHeight="1" x14ac:dyDescent="0.2">
      <c r="A93" s="32" t="s">
        <v>270</v>
      </c>
      <c r="B93" s="33">
        <f>+B90*Data!B370</f>
        <v>-0.39834740996498064</v>
      </c>
      <c r="C93" s="33">
        <f>+C90*Data!C370</f>
        <v>-0.45025881695300723</v>
      </c>
      <c r="D93" s="33">
        <f>+D90*Data!D370</f>
        <v>-0.56877181425572054</v>
      </c>
      <c r="E93" s="33">
        <f>+E90*Data!E370</f>
        <v>-0.67280375629312872</v>
      </c>
      <c r="F93" s="33">
        <f>+F90*Data!F370</f>
        <v>-0.75225930027358479</v>
      </c>
      <c r="G93" s="33">
        <f>+G90*Data!G370</f>
        <v>-0.77552508156655364</v>
      </c>
      <c r="H93" s="33">
        <f>+H90*Data!H370</f>
        <v>-0.76894170969494724</v>
      </c>
      <c r="I93" s="33">
        <f>+I90*Data!I370</f>
        <v>-0.79146579520001759</v>
      </c>
      <c r="J93" s="33">
        <f>+J90*Data!J370</f>
        <v>-0.92974335053432922</v>
      </c>
      <c r="K93" s="33">
        <f>+K90*Data!K370</f>
        <v>-0.93901168417120673</v>
      </c>
      <c r="L93" s="33">
        <f>+L90*Data!L370</f>
        <v>-0.90096155399288091</v>
      </c>
      <c r="M93" s="33">
        <f>+M90*Data!M370</f>
        <v>-0.87494257537732401</v>
      </c>
      <c r="N93" s="33">
        <f>+N90*Data!N370</f>
        <v>-0.80817947818914915</v>
      </c>
      <c r="O93" s="33">
        <f>+O90*Data!O370</f>
        <v>-0.72700305454165881</v>
      </c>
      <c r="P93" s="33">
        <f>+P90*Data!P370</f>
        <v>-0.63154045120102076</v>
      </c>
      <c r="Q93" s="33">
        <f>+Q90*Data!Q370</f>
        <v>-0.53807052111113918</v>
      </c>
      <c r="R93" s="33">
        <f>+R90*Data!R370</f>
        <v>-0.44018340806622125</v>
      </c>
      <c r="S93" s="33">
        <f>+S90*Data!S370</f>
        <v>-0.33542915780003923</v>
      </c>
      <c r="T93" s="33">
        <f>+T90*Data!T370</f>
        <v>-0.2525280842698307</v>
      </c>
      <c r="U93" s="33">
        <f>+U90*Data!U370</f>
        <v>-0.19297547852602967</v>
      </c>
      <c r="V93" s="33">
        <f>+V90*Data!V370</f>
        <v>-9.7926101239381474E-2</v>
      </c>
      <c r="W93" s="33">
        <f>+W90*Data!W370</f>
        <v>-3.4253909127769204E-2</v>
      </c>
      <c r="X93" s="33">
        <f>+X90*Data!X370</f>
        <v>4.6063941072973999E-2</v>
      </c>
      <c r="Y93" s="33">
        <f>+Y90*Data!Y370</f>
        <v>0.11173817780888369</v>
      </c>
      <c r="Z93" s="33">
        <f>+Z90*Data!Z370</f>
        <v>0.17298042209844841</v>
      </c>
      <c r="AA93" s="33">
        <f>+AA90*Data!AA370</f>
        <v>0.2329223727052018</v>
      </c>
      <c r="AB93" s="33">
        <f>+AB90*Data!AB370</f>
        <v>0.289916369759603</v>
      </c>
      <c r="AC93" s="33">
        <f>+AC90*Data!AC370</f>
        <v>0.35236408769535937</v>
      </c>
      <c r="AD93" s="33">
        <f>+AD90*Data!AD370</f>
        <v>0.41133060310014313</v>
      </c>
      <c r="AE93" s="33">
        <f>+AE90*Data!AE370</f>
        <v>0.45576167394142825</v>
      </c>
      <c r="AF93" s="33">
        <f>+AF90*Data!AF370</f>
        <v>0.41038564565067415</v>
      </c>
      <c r="AG93" s="33">
        <f>+AG90*Data!AG370</f>
        <v>0.44386729618269039</v>
      </c>
      <c r="AH93" s="33">
        <f>+AH90*Data!AH370</f>
        <v>0.48607305031413089</v>
      </c>
      <c r="AI93" s="33">
        <f>+AI90*Data!AI370</f>
        <v>2.0553731441645371</v>
      </c>
      <c r="AJ93" s="33">
        <f>+AJ90*Data!AJ370</f>
        <v>2.1742638356087354</v>
      </c>
      <c r="AK93" s="33">
        <f>+AK90*Data!AK370</f>
        <v>2.164726279329138</v>
      </c>
      <c r="AL93" s="33">
        <f>+AL90*Data!AL370</f>
        <v>2.1222016360273344</v>
      </c>
      <c r="AM93" s="33">
        <f>+AM90*Data!AM370</f>
        <v>2.0659690407540965</v>
      </c>
      <c r="AN93" s="33">
        <f>+AN90*Data!AN370</f>
        <v>2.0021235322733881</v>
      </c>
      <c r="AO93" s="33">
        <f>+AO90*Data!AO370</f>
        <v>1.9331859639831981</v>
      </c>
      <c r="AP93" s="33">
        <f>+AP90*Data!AP370</f>
        <v>1.8604069862156394</v>
      </c>
      <c r="AQ93" s="33">
        <f>+AQ90*Data!AQ370</f>
        <v>1.784516995853032</v>
      </c>
      <c r="AR93" s="33">
        <f>+AR90*Data!AR370</f>
        <v>1.7060231223512192</v>
      </c>
      <c r="AS93" s="33">
        <f>+AS90*Data!AS370</f>
        <v>1.6253428811353399</v>
      </c>
      <c r="AT93" s="33">
        <f>+AT90*Data!AT370</f>
        <v>1.5428701316231406</v>
      </c>
      <c r="AU93" s="33">
        <f>+AU90*Data!AU370</f>
        <v>1.4590105132470463</v>
      </c>
      <c r="AV93" s="33">
        <f>+AV90*Data!AV370</f>
        <v>1.3742024889137365</v>
      </c>
      <c r="AW93" s="33">
        <f>+AW90*Data!AW370</f>
        <v>1.2889314443421704</v>
      </c>
      <c r="AX93" s="33">
        <f>+AX90*Data!AX370</f>
        <v>1.2037403074579462</v>
      </c>
      <c r="AY93" s="33">
        <f>+AY90*Data!AY370</f>
        <v>1.1192381401635272</v>
      </c>
      <c r="AZ93" s="33">
        <f>+AZ90*Data!AZ370</f>
        <v>1.0361070410138604</v>
      </c>
      <c r="BA93" s="33">
        <f>+BA90*Data!BA370</f>
        <v>0.95510706345242347</v>
      </c>
      <c r="BB93" s="33">
        <f>+BB90*Data!BB370</f>
        <v>0.87707861066707549</v>
      </c>
      <c r="BC93" s="33">
        <f>+BC90*Data!BC370</f>
        <v>0.80294204562659999</v>
      </c>
      <c r="BD93" s="33">
        <f>+BD90*Data!BD370</f>
        <v>0.73369537216125591</v>
      </c>
      <c r="BE93" s="33">
        <f>+BE90*Data!BE370</f>
        <v>0.67042488435556324</v>
      </c>
      <c r="BF93" s="33">
        <f>+BF90*Data!BF370</f>
        <v>0.61427251627498747</v>
      </c>
      <c r="BG93" s="33">
        <f>+BG90*Data!BG370</f>
        <v>0.56651732146436562</v>
      </c>
      <c r="BH93" s="33">
        <f>+BH90*Data!BH370</f>
        <v>0.52863737723927873</v>
      </c>
      <c r="BI93" s="33">
        <f>+BI90*Data!BI370</f>
        <v>0.52838021656487755</v>
      </c>
    </row>
    <row r="94" spans="1:103" ht="18" customHeight="1" x14ac:dyDescent="0.2">
      <c r="A94" s="21" t="s">
        <v>271</v>
      </c>
      <c r="B94" s="29">
        <f>B$17*B$56*B93</f>
        <v>-373.32942673674302</v>
      </c>
      <c r="C94" s="29">
        <f t="shared" ref="C94:BH94" si="41">C$17*C$56*C93</f>
        <v>-419.40417316540839</v>
      </c>
      <c r="D94" s="29">
        <f t="shared" si="41"/>
        <v>-512.94456621026973</v>
      </c>
      <c r="E94" s="29">
        <f t="shared" si="41"/>
        <v>-571.70507678824413</v>
      </c>
      <c r="F94" s="29">
        <f t="shared" si="41"/>
        <v>-587.44994786407483</v>
      </c>
      <c r="G94" s="29">
        <f t="shared" si="41"/>
        <v>-536.04490381931441</v>
      </c>
      <c r="H94" s="29">
        <f t="shared" si="41"/>
        <v>-461.40418113169227</v>
      </c>
      <c r="I94" s="29">
        <f t="shared" si="41"/>
        <v>-412.29022728148237</v>
      </c>
      <c r="J94" s="29">
        <f t="shared" si="41"/>
        <v>-420.45232094273291</v>
      </c>
      <c r="K94" s="29">
        <f t="shared" si="41"/>
        <v>-368.64424012697776</v>
      </c>
      <c r="L94" s="29">
        <f t="shared" si="41"/>
        <v>-304.33659459169144</v>
      </c>
      <c r="M94" s="29">
        <f t="shared" si="41"/>
        <v>-252.03891827792003</v>
      </c>
      <c r="N94" s="29">
        <f t="shared" si="41"/>
        <v>-198.53451279037981</v>
      </c>
      <c r="O94" s="29">
        <f t="shared" si="41"/>
        <v>-152.30163683144428</v>
      </c>
      <c r="P94" s="29">
        <f t="shared" si="41"/>
        <v>-112.8261184902201</v>
      </c>
      <c r="Q94" s="29">
        <f t="shared" si="41"/>
        <v>-81.976205710883235</v>
      </c>
      <c r="R94" s="29">
        <f t="shared" si="41"/>
        <v>-57.190306159267159</v>
      </c>
      <c r="S94" s="29">
        <f t="shared" si="41"/>
        <v>-37.164620624009636</v>
      </c>
      <c r="T94" s="29">
        <f t="shared" si="41"/>
        <v>-23.860454690775732</v>
      </c>
      <c r="U94" s="29">
        <f t="shared" si="41"/>
        <v>-15.549316268978213</v>
      </c>
      <c r="V94" s="29">
        <f t="shared" si="41"/>
        <v>-6.7805571170751309</v>
      </c>
      <c r="W94" s="29">
        <f t="shared" si="41"/>
        <v>-2.0537728315305119</v>
      </c>
      <c r="X94" s="29">
        <f t="shared" si="41"/>
        <v>2.3915458083421282</v>
      </c>
      <c r="Y94" s="29">
        <f t="shared" si="41"/>
        <v>5.0233628026567345</v>
      </c>
      <c r="Z94" s="29">
        <f t="shared" si="41"/>
        <v>6.7338782789514671</v>
      </c>
      <c r="AA94" s="29">
        <f t="shared" si="41"/>
        <v>7.8515402884323331</v>
      </c>
      <c r="AB94" s="29">
        <f t="shared" si="41"/>
        <v>8.4623648290091058</v>
      </c>
      <c r="AC94" s="29">
        <f t="shared" si="41"/>
        <v>8.9060677578887084</v>
      </c>
      <c r="AD94" s="29">
        <f t="shared" si="41"/>
        <v>9.0024501767662333</v>
      </c>
      <c r="AE94" s="29">
        <f t="shared" si="41"/>
        <v>8.6373964612463681</v>
      </c>
      <c r="AF94" s="29">
        <f t="shared" si="41"/>
        <v>6.7180723665046331</v>
      </c>
      <c r="AG94" s="29">
        <f t="shared" si="41"/>
        <v>6.2610221639093764</v>
      </c>
      <c r="AH94" s="29">
        <f t="shared" si="41"/>
        <v>5.9079010639973397</v>
      </c>
      <c r="AI94" s="29">
        <f t="shared" si="41"/>
        <v>21.525930123793295</v>
      </c>
      <c r="AJ94" s="29">
        <f t="shared" si="41"/>
        <v>19.621087220607311</v>
      </c>
      <c r="AK94" s="29">
        <f t="shared" si="41"/>
        <v>16.832684869850446</v>
      </c>
      <c r="AL94" s="29">
        <f t="shared" si="41"/>
        <v>14.219247906358191</v>
      </c>
      <c r="AM94" s="29">
        <f t="shared" si="41"/>
        <v>11.927608276970087</v>
      </c>
      <c r="AN94" s="29">
        <f t="shared" si="41"/>
        <v>9.9600153156055828</v>
      </c>
      <c r="AO94" s="29">
        <f t="shared" si="41"/>
        <v>8.2867139338332532</v>
      </c>
      <c r="AP94" s="29">
        <f t="shared" si="41"/>
        <v>6.8715743952498798</v>
      </c>
      <c r="AQ94" s="29">
        <f t="shared" si="41"/>
        <v>5.6794797721563954</v>
      </c>
      <c r="AR94" s="29">
        <f t="shared" si="41"/>
        <v>4.6785616767253027</v>
      </c>
      <c r="AS94" s="29">
        <f t="shared" si="41"/>
        <v>3.8407144289358794</v>
      </c>
      <c r="AT94" s="29">
        <f t="shared" si="41"/>
        <v>3.1414921056818996</v>
      </c>
      <c r="AU94" s="29">
        <f t="shared" si="41"/>
        <v>2.5597915429141893</v>
      </c>
      <c r="AV94" s="29">
        <f t="shared" si="41"/>
        <v>2.0774782558013705</v>
      </c>
      <c r="AW94" s="29">
        <f t="shared" si="41"/>
        <v>1.6790172278795783</v>
      </c>
      <c r="AX94" s="29">
        <f t="shared" si="41"/>
        <v>1.3511317960374345</v>
      </c>
      <c r="AY94" s="29">
        <f t="shared" si="41"/>
        <v>1.0824977186611593</v>
      </c>
      <c r="AZ94" s="29">
        <f t="shared" si="41"/>
        <v>0.86347285887069258</v>
      </c>
      <c r="BA94" s="29">
        <f t="shared" si="41"/>
        <v>0.68586035593123695</v>
      </c>
      <c r="BB94" s="29">
        <f t="shared" si="41"/>
        <v>0.54270239869921344</v>
      </c>
      <c r="BC94" s="29">
        <f t="shared" si="41"/>
        <v>0.42810174566404613</v>
      </c>
      <c r="BD94" s="29">
        <f t="shared" si="41"/>
        <v>0.33706849031185993</v>
      </c>
      <c r="BE94" s="29">
        <f t="shared" si="41"/>
        <v>0.26539459842109886</v>
      </c>
      <c r="BF94" s="29">
        <f t="shared" si="41"/>
        <v>0.20952826448502346</v>
      </c>
      <c r="BG94" s="29">
        <f t="shared" si="41"/>
        <v>0.16650769230047702</v>
      </c>
      <c r="BH94" s="29">
        <f t="shared" si="41"/>
        <v>0.13388087830066314</v>
      </c>
      <c r="BI94" s="29">
        <f>BI$17*BI$56*BI93/(1-(BJ17/BI17))</f>
        <v>0.83353097665055365</v>
      </c>
    </row>
    <row r="95" spans="1:103" ht="39" customHeight="1" x14ac:dyDescent="0.2">
      <c r="A95" s="57" t="s">
        <v>62</v>
      </c>
      <c r="B95" s="191">
        <f>SUM(B94:BI94)*10*B52+B53-C53</f>
        <v>-290.38670485357648</v>
      </c>
      <c r="C95" s="84">
        <v>100.11806208984765</v>
      </c>
      <c r="D95" s="183">
        <f>+B95-C95</f>
        <v>-390.5047669434241</v>
      </c>
      <c r="I95" s="33"/>
    </row>
    <row r="96" spans="1:103" ht="21.75" customHeight="1" x14ac:dyDescent="0.2">
      <c r="A96" s="58" t="s">
        <v>61</v>
      </c>
      <c r="C96" s="200"/>
    </row>
    <row r="97" spans="1:61" s="386" customFormat="1" ht="18" customHeight="1" x14ac:dyDescent="0.2">
      <c r="A97" s="169" t="s">
        <v>191</v>
      </c>
      <c r="B97" s="389">
        <f>+Controls!B39</f>
        <v>0.24090677874281113</v>
      </c>
      <c r="C97" s="389">
        <f>+Controls!C39</f>
        <v>0.27878900739472695</v>
      </c>
      <c r="D97" s="389">
        <f>+Controls!D39</f>
        <v>0.26593412796489785</v>
      </c>
      <c r="E97" s="389">
        <f>+Controls!E39</f>
        <v>0.25432500497917565</v>
      </c>
      <c r="F97" s="389">
        <f>+Controls!F39</f>
        <v>0.24142114405066595</v>
      </c>
      <c r="G97" s="389">
        <f>+Controls!G39</f>
        <v>0.23453135050311699</v>
      </c>
      <c r="H97" s="389">
        <f>+Controls!H39</f>
        <v>0.23295198667090264</v>
      </c>
      <c r="I97" s="389">
        <f>+Controls!I39</f>
        <v>0.23183169833643794</v>
      </c>
      <c r="J97" s="389">
        <f>+Controls!J39</f>
        <v>0.23124471119866691</v>
      </c>
      <c r="K97" s="389">
        <f>+Controls!K39</f>
        <v>0.22879016682325784</v>
      </c>
      <c r="L97" s="389">
        <f>+Controls!L39</f>
        <v>0.22945447097309063</v>
      </c>
      <c r="M97" s="389">
        <f>+Controls!M39</f>
        <v>0.22371270831332768</v>
      </c>
      <c r="N97" s="389">
        <f>+Controls!N39</f>
        <v>0.22371270831332768</v>
      </c>
      <c r="O97" s="389">
        <f>+Controls!O39</f>
        <v>0.22371270831332768</v>
      </c>
      <c r="P97" s="389">
        <f>+Controls!P39</f>
        <v>0.22371270831332768</v>
      </c>
      <c r="Q97" s="389">
        <f>+Controls!Q39</f>
        <v>0.22371270831332768</v>
      </c>
      <c r="R97" s="389">
        <f>+Controls!R39</f>
        <v>0.22371270831332768</v>
      </c>
      <c r="S97" s="389">
        <f>+Controls!S39</f>
        <v>0.22371270831332768</v>
      </c>
      <c r="T97" s="389">
        <f>+Controls!T39</f>
        <v>0.22371270831332768</v>
      </c>
      <c r="U97" s="389">
        <f>+Controls!U39</f>
        <v>0.22371270831332768</v>
      </c>
      <c r="V97" s="389">
        <f>+Controls!V39</f>
        <v>0.22371270831332768</v>
      </c>
      <c r="W97" s="389">
        <f>+Controls!W39</f>
        <v>0.22371270831332768</v>
      </c>
      <c r="X97" s="389">
        <f>+Controls!X39</f>
        <v>0.22371270831332768</v>
      </c>
      <c r="Y97" s="389">
        <f>+Controls!Y39</f>
        <v>0.22371270831332768</v>
      </c>
      <c r="Z97" s="389">
        <f>+Controls!Z39</f>
        <v>0.22371270831332768</v>
      </c>
      <c r="AA97" s="389">
        <f>+Controls!AA39</f>
        <v>0.22371270831332768</v>
      </c>
      <c r="AB97" s="389">
        <f>+Controls!AB39</f>
        <v>0.22371270831332768</v>
      </c>
      <c r="AC97" s="389">
        <f>+Controls!AC39</f>
        <v>0.22371270831332768</v>
      </c>
      <c r="AD97" s="389">
        <f>+Controls!AD39</f>
        <v>0.22371270831332768</v>
      </c>
      <c r="AE97" s="389">
        <f>+Controls!AE39</f>
        <v>0.22371270831332768</v>
      </c>
      <c r="AF97" s="389">
        <f>+Controls!AF39</f>
        <v>0.22371270831332768</v>
      </c>
      <c r="AG97" s="389">
        <f>+Controls!AG39</f>
        <v>0.22371270831332768</v>
      </c>
      <c r="AH97" s="389">
        <f>+Controls!AH39</f>
        <v>0.22371270831332768</v>
      </c>
      <c r="AI97" s="389">
        <f>+Controls!AI39</f>
        <v>0.22371270831332768</v>
      </c>
      <c r="AJ97" s="389">
        <f>+Controls!AJ39</f>
        <v>0.22371270831332768</v>
      </c>
      <c r="AK97" s="389">
        <f>+Controls!AK39</f>
        <v>0.22371270831332768</v>
      </c>
      <c r="AL97" s="389">
        <f>+Controls!AL39</f>
        <v>0.22371270831332768</v>
      </c>
      <c r="AM97" s="389">
        <f>+Controls!AM39</f>
        <v>0.22371270831332768</v>
      </c>
      <c r="AN97" s="389">
        <f>+Controls!AN39</f>
        <v>0.22371270831332768</v>
      </c>
      <c r="AO97" s="389">
        <f>+Controls!AO39</f>
        <v>0.22371270831332768</v>
      </c>
      <c r="AP97" s="389">
        <f>+Controls!AP39</f>
        <v>0.22371270831332768</v>
      </c>
      <c r="AQ97" s="389">
        <f>+Controls!AQ39</f>
        <v>0.22371270831332768</v>
      </c>
      <c r="AR97" s="389">
        <f>+Controls!AR39</f>
        <v>0.22371270831332768</v>
      </c>
      <c r="AS97" s="389">
        <f>+Controls!AS39</f>
        <v>0.22371270831332768</v>
      </c>
      <c r="AT97" s="389">
        <f>+Controls!AT39</f>
        <v>0.22371270831332768</v>
      </c>
      <c r="AU97" s="389">
        <f>+Controls!AU39</f>
        <v>0.22371270831332768</v>
      </c>
      <c r="AV97" s="389">
        <f>+Controls!AV39</f>
        <v>0.22371270831332768</v>
      </c>
      <c r="AW97" s="389">
        <f>+Controls!AW39</f>
        <v>0.22371270831332768</v>
      </c>
      <c r="AX97" s="389">
        <f>+Controls!AX39</f>
        <v>0.22371270831332768</v>
      </c>
      <c r="AY97" s="389">
        <f>+Controls!AY39</f>
        <v>0.22371270831332768</v>
      </c>
      <c r="AZ97" s="389">
        <f>+Controls!AZ39</f>
        <v>0.22371270831332768</v>
      </c>
      <c r="BA97" s="389">
        <f>+Controls!BA39</f>
        <v>0.22371270831332768</v>
      </c>
      <c r="BB97" s="389">
        <f>+Controls!BB39</f>
        <v>0.22371270831332768</v>
      </c>
      <c r="BC97" s="389">
        <f>+Controls!BC39</f>
        <v>0.22371270831332768</v>
      </c>
      <c r="BD97" s="389">
        <f>+Controls!BD39</f>
        <v>0.22371270831332768</v>
      </c>
      <c r="BE97" s="389">
        <f>+Controls!BE39</f>
        <v>0.22371270831332768</v>
      </c>
      <c r="BF97" s="389">
        <f>+Controls!BF39</f>
        <v>0.22371270831332768</v>
      </c>
      <c r="BG97" s="389">
        <f>+Controls!BG39</f>
        <v>0.22371270831332768</v>
      </c>
      <c r="BH97" s="389">
        <f>+Controls!BH39</f>
        <v>0.22371270831332768</v>
      </c>
      <c r="BI97" s="389">
        <f>+Controls!BI39</f>
        <v>0.22371270831332768</v>
      </c>
    </row>
    <row r="98" spans="1:61" s="40" customFormat="1" ht="18" customHeight="1" x14ac:dyDescent="0.2">
      <c r="A98" s="398" t="str">
        <f>+Controls!C1</f>
        <v>Control = 1 if tax or 0 if capped</v>
      </c>
      <c r="B98" s="398">
        <f>+Controls!I1</f>
        <v>1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</row>
    <row r="99" spans="1:61" s="40" customFormat="1" ht="18" customHeight="1" x14ac:dyDescent="0.2">
      <c r="A99" s="398" t="str">
        <f>+Controls!C2</f>
        <v>Trade (0) or no trade (1)</v>
      </c>
      <c r="B99" s="398">
        <f>+Controls!I2</f>
        <v>1</v>
      </c>
    </row>
    <row r="100" spans="1:61" s="103" customFormat="1" ht="18" customHeight="1" x14ac:dyDescent="0.2">
      <c r="A100" s="509"/>
      <c r="B100" s="509"/>
    </row>
    <row r="101" spans="1:61" s="464" customFormat="1" ht="18" customHeight="1" x14ac:dyDescent="0.2">
      <c r="A101" s="470" t="s">
        <v>1010</v>
      </c>
      <c r="B101" s="463">
        <f t="shared" ref="B101:AG101" si="42">+B$36*1000*B103^($B$38-1)</f>
        <v>1.0000000000000015E-3</v>
      </c>
      <c r="C101" s="463">
        <f t="shared" si="42"/>
        <v>1.0000000000000002E-3</v>
      </c>
      <c r="D101" s="463">
        <f t="shared" si="42"/>
        <v>1.0000000000000022E-3</v>
      </c>
      <c r="E101" s="463">
        <f t="shared" si="42"/>
        <v>1.0000000000000228E-3</v>
      </c>
      <c r="F101" s="463">
        <f t="shared" si="42"/>
        <v>1.0000000000003001E-3</v>
      </c>
      <c r="G101" s="463">
        <f t="shared" si="42"/>
        <v>1.0000000000020108E-3</v>
      </c>
      <c r="H101" s="463">
        <f t="shared" si="42"/>
        <v>1.0000000000091717E-3</v>
      </c>
      <c r="I101" s="463">
        <f t="shared" si="42"/>
        <v>1.0000000000319862E-3</v>
      </c>
      <c r="J101" s="463">
        <f t="shared" si="42"/>
        <v>1.0000000000922244E-3</v>
      </c>
      <c r="K101" s="463">
        <f t="shared" si="42"/>
        <v>1.0000000002275552E-3</v>
      </c>
      <c r="L101" s="463">
        <f t="shared" si="42"/>
        <v>1.00000000050532E-3</v>
      </c>
      <c r="M101" s="463">
        <f t="shared" si="42"/>
        <v>1.0000000010417344E-3</v>
      </c>
      <c r="N101" s="463">
        <f t="shared" si="42"/>
        <v>1.0000000019921502E-3</v>
      </c>
      <c r="O101" s="463">
        <f t="shared" si="42"/>
        <v>1.0000000035927906E-3</v>
      </c>
      <c r="P101" s="463">
        <f t="shared" si="42"/>
        <v>1.0000000062096895E-3</v>
      </c>
      <c r="Q101" s="463">
        <f t="shared" si="42"/>
        <v>1.0000000104204642E-3</v>
      </c>
      <c r="R101" s="463">
        <f t="shared" si="42"/>
        <v>1.0000000170144602E-3</v>
      </c>
      <c r="S101" s="463">
        <f t="shared" si="42"/>
        <v>1.0000000272142192E-3</v>
      </c>
      <c r="T101" s="463">
        <f t="shared" si="42"/>
        <v>1.0000000427819876E-3</v>
      </c>
      <c r="U101" s="463">
        <f t="shared" si="42"/>
        <v>1.0000000656043358E-3</v>
      </c>
      <c r="V101" s="463">
        <f t="shared" si="42"/>
        <v>1.0000000970886362E-3</v>
      </c>
      <c r="W101" s="463">
        <f t="shared" si="42"/>
        <v>1.0000001421883787E-3</v>
      </c>
      <c r="X101" s="463">
        <f t="shared" si="42"/>
        <v>1.0000002055977515E-3</v>
      </c>
      <c r="Y101" s="463">
        <f t="shared" si="42"/>
        <v>1.0000002932497466E-3</v>
      </c>
      <c r="Z101" s="463">
        <f t="shared" si="42"/>
        <v>1.0000004131003599E-3</v>
      </c>
      <c r="AA101" s="463">
        <f t="shared" si="42"/>
        <v>1.0000005755955608E-3</v>
      </c>
      <c r="AB101" s="463">
        <f t="shared" si="42"/>
        <v>509.79814454898167</v>
      </c>
      <c r="AC101" s="463">
        <f t="shared" si="42"/>
        <v>491.86823732153255</v>
      </c>
      <c r="AD101" s="463">
        <f t="shared" si="42"/>
        <v>474.83482545545593</v>
      </c>
      <c r="AE101" s="463">
        <f t="shared" si="42"/>
        <v>458.65308418268307</v>
      </c>
      <c r="AF101" s="463">
        <f t="shared" si="42"/>
        <v>443.28042997354896</v>
      </c>
      <c r="AG101" s="463">
        <f t="shared" si="42"/>
        <v>428.67640847487149</v>
      </c>
      <c r="AH101" s="463">
        <f t="shared" ref="AH101:BI101" si="43">+AH$36*1000*AH103^($B$38-1)</f>
        <v>414.80258805112788</v>
      </c>
      <c r="AI101" s="463">
        <f t="shared" si="43"/>
        <v>401.62245864857147</v>
      </c>
      <c r="AJ101" s="463">
        <f t="shared" si="43"/>
        <v>389.1013357161429</v>
      </c>
      <c r="AK101" s="463">
        <f t="shared" si="43"/>
        <v>377.20626893033574</v>
      </c>
      <c r="AL101" s="463">
        <f t="shared" si="43"/>
        <v>365.90595548381901</v>
      </c>
      <c r="AM101" s="463">
        <f t="shared" si="43"/>
        <v>355.17065770962802</v>
      </c>
      <c r="AN101" s="463">
        <f t="shared" si="43"/>
        <v>344.97212482414665</v>
      </c>
      <c r="AO101" s="463">
        <f t="shared" si="43"/>
        <v>335.28351858293928</v>
      </c>
      <c r="AP101" s="463">
        <f t="shared" si="43"/>
        <v>326.07934265379231</v>
      </c>
      <c r="AQ101" s="463">
        <f t="shared" si="43"/>
        <v>317.33537552110272</v>
      </c>
      <c r="AR101" s="463">
        <f t="shared" si="43"/>
        <v>309.02860674504757</v>
      </c>
      <c r="AS101" s="463">
        <f t="shared" si="43"/>
        <v>301.13717640779515</v>
      </c>
      <c r="AT101" s="463">
        <f t="shared" si="43"/>
        <v>293.64031758740538</v>
      </c>
      <c r="AU101" s="463">
        <f t="shared" si="43"/>
        <v>286.5183017080351</v>
      </c>
      <c r="AV101" s="463">
        <f t="shared" si="43"/>
        <v>279.75238662263337</v>
      </c>
      <c r="AW101" s="463">
        <f t="shared" si="43"/>
        <v>273.3247672915017</v>
      </c>
      <c r="AX101" s="463">
        <f t="shared" si="43"/>
        <v>267.21852892692658</v>
      </c>
      <c r="AY101" s="463">
        <f t="shared" si="43"/>
        <v>261.41760248058029</v>
      </c>
      <c r="AZ101" s="463">
        <f t="shared" si="43"/>
        <v>255.90672235655126</v>
      </c>
      <c r="BA101" s="463">
        <f t="shared" si="43"/>
        <v>250.6713862387237</v>
      </c>
      <c r="BB101" s="463">
        <f t="shared" si="43"/>
        <v>245.69781692678748</v>
      </c>
      <c r="BC101" s="463">
        <f t="shared" si="43"/>
        <v>240.97292608044813</v>
      </c>
      <c r="BD101" s="463">
        <f t="shared" si="43"/>
        <v>236.48427977642572</v>
      </c>
      <c r="BE101" s="463">
        <f t="shared" si="43"/>
        <v>118.24213988821286</v>
      </c>
      <c r="BF101" s="463">
        <f t="shared" si="43"/>
        <v>59.121069944106431</v>
      </c>
      <c r="BG101" s="463">
        <f t="shared" si="43"/>
        <v>29.560534972053215</v>
      </c>
      <c r="BH101" s="463">
        <f t="shared" si="43"/>
        <v>14.780267486026608</v>
      </c>
      <c r="BI101" s="463">
        <f t="shared" si="43"/>
        <v>7.3901337430133038</v>
      </c>
    </row>
    <row r="102" spans="1:61" s="467" customFormat="1" ht="18" customHeight="1" x14ac:dyDescent="0.2">
      <c r="A102" s="612" t="s">
        <v>955</v>
      </c>
      <c r="B102" s="465">
        <f>+B119*(1-MIN(B103,1))</f>
        <v>0.35157696853612941</v>
      </c>
      <c r="C102" s="465">
        <f>+C119*(1-MIN(C103,1))</f>
        <v>0.40376188066653579</v>
      </c>
      <c r="D102" s="465">
        <f t="shared" ref="D102:BI102" si="44">+D119*(1-MIN(D103,1))</f>
        <v>0.36121413398474445</v>
      </c>
      <c r="E102" s="465">
        <f t="shared" si="44"/>
        <v>0.32818867927761619</v>
      </c>
      <c r="F102" s="465">
        <f t="shared" si="44"/>
        <v>0.30197494392528174</v>
      </c>
      <c r="G102" s="465">
        <f t="shared" si="44"/>
        <v>0.28353951167130881</v>
      </c>
      <c r="H102" s="465">
        <f t="shared" si="44"/>
        <v>0.26771725151902076</v>
      </c>
      <c r="I102" s="465">
        <f t="shared" si="44"/>
        <v>0.24727068558622986</v>
      </c>
      <c r="J102" s="465">
        <f t="shared" si="44"/>
        <v>0.21133119888731833</v>
      </c>
      <c r="K102" s="465">
        <f t="shared" si="44"/>
        <v>0.19847092554655679</v>
      </c>
      <c r="L102" s="465">
        <f t="shared" si="44"/>
        <v>0.1913197772789646</v>
      </c>
      <c r="M102" s="465">
        <f t="shared" si="44"/>
        <v>0.18233959060688495</v>
      </c>
      <c r="N102" s="465">
        <f t="shared" si="44"/>
        <v>0.17775877896809938</v>
      </c>
      <c r="O102" s="465">
        <f t="shared" si="44"/>
        <v>0.17488146304435287</v>
      </c>
      <c r="P102" s="465">
        <f t="shared" si="44"/>
        <v>0.17369760554864894</v>
      </c>
      <c r="Q102" s="465">
        <f t="shared" si="44"/>
        <v>0.17276289619486201</v>
      </c>
      <c r="R102" s="465">
        <f t="shared" si="44"/>
        <v>0.17246003817305069</v>
      </c>
      <c r="S102" s="465">
        <f t="shared" si="44"/>
        <v>0.17327667440473346</v>
      </c>
      <c r="T102" s="465">
        <f t="shared" si="44"/>
        <v>0.17195767160375675</v>
      </c>
      <c r="U102" s="465">
        <f t="shared" si="44"/>
        <v>0.1686407357273533</v>
      </c>
      <c r="V102" s="465">
        <f t="shared" si="44"/>
        <v>0.17075835133784456</v>
      </c>
      <c r="W102" s="465">
        <f t="shared" si="44"/>
        <v>0.17095487623906674</v>
      </c>
      <c r="X102" s="465">
        <f t="shared" si="44"/>
        <v>0.1735854567418863</v>
      </c>
      <c r="Y102" s="465">
        <f t="shared" si="44"/>
        <v>0.17501409070539728</v>
      </c>
      <c r="Z102" s="465">
        <f t="shared" si="44"/>
        <v>0.17644448847285074</v>
      </c>
      <c r="AA102" s="465">
        <f t="shared" si="44"/>
        <v>0.17836502782822702</v>
      </c>
      <c r="AB102" s="465">
        <f t="shared" si="44"/>
        <v>0</v>
      </c>
      <c r="AC102" s="465">
        <f t="shared" si="44"/>
        <v>0</v>
      </c>
      <c r="AD102" s="465">
        <f t="shared" si="44"/>
        <v>0</v>
      </c>
      <c r="AE102" s="465">
        <f t="shared" si="44"/>
        <v>0</v>
      </c>
      <c r="AF102" s="465">
        <f t="shared" si="44"/>
        <v>0</v>
      </c>
      <c r="AG102" s="465">
        <f t="shared" si="44"/>
        <v>0</v>
      </c>
      <c r="AH102" s="465">
        <f t="shared" si="44"/>
        <v>0</v>
      </c>
      <c r="AI102" s="465">
        <f t="shared" si="44"/>
        <v>0</v>
      </c>
      <c r="AJ102" s="465">
        <f t="shared" si="44"/>
        <v>0</v>
      </c>
      <c r="AK102" s="465">
        <f t="shared" si="44"/>
        <v>0</v>
      </c>
      <c r="AL102" s="465">
        <f t="shared" si="44"/>
        <v>0</v>
      </c>
      <c r="AM102" s="465">
        <f t="shared" si="44"/>
        <v>0</v>
      </c>
      <c r="AN102" s="465">
        <f t="shared" si="44"/>
        <v>0</v>
      </c>
      <c r="AO102" s="465">
        <f t="shared" si="44"/>
        <v>0</v>
      </c>
      <c r="AP102" s="465">
        <f t="shared" si="44"/>
        <v>0</v>
      </c>
      <c r="AQ102" s="465">
        <f t="shared" si="44"/>
        <v>0</v>
      </c>
      <c r="AR102" s="465">
        <f t="shared" si="44"/>
        <v>0</v>
      </c>
      <c r="AS102" s="465">
        <f t="shared" si="44"/>
        <v>0</v>
      </c>
      <c r="AT102" s="465">
        <f t="shared" si="44"/>
        <v>0</v>
      </c>
      <c r="AU102" s="465">
        <f t="shared" si="44"/>
        <v>0</v>
      </c>
      <c r="AV102" s="465">
        <f t="shared" si="44"/>
        <v>0</v>
      </c>
      <c r="AW102" s="465">
        <f t="shared" si="44"/>
        <v>0</v>
      </c>
      <c r="AX102" s="465">
        <f t="shared" si="44"/>
        <v>0</v>
      </c>
      <c r="AY102" s="465">
        <f t="shared" si="44"/>
        <v>0</v>
      </c>
      <c r="AZ102" s="465">
        <f t="shared" si="44"/>
        <v>0</v>
      </c>
      <c r="BA102" s="465">
        <f t="shared" si="44"/>
        <v>0</v>
      </c>
      <c r="BB102" s="465">
        <f t="shared" si="44"/>
        <v>0</v>
      </c>
      <c r="BC102" s="465">
        <f t="shared" si="44"/>
        <v>0</v>
      </c>
      <c r="BD102" s="465">
        <f t="shared" si="44"/>
        <v>0</v>
      </c>
      <c r="BE102" s="465">
        <f t="shared" si="44"/>
        <v>0</v>
      </c>
      <c r="BF102" s="465">
        <f t="shared" si="44"/>
        <v>0</v>
      </c>
      <c r="BG102" s="465">
        <f t="shared" si="44"/>
        <v>0</v>
      </c>
      <c r="BH102" s="465">
        <f t="shared" si="44"/>
        <v>0</v>
      </c>
      <c r="BI102" s="465">
        <f t="shared" si="44"/>
        <v>0</v>
      </c>
    </row>
    <row r="103" spans="1:61" s="469" customFormat="1" ht="18" customHeight="1" x14ac:dyDescent="0.2">
      <c r="A103" s="613" t="s">
        <v>956</v>
      </c>
      <c r="B103" s="468">
        <f>+IF($B$98=1,B109,IF($B$99=1,B114,B122))</f>
        <v>3.6890595990008481E-4</v>
      </c>
      <c r="C103" s="468">
        <f>+IF($B$98&gt;0,C109,IF($B$99&gt;0,C114,C122))</f>
        <v>3.7846429145772228E-4</v>
      </c>
      <c r="D103" s="468">
        <f t="shared" ref="D103:BI103" si="45">+IF($B$98&gt;0,D109,IF($B$99&gt;0,D114,D122))</f>
        <v>3.8821707361780494E-4</v>
      </c>
      <c r="E103" s="468">
        <f t="shared" si="45"/>
        <v>3.9816436627695311E-4</v>
      </c>
      <c r="F103" s="468">
        <f t="shared" si="45"/>
        <v>4.0830591448666394E-4</v>
      </c>
      <c r="G103" s="468">
        <f t="shared" si="45"/>
        <v>4.1864112868834642E-4</v>
      </c>
      <c r="H103" s="468">
        <f t="shared" si="45"/>
        <v>4.2916906492944623E-4</v>
      </c>
      <c r="I103" s="468">
        <f t="shared" si="45"/>
        <v>4.3988840519820397E-4</v>
      </c>
      <c r="J103" s="468">
        <f t="shared" si="45"/>
        <v>4.5079743802933184E-4</v>
      </c>
      <c r="K103" s="468">
        <f t="shared" si="45"/>
        <v>4.6189403954657334E-4</v>
      </c>
      <c r="L103" s="468">
        <f t="shared" si="45"/>
        <v>4.7317565512582381E-4</v>
      </c>
      <c r="M103" s="468">
        <f t="shared" si="45"/>
        <v>4.8463928187278914E-4</v>
      </c>
      <c r="N103" s="468">
        <f t="shared" si="45"/>
        <v>4.9628145211339707E-4</v>
      </c>
      <c r="O103" s="468">
        <f t="shared" si="45"/>
        <v>5.080982181372806E-4</v>
      </c>
      <c r="P103" s="468">
        <f t="shared" si="45"/>
        <v>5.2008513841269395E-4</v>
      </c>
      <c r="Q103" s="468">
        <f t="shared" si="45"/>
        <v>5.3223726551745716E-4</v>
      </c>
      <c r="R103" s="468">
        <f t="shared" si="45"/>
        <v>5.4454913599488123E-4</v>
      </c>
      <c r="S103" s="468">
        <f t="shared" si="45"/>
        <v>5.5701476246903679E-4</v>
      </c>
      <c r="T103" s="468">
        <f t="shared" si="45"/>
        <v>5.6962762816733863E-4</v>
      </c>
      <c r="U103" s="468">
        <f t="shared" si="45"/>
        <v>5.8238068395250126E-4</v>
      </c>
      <c r="V103" s="468">
        <f t="shared" si="45"/>
        <v>5.9526634817866082E-4</v>
      </c>
      <c r="W103" s="468">
        <f t="shared" si="45"/>
        <v>6.0827651120677888E-4</v>
      </c>
      <c r="X103" s="468">
        <f t="shared" si="45"/>
        <v>6.2140254071335859E-4</v>
      </c>
      <c r="Y103" s="468">
        <f t="shared" si="45"/>
        <v>6.346352922029123E-4</v>
      </c>
      <c r="Z103" s="468">
        <f t="shared" si="45"/>
        <v>6.4796512297819785E-4</v>
      </c>
      <c r="AA103" s="468">
        <f t="shared" si="45"/>
        <v>6.6138190979630443E-4</v>
      </c>
      <c r="AB103" s="468">
        <f t="shared" si="45"/>
        <v>1</v>
      </c>
      <c r="AC103" s="468">
        <f t="shared" si="45"/>
        <v>1</v>
      </c>
      <c r="AD103" s="468">
        <f t="shared" si="45"/>
        <v>1</v>
      </c>
      <c r="AE103" s="468">
        <f t="shared" si="45"/>
        <v>1</v>
      </c>
      <c r="AF103" s="468">
        <f t="shared" si="45"/>
        <v>1</v>
      </c>
      <c r="AG103" s="468">
        <f t="shared" si="45"/>
        <v>1</v>
      </c>
      <c r="AH103" s="468">
        <f t="shared" si="45"/>
        <v>1</v>
      </c>
      <c r="AI103" s="468">
        <f t="shared" si="45"/>
        <v>1</v>
      </c>
      <c r="AJ103" s="468">
        <f t="shared" si="45"/>
        <v>1</v>
      </c>
      <c r="AK103" s="468">
        <f t="shared" si="45"/>
        <v>1</v>
      </c>
      <c r="AL103" s="468">
        <f t="shared" si="45"/>
        <v>1</v>
      </c>
      <c r="AM103" s="468">
        <f t="shared" si="45"/>
        <v>1</v>
      </c>
      <c r="AN103" s="468">
        <f t="shared" si="45"/>
        <v>1</v>
      </c>
      <c r="AO103" s="468">
        <f t="shared" si="45"/>
        <v>1</v>
      </c>
      <c r="AP103" s="468">
        <f t="shared" si="45"/>
        <v>1</v>
      </c>
      <c r="AQ103" s="468">
        <f t="shared" si="45"/>
        <v>1</v>
      </c>
      <c r="AR103" s="468">
        <f t="shared" si="45"/>
        <v>1</v>
      </c>
      <c r="AS103" s="468">
        <f t="shared" si="45"/>
        <v>1</v>
      </c>
      <c r="AT103" s="468">
        <f t="shared" si="45"/>
        <v>1</v>
      </c>
      <c r="AU103" s="468">
        <f t="shared" si="45"/>
        <v>1</v>
      </c>
      <c r="AV103" s="468">
        <f t="shared" si="45"/>
        <v>1</v>
      </c>
      <c r="AW103" s="468">
        <f t="shared" si="45"/>
        <v>1</v>
      </c>
      <c r="AX103" s="468">
        <f t="shared" si="45"/>
        <v>1</v>
      </c>
      <c r="AY103" s="468">
        <f t="shared" si="45"/>
        <v>1</v>
      </c>
      <c r="AZ103" s="468">
        <f t="shared" si="45"/>
        <v>1</v>
      </c>
      <c r="BA103" s="468">
        <f t="shared" si="45"/>
        <v>1</v>
      </c>
      <c r="BB103" s="468">
        <f t="shared" si="45"/>
        <v>1</v>
      </c>
      <c r="BC103" s="468">
        <f t="shared" si="45"/>
        <v>1</v>
      </c>
      <c r="BD103" s="468">
        <f t="shared" si="45"/>
        <v>1</v>
      </c>
      <c r="BE103" s="468">
        <f t="shared" si="45"/>
        <v>1</v>
      </c>
      <c r="BF103" s="468">
        <f t="shared" si="45"/>
        <v>1</v>
      </c>
      <c r="BG103" s="468">
        <f t="shared" si="45"/>
        <v>1</v>
      </c>
      <c r="BH103" s="468">
        <f t="shared" si="45"/>
        <v>1</v>
      </c>
      <c r="BI103" s="468">
        <f t="shared" si="45"/>
        <v>1</v>
      </c>
    </row>
    <row r="104" spans="1:61" ht="18" customHeight="1" x14ac:dyDescent="0.2">
      <c r="A104" s="59"/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  <c r="AF104" s="144"/>
      <c r="AG104" s="144"/>
      <c r="AH104" s="144"/>
      <c r="AI104" s="144"/>
      <c r="AJ104" s="144"/>
      <c r="AK104" s="144"/>
      <c r="AL104" s="144"/>
      <c r="AM104" s="144"/>
      <c r="AN104" s="144"/>
      <c r="AO104" s="144"/>
      <c r="AP104" s="144"/>
      <c r="AQ104" s="144"/>
      <c r="AR104" s="144"/>
      <c r="AS104" s="144"/>
      <c r="AT104" s="144"/>
      <c r="AU104" s="144"/>
      <c r="AV104" s="144"/>
      <c r="AW104" s="144"/>
      <c r="AX104" s="144"/>
      <c r="AY104" s="144"/>
      <c r="AZ104" s="144"/>
      <c r="BA104" s="144"/>
      <c r="BB104" s="144"/>
      <c r="BC104" s="144"/>
      <c r="BD104" s="144"/>
      <c r="BE104" s="144"/>
      <c r="BF104" s="144"/>
      <c r="BG104" s="144"/>
      <c r="BH104" s="144"/>
      <c r="BI104" s="144"/>
    </row>
    <row r="105" spans="1:61" ht="18" customHeight="1" x14ac:dyDescent="0.25">
      <c r="A105" s="376" t="s">
        <v>947</v>
      </c>
      <c r="B105" s="373"/>
      <c r="C105" s="373"/>
      <c r="D105" s="373"/>
      <c r="E105" s="373"/>
      <c r="F105" s="373"/>
      <c r="G105" s="373"/>
      <c r="H105" s="373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373"/>
      <c r="V105" s="373"/>
      <c r="W105" s="373"/>
      <c r="X105" s="373"/>
      <c r="Y105" s="373"/>
      <c r="Z105" s="373"/>
      <c r="AA105" s="373"/>
      <c r="AB105" s="373"/>
      <c r="AC105" s="373"/>
      <c r="AD105" s="373"/>
      <c r="AE105" s="373"/>
      <c r="AF105" s="373"/>
      <c r="AG105" s="373"/>
      <c r="AH105" s="373"/>
      <c r="AI105" s="373"/>
      <c r="AJ105" s="373"/>
      <c r="AK105" s="373"/>
      <c r="AL105" s="373"/>
      <c r="AM105" s="373"/>
      <c r="AN105" s="373"/>
      <c r="AO105" s="373"/>
      <c r="AP105" s="373"/>
      <c r="AQ105" s="373"/>
      <c r="AR105" s="373"/>
      <c r="AS105" s="373"/>
      <c r="AT105" s="373"/>
      <c r="AU105" s="373"/>
      <c r="AV105" s="373"/>
      <c r="AW105" s="373"/>
      <c r="AX105" s="373"/>
      <c r="AY105" s="373"/>
      <c r="AZ105" s="373"/>
      <c r="BA105" s="373"/>
      <c r="BB105" s="373"/>
      <c r="BC105" s="373"/>
      <c r="BD105" s="373"/>
      <c r="BE105" s="373"/>
      <c r="BF105" s="373"/>
      <c r="BG105" s="373"/>
      <c r="BH105" s="373"/>
      <c r="BI105" s="373"/>
    </row>
    <row r="106" spans="1:61" s="374" customFormat="1" ht="18" customHeight="1" x14ac:dyDescent="0.2">
      <c r="A106" s="372" t="s">
        <v>192</v>
      </c>
      <c r="B106" s="373">
        <f t="shared" ref="B106:BI106" si="46">+MIN(B107+B108,B36*1000)</f>
        <v>1E-3</v>
      </c>
      <c r="C106" s="373">
        <f t="shared" si="46"/>
        <v>1E-3</v>
      </c>
      <c r="D106" s="373">
        <f t="shared" si="46"/>
        <v>1.0000000000000005E-3</v>
      </c>
      <c r="E106" s="373">
        <f t="shared" si="46"/>
        <v>1.000000000000023E-3</v>
      </c>
      <c r="F106" s="373">
        <f t="shared" si="46"/>
        <v>1.0000000000003001E-3</v>
      </c>
      <c r="G106" s="373">
        <f t="shared" si="46"/>
        <v>1.0000000000020112E-3</v>
      </c>
      <c r="H106" s="373">
        <f t="shared" si="46"/>
        <v>1.0000000000091702E-3</v>
      </c>
      <c r="I106" s="373">
        <f t="shared" si="46"/>
        <v>1.0000000000319844E-3</v>
      </c>
      <c r="J106" s="373">
        <f t="shared" si="46"/>
        <v>1.0000000000922251E-3</v>
      </c>
      <c r="K106" s="373">
        <f t="shared" si="46"/>
        <v>1.0000000002275561E-3</v>
      </c>
      <c r="L106" s="373">
        <f t="shared" si="46"/>
        <v>1.0000000005053185E-3</v>
      </c>
      <c r="M106" s="450">
        <f t="shared" si="46"/>
        <v>1.0000000010417327E-3</v>
      </c>
      <c r="N106" s="373">
        <f t="shared" si="46"/>
        <v>1.0000000019921491E-3</v>
      </c>
      <c r="O106" s="373">
        <f t="shared" si="46"/>
        <v>1.0000000035927906E-3</v>
      </c>
      <c r="P106" s="373">
        <f t="shared" si="46"/>
        <v>1.0000000062096877E-3</v>
      </c>
      <c r="Q106" s="373">
        <f t="shared" si="46"/>
        <v>1.0000000104204644E-3</v>
      </c>
      <c r="R106" s="373">
        <f t="shared" si="46"/>
        <v>1.0000000170144582E-3</v>
      </c>
      <c r="S106" s="373">
        <f t="shared" si="46"/>
        <v>1.0000000272142174E-3</v>
      </c>
      <c r="T106" s="373">
        <f t="shared" si="46"/>
        <v>1.0000000427819878E-3</v>
      </c>
      <c r="U106" s="373">
        <f t="shared" si="46"/>
        <v>1.0000000656043364E-3</v>
      </c>
      <c r="V106" s="373">
        <f t="shared" si="46"/>
        <v>1.0000000970886349E-3</v>
      </c>
      <c r="W106" s="373">
        <f t="shared" si="46"/>
        <v>1.0000001421883765E-3</v>
      </c>
      <c r="X106" s="373">
        <f t="shared" si="46"/>
        <v>1.0000002055977509E-3</v>
      </c>
      <c r="Y106" s="373">
        <f t="shared" si="46"/>
        <v>1.0000002932497453E-3</v>
      </c>
      <c r="Z106" s="373">
        <f t="shared" si="46"/>
        <v>1.0000004131003601E-3</v>
      </c>
      <c r="AA106" s="373">
        <f t="shared" si="46"/>
        <v>1.0000005755955613E-3</v>
      </c>
      <c r="AB106" s="373">
        <f t="shared" si="46"/>
        <v>509.79814454898167</v>
      </c>
      <c r="AC106" s="373">
        <f t="shared" si="46"/>
        <v>491.86823732153255</v>
      </c>
      <c r="AD106" s="373">
        <f t="shared" si="46"/>
        <v>474.83482545545593</v>
      </c>
      <c r="AE106" s="373">
        <f t="shared" si="46"/>
        <v>458.65308418268307</v>
      </c>
      <c r="AF106" s="373">
        <f t="shared" si="46"/>
        <v>443.28042997354896</v>
      </c>
      <c r="AG106" s="373">
        <f t="shared" si="46"/>
        <v>428.67640847487149</v>
      </c>
      <c r="AH106" s="373">
        <f t="shared" si="46"/>
        <v>414.80258805112788</v>
      </c>
      <c r="AI106" s="373">
        <f t="shared" si="46"/>
        <v>401.62245864857147</v>
      </c>
      <c r="AJ106" s="373">
        <f t="shared" si="46"/>
        <v>389.1013357161429</v>
      </c>
      <c r="AK106" s="373">
        <f t="shared" si="46"/>
        <v>377.20626893033574</v>
      </c>
      <c r="AL106" s="373">
        <f t="shared" si="46"/>
        <v>365.90595548381901</v>
      </c>
      <c r="AM106" s="373">
        <f t="shared" si="46"/>
        <v>355.17065770962802</v>
      </c>
      <c r="AN106" s="373">
        <f t="shared" si="46"/>
        <v>344.97212482414665</v>
      </c>
      <c r="AO106" s="373">
        <f t="shared" si="46"/>
        <v>335.28351858293928</v>
      </c>
      <c r="AP106" s="373">
        <f t="shared" si="46"/>
        <v>326.07934265379231</v>
      </c>
      <c r="AQ106" s="373">
        <f t="shared" si="46"/>
        <v>317.33537552110272</v>
      </c>
      <c r="AR106" s="373">
        <f t="shared" si="46"/>
        <v>309.02860674504757</v>
      </c>
      <c r="AS106" s="373">
        <f t="shared" si="46"/>
        <v>301.13717640779515</v>
      </c>
      <c r="AT106" s="373">
        <f t="shared" si="46"/>
        <v>293.64031758740538</v>
      </c>
      <c r="AU106" s="373">
        <f t="shared" si="46"/>
        <v>286.5183017080351</v>
      </c>
      <c r="AV106" s="373">
        <f t="shared" si="46"/>
        <v>279.75238662263337</v>
      </c>
      <c r="AW106" s="373">
        <f t="shared" si="46"/>
        <v>273.3247672915017</v>
      </c>
      <c r="AX106" s="373">
        <f t="shared" si="46"/>
        <v>267.21852892692658</v>
      </c>
      <c r="AY106" s="373">
        <f t="shared" si="46"/>
        <v>261.41760248058029</v>
      </c>
      <c r="AZ106" s="373">
        <f t="shared" si="46"/>
        <v>255.90672235655126</v>
      </c>
      <c r="BA106" s="373">
        <f t="shared" si="46"/>
        <v>250.6713862387237</v>
      </c>
      <c r="BB106" s="373">
        <f t="shared" si="46"/>
        <v>245.69781692678748</v>
      </c>
      <c r="BC106" s="373">
        <f t="shared" si="46"/>
        <v>240.97292608044813</v>
      </c>
      <c r="BD106" s="373">
        <f t="shared" si="46"/>
        <v>236.48427977642572</v>
      </c>
      <c r="BE106" s="373">
        <f t="shared" si="46"/>
        <v>118.24213988821286</v>
      </c>
      <c r="BF106" s="373">
        <f t="shared" si="46"/>
        <v>59.121069944106431</v>
      </c>
      <c r="BG106" s="373">
        <f t="shared" si="46"/>
        <v>29.560534972053215</v>
      </c>
      <c r="BH106" s="373">
        <f t="shared" si="46"/>
        <v>14.780267486026608</v>
      </c>
      <c r="BI106" s="373">
        <f t="shared" si="46"/>
        <v>7.3901337430133038</v>
      </c>
    </row>
    <row r="107" spans="1:61" ht="18" customHeight="1" x14ac:dyDescent="0.2">
      <c r="A107" s="372" t="s">
        <v>212</v>
      </c>
      <c r="B107" s="373">
        <f>+Controls!B9</f>
        <v>0</v>
      </c>
      <c r="C107" s="373">
        <f>+Controls!C9</f>
        <v>4.7431311437536068E-22</v>
      </c>
      <c r="D107" s="373">
        <f>+Controls!D9</f>
        <v>4.9499779356646234E-19</v>
      </c>
      <c r="E107" s="373">
        <f>+Controls!E9</f>
        <v>2.2950082724145313E-17</v>
      </c>
      <c r="F107" s="373">
        <f>+Controls!F9</f>
        <v>3.0007004337781361E-16</v>
      </c>
      <c r="G107" s="373">
        <f>+Controls!G9</f>
        <v>2.0111020870924207E-15</v>
      </c>
      <c r="H107" s="373">
        <f>+Controls!H9</f>
        <v>9.1702790465416517E-15</v>
      </c>
      <c r="I107" s="373">
        <f>+Controls!I9</f>
        <v>3.198449994719941E-14</v>
      </c>
      <c r="J107" s="373">
        <f>+Controls!J9</f>
        <v>9.2225114033518281E-14</v>
      </c>
      <c r="K107" s="373">
        <f>+Controls!K9</f>
        <v>2.2755606939754696E-13</v>
      </c>
      <c r="L107" s="373">
        <f>+Controls!L9</f>
        <v>5.0531839800270536E-13</v>
      </c>
      <c r="M107" s="373">
        <f>+Controls!M9</f>
        <v>1.041732739135554E-12</v>
      </c>
      <c r="N107" s="373">
        <f>+Controls!N9</f>
        <v>1.9921489808924816E-12</v>
      </c>
      <c r="O107" s="373">
        <f>+Controls!O9</f>
        <v>3.592790577647619E-12</v>
      </c>
      <c r="P107" s="373">
        <f>+Controls!P9</f>
        <v>6.2096877944755882E-12</v>
      </c>
      <c r="Q107" s="373">
        <f>+Controls!Q9</f>
        <v>1.0420464500406822E-11</v>
      </c>
      <c r="R107" s="373">
        <f>+Controls!R9</f>
        <v>1.7014458255435967E-11</v>
      </c>
      <c r="S107" s="373">
        <f>+Controls!S9</f>
        <v>2.7214217352909939E-11</v>
      </c>
      <c r="T107" s="373">
        <f>+Controls!T9</f>
        <v>4.278198774705669E-11</v>
      </c>
      <c r="U107" s="373">
        <f>+Controls!U9</f>
        <v>6.56043363323927E-11</v>
      </c>
      <c r="V107" s="373">
        <f>+Controls!V9</f>
        <v>9.7088634831693527E-11</v>
      </c>
      <c r="W107" s="373">
        <f>+Controls!W9</f>
        <v>1.421883765928301E-10</v>
      </c>
      <c r="X107" s="373">
        <f>+Controls!X9</f>
        <v>2.0559775077091586E-10</v>
      </c>
      <c r="Y107" s="373">
        <f>+Controls!Y9</f>
        <v>2.9324974524112873E-10</v>
      </c>
      <c r="Z107" s="373">
        <f>+Controls!Z9</f>
        <v>4.1310036013686986E-10</v>
      </c>
      <c r="AA107" s="373">
        <f>+Controls!AA9</f>
        <v>5.7559556115634E-10</v>
      </c>
      <c r="AB107" s="373">
        <f>+Controls!AB9</f>
        <v>7.9377250079448993E-10</v>
      </c>
      <c r="AC107" s="373">
        <f>+Controls!AC9</f>
        <v>7.9377250079448993E-10</v>
      </c>
      <c r="AD107" s="373">
        <f>+Controls!AD9</f>
        <v>7.9377250079448993E-10</v>
      </c>
      <c r="AE107" s="373">
        <f>+Controls!AE9</f>
        <v>7.9377250079448993E-10</v>
      </c>
      <c r="AF107" s="373">
        <f>+Controls!AF9</f>
        <v>7.9377250079448993E-10</v>
      </c>
      <c r="AG107" s="373">
        <f>+Controls!AG9</f>
        <v>7.9377250079448993E-10</v>
      </c>
      <c r="AH107" s="373">
        <f>+Controls!AH9</f>
        <v>7.9377250079448993E-10</v>
      </c>
      <c r="AI107" s="373">
        <f>+Controls!AI9</f>
        <v>7.9377250079448993E-10</v>
      </c>
      <c r="AJ107" s="373">
        <f>+Controls!AJ9</f>
        <v>7.9377250079448993E-10</v>
      </c>
      <c r="AK107" s="373">
        <f>+Controls!AK9</f>
        <v>7.9377250079448993E-10</v>
      </c>
      <c r="AL107" s="373">
        <f>+Controls!AL9</f>
        <v>7.9377250079448993E-10</v>
      </c>
      <c r="AM107" s="373">
        <f>+Controls!AM9</f>
        <v>7.9377250079448993E-10</v>
      </c>
      <c r="AN107" s="373">
        <f>+Controls!AN9</f>
        <v>7.9377250079448993E-10</v>
      </c>
      <c r="AO107" s="373">
        <f>+Controls!AO9</f>
        <v>7.9377250079448993E-10</v>
      </c>
      <c r="AP107" s="373">
        <f>+Controls!AP9</f>
        <v>7.9377250079448993E-10</v>
      </c>
      <c r="AQ107" s="373">
        <f>+Controls!AQ9</f>
        <v>7.9377250079448993E-10</v>
      </c>
      <c r="AR107" s="373">
        <f>+Controls!AR9</f>
        <v>7.9377250079448993E-10</v>
      </c>
      <c r="AS107" s="373">
        <f>+Controls!AS9</f>
        <v>7.9377250079448993E-10</v>
      </c>
      <c r="AT107" s="373">
        <f>+Controls!AT9</f>
        <v>7.9377250079448993E-10</v>
      </c>
      <c r="AU107" s="373">
        <f>+Controls!AU9</f>
        <v>7.9377250079448993E-10</v>
      </c>
      <c r="AV107" s="373">
        <f>+Controls!AV9</f>
        <v>7.9377250079448993E-10</v>
      </c>
      <c r="AW107" s="373">
        <f>+Controls!AW9</f>
        <v>7.9377250079448993E-10</v>
      </c>
      <c r="AX107" s="373">
        <f>+Controls!AX9</f>
        <v>7.9377250079448993E-10</v>
      </c>
      <c r="AY107" s="373">
        <f>+Controls!AY9</f>
        <v>7.9377250079448993E-10</v>
      </c>
      <c r="AZ107" s="373">
        <f>+Controls!AZ9</f>
        <v>7.9377250079448993E-10</v>
      </c>
      <c r="BA107" s="373">
        <f>+Controls!BA9</f>
        <v>7.9377250079448993E-10</v>
      </c>
      <c r="BB107" s="373">
        <f>+Controls!BB9</f>
        <v>7.9377250079448993E-10</v>
      </c>
      <c r="BC107" s="373">
        <f>+Controls!BC9</f>
        <v>7.9377250079448993E-10</v>
      </c>
      <c r="BD107" s="373">
        <f>+Controls!BD9</f>
        <v>7.9377250079448993E-10</v>
      </c>
      <c r="BE107" s="373">
        <f>+Controls!BE9</f>
        <v>7.9377250079448993E-10</v>
      </c>
      <c r="BF107" s="373">
        <f>+Controls!BF9</f>
        <v>7.9377250079448993E-10</v>
      </c>
      <c r="BG107" s="373">
        <f>+Controls!BG9</f>
        <v>7.9377250079448993E-10</v>
      </c>
      <c r="BH107" s="373">
        <f>+Controls!BH9</f>
        <v>7.9377250079448993E-10</v>
      </c>
      <c r="BI107" s="373">
        <f>+Controls!BI9</f>
        <v>7.9377250079448993E-10</v>
      </c>
    </row>
    <row r="108" spans="1:61" ht="18" customHeight="1" x14ac:dyDescent="0.2">
      <c r="A108" s="372" t="s">
        <v>213</v>
      </c>
      <c r="B108" s="373">
        <f>+Controls!B22</f>
        <v>1E-3</v>
      </c>
      <c r="C108" s="373">
        <f>+Controls!C22</f>
        <v>1E-3</v>
      </c>
      <c r="D108" s="373">
        <f>+Controls!D22</f>
        <v>1E-3</v>
      </c>
      <c r="E108" s="373">
        <f>+Controls!E22</f>
        <v>1E-3</v>
      </c>
      <c r="F108" s="373">
        <f>+Controls!F22</f>
        <v>1E-3</v>
      </c>
      <c r="G108" s="373">
        <f>+Controls!G22</f>
        <v>1E-3</v>
      </c>
      <c r="H108" s="373">
        <f>+Controls!H22</f>
        <v>1E-3</v>
      </c>
      <c r="I108" s="373">
        <f>+Controls!I22</f>
        <v>1E-3</v>
      </c>
      <c r="J108" s="373">
        <f>+Controls!J22</f>
        <v>1E-3</v>
      </c>
      <c r="K108" s="373">
        <f>+Controls!K22</f>
        <v>1E-3</v>
      </c>
      <c r="L108" s="373">
        <f>+Controls!L22</f>
        <v>1E-3</v>
      </c>
      <c r="M108" s="373">
        <f>+Controls!M22</f>
        <v>1E-3</v>
      </c>
      <c r="N108" s="373">
        <f>+Controls!N22</f>
        <v>1E-3</v>
      </c>
      <c r="O108" s="373">
        <f>+Controls!O22</f>
        <v>1E-3</v>
      </c>
      <c r="P108" s="373">
        <f>+Controls!P22</f>
        <v>1E-3</v>
      </c>
      <c r="Q108" s="373">
        <f>+Controls!Q22</f>
        <v>1E-3</v>
      </c>
      <c r="R108" s="373">
        <f>+Controls!R22</f>
        <v>1E-3</v>
      </c>
      <c r="S108" s="373">
        <f>+Controls!S22</f>
        <v>1E-3</v>
      </c>
      <c r="T108" s="373">
        <f>+Controls!T22</f>
        <v>1E-3</v>
      </c>
      <c r="U108" s="373">
        <f>+Controls!U22</f>
        <v>1E-3</v>
      </c>
      <c r="V108" s="373">
        <f>+Controls!V22</f>
        <v>1E-3</v>
      </c>
      <c r="W108" s="373">
        <f>+Controls!W22</f>
        <v>1E-3</v>
      </c>
      <c r="X108" s="373">
        <f>+Controls!X22</f>
        <v>1E-3</v>
      </c>
      <c r="Y108" s="373">
        <f>+Controls!Y22</f>
        <v>1E-3</v>
      </c>
      <c r="Z108" s="373">
        <f>+Controls!Z22</f>
        <v>1E-3</v>
      </c>
      <c r="AA108" s="373">
        <f>+Controls!AA22</f>
        <v>1E-3</v>
      </c>
      <c r="AB108" s="373">
        <f>+Controls!AB22</f>
        <v>1200</v>
      </c>
      <c r="AC108" s="373">
        <f>+Controls!AC22</f>
        <v>1200</v>
      </c>
      <c r="AD108" s="373">
        <f>+Controls!AD22</f>
        <v>1200</v>
      </c>
      <c r="AE108" s="373">
        <f>+Controls!AE22</f>
        <v>1200</v>
      </c>
      <c r="AF108" s="373">
        <f>+Controls!AF22</f>
        <v>1200</v>
      </c>
      <c r="AG108" s="373">
        <f>+Controls!AG22</f>
        <v>1200</v>
      </c>
      <c r="AH108" s="373">
        <f>+Controls!AH22</f>
        <v>1200</v>
      </c>
      <c r="AI108" s="373">
        <f>+Controls!AI22</f>
        <v>1200</v>
      </c>
      <c r="AJ108" s="373">
        <f>+Controls!AJ22</f>
        <v>1200</v>
      </c>
      <c r="AK108" s="373">
        <f>+Controls!AK22</f>
        <v>1200</v>
      </c>
      <c r="AL108" s="373">
        <f>+Controls!AL22</f>
        <v>1200</v>
      </c>
      <c r="AM108" s="373">
        <f>+Controls!AM22</f>
        <v>1200</v>
      </c>
      <c r="AN108" s="373">
        <f>+Controls!AN22</f>
        <v>1200</v>
      </c>
      <c r="AO108" s="373">
        <f>+Controls!AO22</f>
        <v>1200</v>
      </c>
      <c r="AP108" s="373">
        <f>+Controls!AP22</f>
        <v>1200</v>
      </c>
      <c r="AQ108" s="373">
        <f>+Controls!AQ22</f>
        <v>1200</v>
      </c>
      <c r="AR108" s="373">
        <f>+Controls!AR22</f>
        <v>1200</v>
      </c>
      <c r="AS108" s="373">
        <f>+Controls!AS22</f>
        <v>1200</v>
      </c>
      <c r="AT108" s="373">
        <f>+Controls!AT22</f>
        <v>1200</v>
      </c>
      <c r="AU108" s="373">
        <f>+Controls!AU22</f>
        <v>1200</v>
      </c>
      <c r="AV108" s="373">
        <f>+Controls!AV22</f>
        <v>1200</v>
      </c>
      <c r="AW108" s="373">
        <f>+Controls!AW22</f>
        <v>1200</v>
      </c>
      <c r="AX108" s="373">
        <f>+Controls!AX22</f>
        <v>1200</v>
      </c>
      <c r="AY108" s="373">
        <f>+Controls!AY22</f>
        <v>1200</v>
      </c>
      <c r="AZ108" s="373">
        <f>+Controls!AZ22</f>
        <v>1200</v>
      </c>
      <c r="BA108" s="373">
        <f>+Controls!BA22</f>
        <v>1200</v>
      </c>
      <c r="BB108" s="373">
        <f>+Controls!BB22</f>
        <v>1200</v>
      </c>
      <c r="BC108" s="373">
        <f>+Controls!BC22</f>
        <v>1200</v>
      </c>
      <c r="BD108" s="373">
        <f>+Controls!BD22</f>
        <v>1200</v>
      </c>
      <c r="BE108" s="373">
        <f>+Controls!BE22</f>
        <v>1200</v>
      </c>
      <c r="BF108" s="373">
        <f>+Controls!BF22</f>
        <v>1200</v>
      </c>
      <c r="BG108" s="373">
        <f>+Controls!BG22</f>
        <v>1200</v>
      </c>
      <c r="BH108" s="373">
        <f>+Controls!BH22</f>
        <v>1200</v>
      </c>
      <c r="BI108" s="373">
        <f>+Controls!BI22</f>
        <v>1200</v>
      </c>
    </row>
    <row r="109" spans="1:61" ht="18" customHeight="1" x14ac:dyDescent="0.2">
      <c r="A109" s="372" t="s">
        <v>193</v>
      </c>
      <c r="B109" s="375">
        <f>+(B106/(1000*B$36))^(1/($B$38-1))</f>
        <v>3.6890595990008481E-4</v>
      </c>
      <c r="C109" s="375">
        <f t="shared" ref="C109:BI109" si="47">+(C106/(1000*C$36))^(1/($B$38-1))</f>
        <v>3.7846429145772228E-4</v>
      </c>
      <c r="D109" s="375">
        <f t="shared" si="47"/>
        <v>3.8821707361780494E-4</v>
      </c>
      <c r="E109" s="375">
        <f t="shared" si="47"/>
        <v>3.9816436627695311E-4</v>
      </c>
      <c r="F109" s="375">
        <f t="shared" si="47"/>
        <v>4.0830591448666394E-4</v>
      </c>
      <c r="G109" s="375">
        <f t="shared" si="47"/>
        <v>4.1864112868834642E-4</v>
      </c>
      <c r="H109" s="375">
        <f t="shared" si="47"/>
        <v>4.2916906492944623E-4</v>
      </c>
      <c r="I109" s="375">
        <f t="shared" si="47"/>
        <v>4.3988840519820397E-4</v>
      </c>
      <c r="J109" s="375">
        <f t="shared" si="47"/>
        <v>4.5079743802933184E-4</v>
      </c>
      <c r="K109" s="375">
        <f t="shared" si="47"/>
        <v>4.6189403954657334E-4</v>
      </c>
      <c r="L109" s="375">
        <f t="shared" si="47"/>
        <v>4.7317565512582381E-4</v>
      </c>
      <c r="M109" s="375">
        <f t="shared" si="47"/>
        <v>4.8463928187278914E-4</v>
      </c>
      <c r="N109" s="375">
        <f t="shared" si="47"/>
        <v>4.9628145211339707E-4</v>
      </c>
      <c r="O109" s="375">
        <f t="shared" si="47"/>
        <v>5.080982181372806E-4</v>
      </c>
      <c r="P109" s="375">
        <f t="shared" si="47"/>
        <v>5.2008513841269395E-4</v>
      </c>
      <c r="Q109" s="375">
        <f t="shared" si="47"/>
        <v>5.3223726551745716E-4</v>
      </c>
      <c r="R109" s="375">
        <f t="shared" si="47"/>
        <v>5.4454913599488123E-4</v>
      </c>
      <c r="S109" s="375">
        <f t="shared" si="47"/>
        <v>5.5701476246903679E-4</v>
      </c>
      <c r="T109" s="375">
        <f t="shared" si="47"/>
        <v>5.6962762816733863E-4</v>
      </c>
      <c r="U109" s="375">
        <f t="shared" si="47"/>
        <v>5.8238068395250126E-4</v>
      </c>
      <c r="V109" s="375">
        <f t="shared" si="47"/>
        <v>5.9526634817866082E-4</v>
      </c>
      <c r="W109" s="375">
        <f t="shared" si="47"/>
        <v>6.0827651120677888E-4</v>
      </c>
      <c r="X109" s="375">
        <f t="shared" si="47"/>
        <v>6.2140254071335859E-4</v>
      </c>
      <c r="Y109" s="375">
        <f t="shared" si="47"/>
        <v>6.346352922029123E-4</v>
      </c>
      <c r="Z109" s="375">
        <f t="shared" si="47"/>
        <v>6.4796512297819785E-4</v>
      </c>
      <c r="AA109" s="375">
        <f t="shared" si="47"/>
        <v>6.6138190979630443E-4</v>
      </c>
      <c r="AB109" s="375">
        <f t="shared" si="47"/>
        <v>1</v>
      </c>
      <c r="AC109" s="375">
        <f t="shared" si="47"/>
        <v>1</v>
      </c>
      <c r="AD109" s="375">
        <f t="shared" si="47"/>
        <v>1</v>
      </c>
      <c r="AE109" s="375">
        <f t="shared" si="47"/>
        <v>1</v>
      </c>
      <c r="AF109" s="375">
        <f t="shared" si="47"/>
        <v>1</v>
      </c>
      <c r="AG109" s="375">
        <f t="shared" si="47"/>
        <v>1</v>
      </c>
      <c r="AH109" s="375">
        <f t="shared" si="47"/>
        <v>1</v>
      </c>
      <c r="AI109" s="375">
        <f t="shared" si="47"/>
        <v>1</v>
      </c>
      <c r="AJ109" s="375">
        <f t="shared" si="47"/>
        <v>1</v>
      </c>
      <c r="AK109" s="375">
        <f t="shared" si="47"/>
        <v>1</v>
      </c>
      <c r="AL109" s="375">
        <f t="shared" si="47"/>
        <v>1</v>
      </c>
      <c r="AM109" s="375">
        <f t="shared" si="47"/>
        <v>1</v>
      </c>
      <c r="AN109" s="375">
        <f t="shared" si="47"/>
        <v>1</v>
      </c>
      <c r="AO109" s="375">
        <f t="shared" si="47"/>
        <v>1</v>
      </c>
      <c r="AP109" s="375">
        <f t="shared" si="47"/>
        <v>1</v>
      </c>
      <c r="AQ109" s="375">
        <f t="shared" si="47"/>
        <v>1</v>
      </c>
      <c r="AR109" s="375">
        <f t="shared" si="47"/>
        <v>1</v>
      </c>
      <c r="AS109" s="375">
        <f t="shared" si="47"/>
        <v>1</v>
      </c>
      <c r="AT109" s="375">
        <f t="shared" si="47"/>
        <v>1</v>
      </c>
      <c r="AU109" s="375">
        <f t="shared" si="47"/>
        <v>1</v>
      </c>
      <c r="AV109" s="375">
        <f t="shared" si="47"/>
        <v>1</v>
      </c>
      <c r="AW109" s="375">
        <f t="shared" si="47"/>
        <v>1</v>
      </c>
      <c r="AX109" s="375">
        <f t="shared" si="47"/>
        <v>1</v>
      </c>
      <c r="AY109" s="375">
        <f t="shared" si="47"/>
        <v>1</v>
      </c>
      <c r="AZ109" s="375">
        <f t="shared" si="47"/>
        <v>1</v>
      </c>
      <c r="BA109" s="375">
        <f t="shared" si="47"/>
        <v>1</v>
      </c>
      <c r="BB109" s="375">
        <f t="shared" si="47"/>
        <v>1</v>
      </c>
      <c r="BC109" s="375">
        <f t="shared" si="47"/>
        <v>1</v>
      </c>
      <c r="BD109" s="375">
        <f t="shared" si="47"/>
        <v>1</v>
      </c>
      <c r="BE109" s="375">
        <f t="shared" si="47"/>
        <v>1</v>
      </c>
      <c r="BF109" s="375">
        <f t="shared" si="47"/>
        <v>1</v>
      </c>
      <c r="BG109" s="375">
        <f t="shared" si="47"/>
        <v>1</v>
      </c>
      <c r="BH109" s="375">
        <f t="shared" si="47"/>
        <v>1</v>
      </c>
      <c r="BI109" s="375">
        <f t="shared" si="47"/>
        <v>1</v>
      </c>
    </row>
    <row r="110" spans="1:61" s="40" customFormat="1" ht="18" customHeight="1" x14ac:dyDescent="0.2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 x14ac:dyDescent="0.25">
      <c r="A111" s="377" t="s">
        <v>948</v>
      </c>
      <c r="B111" s="378"/>
      <c r="C111" s="378"/>
      <c r="D111" s="378"/>
      <c r="E111" s="378"/>
      <c r="F111" s="378"/>
      <c r="G111" s="378"/>
      <c r="H111" s="378"/>
      <c r="I111" s="378"/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X111" s="378"/>
      <c r="Y111" s="378"/>
      <c r="Z111" s="378"/>
      <c r="AA111" s="378"/>
      <c r="AB111" s="378"/>
      <c r="AC111" s="378"/>
      <c r="AD111" s="378"/>
      <c r="AE111" s="378"/>
      <c r="AF111" s="378"/>
      <c r="AG111" s="378"/>
      <c r="AH111" s="378"/>
      <c r="AI111" s="378"/>
      <c r="AJ111" s="378"/>
      <c r="AK111" s="378"/>
      <c r="AL111" s="378"/>
      <c r="AM111" s="378"/>
      <c r="AN111" s="378"/>
      <c r="AO111" s="378"/>
      <c r="AP111" s="378"/>
      <c r="AQ111" s="378"/>
      <c r="AR111" s="378"/>
      <c r="AS111" s="378"/>
      <c r="AT111" s="378"/>
      <c r="AU111" s="378"/>
      <c r="AV111" s="378"/>
      <c r="AW111" s="378"/>
      <c r="AX111" s="378"/>
      <c r="AY111" s="378"/>
      <c r="AZ111" s="378"/>
      <c r="BA111" s="378"/>
      <c r="BB111" s="378"/>
      <c r="BC111" s="378"/>
      <c r="BD111" s="378"/>
      <c r="BE111" s="378"/>
      <c r="BF111" s="378"/>
      <c r="BG111" s="378"/>
      <c r="BH111" s="378"/>
      <c r="BI111" s="378"/>
    </row>
    <row r="112" spans="1:61" s="456" customFormat="1" ht="18" customHeight="1" x14ac:dyDescent="0.2">
      <c r="A112" s="455" t="s">
        <v>950</v>
      </c>
      <c r="B112" s="455">
        <f>+B40*B61</f>
        <v>0.35170671523951819</v>
      </c>
      <c r="C112" s="455">
        <f>+C40*C61</f>
        <v>0.40391474797543764</v>
      </c>
      <c r="D112" s="455">
        <f t="shared" ref="D112:BI112" si="48">+D40*D61</f>
        <v>0.36135441793941575</v>
      </c>
      <c r="E112" s="455">
        <f t="shared" si="48"/>
        <v>0.32831940436519169</v>
      </c>
      <c r="F112" s="455">
        <f t="shared" si="48"/>
        <v>0.30209829244484332</v>
      </c>
      <c r="G112" s="455">
        <f t="shared" si="48"/>
        <v>0.28365826268656169</v>
      </c>
      <c r="H112" s="455">
        <f t="shared" si="48"/>
        <v>0.26783219681248477</v>
      </c>
      <c r="I112" s="455">
        <f t="shared" si="48"/>
        <v>0.24737950496214636</v>
      </c>
      <c r="J112" s="455">
        <f t="shared" si="48"/>
        <v>0.21142650941609459</v>
      </c>
      <c r="K112" s="455">
        <f t="shared" si="48"/>
        <v>0.19856264044665572</v>
      </c>
      <c r="L112" s="455">
        <f t="shared" si="48"/>
        <v>0.19141034799577536</v>
      </c>
      <c r="M112" s="455">
        <f t="shared" si="48"/>
        <v>0.18242800238295331</v>
      </c>
      <c r="N112" s="455">
        <f t="shared" si="48"/>
        <v>0.17784704115593833</v>
      </c>
      <c r="O112" s="455">
        <f t="shared" si="48"/>
        <v>0.17497036517512518</v>
      </c>
      <c r="P112" s="455">
        <f t="shared" si="48"/>
        <v>0.17378799009953433</v>
      </c>
      <c r="Q112" s="455">
        <f t="shared" si="48"/>
        <v>0.17285489601204676</v>
      </c>
      <c r="R112" s="455">
        <f t="shared" si="48"/>
        <v>0.17255400230591883</v>
      </c>
      <c r="S112" s="455">
        <f t="shared" si="48"/>
        <v>0.17337324586209582</v>
      </c>
      <c r="T112" s="455">
        <f t="shared" si="48"/>
        <v>0.17205567927225332</v>
      </c>
      <c r="U112" s="455">
        <f t="shared" si="48"/>
        <v>0.16873900606511497</v>
      </c>
      <c r="V112" s="455">
        <f t="shared" si="48"/>
        <v>0.17086005858096565</v>
      </c>
      <c r="W112" s="455">
        <f t="shared" si="48"/>
        <v>0.17105892736661607</v>
      </c>
      <c r="X112" s="455">
        <f t="shared" si="48"/>
        <v>0.17369339025589645</v>
      </c>
      <c r="Y112" s="455">
        <f t="shared" si="48"/>
        <v>0.17512523135777211</v>
      </c>
      <c r="Z112" s="455">
        <f t="shared" si="48"/>
        <v>0.1765588924773277</v>
      </c>
      <c r="AA112" s="455">
        <f t="shared" si="48"/>
        <v>0.1784830733041152</v>
      </c>
      <c r="AB112" s="455">
        <f t="shared" si="48"/>
        <v>0.18128449341236094</v>
      </c>
      <c r="AC112" s="455">
        <f t="shared" si="48"/>
        <v>0.18454818448592844</v>
      </c>
      <c r="AD112" s="455">
        <f t="shared" si="48"/>
        <v>0.18815994267933026</v>
      </c>
      <c r="AE112" s="455">
        <f t="shared" si="48"/>
        <v>0.19062785691508655</v>
      </c>
      <c r="AF112" s="455">
        <f t="shared" si="48"/>
        <v>0.17928490603349906</v>
      </c>
      <c r="AG112" s="455">
        <f t="shared" si="48"/>
        <v>0.17967163082961099</v>
      </c>
      <c r="AH112" s="455">
        <f t="shared" si="48"/>
        <v>0.18233805867265626</v>
      </c>
      <c r="AI112" s="455">
        <f t="shared" si="48"/>
        <v>2.3289073461465772</v>
      </c>
      <c r="AJ112" s="455">
        <f t="shared" si="48"/>
        <v>4.5189372438527213</v>
      </c>
      <c r="AK112" s="455">
        <f t="shared" si="48"/>
        <v>5.78958562791993</v>
      </c>
      <c r="AL112" s="455">
        <f t="shared" si="48"/>
        <v>6.4959264604846503</v>
      </c>
      <c r="AM112" s="455">
        <f t="shared" si="48"/>
        <v>6.9116455804722507</v>
      </c>
      <c r="AN112" s="455">
        <f t="shared" si="48"/>
        <v>7.1754499922584456</v>
      </c>
      <c r="AO112" s="455">
        <f t="shared" si="48"/>
        <v>7.3581138813358704</v>
      </c>
      <c r="AP112" s="455">
        <f t="shared" si="48"/>
        <v>7.4966553424276574</v>
      </c>
      <c r="AQ112" s="455">
        <f t="shared" si="48"/>
        <v>7.6107780179212501</v>
      </c>
      <c r="AR112" s="455">
        <f t="shared" si="48"/>
        <v>7.7110971145147129</v>
      </c>
      <c r="AS112" s="455">
        <f t="shared" si="48"/>
        <v>7.8033905757103206</v>
      </c>
      <c r="AT112" s="455">
        <f t="shared" si="48"/>
        <v>7.8908402183191475</v>
      </c>
      <c r="AU112" s="455">
        <f t="shared" si="48"/>
        <v>7.9752266879245166</v>
      </c>
      <c r="AV112" s="455">
        <f t="shared" si="48"/>
        <v>8.0575706715961992</v>
      </c>
      <c r="AW112" s="455">
        <f t="shared" si="48"/>
        <v>8.1384782591065132</v>
      </c>
      <c r="AX112" s="455">
        <f t="shared" si="48"/>
        <v>8.218327427599645</v>
      </c>
      <c r="AY112" s="455">
        <f t="shared" si="48"/>
        <v>8.2973689681508667</v>
      </c>
      <c r="AZ112" s="455">
        <f t="shared" si="48"/>
        <v>8.3757812637469389</v>
      </c>
      <c r="BA112" s="455">
        <f t="shared" si="48"/>
        <v>8.4537001489602854</v>
      </c>
      <c r="BB112" s="455">
        <f t="shared" si="48"/>
        <v>8.5312353017081293</v>
      </c>
      <c r="BC112" s="455">
        <f t="shared" si="48"/>
        <v>8.6084793466812997</v>
      </c>
      <c r="BD112" s="455">
        <f t="shared" si="48"/>
        <v>8.6855130067266124</v>
      </c>
      <c r="BE112" s="455">
        <f t="shared" si="48"/>
        <v>8.7624081039768242</v>
      </c>
      <c r="BF112" s="455">
        <f t="shared" si="48"/>
        <v>8.8398705266002278</v>
      </c>
      <c r="BG112" s="455">
        <f t="shared" si="48"/>
        <v>8.9173172550794551</v>
      </c>
      <c r="BH112" s="455">
        <f t="shared" si="48"/>
        <v>8.994632400400997</v>
      </c>
      <c r="BI112" s="455">
        <f t="shared" si="48"/>
        <v>9.0718610667319091</v>
      </c>
    </row>
    <row r="113" spans="1:61" s="40" customFormat="1" ht="18" customHeight="1" x14ac:dyDescent="0.2">
      <c r="A113" s="382" t="s">
        <v>949</v>
      </c>
      <c r="B113" s="383">
        <f>+Controls!B81</f>
        <v>0.36395210273783341</v>
      </c>
      <c r="C113" s="383">
        <f>+Controls!C81</f>
        <v>0.63080748393847597</v>
      </c>
      <c r="D113" s="383">
        <f>+Controls!D81</f>
        <v>0.87865736123542426</v>
      </c>
      <c r="E113" s="383">
        <f>+Controls!E81</f>
        <v>1.1513158345113612</v>
      </c>
      <c r="F113" s="383">
        <f>+Controls!F81</f>
        <v>0.82771882111574679</v>
      </c>
      <c r="G113" s="383">
        <f>+Controls!G81</f>
        <v>0.58281733000257119</v>
      </c>
      <c r="H113" s="383">
        <f>+Controls!H81</f>
        <v>0.47346501331871432</v>
      </c>
      <c r="I113" s="383">
        <f>+Controls!I81</f>
        <v>0.39247988492475361</v>
      </c>
      <c r="J113" s="383">
        <f>+Controls!J81</f>
        <v>0.33258415550704068</v>
      </c>
      <c r="K113" s="383">
        <f>+Controls!K81</f>
        <v>0.28824243469293648</v>
      </c>
      <c r="L113" s="383">
        <f>+Controls!L81</f>
        <v>0.25672425776917929</v>
      </c>
      <c r="M113" s="383">
        <f>+Controls!M81</f>
        <v>0.23169364263668427</v>
      </c>
      <c r="N113" s="383">
        <f>+Controls!N81</f>
        <v>0.20910351247960754</v>
      </c>
      <c r="O113" s="383">
        <f>+Controls!O81</f>
        <v>0.18871592001284579</v>
      </c>
      <c r="P113" s="383">
        <f>+Controls!P81</f>
        <v>0.17031611781159331</v>
      </c>
      <c r="Q113" s="383">
        <f>+Controls!Q81</f>
        <v>0.15371029632496294</v>
      </c>
      <c r="R113" s="383">
        <f>+Controls!R81</f>
        <v>0.13872354243327903</v>
      </c>
      <c r="S113" s="383">
        <f>+Controls!S81</f>
        <v>0.12519799704603432</v>
      </c>
      <c r="T113" s="383">
        <f>+Controls!T81</f>
        <v>0.11299119233404596</v>
      </c>
      <c r="U113" s="383">
        <f>+Controls!U81</f>
        <v>0.10197455108147647</v>
      </c>
      <c r="V113" s="383">
        <f>+Controls!V81</f>
        <v>9.2032032351032508E-2</v>
      </c>
      <c r="W113" s="383">
        <f>+Controls!W81</f>
        <v>8.7430430733480877E-2</v>
      </c>
      <c r="X113" s="383">
        <f>+Controls!X81</f>
        <v>8.3058909196806835E-2</v>
      </c>
      <c r="Y113" s="383">
        <f>+Controls!Y81</f>
        <v>7.8905963736966483E-2</v>
      </c>
      <c r="Z113" s="383">
        <f>+Controls!Z81</f>
        <v>7.4960665550118155E-2</v>
      </c>
      <c r="AA113" s="383">
        <f>+Controls!AA81</f>
        <v>7.121263227261225E-2</v>
      </c>
      <c r="AB113" s="383">
        <f>+Controls!AB81</f>
        <v>6.7652000658981637E-2</v>
      </c>
      <c r="AC113" s="383">
        <f>+Controls!AC81</f>
        <v>6.426940062603255E-2</v>
      </c>
      <c r="AD113" s="383">
        <f>+Controls!AD81</f>
        <v>6.1055930594730919E-2</v>
      </c>
      <c r="AE113" s="383">
        <f>+Controls!AE81</f>
        <v>5.8003134064994369E-2</v>
      </c>
      <c r="AF113" s="383">
        <f>+Controls!AF81</f>
        <v>5.5102977361744646E-2</v>
      </c>
      <c r="AG113" s="383">
        <f>+Controls!AG81</f>
        <v>5.2347828493657413E-2</v>
      </c>
      <c r="AH113" s="383">
        <f>+Controls!AH81</f>
        <v>4.9730437068974537E-2</v>
      </c>
      <c r="AI113" s="383">
        <f>+Controls!AI81</f>
        <v>4.724391521552581E-2</v>
      </c>
      <c r="AJ113" s="383">
        <f>+Controls!AJ81</f>
        <v>4.4881719454749516E-2</v>
      </c>
      <c r="AK113" s="383">
        <f>+Controls!AK81</f>
        <v>4.2637633482012036E-2</v>
      </c>
      <c r="AL113" s="383">
        <f>+Controls!AL81</f>
        <v>4.0505751807911432E-2</v>
      </c>
      <c r="AM113" s="383">
        <f>+Controls!AM81</f>
        <v>3.8480464217515858E-2</v>
      </c>
      <c r="AN113" s="383">
        <f>+Controls!AN81</f>
        <v>3.6556441006640066E-2</v>
      </c>
      <c r="AO113" s="383">
        <f>+Controls!AO81</f>
        <v>3.4728618956308063E-2</v>
      </c>
      <c r="AP113" s="383">
        <f>+Controls!AP81</f>
        <v>3.2992188008492657E-2</v>
      </c>
      <c r="AQ113" s="383">
        <f>+Controls!AQ81</f>
        <v>3.1342578608068022E-2</v>
      </c>
      <c r="AR113" s="383">
        <f>+Controls!AR81</f>
        <v>2.9775449677664621E-2</v>
      </c>
      <c r="AS113" s="383">
        <f>+Controls!AS81</f>
        <v>2.828667719378139E-2</v>
      </c>
      <c r="AT113" s="383">
        <f>+Controls!AT81</f>
        <v>2.687234333409232E-2</v>
      </c>
      <c r="AU113" s="383">
        <f>+Controls!AU81</f>
        <v>2.5528726167387703E-2</v>
      </c>
      <c r="AV113" s="383">
        <f>+Controls!AV81</f>
        <v>2.4252289859018315E-2</v>
      </c>
      <c r="AW113" s="383">
        <f>+Controls!AW81</f>
        <v>2.3039675366067398E-2</v>
      </c>
      <c r="AX113" s="383">
        <f>+Controls!AX81</f>
        <v>2.1887691597764027E-2</v>
      </c>
      <c r="AY113" s="383">
        <f>+Controls!AY81</f>
        <v>2.0793307017875823E-2</v>
      </c>
      <c r="AZ113" s="383">
        <f>+Controls!AZ81</f>
        <v>1.9753641666982031E-2</v>
      </c>
      <c r="BA113" s="383">
        <f>+Controls!BA81</f>
        <v>1.8765959583632929E-2</v>
      </c>
      <c r="BB113" s="383">
        <f>+Controls!BB81</f>
        <v>1.7827661604451282E-2</v>
      </c>
      <c r="BC113" s="383">
        <f>+Controls!BC81</f>
        <v>1.6936278524228719E-2</v>
      </c>
      <c r="BD113" s="383">
        <f>+Controls!BD81</f>
        <v>1.6089464598017283E-2</v>
      </c>
      <c r="BE113" s="383">
        <f>+Controls!BE81</f>
        <v>1.5284991368116417E-2</v>
      </c>
      <c r="BF113" s="383">
        <f>+Controls!BF81</f>
        <v>1.4520741799710595E-2</v>
      </c>
      <c r="BG113" s="383">
        <f>+Controls!BG81</f>
        <v>1.3794704709725065E-2</v>
      </c>
      <c r="BH113" s="383">
        <f>+Controls!BH81</f>
        <v>1.3104969474238811E-2</v>
      </c>
      <c r="BI113" s="383">
        <f>+Controls!BI81</f>
        <v>1.2449721000526869E-2</v>
      </c>
    </row>
    <row r="114" spans="1:61" ht="18" customHeight="1" x14ac:dyDescent="0.2">
      <c r="A114" s="382" t="s">
        <v>951</v>
      </c>
      <c r="B114" s="383">
        <f>IF(1-(B113/B112)&lt;0,0,1-(B113/B112))</f>
        <v>0</v>
      </c>
      <c r="C114" s="383">
        <f>IF(1-(C113/C112)&lt;0,0,1-(C113/C112))</f>
        <v>0</v>
      </c>
      <c r="D114" s="383">
        <f>IF(1-(D113/D112)&lt;0,0,1-(D113/D112))</f>
        <v>0</v>
      </c>
      <c r="E114" s="383">
        <f>IF(1-(E113/E112)&lt;0,0,1-(E113/E112))</f>
        <v>0</v>
      </c>
      <c r="F114" s="383">
        <f t="shared" ref="F114:BI114" si="49">IF(1-(F113/F112)&lt;0,0,1-(F113/F112))</f>
        <v>0</v>
      </c>
      <c r="G114" s="383">
        <f t="shared" si="49"/>
        <v>0</v>
      </c>
      <c r="H114" s="383">
        <f t="shared" si="49"/>
        <v>0</v>
      </c>
      <c r="I114" s="383">
        <f t="shared" si="49"/>
        <v>0</v>
      </c>
      <c r="J114" s="383">
        <f t="shared" si="49"/>
        <v>0</v>
      </c>
      <c r="K114" s="383">
        <f t="shared" si="49"/>
        <v>0</v>
      </c>
      <c r="L114" s="383">
        <f t="shared" si="49"/>
        <v>0</v>
      </c>
      <c r="M114" s="383">
        <f t="shared" si="49"/>
        <v>0</v>
      </c>
      <c r="N114" s="383">
        <f t="shared" si="49"/>
        <v>0</v>
      </c>
      <c r="O114" s="383">
        <f t="shared" si="49"/>
        <v>0</v>
      </c>
      <c r="P114" s="383">
        <f t="shared" si="49"/>
        <v>1.9977630709421046E-2</v>
      </c>
      <c r="Q114" s="383">
        <f t="shared" si="49"/>
        <v>0.11075532211566386</v>
      </c>
      <c r="R114" s="383">
        <f t="shared" si="49"/>
        <v>0.19605723089900984</v>
      </c>
      <c r="S114" s="383">
        <f t="shared" si="49"/>
        <v>0.27787014413043265</v>
      </c>
      <c r="T114" s="383">
        <f t="shared" si="49"/>
        <v>0.34328705212192567</v>
      </c>
      <c r="U114" s="383">
        <f t="shared" si="49"/>
        <v>0.39566699212317658</v>
      </c>
      <c r="V114" s="383">
        <f t="shared" si="49"/>
        <v>0.46136017325885914</v>
      </c>
      <c r="W114" s="383">
        <f t="shared" si="49"/>
        <v>0.48888706319256481</v>
      </c>
      <c r="X114" s="383">
        <f t="shared" si="49"/>
        <v>0.52180731187042273</v>
      </c>
      <c r="Y114" s="383">
        <f t="shared" si="49"/>
        <v>0.5494312091684519</v>
      </c>
      <c r="Z114" s="383">
        <f t="shared" si="49"/>
        <v>0.57543534342375868</v>
      </c>
      <c r="AA114" s="383">
        <f t="shared" si="49"/>
        <v>0.60101184412443476</v>
      </c>
      <c r="AB114" s="383">
        <f t="shared" si="49"/>
        <v>0.62681860215646679</v>
      </c>
      <c r="AC114" s="383">
        <f t="shared" si="49"/>
        <v>0.65174731572104405</v>
      </c>
      <c r="AD114" s="383">
        <f t="shared" si="49"/>
        <v>0.67551047409285792</v>
      </c>
      <c r="AE114" s="383">
        <f t="shared" si="49"/>
        <v>0.69572582410748418</v>
      </c>
      <c r="AF114" s="383">
        <f t="shared" si="49"/>
        <v>0.69265133032755832</v>
      </c>
      <c r="AG114" s="383">
        <f t="shared" si="49"/>
        <v>0.708647223538029</v>
      </c>
      <c r="AH114" s="383">
        <f t="shared" si="49"/>
        <v>0.72726244081465485</v>
      </c>
      <c r="AI114" s="383">
        <f t="shared" si="49"/>
        <v>0.97971412847587269</v>
      </c>
      <c r="AJ114" s="383">
        <f t="shared" si="49"/>
        <v>0.99006808082679088</v>
      </c>
      <c r="AK114" s="383">
        <f t="shared" si="49"/>
        <v>0.9926354602518711</v>
      </c>
      <c r="AL114" s="383">
        <f t="shared" si="49"/>
        <v>0.99376443805909564</v>
      </c>
      <c r="AM114" s="383">
        <f t="shared" si="49"/>
        <v>0.99443251773119901</v>
      </c>
      <c r="AN114" s="383">
        <f t="shared" si="49"/>
        <v>0.99490534516356732</v>
      </c>
      <c r="AO114" s="383">
        <f t="shared" si="49"/>
        <v>0.99528022812416661</v>
      </c>
      <c r="AP114" s="383">
        <f t="shared" si="49"/>
        <v>0.99559907898902966</v>
      </c>
      <c r="AQ114" s="383">
        <f t="shared" si="49"/>
        <v>0.99588181674274756</v>
      </c>
      <c r="AR114" s="383">
        <f t="shared" si="49"/>
        <v>0.99613862343639559</v>
      </c>
      <c r="AS114" s="383">
        <f t="shared" si="49"/>
        <v>0.996375078638018</v>
      </c>
      <c r="AT114" s="383">
        <f t="shared" si="49"/>
        <v>0.99659448897828318</v>
      </c>
      <c r="AU114" s="383">
        <f t="shared" si="49"/>
        <v>0.99679899679766581</v>
      </c>
      <c r="AV114" s="383">
        <f t="shared" si="49"/>
        <v>0.99699012384160524</v>
      </c>
      <c r="AW114" s="383">
        <f t="shared" si="49"/>
        <v>0.9971690438147589</v>
      </c>
      <c r="AX114" s="383">
        <f t="shared" si="49"/>
        <v>0.99733672188281786</v>
      </c>
      <c r="AY114" s="383">
        <f t="shared" si="49"/>
        <v>0.99749398790174448</v>
      </c>
      <c r="AZ114" s="383">
        <f t="shared" si="49"/>
        <v>0.99764157622495686</v>
      </c>
      <c r="BA114" s="383">
        <f t="shared" si="49"/>
        <v>0.99778014842578244</v>
      </c>
      <c r="BB114" s="383">
        <f t="shared" si="49"/>
        <v>0.99791030712740025</v>
      </c>
      <c r="BC114" s="383">
        <f t="shared" si="49"/>
        <v>0.9980326050813193</v>
      </c>
      <c r="BD114" s="383">
        <f t="shared" si="49"/>
        <v>0.99814755160857438</v>
      </c>
      <c r="BE114" s="383">
        <f t="shared" si="49"/>
        <v>0.99825561749843872</v>
      </c>
      <c r="BF114" s="383">
        <f t="shared" si="49"/>
        <v>0.9983573580907078</v>
      </c>
      <c r="BG114" s="383">
        <f t="shared" si="49"/>
        <v>0.99845304318382666</v>
      </c>
      <c r="BH114" s="383">
        <f t="shared" si="49"/>
        <v>0.99854302333982492</v>
      </c>
      <c r="BI114" s="383">
        <f t="shared" si="49"/>
        <v>0.99862765523976305</v>
      </c>
    </row>
    <row r="115" spans="1:61" s="40" customFormat="1" ht="18" customHeight="1" x14ac:dyDescent="0.2">
      <c r="A115" s="382" t="s">
        <v>952</v>
      </c>
      <c r="B115" s="384">
        <f t="shared" ref="B115:BI115" si="50">+B$36*1000*B114^($B$38-1)</f>
        <v>0</v>
      </c>
      <c r="C115" s="384">
        <f t="shared" si="50"/>
        <v>0</v>
      </c>
      <c r="D115" s="384">
        <f t="shared" si="50"/>
        <v>0</v>
      </c>
      <c r="E115" s="384">
        <f t="shared" si="50"/>
        <v>0</v>
      </c>
      <c r="F115" s="384">
        <f t="shared" si="50"/>
        <v>0</v>
      </c>
      <c r="G115" s="384">
        <f t="shared" si="50"/>
        <v>0</v>
      </c>
      <c r="H115" s="384">
        <f t="shared" si="50"/>
        <v>0</v>
      </c>
      <c r="I115" s="384">
        <f t="shared" si="50"/>
        <v>0</v>
      </c>
      <c r="J115" s="384">
        <f t="shared" si="50"/>
        <v>0</v>
      </c>
      <c r="K115" s="384">
        <f t="shared" si="50"/>
        <v>0</v>
      </c>
      <c r="L115" s="384">
        <f t="shared" si="50"/>
        <v>0</v>
      </c>
      <c r="M115" s="384">
        <f t="shared" si="50"/>
        <v>0</v>
      </c>
      <c r="N115" s="384">
        <f t="shared" si="50"/>
        <v>0</v>
      </c>
      <c r="O115" s="384">
        <f t="shared" si="50"/>
        <v>0</v>
      </c>
      <c r="P115" s="384">
        <f t="shared" si="50"/>
        <v>0.71128748803991892</v>
      </c>
      <c r="Q115" s="384">
        <f t="shared" si="50"/>
        <v>14.88904320491158</v>
      </c>
      <c r="R115" s="384">
        <f t="shared" si="50"/>
        <v>39.94132163697801</v>
      </c>
      <c r="S115" s="384">
        <f t="shared" si="50"/>
        <v>71.838182730858492</v>
      </c>
      <c r="T115" s="384">
        <f t="shared" si="50"/>
        <v>100.95306265958949</v>
      </c>
      <c r="U115" s="384">
        <f t="shared" si="50"/>
        <v>125.26252888779662</v>
      </c>
      <c r="V115" s="384">
        <f t="shared" si="50"/>
        <v>158.77854872818565</v>
      </c>
      <c r="W115" s="384">
        <f t="shared" si="50"/>
        <v>169.5093114220636</v>
      </c>
      <c r="X115" s="384">
        <f t="shared" si="50"/>
        <v>183.42010330104179</v>
      </c>
      <c r="Y115" s="384">
        <f t="shared" si="50"/>
        <v>193.77623647525897</v>
      </c>
      <c r="Z115" s="384">
        <f t="shared" si="50"/>
        <v>202.86214061289076</v>
      </c>
      <c r="AA115" s="384">
        <f t="shared" si="50"/>
        <v>211.43434949462844</v>
      </c>
      <c r="AB115" s="384">
        <f t="shared" si="50"/>
        <v>219.91437996753814</v>
      </c>
      <c r="AC115" s="384">
        <f t="shared" si="50"/>
        <v>227.61004819352704</v>
      </c>
      <c r="AD115" s="384">
        <f t="shared" si="50"/>
        <v>234.35829015714145</v>
      </c>
      <c r="AE115" s="384">
        <f t="shared" si="50"/>
        <v>238.71127984835974</v>
      </c>
      <c r="AF115" s="384">
        <f t="shared" si="50"/>
        <v>228.8784845348564</v>
      </c>
      <c r="AG115" s="384">
        <f t="shared" si="50"/>
        <v>230.62359902809399</v>
      </c>
      <c r="AH115" s="384">
        <f t="shared" si="50"/>
        <v>233.82209313204754</v>
      </c>
      <c r="AI115" s="384">
        <f t="shared" si="50"/>
        <v>387.07654719023282</v>
      </c>
      <c r="AJ115" s="384">
        <f t="shared" si="50"/>
        <v>382.17284777293526</v>
      </c>
      <c r="AK115" s="384">
        <f t="shared" si="50"/>
        <v>372.22069516460886</v>
      </c>
      <c r="AL115" s="384">
        <f t="shared" si="50"/>
        <v>361.80927071335219</v>
      </c>
      <c r="AM115" s="384">
        <f t="shared" si="50"/>
        <v>351.61925585188925</v>
      </c>
      <c r="AN115" s="384">
        <f t="shared" si="50"/>
        <v>341.81504881685174</v>
      </c>
      <c r="AO115" s="384">
        <f t="shared" si="50"/>
        <v>332.44046675680983</v>
      </c>
      <c r="AP115" s="384">
        <f t="shared" si="50"/>
        <v>323.50080220330358</v>
      </c>
      <c r="AQ115" s="384">
        <f t="shared" si="50"/>
        <v>314.98693008779793</v>
      </c>
      <c r="AR115" s="384">
        <f t="shared" si="50"/>
        <v>306.88402865967595</v>
      </c>
      <c r="AS115" s="384">
        <f t="shared" si="50"/>
        <v>299.17514865697308</v>
      </c>
      <c r="AT115" s="384">
        <f t="shared" si="50"/>
        <v>291.84277849282125</v>
      </c>
      <c r="AU115" s="384">
        <f t="shared" si="50"/>
        <v>284.86955312406332</v>
      </c>
      <c r="AV115" s="384">
        <f t="shared" si="50"/>
        <v>278.23857567011538</v>
      </c>
      <c r="AW115" s="384">
        <f t="shared" si="50"/>
        <v>271.93355796379058</v>
      </c>
      <c r="AX115" s="384">
        <f t="shared" si="50"/>
        <v>265.93887478437034</v>
      </c>
      <c r="AY115" s="384">
        <f t="shared" si="50"/>
        <v>260.2395765081065</v>
      </c>
      <c r="AZ115" s="384">
        <f t="shared" si="50"/>
        <v>254.82138166531661</v>
      </c>
      <c r="BA115" s="384">
        <f t="shared" si="50"/>
        <v>249.67065985743687</v>
      </c>
      <c r="BB115" s="384">
        <f t="shared" si="50"/>
        <v>244.77441017656008</v>
      </c>
      <c r="BC115" s="384">
        <f t="shared" si="50"/>
        <v>240.12023768850449</v>
      </c>
      <c r="BD115" s="384">
        <f t="shared" si="50"/>
        <v>235.69632927407383</v>
      </c>
      <c r="BE115" s="384">
        <f t="shared" si="50"/>
        <v>117.87113183552964</v>
      </c>
      <c r="BF115" s="384">
        <f t="shared" si="50"/>
        <v>58.946378269531088</v>
      </c>
      <c r="BG115" s="384">
        <f t="shared" si="50"/>
        <v>29.4782739426158</v>
      </c>
      <c r="BH115" s="384">
        <f t="shared" si="50"/>
        <v>14.741527969851871</v>
      </c>
      <c r="BI115" s="384">
        <f t="shared" si="50"/>
        <v>7.371888504559454</v>
      </c>
    </row>
    <row r="116" spans="1:61" s="379" customFormat="1" ht="18" customHeight="1" x14ac:dyDescent="0.2">
      <c r="A116" s="382" t="s">
        <v>969</v>
      </c>
      <c r="B116" s="383">
        <f t="shared" ref="B116:AG116" si="51">+B112*(1-B103)</f>
        <v>0.35157696853612941</v>
      </c>
      <c r="C116" s="383">
        <f t="shared" si="51"/>
        <v>0.40376188066653579</v>
      </c>
      <c r="D116" s="383">
        <f t="shared" si="51"/>
        <v>0.36121413398474445</v>
      </c>
      <c r="E116" s="383">
        <f t="shared" si="51"/>
        <v>0.32818867927761619</v>
      </c>
      <c r="F116" s="383">
        <f t="shared" si="51"/>
        <v>0.30197494392528174</v>
      </c>
      <c r="G116" s="383">
        <f t="shared" si="51"/>
        <v>0.28353951167130881</v>
      </c>
      <c r="H116" s="383">
        <f t="shared" si="51"/>
        <v>0.26771725151902076</v>
      </c>
      <c r="I116" s="383">
        <f t="shared" si="51"/>
        <v>0.24727068558622986</v>
      </c>
      <c r="J116" s="383">
        <f t="shared" si="51"/>
        <v>0.21133119888731833</v>
      </c>
      <c r="K116" s="383">
        <f t="shared" si="51"/>
        <v>0.19847092554655679</v>
      </c>
      <c r="L116" s="383">
        <f t="shared" si="51"/>
        <v>0.1913197772789646</v>
      </c>
      <c r="M116" s="383">
        <f t="shared" si="51"/>
        <v>0.18233959060688495</v>
      </c>
      <c r="N116" s="383">
        <f t="shared" si="51"/>
        <v>0.17775877896809938</v>
      </c>
      <c r="O116" s="383">
        <f t="shared" si="51"/>
        <v>0.17488146304435287</v>
      </c>
      <c r="P116" s="383">
        <f t="shared" si="51"/>
        <v>0.17369760554864894</v>
      </c>
      <c r="Q116" s="383">
        <f t="shared" si="51"/>
        <v>0.17276289619486201</v>
      </c>
      <c r="R116" s="383">
        <f t="shared" si="51"/>
        <v>0.17246003817305069</v>
      </c>
      <c r="S116" s="383">
        <f t="shared" si="51"/>
        <v>0.17327667440473346</v>
      </c>
      <c r="T116" s="383">
        <f t="shared" si="51"/>
        <v>0.17195767160375675</v>
      </c>
      <c r="U116" s="383">
        <f t="shared" si="51"/>
        <v>0.1686407357273533</v>
      </c>
      <c r="V116" s="383">
        <f t="shared" si="51"/>
        <v>0.17075835133784456</v>
      </c>
      <c r="W116" s="383">
        <f t="shared" si="51"/>
        <v>0.17095487623906674</v>
      </c>
      <c r="X116" s="383">
        <f t="shared" si="51"/>
        <v>0.1735854567418863</v>
      </c>
      <c r="Y116" s="383">
        <f t="shared" si="51"/>
        <v>0.17501409070539728</v>
      </c>
      <c r="Z116" s="383">
        <f t="shared" si="51"/>
        <v>0.17644448847285074</v>
      </c>
      <c r="AA116" s="383">
        <f t="shared" si="51"/>
        <v>0.17836502782822702</v>
      </c>
      <c r="AB116" s="383">
        <f t="shared" si="51"/>
        <v>0</v>
      </c>
      <c r="AC116" s="383">
        <f t="shared" si="51"/>
        <v>0</v>
      </c>
      <c r="AD116" s="383">
        <f t="shared" si="51"/>
        <v>0</v>
      </c>
      <c r="AE116" s="383">
        <f t="shared" si="51"/>
        <v>0</v>
      </c>
      <c r="AF116" s="383">
        <f t="shared" si="51"/>
        <v>0</v>
      </c>
      <c r="AG116" s="383">
        <f t="shared" si="51"/>
        <v>0</v>
      </c>
      <c r="AH116" s="383">
        <f t="shared" ref="AH116:BI116" si="52">+AH112*(1-AH103)</f>
        <v>0</v>
      </c>
      <c r="AI116" s="383">
        <f t="shared" si="52"/>
        <v>0</v>
      </c>
      <c r="AJ116" s="383">
        <f t="shared" si="52"/>
        <v>0</v>
      </c>
      <c r="AK116" s="383">
        <f t="shared" si="52"/>
        <v>0</v>
      </c>
      <c r="AL116" s="383">
        <f t="shared" si="52"/>
        <v>0</v>
      </c>
      <c r="AM116" s="383">
        <f t="shared" si="52"/>
        <v>0</v>
      </c>
      <c r="AN116" s="383">
        <f t="shared" si="52"/>
        <v>0</v>
      </c>
      <c r="AO116" s="383">
        <f t="shared" si="52"/>
        <v>0</v>
      </c>
      <c r="AP116" s="383">
        <f t="shared" si="52"/>
        <v>0</v>
      </c>
      <c r="AQ116" s="383">
        <f t="shared" si="52"/>
        <v>0</v>
      </c>
      <c r="AR116" s="383">
        <f t="shared" si="52"/>
        <v>0</v>
      </c>
      <c r="AS116" s="383">
        <f t="shared" si="52"/>
        <v>0</v>
      </c>
      <c r="AT116" s="383">
        <f t="shared" si="52"/>
        <v>0</v>
      </c>
      <c r="AU116" s="383">
        <f t="shared" si="52"/>
        <v>0</v>
      </c>
      <c r="AV116" s="383">
        <f t="shared" si="52"/>
        <v>0</v>
      </c>
      <c r="AW116" s="383">
        <f t="shared" si="52"/>
        <v>0</v>
      </c>
      <c r="AX116" s="383">
        <f t="shared" si="52"/>
        <v>0</v>
      </c>
      <c r="AY116" s="383">
        <f t="shared" si="52"/>
        <v>0</v>
      </c>
      <c r="AZ116" s="383">
        <f t="shared" si="52"/>
        <v>0</v>
      </c>
      <c r="BA116" s="383">
        <f t="shared" si="52"/>
        <v>0</v>
      </c>
      <c r="BB116" s="383">
        <f t="shared" si="52"/>
        <v>0</v>
      </c>
      <c r="BC116" s="383">
        <f t="shared" si="52"/>
        <v>0</v>
      </c>
      <c r="BD116" s="383">
        <f t="shared" si="52"/>
        <v>0</v>
      </c>
      <c r="BE116" s="383">
        <f t="shared" si="52"/>
        <v>0</v>
      </c>
      <c r="BF116" s="383">
        <f t="shared" si="52"/>
        <v>0</v>
      </c>
      <c r="BG116" s="383">
        <f t="shared" si="52"/>
        <v>0</v>
      </c>
      <c r="BH116" s="383">
        <f t="shared" si="52"/>
        <v>0</v>
      </c>
      <c r="BI116" s="383">
        <f t="shared" si="52"/>
        <v>0</v>
      </c>
    </row>
    <row r="117" spans="1:61" s="103" customFormat="1" ht="18" customHeight="1" x14ac:dyDescent="0.2">
      <c r="A117" s="13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</row>
    <row r="118" spans="1:61" s="401" customFormat="1" ht="18" customHeight="1" x14ac:dyDescent="0.25">
      <c r="A118" s="399" t="s">
        <v>959</v>
      </c>
      <c r="B118" s="400"/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  <c r="Y118" s="400"/>
      <c r="Z118" s="400"/>
      <c r="AA118" s="400"/>
      <c r="AB118" s="400"/>
      <c r="AC118" s="400"/>
      <c r="AD118" s="400"/>
      <c r="AE118" s="400"/>
      <c r="AF118" s="400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BH118" s="400"/>
      <c r="BI118" s="400"/>
    </row>
    <row r="119" spans="1:61" s="401" customFormat="1" ht="18" customHeight="1" x14ac:dyDescent="0.2">
      <c r="A119" s="402" t="s">
        <v>950</v>
      </c>
      <c r="B119" s="405">
        <f>+B112</f>
        <v>0.35170671523951819</v>
      </c>
      <c r="C119" s="405">
        <f t="shared" ref="C119:BI120" si="53">+C112</f>
        <v>0.40391474797543764</v>
      </c>
      <c r="D119" s="405">
        <f t="shared" si="53"/>
        <v>0.36135441793941575</v>
      </c>
      <c r="E119" s="405">
        <f t="shared" si="53"/>
        <v>0.32831940436519169</v>
      </c>
      <c r="F119" s="405">
        <f t="shared" si="53"/>
        <v>0.30209829244484332</v>
      </c>
      <c r="G119" s="405">
        <f t="shared" si="53"/>
        <v>0.28365826268656169</v>
      </c>
      <c r="H119" s="405">
        <f t="shared" si="53"/>
        <v>0.26783219681248477</v>
      </c>
      <c r="I119" s="405">
        <f t="shared" si="53"/>
        <v>0.24737950496214636</v>
      </c>
      <c r="J119" s="405">
        <f t="shared" si="53"/>
        <v>0.21142650941609459</v>
      </c>
      <c r="K119" s="405">
        <f t="shared" si="53"/>
        <v>0.19856264044665572</v>
      </c>
      <c r="L119" s="405">
        <f t="shared" si="53"/>
        <v>0.19141034799577536</v>
      </c>
      <c r="M119" s="405">
        <f t="shared" si="53"/>
        <v>0.18242800238295331</v>
      </c>
      <c r="N119" s="405">
        <f t="shared" si="53"/>
        <v>0.17784704115593833</v>
      </c>
      <c r="O119" s="405">
        <f t="shared" si="53"/>
        <v>0.17497036517512518</v>
      </c>
      <c r="P119" s="405">
        <f t="shared" si="53"/>
        <v>0.17378799009953433</v>
      </c>
      <c r="Q119" s="405">
        <f t="shared" si="53"/>
        <v>0.17285489601204676</v>
      </c>
      <c r="R119" s="405">
        <f t="shared" si="53"/>
        <v>0.17255400230591883</v>
      </c>
      <c r="S119" s="405">
        <f t="shared" si="53"/>
        <v>0.17337324586209582</v>
      </c>
      <c r="T119" s="405">
        <f t="shared" si="53"/>
        <v>0.17205567927225332</v>
      </c>
      <c r="U119" s="405">
        <f t="shared" si="53"/>
        <v>0.16873900606511497</v>
      </c>
      <c r="V119" s="405">
        <f t="shared" si="53"/>
        <v>0.17086005858096565</v>
      </c>
      <c r="W119" s="405">
        <f t="shared" si="53"/>
        <v>0.17105892736661607</v>
      </c>
      <c r="X119" s="405">
        <f t="shared" si="53"/>
        <v>0.17369339025589645</v>
      </c>
      <c r="Y119" s="405">
        <f t="shared" si="53"/>
        <v>0.17512523135777211</v>
      </c>
      <c r="Z119" s="405">
        <f t="shared" si="53"/>
        <v>0.1765588924773277</v>
      </c>
      <c r="AA119" s="405">
        <f t="shared" si="53"/>
        <v>0.1784830733041152</v>
      </c>
      <c r="AB119" s="405">
        <f t="shared" si="53"/>
        <v>0.18128449341236094</v>
      </c>
      <c r="AC119" s="405">
        <f t="shared" si="53"/>
        <v>0.18454818448592844</v>
      </c>
      <c r="AD119" s="405">
        <f t="shared" si="53"/>
        <v>0.18815994267933026</v>
      </c>
      <c r="AE119" s="405">
        <f t="shared" si="53"/>
        <v>0.19062785691508655</v>
      </c>
      <c r="AF119" s="405">
        <f t="shared" si="53"/>
        <v>0.17928490603349906</v>
      </c>
      <c r="AG119" s="405">
        <f t="shared" si="53"/>
        <v>0.17967163082961099</v>
      </c>
      <c r="AH119" s="405">
        <f t="shared" si="53"/>
        <v>0.18233805867265626</v>
      </c>
      <c r="AI119" s="405">
        <f t="shared" si="53"/>
        <v>2.3289073461465772</v>
      </c>
      <c r="AJ119" s="405">
        <f t="shared" si="53"/>
        <v>4.5189372438527213</v>
      </c>
      <c r="AK119" s="405">
        <f t="shared" si="53"/>
        <v>5.78958562791993</v>
      </c>
      <c r="AL119" s="405">
        <f t="shared" si="53"/>
        <v>6.4959264604846503</v>
      </c>
      <c r="AM119" s="405">
        <f t="shared" si="53"/>
        <v>6.9116455804722507</v>
      </c>
      <c r="AN119" s="405">
        <f t="shared" si="53"/>
        <v>7.1754499922584456</v>
      </c>
      <c r="AO119" s="405">
        <f t="shared" si="53"/>
        <v>7.3581138813358704</v>
      </c>
      <c r="AP119" s="405">
        <f t="shared" si="53"/>
        <v>7.4966553424276574</v>
      </c>
      <c r="AQ119" s="405">
        <f t="shared" si="53"/>
        <v>7.6107780179212501</v>
      </c>
      <c r="AR119" s="405">
        <f t="shared" si="53"/>
        <v>7.7110971145147129</v>
      </c>
      <c r="AS119" s="405">
        <f t="shared" si="53"/>
        <v>7.8033905757103206</v>
      </c>
      <c r="AT119" s="405">
        <f t="shared" si="53"/>
        <v>7.8908402183191475</v>
      </c>
      <c r="AU119" s="405">
        <f t="shared" si="53"/>
        <v>7.9752266879245166</v>
      </c>
      <c r="AV119" s="405">
        <f t="shared" si="53"/>
        <v>8.0575706715961992</v>
      </c>
      <c r="AW119" s="405">
        <f t="shared" si="53"/>
        <v>8.1384782591065132</v>
      </c>
      <c r="AX119" s="405">
        <f t="shared" si="53"/>
        <v>8.218327427599645</v>
      </c>
      <c r="AY119" s="405">
        <f t="shared" si="53"/>
        <v>8.2973689681508667</v>
      </c>
      <c r="AZ119" s="405">
        <f t="shared" si="53"/>
        <v>8.3757812637469389</v>
      </c>
      <c r="BA119" s="405">
        <f t="shared" si="53"/>
        <v>8.4537001489602854</v>
      </c>
      <c r="BB119" s="405">
        <f t="shared" si="53"/>
        <v>8.5312353017081293</v>
      </c>
      <c r="BC119" s="405">
        <f t="shared" si="53"/>
        <v>8.6084793466812997</v>
      </c>
      <c r="BD119" s="405">
        <f t="shared" si="53"/>
        <v>8.6855130067266124</v>
      </c>
      <c r="BE119" s="405">
        <f t="shared" si="53"/>
        <v>8.7624081039768242</v>
      </c>
      <c r="BF119" s="405">
        <f t="shared" si="53"/>
        <v>8.8398705266002278</v>
      </c>
      <c r="BG119" s="405">
        <f t="shared" si="53"/>
        <v>8.9173172550794551</v>
      </c>
      <c r="BH119" s="405">
        <f t="shared" si="53"/>
        <v>8.994632400400997</v>
      </c>
      <c r="BI119" s="405">
        <f t="shared" si="53"/>
        <v>9.0718610667319091</v>
      </c>
    </row>
    <row r="120" spans="1:61" s="401" customFormat="1" ht="18" customHeight="1" x14ac:dyDescent="0.2">
      <c r="A120" s="403" t="s">
        <v>949</v>
      </c>
      <c r="B120" s="405">
        <f>+B113</f>
        <v>0.36395210273783341</v>
      </c>
      <c r="C120" s="405">
        <f t="shared" si="53"/>
        <v>0.63080748393847597</v>
      </c>
      <c r="D120" s="405">
        <f t="shared" si="53"/>
        <v>0.87865736123542426</v>
      </c>
      <c r="E120" s="405">
        <f t="shared" si="53"/>
        <v>1.1513158345113612</v>
      </c>
      <c r="F120" s="405">
        <f t="shared" si="53"/>
        <v>0.82771882111574679</v>
      </c>
      <c r="G120" s="405">
        <f t="shared" si="53"/>
        <v>0.58281733000257119</v>
      </c>
      <c r="H120" s="405">
        <f t="shared" si="53"/>
        <v>0.47346501331871432</v>
      </c>
      <c r="I120" s="405">
        <f t="shared" si="53"/>
        <v>0.39247988492475361</v>
      </c>
      <c r="J120" s="405">
        <f t="shared" si="53"/>
        <v>0.33258415550704068</v>
      </c>
      <c r="K120" s="405">
        <f t="shared" si="53"/>
        <v>0.28824243469293648</v>
      </c>
      <c r="L120" s="405">
        <f t="shared" si="53"/>
        <v>0.25672425776917929</v>
      </c>
      <c r="M120" s="405">
        <f t="shared" si="53"/>
        <v>0.23169364263668427</v>
      </c>
      <c r="N120" s="405">
        <f t="shared" si="53"/>
        <v>0.20910351247960754</v>
      </c>
      <c r="O120" s="405">
        <f t="shared" si="53"/>
        <v>0.18871592001284579</v>
      </c>
      <c r="P120" s="405">
        <f t="shared" si="53"/>
        <v>0.17031611781159331</v>
      </c>
      <c r="Q120" s="405">
        <f t="shared" si="53"/>
        <v>0.15371029632496294</v>
      </c>
      <c r="R120" s="405">
        <f t="shared" si="53"/>
        <v>0.13872354243327903</v>
      </c>
      <c r="S120" s="405">
        <f t="shared" si="53"/>
        <v>0.12519799704603432</v>
      </c>
      <c r="T120" s="405">
        <f t="shared" si="53"/>
        <v>0.11299119233404596</v>
      </c>
      <c r="U120" s="405">
        <f t="shared" si="53"/>
        <v>0.10197455108147647</v>
      </c>
      <c r="V120" s="405">
        <f t="shared" si="53"/>
        <v>9.2032032351032508E-2</v>
      </c>
      <c r="W120" s="405">
        <f t="shared" si="53"/>
        <v>8.7430430733480877E-2</v>
      </c>
      <c r="X120" s="405">
        <f t="shared" si="53"/>
        <v>8.3058909196806835E-2</v>
      </c>
      <c r="Y120" s="405">
        <f t="shared" si="53"/>
        <v>7.8905963736966483E-2</v>
      </c>
      <c r="Z120" s="405">
        <f t="shared" si="53"/>
        <v>7.4960665550118155E-2</v>
      </c>
      <c r="AA120" s="405">
        <f t="shared" si="53"/>
        <v>7.121263227261225E-2</v>
      </c>
      <c r="AB120" s="405">
        <f t="shared" si="53"/>
        <v>6.7652000658981637E-2</v>
      </c>
      <c r="AC120" s="405">
        <f t="shared" si="53"/>
        <v>6.426940062603255E-2</v>
      </c>
      <c r="AD120" s="405">
        <f t="shared" si="53"/>
        <v>6.1055930594730919E-2</v>
      </c>
      <c r="AE120" s="405">
        <f t="shared" si="53"/>
        <v>5.8003134064994369E-2</v>
      </c>
      <c r="AF120" s="405">
        <f t="shared" si="53"/>
        <v>5.5102977361744646E-2</v>
      </c>
      <c r="AG120" s="405">
        <f t="shared" si="53"/>
        <v>5.2347828493657413E-2</v>
      </c>
      <c r="AH120" s="405">
        <f t="shared" si="53"/>
        <v>4.9730437068974537E-2</v>
      </c>
      <c r="AI120" s="405">
        <f t="shared" si="53"/>
        <v>4.724391521552581E-2</v>
      </c>
      <c r="AJ120" s="405">
        <f t="shared" si="53"/>
        <v>4.4881719454749516E-2</v>
      </c>
      <c r="AK120" s="405">
        <f t="shared" si="53"/>
        <v>4.2637633482012036E-2</v>
      </c>
      <c r="AL120" s="405">
        <f t="shared" si="53"/>
        <v>4.0505751807911432E-2</v>
      </c>
      <c r="AM120" s="405">
        <f t="shared" si="53"/>
        <v>3.8480464217515858E-2</v>
      </c>
      <c r="AN120" s="405">
        <f t="shared" si="53"/>
        <v>3.6556441006640066E-2</v>
      </c>
      <c r="AO120" s="405">
        <f t="shared" si="53"/>
        <v>3.4728618956308063E-2</v>
      </c>
      <c r="AP120" s="405">
        <f t="shared" si="53"/>
        <v>3.2992188008492657E-2</v>
      </c>
      <c r="AQ120" s="405">
        <f t="shared" si="53"/>
        <v>3.1342578608068022E-2</v>
      </c>
      <c r="AR120" s="405">
        <f t="shared" si="53"/>
        <v>2.9775449677664621E-2</v>
      </c>
      <c r="AS120" s="405">
        <f t="shared" si="53"/>
        <v>2.828667719378139E-2</v>
      </c>
      <c r="AT120" s="405">
        <f t="shared" si="53"/>
        <v>2.687234333409232E-2</v>
      </c>
      <c r="AU120" s="405">
        <f t="shared" si="53"/>
        <v>2.5528726167387703E-2</v>
      </c>
      <c r="AV120" s="405">
        <f t="shared" si="53"/>
        <v>2.4252289859018315E-2</v>
      </c>
      <c r="AW120" s="405">
        <f t="shared" si="53"/>
        <v>2.3039675366067398E-2</v>
      </c>
      <c r="AX120" s="405">
        <f t="shared" si="53"/>
        <v>2.1887691597764027E-2</v>
      </c>
      <c r="AY120" s="405">
        <f t="shared" si="53"/>
        <v>2.0793307017875823E-2</v>
      </c>
      <c r="AZ120" s="405">
        <f t="shared" si="53"/>
        <v>1.9753641666982031E-2</v>
      </c>
      <c r="BA120" s="405">
        <f t="shared" si="53"/>
        <v>1.8765959583632929E-2</v>
      </c>
      <c r="BB120" s="405">
        <f t="shared" si="53"/>
        <v>1.7827661604451282E-2</v>
      </c>
      <c r="BC120" s="405">
        <f t="shared" si="53"/>
        <v>1.6936278524228719E-2</v>
      </c>
      <c r="BD120" s="405">
        <f t="shared" si="53"/>
        <v>1.6089464598017283E-2</v>
      </c>
      <c r="BE120" s="405">
        <f t="shared" si="53"/>
        <v>1.5284991368116417E-2</v>
      </c>
      <c r="BF120" s="405">
        <f t="shared" si="53"/>
        <v>1.4520741799710595E-2</v>
      </c>
      <c r="BG120" s="405">
        <f t="shared" si="53"/>
        <v>1.3794704709725065E-2</v>
      </c>
      <c r="BH120" s="405">
        <f t="shared" si="53"/>
        <v>1.3104969474238811E-2</v>
      </c>
      <c r="BI120" s="405">
        <f t="shared" si="53"/>
        <v>1.2449721000526869E-2</v>
      </c>
    </row>
    <row r="121" spans="1:61" s="402" customFormat="1" ht="18" customHeight="1" x14ac:dyDescent="0.2">
      <c r="A121" s="404" t="s">
        <v>965</v>
      </c>
      <c r="B121" s="405">
        <f>+B119*(1-B122)</f>
        <v>0.35170671523951819</v>
      </c>
      <c r="C121" s="405">
        <f t="shared" ref="C121:BI121" si="54">+C119*(1-C122)</f>
        <v>0.40391474797543764</v>
      </c>
      <c r="D121" s="405">
        <f t="shared" si="54"/>
        <v>0.36135441793941575</v>
      </c>
      <c r="E121" s="405">
        <f t="shared" si="54"/>
        <v>0.32831940436519169</v>
      </c>
      <c r="F121" s="405">
        <f t="shared" si="54"/>
        <v>0.18352703764762934</v>
      </c>
      <c r="G121" s="405">
        <f t="shared" si="54"/>
        <v>0.14320995159655683</v>
      </c>
      <c r="H121" s="405">
        <f t="shared" si="54"/>
        <v>0.11985495484387072</v>
      </c>
      <c r="I121" s="405">
        <f t="shared" si="54"/>
        <v>0.11148410966763095</v>
      </c>
      <c r="J121" s="405">
        <f t="shared" si="54"/>
        <v>8.7393938579490002E-2</v>
      </c>
      <c r="K121" s="405">
        <f t="shared" si="54"/>
        <v>7.6555843269035653E-2</v>
      </c>
      <c r="L121" s="405">
        <f t="shared" si="54"/>
        <v>6.9980119586684666E-2</v>
      </c>
      <c r="M121" s="405">
        <f t="shared" si="54"/>
        <v>6.389188470397468E-2</v>
      </c>
      <c r="N121" s="405">
        <f t="shared" si="54"/>
        <v>5.9948724774989449E-2</v>
      </c>
      <c r="O121" s="405">
        <f t="shared" si="54"/>
        <v>5.6928149351062961E-2</v>
      </c>
      <c r="P121" s="405">
        <f t="shared" si="54"/>
        <v>5.4826819263054813E-2</v>
      </c>
      <c r="Q121" s="405">
        <f t="shared" si="54"/>
        <v>5.3058631584474228E-2</v>
      </c>
      <c r="R121" s="405">
        <f t="shared" si="54"/>
        <v>5.1721793376941778E-2</v>
      </c>
      <c r="S121" s="405">
        <f t="shared" si="54"/>
        <v>5.0944748984010892E-2</v>
      </c>
      <c r="T121" s="405">
        <f t="shared" si="54"/>
        <v>4.9609825092424585E-2</v>
      </c>
      <c r="U121" s="405">
        <f t="shared" si="54"/>
        <v>4.7794781216130913E-2</v>
      </c>
      <c r="V121" s="405">
        <f t="shared" si="54"/>
        <v>4.7602927423650632E-2</v>
      </c>
      <c r="W121" s="405">
        <f t="shared" si="54"/>
        <v>5.2130377192583455E-2</v>
      </c>
      <c r="X121" s="405">
        <f t="shared" si="54"/>
        <v>5.7341134621056264E-2</v>
      </c>
      <c r="Y121" s="405">
        <f t="shared" si="54"/>
        <v>6.2127276625962687E-2</v>
      </c>
      <c r="Z121" s="405">
        <f t="shared" si="54"/>
        <v>6.6856017205315352E-2</v>
      </c>
      <c r="AA121" s="405">
        <f t="shared" si="54"/>
        <v>7.1723884758315565E-2</v>
      </c>
      <c r="AB121" s="405">
        <f t="shared" si="54"/>
        <v>7.6928095737083035E-2</v>
      </c>
      <c r="AC121" s="405">
        <f t="shared" si="54"/>
        <v>8.2339931217738777E-2</v>
      </c>
      <c r="AD121" s="405">
        <f t="shared" si="54"/>
        <v>8.7932653106915934E-2</v>
      </c>
      <c r="AE121" s="405">
        <f t="shared" si="54"/>
        <v>9.2996338640966861E-2</v>
      </c>
      <c r="AF121" s="405">
        <f t="shared" si="54"/>
        <v>9.1027329167774132E-2</v>
      </c>
      <c r="AG121" s="405">
        <f t="shared" si="54"/>
        <v>9.4685175212233602E-2</v>
      </c>
      <c r="AH121" s="405">
        <f t="shared" si="54"/>
        <v>9.9493392207188933E-2</v>
      </c>
      <c r="AI121" s="405">
        <f t="shared" si="54"/>
        <v>1.3128705769601472</v>
      </c>
      <c r="AJ121" s="405">
        <f t="shared" si="54"/>
        <v>2.6265303906883508</v>
      </c>
      <c r="AK121" s="405">
        <f t="shared" si="54"/>
        <v>3.463124146551944</v>
      </c>
      <c r="AL121" s="405">
        <f t="shared" si="54"/>
        <v>3.9920827014938483</v>
      </c>
      <c r="AM121" s="405">
        <f t="shared" si="54"/>
        <v>4.3571131333604054</v>
      </c>
      <c r="AN121" s="405">
        <f t="shared" si="54"/>
        <v>4.6333784791947039</v>
      </c>
      <c r="AO121" s="405">
        <f t="shared" si="54"/>
        <v>4.8603146934724046</v>
      </c>
      <c r="AP121" s="405">
        <f t="shared" si="54"/>
        <v>5.0591038574053639</v>
      </c>
      <c r="AQ121" s="405">
        <f t="shared" si="54"/>
        <v>5.2412999067912942</v>
      </c>
      <c r="AR121" s="405">
        <f t="shared" si="54"/>
        <v>5.4132618930064407</v>
      </c>
      <c r="AS121" s="405">
        <f t="shared" si="54"/>
        <v>5.5785109994438615</v>
      </c>
      <c r="AT121" s="405">
        <f t="shared" si="54"/>
        <v>5.7390090646941028</v>
      </c>
      <c r="AU121" s="405">
        <f t="shared" si="54"/>
        <v>5.8958593664207672</v>
      </c>
      <c r="AV121" s="405">
        <f t="shared" si="54"/>
        <v>6.0496925638783861</v>
      </c>
      <c r="AW121" s="405">
        <f t="shared" si="54"/>
        <v>6.2008795771151366</v>
      </c>
      <c r="AX121" s="405">
        <f t="shared" si="54"/>
        <v>6.349648973758792</v>
      </c>
      <c r="AY121" s="405">
        <f t="shared" si="54"/>
        <v>6.4961516053083486</v>
      </c>
      <c r="AZ121" s="405">
        <f t="shared" si="54"/>
        <v>6.6404961135148053</v>
      </c>
      <c r="BA121" s="405">
        <f t="shared" si="54"/>
        <v>6.7827683699024544</v>
      </c>
      <c r="BB121" s="405">
        <f t="shared" si="54"/>
        <v>6.9230420694199291</v>
      </c>
      <c r="BC121" s="405">
        <f t="shared" si="54"/>
        <v>7.061384465285462</v>
      </c>
      <c r="BD121" s="405">
        <f t="shared" si="54"/>
        <v>7.1978594429905218</v>
      </c>
      <c r="BE121" s="405">
        <f t="shared" si="54"/>
        <v>6.6820032102673874</v>
      </c>
      <c r="BF121" s="405">
        <f t="shared" si="54"/>
        <v>5.9305715585259913</v>
      </c>
      <c r="BG121" s="405">
        <f t="shared" si="54"/>
        <v>4.8491881685996603</v>
      </c>
      <c r="BH121" s="405">
        <f t="shared" si="54"/>
        <v>3.30660100945025</v>
      </c>
      <c r="BI121" s="405">
        <f t="shared" si="54"/>
        <v>1.1195563244042226</v>
      </c>
    </row>
    <row r="122" spans="1:61" s="401" customFormat="1" ht="18" customHeight="1" x14ac:dyDescent="0.2">
      <c r="A122" s="403" t="s">
        <v>951</v>
      </c>
      <c r="B122" s="406">
        <f t="shared" ref="B122:L122" si="55">+(B123/(1000*B$36))^(1/($B$38-1))</f>
        <v>0</v>
      </c>
      <c r="C122" s="406">
        <f t="shared" si="55"/>
        <v>0</v>
      </c>
      <c r="D122" s="406">
        <f t="shared" si="55"/>
        <v>0</v>
      </c>
      <c r="E122" s="406">
        <f t="shared" si="55"/>
        <v>0</v>
      </c>
      <c r="F122" s="406">
        <f t="shared" si="55"/>
        <v>0.39249230387114015</v>
      </c>
      <c r="G122" s="406">
        <f t="shared" si="55"/>
        <v>0.49513209930781477</v>
      </c>
      <c r="H122" s="406">
        <f t="shared" si="55"/>
        <v>0.55249982537467734</v>
      </c>
      <c r="I122" s="406">
        <f t="shared" si="55"/>
        <v>0.54933974952900777</v>
      </c>
      <c r="J122" s="406">
        <f t="shared" si="55"/>
        <v>0.58664625916187385</v>
      </c>
      <c r="K122" s="406">
        <f t="shared" si="55"/>
        <v>0.61444991315170117</v>
      </c>
      <c r="L122" s="406">
        <f t="shared" si="55"/>
        <v>0.63439740683074664</v>
      </c>
      <c r="M122" s="406">
        <f t="shared" ref="M122:BI122" si="56">+(M123/(1000*M$36))^(1/($B$38-1))</f>
        <v>0.64976931244440927</v>
      </c>
      <c r="N122" s="406">
        <f t="shared" si="56"/>
        <v>0.66291975179713158</v>
      </c>
      <c r="O122" s="406">
        <f t="shared" si="56"/>
        <v>0.67464119255804011</v>
      </c>
      <c r="P122" s="406">
        <f t="shared" si="56"/>
        <v>0.68451894039597549</v>
      </c>
      <c r="Q122" s="406">
        <f t="shared" si="56"/>
        <v>0.69304524888449548</v>
      </c>
      <c r="R122" s="406">
        <f t="shared" si="56"/>
        <v>0.70025735314301862</v>
      </c>
      <c r="S122" s="406">
        <f t="shared" si="56"/>
        <v>0.7061556485795204</v>
      </c>
      <c r="T122" s="406">
        <f t="shared" si="56"/>
        <v>0.71166412348455999</v>
      </c>
      <c r="U122" s="406">
        <f t="shared" si="56"/>
        <v>0.71675321355343702</v>
      </c>
      <c r="V122" s="406">
        <f t="shared" si="56"/>
        <v>0.72139230304025104</v>
      </c>
      <c r="W122" s="406">
        <f t="shared" si="56"/>
        <v>0.69524901158267616</v>
      </c>
      <c r="X122" s="406">
        <f t="shared" si="56"/>
        <v>0.66987152167058539</v>
      </c>
      <c r="Y122" s="406">
        <f t="shared" si="56"/>
        <v>0.64524085910247986</v>
      </c>
      <c r="Z122" s="406">
        <f t="shared" si="56"/>
        <v>0.62133871442413768</v>
      </c>
      <c r="AA122" s="406">
        <f t="shared" si="56"/>
        <v>0.59814741291401852</v>
      </c>
      <c r="AB122" s="406">
        <f t="shared" si="56"/>
        <v>0.57564988439415155</v>
      </c>
      <c r="AC122" s="406">
        <f t="shared" si="56"/>
        <v>0.55382963291076381</v>
      </c>
      <c r="AD122" s="406">
        <f t="shared" si="56"/>
        <v>0.53267070634277192</v>
      </c>
      <c r="AE122" s="406">
        <f t="shared" si="56"/>
        <v>0.51215766601000379</v>
      </c>
      <c r="AF122" s="406">
        <f t="shared" si="56"/>
        <v>0.49227555636632442</v>
      </c>
      <c r="AG122" s="406">
        <f t="shared" si="56"/>
        <v>0.47300987487542245</v>
      </c>
      <c r="AH122" s="406">
        <f t="shared" si="56"/>
        <v>0.45434654217853027</v>
      </c>
      <c r="AI122" s="406">
        <f t="shared" si="56"/>
        <v>0.43627187267349649</v>
      </c>
      <c r="AJ122" s="406">
        <f t="shared" si="56"/>
        <v>0.41877254563308713</v>
      </c>
      <c r="AK122" s="406">
        <f t="shared" si="56"/>
        <v>0.40183557699686911</v>
      </c>
      <c r="AL122" s="406">
        <f t="shared" si="56"/>
        <v>0.38544829197527497</v>
      </c>
      <c r="AM122" s="406">
        <f t="shared" si="56"/>
        <v>0.36959829860623478</v>
      </c>
      <c r="AN122" s="406">
        <f t="shared" si="56"/>
        <v>0.35427346240394242</v>
      </c>
      <c r="AO122" s="406">
        <f t="shared" si="56"/>
        <v>0.33946188223577606</v>
      </c>
      <c r="AP122" s="406">
        <f t="shared" si="56"/>
        <v>0.32515186755710396</v>
      </c>
      <c r="AQ122" s="406">
        <f t="shared" si="56"/>
        <v>0.3113319171247011</v>
      </c>
      <c r="AR122" s="406">
        <f t="shared" si="56"/>
        <v>0.29799069929790178</v>
      </c>
      <c r="AS122" s="406">
        <f t="shared" si="56"/>
        <v>0.28511703402260302</v>
      </c>
      <c r="AT122" s="406">
        <f t="shared" si="56"/>
        <v>0.27269987657707417</v>
      </c>
      <c r="AU122" s="406">
        <f t="shared" si="56"/>
        <v>0.26072830314054524</v>
      </c>
      <c r="AV122" s="406">
        <f t="shared" si="56"/>
        <v>0.24919149822610911</v>
      </c>
      <c r="AW122" s="406">
        <f t="shared" si="56"/>
        <v>0.23807874399901599</v>
      </c>
      <c r="AX122" s="406">
        <f t="shared" si="56"/>
        <v>0.22737941148040197</v>
      </c>
      <c r="AY122" s="406">
        <f t="shared" si="56"/>
        <v>0.21708295361534749</v>
      </c>
      <c r="AZ122" s="406">
        <f t="shared" si="56"/>
        <v>0.20717890016337967</v>
      </c>
      <c r="BA122" s="406">
        <f t="shared" si="56"/>
        <v>0.19765685434955232</v>
      </c>
      <c r="BB122" s="406">
        <f t="shared" si="56"/>
        <v>0.18850649119550208</v>
      </c>
      <c r="BC122" s="406">
        <f t="shared" si="56"/>
        <v>0.17971755743274984</v>
      </c>
      <c r="BD122" s="406">
        <f t="shared" si="56"/>
        <v>0.17127987288533875</v>
      </c>
      <c r="BE122" s="406">
        <f t="shared" si="56"/>
        <v>0.23742387583673988</v>
      </c>
      <c r="BF122" s="406">
        <f t="shared" si="56"/>
        <v>0.3291110383709589</v>
      </c>
      <c r="BG122" s="406">
        <f t="shared" si="56"/>
        <v>0.45620548984757936</v>
      </c>
      <c r="BH122" s="406">
        <f t="shared" si="56"/>
        <v>0.63238063966873892</v>
      </c>
      <c r="BI122" s="406">
        <f t="shared" si="56"/>
        <v>0.87659022595596947</v>
      </c>
    </row>
    <row r="123" spans="1:61" s="401" customFormat="1" ht="18" customHeight="1" x14ac:dyDescent="0.2">
      <c r="A123" s="403" t="s">
        <v>964</v>
      </c>
      <c r="B123" s="400">
        <f>+Global!B118*B46</f>
        <v>0</v>
      </c>
      <c r="C123" s="400">
        <f>+Global!C118*C46</f>
        <v>0</v>
      </c>
      <c r="D123" s="400">
        <f>+Global!D118*D46</f>
        <v>0</v>
      </c>
      <c r="E123" s="400">
        <f>+Global!E118*E46</f>
        <v>0</v>
      </c>
      <c r="F123" s="400">
        <f>+Global!F118*F46</f>
        <v>233.94935599053753</v>
      </c>
      <c r="G123" s="400">
        <f>+Global!G118*G46</f>
        <v>339.76805314882228</v>
      </c>
      <c r="H123" s="400">
        <f>+Global!H118*H46</f>
        <v>395.79173718574327</v>
      </c>
      <c r="I123" s="400">
        <f>+Global!I118*I46</f>
        <v>374.71175607071785</v>
      </c>
      <c r="J123" s="400">
        <f>+Global!J118*J46</f>
        <v>403.56245905854087</v>
      </c>
      <c r="K123" s="400">
        <f>+Global!K118*K46</f>
        <v>419.85509970481468</v>
      </c>
      <c r="L123" s="400">
        <f>+Global!L118*L46</f>
        <v>425.80446662505955</v>
      </c>
      <c r="M123" s="400">
        <f>+Global!M118*M46</f>
        <v>425.80724998740214</v>
      </c>
      <c r="N123" s="400">
        <f>+Global!N118*N46</f>
        <v>422.97942985617249</v>
      </c>
      <c r="O123" s="400">
        <f>+Global!O118*O46</f>
        <v>418.43242488488926</v>
      </c>
      <c r="P123" s="400">
        <f>+Global!P118*P46</f>
        <v>411.86970500908546</v>
      </c>
      <c r="Q123" s="400">
        <f>+Global!Q118*Q46</f>
        <v>404</v>
      </c>
      <c r="R123" s="400">
        <f>+Global!R118*R46</f>
        <v>395</v>
      </c>
      <c r="S123" s="400">
        <f>+Global!S118*S46</f>
        <v>385</v>
      </c>
      <c r="T123" s="400">
        <f>+Global!T118*T46</f>
        <v>375</v>
      </c>
      <c r="U123" s="400">
        <f>+Global!U118*U46</f>
        <v>365</v>
      </c>
      <c r="V123" s="400">
        <f>+Global!V118*V46</f>
        <v>355</v>
      </c>
      <c r="W123" s="400">
        <f>+Global!W118*W46</f>
        <v>319.5</v>
      </c>
      <c r="X123" s="400">
        <f>+Global!X118*X46</f>
        <v>287.55</v>
      </c>
      <c r="Y123" s="400">
        <f>+Global!Y118*Y46</f>
        <v>258.79500000000002</v>
      </c>
      <c r="Z123" s="400">
        <f>+Global!Z118*Z46</f>
        <v>232.91550000000001</v>
      </c>
      <c r="AA123" s="400">
        <f>+MIN(Global!AA118,AA36*1000)</f>
        <v>209.62395000000001</v>
      </c>
      <c r="AB123" s="400">
        <f>+MIN(Global!AB118,AB36*1000)</f>
        <v>188.66155500000002</v>
      </c>
      <c r="AC123" s="400">
        <f>+MIN(Global!AC118,AC36*1000)</f>
        <v>169.79539950000003</v>
      </c>
      <c r="AD123" s="400">
        <f>+MIN(Global!AD118,AD36*1000)</f>
        <v>152.81585955000003</v>
      </c>
      <c r="AE123" s="400">
        <f>+MIN(Global!AE118,AE36*1000)</f>
        <v>137.53427359500003</v>
      </c>
      <c r="AF123" s="400">
        <f>+MIN(Global!AF118,AF36*1000)</f>
        <v>123.78084623550004</v>
      </c>
      <c r="AG123" s="400">
        <f>+MIN(Global!AG118,AG36*1000)</f>
        <v>111.40276161195004</v>
      </c>
      <c r="AH123" s="400">
        <f>+MIN(Global!AH118,AH36*1000)</f>
        <v>100.26248545075504</v>
      </c>
      <c r="AI123" s="400">
        <f>+MIN(Global!AI118,AI36*1000)</f>
        <v>90.236236905679533</v>
      </c>
      <c r="AJ123" s="400">
        <f>+MIN(Global!AJ118,AJ36*1000)</f>
        <v>81.212613215111588</v>
      </c>
      <c r="AK123" s="400">
        <f>+MIN(Global!AK118,AK36*1000)</f>
        <v>73.091351893600432</v>
      </c>
      <c r="AL123" s="400">
        <f>+MIN(Global!AL118,AL36*1000)</f>
        <v>65.782216704240398</v>
      </c>
      <c r="AM123" s="400">
        <f>+MIN(Global!AM118,AM36*1000)</f>
        <v>59.203995033816362</v>
      </c>
      <c r="AN123" s="400">
        <f>+MIN(Global!AN118,AN36*1000)</f>
        <v>53.283595530434724</v>
      </c>
      <c r="AO123" s="400">
        <f>+MIN(Global!AO118,AO36*1000)</f>
        <v>47.955235977391254</v>
      </c>
      <c r="AP123" s="400">
        <f>+MIN(Global!AP118,AP36*1000)</f>
        <v>43.159712379652127</v>
      </c>
      <c r="AQ123" s="400">
        <f>+MIN(Global!AQ118,AQ36*1000)</f>
        <v>38.843741141686912</v>
      </c>
      <c r="AR123" s="400">
        <f>+MIN(Global!AR118,AR36*1000)</f>
        <v>34.959367027518219</v>
      </c>
      <c r="AS123" s="400">
        <f>+MIN(Global!AS118,AS36*1000)</f>
        <v>31.463430324766399</v>
      </c>
      <c r="AT123" s="400">
        <f>+MIN(Global!AT118,AT36*1000)</f>
        <v>28.317087292289759</v>
      </c>
      <c r="AU123" s="400">
        <f>+MIN(Global!AU118,AU36*1000)</f>
        <v>25.485378563060785</v>
      </c>
      <c r="AV123" s="400">
        <f>+MIN(Global!AV118,AV36*1000)</f>
        <v>22.936840706754708</v>
      </c>
      <c r="AW123" s="400">
        <f>+MIN(Global!AW118,AW36*1000)</f>
        <v>20.643156636079237</v>
      </c>
      <c r="AX123" s="400">
        <f>+MIN(Global!AX118,AX36*1000)</f>
        <v>18.578840972471312</v>
      </c>
      <c r="AY123" s="400">
        <f>+MIN(Global!AY118,AY36*1000)</f>
        <v>16.720956875224182</v>
      </c>
      <c r="AZ123" s="400">
        <f>+MIN(Global!AZ118,AZ36*1000)</f>
        <v>15.048861187701764</v>
      </c>
      <c r="BA123" s="400">
        <f>+MIN(Global!BA118,BA36*1000)</f>
        <v>13.543975068931587</v>
      </c>
      <c r="BB123" s="400">
        <f>+MIN(Global!BB118,BB36*1000)</f>
        <v>12.189577562038428</v>
      </c>
      <c r="BC123" s="400">
        <f>+MIN(Global!BC118,BC36*1000)</f>
        <v>10.970619805834586</v>
      </c>
      <c r="BD123" s="400">
        <f>+MIN(Global!BD118,BD36*1000)</f>
        <v>9.8735578252511278</v>
      </c>
      <c r="BE123" s="400">
        <f>+MIN(Global!BE118,BE36*1000)</f>
        <v>8.8862020427260155</v>
      </c>
      <c r="BF123" s="400">
        <f>+MIN(Global!BF118,BF36*1000)</f>
        <v>7.9975818384534145</v>
      </c>
      <c r="BG123" s="400">
        <f>+MIN(Global!BG118,BG36*1000)</f>
        <v>7.1978236546080732</v>
      </c>
      <c r="BH123" s="400">
        <f>+MIN(Global!BH118,BH36*1000)</f>
        <v>6.4780412891472663</v>
      </c>
      <c r="BI123" s="400">
        <f>+MIN(Global!BI118,BI36*1000)</f>
        <v>5.8302371602325396</v>
      </c>
    </row>
    <row r="124" spans="1:61" s="401" customFormat="1" ht="18" customHeight="1" x14ac:dyDescent="0.2">
      <c r="A124" s="403" t="s">
        <v>969</v>
      </c>
      <c r="B124" s="405">
        <f>+B119*(1-B122)</f>
        <v>0.35170671523951819</v>
      </c>
      <c r="C124" s="405">
        <f t="shared" ref="C124:BI124" si="57">+C119*(1-C122)</f>
        <v>0.40391474797543764</v>
      </c>
      <c r="D124" s="405">
        <f t="shared" si="57"/>
        <v>0.36135441793941575</v>
      </c>
      <c r="E124" s="405">
        <f t="shared" si="57"/>
        <v>0.32831940436519169</v>
      </c>
      <c r="F124" s="405">
        <f t="shared" si="57"/>
        <v>0.18352703764762934</v>
      </c>
      <c r="G124" s="405">
        <f t="shared" si="57"/>
        <v>0.14320995159655683</v>
      </c>
      <c r="H124" s="405">
        <f t="shared" si="57"/>
        <v>0.11985495484387072</v>
      </c>
      <c r="I124" s="405">
        <f t="shared" si="57"/>
        <v>0.11148410966763095</v>
      </c>
      <c r="J124" s="405">
        <f t="shared" si="57"/>
        <v>8.7393938579490002E-2</v>
      </c>
      <c r="K124" s="405">
        <f t="shared" si="57"/>
        <v>7.6555843269035653E-2</v>
      </c>
      <c r="L124" s="405">
        <f t="shared" si="57"/>
        <v>6.9980119586684666E-2</v>
      </c>
      <c r="M124" s="405">
        <f t="shared" si="57"/>
        <v>6.389188470397468E-2</v>
      </c>
      <c r="N124" s="405">
        <f t="shared" si="57"/>
        <v>5.9948724774989449E-2</v>
      </c>
      <c r="O124" s="405">
        <f t="shared" si="57"/>
        <v>5.6928149351062961E-2</v>
      </c>
      <c r="P124" s="405">
        <f t="shared" si="57"/>
        <v>5.4826819263054813E-2</v>
      </c>
      <c r="Q124" s="405">
        <f t="shared" si="57"/>
        <v>5.3058631584474228E-2</v>
      </c>
      <c r="R124" s="405">
        <f t="shared" si="57"/>
        <v>5.1721793376941778E-2</v>
      </c>
      <c r="S124" s="405">
        <f t="shared" si="57"/>
        <v>5.0944748984010892E-2</v>
      </c>
      <c r="T124" s="405">
        <f t="shared" si="57"/>
        <v>4.9609825092424585E-2</v>
      </c>
      <c r="U124" s="405">
        <f t="shared" si="57"/>
        <v>4.7794781216130913E-2</v>
      </c>
      <c r="V124" s="405">
        <f t="shared" si="57"/>
        <v>4.7602927423650632E-2</v>
      </c>
      <c r="W124" s="405">
        <f t="shared" si="57"/>
        <v>5.2130377192583455E-2</v>
      </c>
      <c r="X124" s="405">
        <f t="shared" si="57"/>
        <v>5.7341134621056264E-2</v>
      </c>
      <c r="Y124" s="405">
        <f t="shared" si="57"/>
        <v>6.2127276625962687E-2</v>
      </c>
      <c r="Z124" s="405">
        <f t="shared" si="57"/>
        <v>6.6856017205315352E-2</v>
      </c>
      <c r="AA124" s="405">
        <f t="shared" si="57"/>
        <v>7.1723884758315565E-2</v>
      </c>
      <c r="AB124" s="405">
        <f t="shared" si="57"/>
        <v>7.6928095737083035E-2</v>
      </c>
      <c r="AC124" s="405">
        <f t="shared" si="57"/>
        <v>8.2339931217738777E-2</v>
      </c>
      <c r="AD124" s="405">
        <f t="shared" si="57"/>
        <v>8.7932653106915934E-2</v>
      </c>
      <c r="AE124" s="405">
        <f t="shared" si="57"/>
        <v>9.2996338640966861E-2</v>
      </c>
      <c r="AF124" s="405">
        <f t="shared" si="57"/>
        <v>9.1027329167774132E-2</v>
      </c>
      <c r="AG124" s="405">
        <f t="shared" si="57"/>
        <v>9.4685175212233602E-2</v>
      </c>
      <c r="AH124" s="405">
        <f t="shared" si="57"/>
        <v>9.9493392207188933E-2</v>
      </c>
      <c r="AI124" s="405">
        <f t="shared" si="57"/>
        <v>1.3128705769601472</v>
      </c>
      <c r="AJ124" s="405">
        <f t="shared" si="57"/>
        <v>2.6265303906883508</v>
      </c>
      <c r="AK124" s="405">
        <f t="shared" si="57"/>
        <v>3.463124146551944</v>
      </c>
      <c r="AL124" s="405">
        <f t="shared" si="57"/>
        <v>3.9920827014938483</v>
      </c>
      <c r="AM124" s="405">
        <f t="shared" si="57"/>
        <v>4.3571131333604054</v>
      </c>
      <c r="AN124" s="405">
        <f t="shared" si="57"/>
        <v>4.6333784791947039</v>
      </c>
      <c r="AO124" s="405">
        <f t="shared" si="57"/>
        <v>4.8603146934724046</v>
      </c>
      <c r="AP124" s="405">
        <f t="shared" si="57"/>
        <v>5.0591038574053639</v>
      </c>
      <c r="AQ124" s="405">
        <f t="shared" si="57"/>
        <v>5.2412999067912942</v>
      </c>
      <c r="AR124" s="405">
        <f t="shared" si="57"/>
        <v>5.4132618930064407</v>
      </c>
      <c r="AS124" s="405">
        <f t="shared" si="57"/>
        <v>5.5785109994438615</v>
      </c>
      <c r="AT124" s="405">
        <f t="shared" si="57"/>
        <v>5.7390090646941028</v>
      </c>
      <c r="AU124" s="405">
        <f t="shared" si="57"/>
        <v>5.8958593664207672</v>
      </c>
      <c r="AV124" s="405">
        <f t="shared" si="57"/>
        <v>6.0496925638783861</v>
      </c>
      <c r="AW124" s="405">
        <f t="shared" si="57"/>
        <v>6.2008795771151366</v>
      </c>
      <c r="AX124" s="405">
        <f t="shared" si="57"/>
        <v>6.349648973758792</v>
      </c>
      <c r="AY124" s="405">
        <f t="shared" si="57"/>
        <v>6.4961516053083486</v>
      </c>
      <c r="AZ124" s="405">
        <f t="shared" si="57"/>
        <v>6.6404961135148053</v>
      </c>
      <c r="BA124" s="405">
        <f t="shared" si="57"/>
        <v>6.7827683699024544</v>
      </c>
      <c r="BB124" s="405">
        <f t="shared" si="57"/>
        <v>6.9230420694199291</v>
      </c>
      <c r="BC124" s="405">
        <f t="shared" si="57"/>
        <v>7.061384465285462</v>
      </c>
      <c r="BD124" s="405">
        <f t="shared" si="57"/>
        <v>7.1978594429905218</v>
      </c>
      <c r="BE124" s="405">
        <f t="shared" si="57"/>
        <v>6.6820032102673874</v>
      </c>
      <c r="BF124" s="405">
        <f t="shared" si="57"/>
        <v>5.9305715585259913</v>
      </c>
      <c r="BG124" s="405">
        <f t="shared" si="57"/>
        <v>4.8491881685996603</v>
      </c>
      <c r="BH124" s="405">
        <f t="shared" si="57"/>
        <v>3.30660100945025</v>
      </c>
      <c r="BI124" s="405">
        <f t="shared" si="57"/>
        <v>1.1195563244042226</v>
      </c>
    </row>
    <row r="126" spans="1:61" ht="26.25" customHeight="1" x14ac:dyDescent="0.2">
      <c r="A126" s="51" t="s">
        <v>165</v>
      </c>
      <c r="B126" s="143"/>
    </row>
    <row r="127" spans="1:61" ht="18" customHeight="1" x14ac:dyDescent="0.2">
      <c r="A127" s="23" t="s">
        <v>7</v>
      </c>
      <c r="B127" s="143"/>
    </row>
    <row r="128" spans="1:61" ht="18" customHeight="1" x14ac:dyDescent="0.2">
      <c r="A128" s="23" t="s">
        <v>8</v>
      </c>
      <c r="B128" s="143"/>
      <c r="C128" s="143">
        <f t="shared" ref="C128:BI128" si="58">+$B$7*C61/C74</f>
        <v>0.10529013355689695</v>
      </c>
      <c r="D128" s="23">
        <f t="shared" si="58"/>
        <v>8.4583671696105672E-2</v>
      </c>
      <c r="E128" s="23">
        <f t="shared" si="58"/>
        <v>8.2095766133348985E-2</v>
      </c>
      <c r="F128" s="23">
        <f t="shared" si="58"/>
        <v>8.3723446274303281E-2</v>
      </c>
      <c r="G128" s="23">
        <f t="shared" si="58"/>
        <v>8.7973005316265659E-2</v>
      </c>
      <c r="H128" s="23">
        <f t="shared" si="58"/>
        <v>9.0743182153160296E-2</v>
      </c>
      <c r="I128" s="23">
        <f t="shared" si="58"/>
        <v>8.9194709719156218E-2</v>
      </c>
      <c r="J128" s="23">
        <f t="shared" si="58"/>
        <v>8.1634975306994331E-2</v>
      </c>
      <c r="K128" s="23">
        <f t="shared" si="58"/>
        <v>8.6487572074657432E-2</v>
      </c>
      <c r="L128" s="23">
        <f t="shared" si="58"/>
        <v>9.0522332924642596E-2</v>
      </c>
      <c r="M128" s="23">
        <f t="shared" si="58"/>
        <v>9.0151775811001034E-2</v>
      </c>
      <c r="N128" s="23">
        <f t="shared" si="58"/>
        <v>9.3144871718623498E-2</v>
      </c>
      <c r="O128" s="23">
        <f t="shared" si="58"/>
        <v>9.4584188752464604E-2</v>
      </c>
      <c r="P128" s="23">
        <f t="shared" si="58"/>
        <v>9.5531935067184479E-2</v>
      </c>
      <c r="Q128" s="23">
        <f t="shared" si="58"/>
        <v>9.5555204525668166E-2</v>
      </c>
      <c r="R128" s="23">
        <f t="shared" si="58"/>
        <v>9.559602934119997E-2</v>
      </c>
      <c r="S128" s="23">
        <f t="shared" si="58"/>
        <v>9.5898698361010504E-2</v>
      </c>
      <c r="T128" s="23">
        <f t="shared" si="58"/>
        <v>9.4539519075225786E-2</v>
      </c>
      <c r="U128" s="23">
        <f t="shared" si="58"/>
        <v>9.2700933404233452E-2</v>
      </c>
      <c r="V128" s="23">
        <f t="shared" si="58"/>
        <v>9.4887536256056809E-2</v>
      </c>
      <c r="W128" s="23">
        <f t="shared" si="58"/>
        <v>9.436761894454776E-2</v>
      </c>
      <c r="X128" s="23">
        <f t="shared" si="58"/>
        <v>9.5314313207997062E-2</v>
      </c>
      <c r="Y128" s="23">
        <f t="shared" si="58"/>
        <v>9.4802089689949465E-2</v>
      </c>
      <c r="Z128" s="23">
        <f t="shared" si="58"/>
        <v>9.4489702119100419E-2</v>
      </c>
      <c r="AA128" s="23">
        <f t="shared" si="58"/>
        <v>9.4527621572012152E-2</v>
      </c>
      <c r="AB128" s="23">
        <f t="shared" si="58"/>
        <v>9.4927099844713425E-2</v>
      </c>
      <c r="AC128" s="23">
        <f t="shared" si="58"/>
        <v>9.5450613312889176E-2</v>
      </c>
      <c r="AD128" s="23">
        <f t="shared" si="58"/>
        <v>9.5627679626852494E-2</v>
      </c>
      <c r="AE128" s="23">
        <f t="shared" si="58"/>
        <v>9.4957551395898482E-2</v>
      </c>
      <c r="AF128" s="23">
        <f t="shared" si="58"/>
        <v>8.7910969463606881E-2</v>
      </c>
      <c r="AG128" s="23">
        <f t="shared" si="58"/>
        <v>9.1182946810383317E-2</v>
      </c>
      <c r="AH128" s="23">
        <f t="shared" si="58"/>
        <v>9.3381821815161303E-2</v>
      </c>
      <c r="AI128" s="23">
        <f t="shared" si="58"/>
        <v>1.1842056654239062</v>
      </c>
      <c r="AJ128" s="23">
        <f t="shared" si="58"/>
        <v>0.26074476187357687</v>
      </c>
      <c r="AK128" s="23">
        <f t="shared" si="58"/>
        <v>0.15101534729392946</v>
      </c>
      <c r="AL128" s="23">
        <f t="shared" si="58"/>
        <v>0.11904404901563084</v>
      </c>
      <c r="AM128" s="23">
        <f t="shared" si="58"/>
        <v>0.10609124143256884</v>
      </c>
      <c r="AN128" s="23">
        <f t="shared" si="58"/>
        <v>0.10002245262288409</v>
      </c>
      <c r="AO128" s="23">
        <f t="shared" si="58"/>
        <v>9.6958733032411412E-2</v>
      </c>
      <c r="AP128" s="23">
        <f t="shared" si="58"/>
        <v>9.533998371188443E-2</v>
      </c>
      <c r="AQ128" s="23">
        <f t="shared" si="58"/>
        <v>9.4453657084805243E-2</v>
      </c>
      <c r="AR128" s="23">
        <f t="shared" si="58"/>
        <v>9.3950395776969745E-2</v>
      </c>
      <c r="AS128" s="23">
        <f t="shared" si="58"/>
        <v>9.3651975403890239E-2</v>
      </c>
      <c r="AT128" s="23">
        <f t="shared" si="58"/>
        <v>9.346537236137524E-2</v>
      </c>
      <c r="AU128" s="23">
        <f t="shared" si="58"/>
        <v>9.3341329622342761E-2</v>
      </c>
      <c r="AV128" s="23">
        <f t="shared" si="58"/>
        <v>9.325347646658444E-2</v>
      </c>
      <c r="AW128" s="23">
        <f t="shared" si="58"/>
        <v>9.3187536813140501E-2</v>
      </c>
      <c r="AX128" s="23">
        <f t="shared" si="58"/>
        <v>9.3135671248297497E-2</v>
      </c>
      <c r="AY128" s="23">
        <f t="shared" si="58"/>
        <v>9.3093486011211729E-2</v>
      </c>
      <c r="AZ128" s="23">
        <f t="shared" si="58"/>
        <v>9.3058443794996296E-2</v>
      </c>
      <c r="BA128" s="23">
        <f t="shared" si="58"/>
        <v>9.302901632035826E-2</v>
      </c>
      <c r="BB128" s="23">
        <f t="shared" si="58"/>
        <v>9.3004230979128633E-2</v>
      </c>
      <c r="BC128" s="23">
        <f t="shared" si="58"/>
        <v>9.298342736800172E-2</v>
      </c>
      <c r="BD128" s="23">
        <f t="shared" si="58"/>
        <v>9.2966125834940003E-2</v>
      </c>
      <c r="BE128" s="23">
        <f t="shared" si="58"/>
        <v>9.2951955918469775E-2</v>
      </c>
      <c r="BF128" s="23">
        <f t="shared" si="58"/>
        <v>9.2924889016664514E-2</v>
      </c>
      <c r="BG128" s="23">
        <f t="shared" si="58"/>
        <v>9.2900694930506789E-2</v>
      </c>
      <c r="BH128" s="23">
        <f t="shared" si="58"/>
        <v>9.2883233819162594E-2</v>
      </c>
      <c r="BI128" s="23">
        <f t="shared" si="58"/>
        <v>9.2872298649099683E-2</v>
      </c>
    </row>
    <row r="129" spans="1:61" ht="18" customHeight="1" x14ac:dyDescent="0.2">
      <c r="A129" s="23" t="s">
        <v>11</v>
      </c>
      <c r="B129" s="143"/>
      <c r="C129" s="143">
        <f>+$B$14+LN(D56/C56)/10+$B$18*LN(D88/C88)/10</f>
        <v>2.1308319112471857E-2</v>
      </c>
      <c r="D129" s="23">
        <f t="shared" ref="D129:BH129" si="59">+$B$14+LN(E56/D56)/10+$B$18*LN(E88/D88)/10</f>
        <v>2.2350860232490846E-2</v>
      </c>
      <c r="E129" s="23">
        <f t="shared" si="59"/>
        <v>2.3664137735320966E-2</v>
      </c>
      <c r="F129" s="23">
        <f t="shared" si="59"/>
        <v>2.5518747771458447E-2</v>
      </c>
      <c r="G129" s="23">
        <f t="shared" si="59"/>
        <v>2.4791889986714593E-2</v>
      </c>
      <c r="H129" s="23">
        <f t="shared" si="59"/>
        <v>1.978580434189935E-2</v>
      </c>
      <c r="I129" s="23">
        <f t="shared" si="59"/>
        <v>6.704015628257301E-3</v>
      </c>
      <c r="J129" s="23">
        <f t="shared" si="59"/>
        <v>2.0261610870446707E-2</v>
      </c>
      <c r="K129" s="23">
        <f t="shared" si="59"/>
        <v>2.2793157774165317E-2</v>
      </c>
      <c r="L129" s="23">
        <f t="shared" si="59"/>
        <v>2.1728214125279675E-2</v>
      </c>
      <c r="M129" s="23">
        <f t="shared" si="59"/>
        <v>2.3164020427124801E-2</v>
      </c>
      <c r="N129" s="23">
        <f t="shared" si="59"/>
        <v>2.3830448784926947E-2</v>
      </c>
      <c r="O129" s="23">
        <f t="shared" si="59"/>
        <v>2.4614065580472841E-2</v>
      </c>
      <c r="P129" s="23">
        <f t="shared" si="59"/>
        <v>2.4028727246068447E-2</v>
      </c>
      <c r="Q129" s="23">
        <f t="shared" si="59"/>
        <v>2.4128444478876396E-2</v>
      </c>
      <c r="R129" s="23">
        <f t="shared" si="59"/>
        <v>2.455157580561336E-2</v>
      </c>
      <c r="S129" s="23">
        <f t="shared" si="59"/>
        <v>2.2337119402211933E-2</v>
      </c>
      <c r="T129" s="23">
        <f t="shared" si="59"/>
        <v>1.9983855947109511E-2</v>
      </c>
      <c r="U129" s="23">
        <f t="shared" si="59"/>
        <v>2.4047099073325699E-2</v>
      </c>
      <c r="V129" s="23">
        <f t="shared" si="59"/>
        <v>2.176446632357168E-2</v>
      </c>
      <c r="W129" s="23">
        <f t="shared" si="59"/>
        <v>2.3469715299262398E-2</v>
      </c>
      <c r="X129" s="23">
        <f t="shared" si="59"/>
        <v>2.2142290723747803E-2</v>
      </c>
      <c r="Y129" s="23">
        <f t="shared" si="59"/>
        <v>2.186481952050412E-2</v>
      </c>
      <c r="Z129" s="23">
        <f t="shared" si="59"/>
        <v>2.1959504903894835E-2</v>
      </c>
      <c r="AA129" s="23">
        <f t="shared" si="59"/>
        <v>2.1944222769945732E-2</v>
      </c>
      <c r="AB129" s="23">
        <f t="shared" si="59"/>
        <v>2.2883023423777911E-2</v>
      </c>
      <c r="AC129" s="23">
        <f t="shared" si="59"/>
        <v>2.2929081964149445E-2</v>
      </c>
      <c r="AD129" s="23">
        <f t="shared" si="59"/>
        <v>2.1652679794225537E-2</v>
      </c>
      <c r="AE129" s="23">
        <f t="shared" si="59"/>
        <v>1.0571744419448657E-2</v>
      </c>
      <c r="AF129" s="23">
        <f t="shared" si="59"/>
        <v>2.027731985946914E-2</v>
      </c>
      <c r="AG129" s="23">
        <f t="shared" si="59"/>
        <v>2.1875246279048834E-2</v>
      </c>
      <c r="AH129" s="23">
        <f t="shared" si="59"/>
        <v>0.40142907119132304</v>
      </c>
      <c r="AI129" s="23">
        <f t="shared" si="59"/>
        <v>0.11949171002680724</v>
      </c>
      <c r="AJ129" s="23">
        <f t="shared" si="59"/>
        <v>5.6475431083656352E-2</v>
      </c>
      <c r="AK129" s="23">
        <f t="shared" si="59"/>
        <v>3.6587063420096752E-2</v>
      </c>
      <c r="AL129" s="23">
        <f t="shared" si="59"/>
        <v>2.859172100929078E-2</v>
      </c>
      <c r="AM129" s="23">
        <f t="shared" si="59"/>
        <v>2.4861128818659387E-2</v>
      </c>
      <c r="AN129" s="23">
        <f t="shared" si="59"/>
        <v>2.2967647126163643E-2</v>
      </c>
      <c r="AO129" s="23">
        <f t="shared" si="59"/>
        <v>2.1951412715871824E-2</v>
      </c>
      <c r="AP129" s="23">
        <f t="shared" si="59"/>
        <v>2.137926298661081E-2</v>
      </c>
      <c r="AQ129" s="23">
        <f t="shared" si="59"/>
        <v>2.1040211029103847E-2</v>
      </c>
      <c r="AR129" s="23">
        <f t="shared" si="59"/>
        <v>2.0826899359196072E-2</v>
      </c>
      <c r="AS129" s="23">
        <f t="shared" si="59"/>
        <v>2.0683270633616104E-2</v>
      </c>
      <c r="AT129" s="23">
        <f t="shared" si="59"/>
        <v>2.0579548422404951E-2</v>
      </c>
      <c r="AU129" s="23">
        <f t="shared" si="59"/>
        <v>2.0499688847843082E-2</v>
      </c>
      <c r="AV129" s="23">
        <f t="shared" si="59"/>
        <v>2.0434910592708841E-2</v>
      </c>
      <c r="AW129" s="23">
        <f t="shared" si="59"/>
        <v>2.0380305930419389E-2</v>
      </c>
      <c r="AX129" s="23">
        <f t="shared" si="59"/>
        <v>2.0333049206854303E-2</v>
      </c>
      <c r="AY129" s="23">
        <f t="shared" si="59"/>
        <v>2.0291444276321652E-2</v>
      </c>
      <c r="AZ129" s="23">
        <f t="shared" si="59"/>
        <v>2.0254415790149975E-2</v>
      </c>
      <c r="BA129" s="23">
        <f t="shared" si="59"/>
        <v>2.0221236340433362E-2</v>
      </c>
      <c r="BB129" s="23">
        <f t="shared" si="59"/>
        <v>2.0191379299708379E-2</v>
      </c>
      <c r="BC129" s="23">
        <f t="shared" si="59"/>
        <v>2.0164438808533233E-2</v>
      </c>
      <c r="BD129" s="23">
        <f t="shared" si="59"/>
        <v>2.0194773559876453E-2</v>
      </c>
      <c r="BE129" s="23">
        <f t="shared" si="59"/>
        <v>2.0153305755926717E-2</v>
      </c>
      <c r="BF129" s="23">
        <f t="shared" si="59"/>
        <v>2.0118468947914206E-2</v>
      </c>
      <c r="BG129" s="23">
        <f t="shared" si="59"/>
        <v>2.0090315933878264E-2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 x14ac:dyDescent="0.2">
      <c r="A130" s="23" t="s">
        <v>12</v>
      </c>
      <c r="B130" s="143"/>
      <c r="C130" s="143">
        <f>+$B$14+LN(C56/B56)/10+$B$18*LN(C88/B88)/10</f>
        <v>8.5788513968980441E-3</v>
      </c>
      <c r="D130" s="23">
        <f t="shared" ref="D130:BH130" si="60">+$B$14+LN(D56/C56)/10+$B$18*LN(D88/C88)/10</f>
        <v>2.1308319112471857E-2</v>
      </c>
      <c r="E130" s="23">
        <f t="shared" si="60"/>
        <v>2.2350860232490846E-2</v>
      </c>
      <c r="F130" s="23">
        <f t="shared" si="60"/>
        <v>2.3664137735320966E-2</v>
      </c>
      <c r="G130" s="23">
        <f t="shared" si="60"/>
        <v>2.5518747771458447E-2</v>
      </c>
      <c r="H130" s="23">
        <f t="shared" si="60"/>
        <v>2.4791889986714593E-2</v>
      </c>
      <c r="I130" s="23">
        <f t="shared" si="60"/>
        <v>1.978580434189935E-2</v>
      </c>
      <c r="J130" s="23">
        <f t="shared" si="60"/>
        <v>6.704015628257301E-3</v>
      </c>
      <c r="K130" s="23">
        <f t="shared" si="60"/>
        <v>2.0261610870446707E-2</v>
      </c>
      <c r="L130" s="23">
        <f t="shared" si="60"/>
        <v>2.2793157774165317E-2</v>
      </c>
      <c r="M130" s="23">
        <f t="shared" si="60"/>
        <v>2.1728214125279675E-2</v>
      </c>
      <c r="N130" s="23">
        <f t="shared" si="60"/>
        <v>2.3164020427124801E-2</v>
      </c>
      <c r="O130" s="23">
        <f t="shared" si="60"/>
        <v>2.3830448784926947E-2</v>
      </c>
      <c r="P130" s="23">
        <f t="shared" si="60"/>
        <v>2.4614065580472841E-2</v>
      </c>
      <c r="Q130" s="23">
        <f t="shared" si="60"/>
        <v>2.4028727246068447E-2</v>
      </c>
      <c r="R130" s="23">
        <f t="shared" si="60"/>
        <v>2.4128444478876396E-2</v>
      </c>
      <c r="S130" s="23">
        <f t="shared" si="60"/>
        <v>2.455157580561336E-2</v>
      </c>
      <c r="T130" s="23">
        <f t="shared" si="60"/>
        <v>2.2337119402211933E-2</v>
      </c>
      <c r="U130" s="23">
        <f t="shared" si="60"/>
        <v>1.9983855947109511E-2</v>
      </c>
      <c r="V130" s="23">
        <f t="shared" si="60"/>
        <v>2.4047099073325699E-2</v>
      </c>
      <c r="W130" s="23">
        <f t="shared" si="60"/>
        <v>2.176446632357168E-2</v>
      </c>
      <c r="X130" s="23">
        <f t="shared" si="60"/>
        <v>2.3469715299262398E-2</v>
      </c>
      <c r="Y130" s="23">
        <f t="shared" si="60"/>
        <v>2.2142290723747803E-2</v>
      </c>
      <c r="Z130" s="23">
        <f t="shared" si="60"/>
        <v>2.186481952050412E-2</v>
      </c>
      <c r="AA130" s="23">
        <f t="shared" si="60"/>
        <v>2.1959504903894835E-2</v>
      </c>
      <c r="AB130" s="23">
        <f t="shared" si="60"/>
        <v>2.1944222769945732E-2</v>
      </c>
      <c r="AC130" s="23">
        <f t="shared" si="60"/>
        <v>2.2883023423777911E-2</v>
      </c>
      <c r="AD130" s="23">
        <f t="shared" si="60"/>
        <v>2.2929081964149445E-2</v>
      </c>
      <c r="AE130" s="23">
        <f t="shared" si="60"/>
        <v>2.1652679794225537E-2</v>
      </c>
      <c r="AF130" s="23">
        <f t="shared" si="60"/>
        <v>1.0571744419448657E-2</v>
      </c>
      <c r="AG130" s="23">
        <f t="shared" si="60"/>
        <v>2.027731985946914E-2</v>
      </c>
      <c r="AH130" s="23">
        <f t="shared" si="60"/>
        <v>2.1875246279048834E-2</v>
      </c>
      <c r="AI130" s="23">
        <f t="shared" si="60"/>
        <v>0.40142907119132304</v>
      </c>
      <c r="AJ130" s="23">
        <f t="shared" si="60"/>
        <v>0.11949171002680724</v>
      </c>
      <c r="AK130" s="23">
        <f t="shared" si="60"/>
        <v>5.6475431083656352E-2</v>
      </c>
      <c r="AL130" s="23">
        <f t="shared" si="60"/>
        <v>3.6587063420096752E-2</v>
      </c>
      <c r="AM130" s="23">
        <f t="shared" si="60"/>
        <v>2.859172100929078E-2</v>
      </c>
      <c r="AN130" s="23">
        <f t="shared" si="60"/>
        <v>2.4861128818659387E-2</v>
      </c>
      <c r="AO130" s="23">
        <f t="shared" si="60"/>
        <v>2.2967647126163643E-2</v>
      </c>
      <c r="AP130" s="23">
        <f t="shared" si="60"/>
        <v>2.1951412715871824E-2</v>
      </c>
      <c r="AQ130" s="23">
        <f t="shared" si="60"/>
        <v>2.137926298661081E-2</v>
      </c>
      <c r="AR130" s="23">
        <f t="shared" si="60"/>
        <v>2.1040211029103847E-2</v>
      </c>
      <c r="AS130" s="23">
        <f t="shared" si="60"/>
        <v>2.0826899359196072E-2</v>
      </c>
      <c r="AT130" s="23">
        <f t="shared" si="60"/>
        <v>2.0683270633616104E-2</v>
      </c>
      <c r="AU130" s="23">
        <f t="shared" si="60"/>
        <v>2.0579548422404951E-2</v>
      </c>
      <c r="AV130" s="23">
        <f t="shared" si="60"/>
        <v>2.0499688847843082E-2</v>
      </c>
      <c r="AW130" s="23">
        <f t="shared" si="60"/>
        <v>2.0434910592708841E-2</v>
      </c>
      <c r="AX130" s="23">
        <f t="shared" si="60"/>
        <v>2.0380305930419389E-2</v>
      </c>
      <c r="AY130" s="23">
        <f t="shared" si="60"/>
        <v>2.0333049206854303E-2</v>
      </c>
      <c r="AZ130" s="23">
        <f t="shared" si="60"/>
        <v>2.0291444276321652E-2</v>
      </c>
      <c r="BA130" s="23">
        <f t="shared" si="60"/>
        <v>2.0254415790149975E-2</v>
      </c>
      <c r="BB130" s="23">
        <f t="shared" si="60"/>
        <v>2.0221236340433362E-2</v>
      </c>
      <c r="BC130" s="23">
        <f t="shared" si="60"/>
        <v>2.0191379299708379E-2</v>
      </c>
      <c r="BD130" s="23">
        <f t="shared" si="60"/>
        <v>2.0164438808533233E-2</v>
      </c>
      <c r="BE130" s="23">
        <f t="shared" si="60"/>
        <v>2.0194773559876453E-2</v>
      </c>
      <c r="BF130" s="23">
        <f t="shared" si="60"/>
        <v>2.0153305755926717E-2</v>
      </c>
      <c r="BG130" s="23">
        <f t="shared" si="60"/>
        <v>2.0118468947914206E-2</v>
      </c>
      <c r="BH130" s="23">
        <f t="shared" si="60"/>
        <v>2.0090315933878264E-2</v>
      </c>
      <c r="BI130" s="23">
        <f>+$B$14/100+LN(BI56/BH56)/10+$B$18*LN(BI88/BH88)/10</f>
        <v>1.4999999999999999E-4</v>
      </c>
    </row>
    <row r="131" spans="1:61" ht="18" customHeight="1" x14ac:dyDescent="0.2">
      <c r="A131" s="23" t="s">
        <v>88</v>
      </c>
      <c r="B131" s="143"/>
      <c r="C131" s="143">
        <f t="shared" ref="C131:BB131" si="61">+AVERAGE(C129:C130)</f>
        <v>1.4943585254684951E-2</v>
      </c>
      <c r="D131" s="23">
        <f t="shared" si="61"/>
        <v>2.1829589672481352E-2</v>
      </c>
      <c r="E131" s="23">
        <f t="shared" si="61"/>
        <v>2.3007498983905906E-2</v>
      </c>
      <c r="F131" s="23">
        <f t="shared" si="61"/>
        <v>2.4591442753389706E-2</v>
      </c>
      <c r="G131" s="23">
        <f t="shared" si="61"/>
        <v>2.5155318879086522E-2</v>
      </c>
      <c r="H131" s="23">
        <f t="shared" si="61"/>
        <v>2.2288847164306971E-2</v>
      </c>
      <c r="I131" s="23">
        <f t="shared" si="61"/>
        <v>1.3244909985078325E-2</v>
      </c>
      <c r="J131" s="23">
        <f t="shared" si="61"/>
        <v>1.3482813249352004E-2</v>
      </c>
      <c r="K131" s="23">
        <f t="shared" si="61"/>
        <v>2.1527384322306012E-2</v>
      </c>
      <c r="L131" s="23">
        <f t="shared" si="61"/>
        <v>2.2260685949722497E-2</v>
      </c>
      <c r="M131" s="23">
        <f t="shared" si="61"/>
        <v>2.2446117276202236E-2</v>
      </c>
      <c r="N131" s="23">
        <f t="shared" si="61"/>
        <v>2.3497234606025874E-2</v>
      </c>
      <c r="O131" s="23">
        <f t="shared" si="61"/>
        <v>2.4222257182699894E-2</v>
      </c>
      <c r="P131" s="23">
        <f t="shared" si="61"/>
        <v>2.4321396413270642E-2</v>
      </c>
      <c r="Q131" s="23">
        <f t="shared" si="61"/>
        <v>2.4078585862472419E-2</v>
      </c>
      <c r="R131" s="23">
        <f t="shared" si="61"/>
        <v>2.4340010142244878E-2</v>
      </c>
      <c r="S131" s="23">
        <f t="shared" si="61"/>
        <v>2.3444347603912646E-2</v>
      </c>
      <c r="T131" s="23">
        <f t="shared" si="61"/>
        <v>2.1160487674660722E-2</v>
      </c>
      <c r="U131" s="23">
        <f t="shared" si="61"/>
        <v>2.2015477510217603E-2</v>
      </c>
      <c r="V131" s="23">
        <f t="shared" si="61"/>
        <v>2.2905782698448687E-2</v>
      </c>
      <c r="W131" s="23">
        <f t="shared" si="61"/>
        <v>2.2617090811417037E-2</v>
      </c>
      <c r="X131" s="23">
        <f t="shared" si="61"/>
        <v>2.2806003011505101E-2</v>
      </c>
      <c r="Y131" s="23">
        <f t="shared" si="61"/>
        <v>2.2003555122125963E-2</v>
      </c>
      <c r="Z131" s="23">
        <f t="shared" si="61"/>
        <v>2.1912162212199479E-2</v>
      </c>
      <c r="AA131" s="23">
        <f t="shared" si="61"/>
        <v>2.1951863836920285E-2</v>
      </c>
      <c r="AB131" s="23">
        <f t="shared" si="61"/>
        <v>2.2413623096861821E-2</v>
      </c>
      <c r="AC131" s="23">
        <f t="shared" si="61"/>
        <v>2.2906052693963678E-2</v>
      </c>
      <c r="AD131" s="23">
        <f t="shared" si="61"/>
        <v>2.2290880879187493E-2</v>
      </c>
      <c r="AE131" s="23">
        <f t="shared" si="61"/>
        <v>1.6112212106837095E-2</v>
      </c>
      <c r="AF131" s="23">
        <f t="shared" si="61"/>
        <v>1.5424532139458899E-2</v>
      </c>
      <c r="AG131" s="23">
        <f t="shared" si="61"/>
        <v>2.1076283069258989E-2</v>
      </c>
      <c r="AH131" s="23">
        <f t="shared" si="61"/>
        <v>0.21165215873518595</v>
      </c>
      <c r="AI131" s="23">
        <f t="shared" si="61"/>
        <v>0.26046039060906512</v>
      </c>
      <c r="AJ131" s="23">
        <f t="shared" si="61"/>
        <v>8.7983570555231788E-2</v>
      </c>
      <c r="AK131" s="23">
        <f t="shared" si="61"/>
        <v>4.6531247251876552E-2</v>
      </c>
      <c r="AL131" s="23">
        <f t="shared" si="61"/>
        <v>3.2589392214693765E-2</v>
      </c>
      <c r="AM131" s="23">
        <f t="shared" si="61"/>
        <v>2.6726424913975082E-2</v>
      </c>
      <c r="AN131" s="23">
        <f t="shared" si="61"/>
        <v>2.3914387972411515E-2</v>
      </c>
      <c r="AO131" s="23">
        <f t="shared" si="61"/>
        <v>2.2459529921017733E-2</v>
      </c>
      <c r="AP131" s="23">
        <f t="shared" si="61"/>
        <v>2.1665337851241317E-2</v>
      </c>
      <c r="AQ131" s="23">
        <f t="shared" si="61"/>
        <v>2.1209737007857329E-2</v>
      </c>
      <c r="AR131" s="23">
        <f t="shared" si="61"/>
        <v>2.093355519414996E-2</v>
      </c>
      <c r="AS131" s="23">
        <f t="shared" si="61"/>
        <v>2.075508499640609E-2</v>
      </c>
      <c r="AT131" s="23">
        <f t="shared" si="61"/>
        <v>2.0631409528010528E-2</v>
      </c>
      <c r="AU131" s="23">
        <f t="shared" si="61"/>
        <v>2.0539618635124018E-2</v>
      </c>
      <c r="AV131" s="23">
        <f t="shared" si="61"/>
        <v>2.0467299720275962E-2</v>
      </c>
      <c r="AW131" s="23">
        <f t="shared" si="61"/>
        <v>2.0407608261564115E-2</v>
      </c>
      <c r="AX131" s="23">
        <f t="shared" si="61"/>
        <v>2.0356677568636846E-2</v>
      </c>
      <c r="AY131" s="23">
        <f t="shared" si="61"/>
        <v>2.0312246741587978E-2</v>
      </c>
      <c r="AZ131" s="23">
        <f t="shared" si="61"/>
        <v>2.0272930033235811E-2</v>
      </c>
      <c r="BA131" s="23">
        <f t="shared" si="61"/>
        <v>2.0237826065291668E-2</v>
      </c>
      <c r="BB131" s="23">
        <f t="shared" si="61"/>
        <v>2.0206307820070872E-2</v>
      </c>
      <c r="BC131" s="23">
        <f>+AVERAGE(BC129:BC130)</f>
        <v>2.0177909054120806E-2</v>
      </c>
      <c r="BD131" s="23">
        <f>+AVERAGE(BD129:BD130)</f>
        <v>2.0179606184204842E-2</v>
      </c>
      <c r="BE131" s="23">
        <f>+AVERAGE(BE129:BE130)</f>
        <v>2.0174039657901585E-2</v>
      </c>
      <c r="BF131" s="23">
        <f>+AVERAGE(BF129:BF130)</f>
        <v>2.0135887351920463E-2</v>
      </c>
      <c r="BG131" s="23">
        <f>+AVERAGE(BG129:BG130)</f>
        <v>2.0104392440896235E-2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 x14ac:dyDescent="0.2">
      <c r="A132" s="23" t="s">
        <v>13</v>
      </c>
      <c r="B132" s="143">
        <f t="shared" ref="B132:BI132" si="62">+B88^-$B$18</f>
        <v>0.34178677956335413</v>
      </c>
      <c r="C132" s="143">
        <f t="shared" si="62"/>
        <v>0.42038060654970633</v>
      </c>
      <c r="D132" s="23">
        <f t="shared" si="62"/>
        <v>0.44347409748473887</v>
      </c>
      <c r="E132" s="23">
        <f t="shared" si="62"/>
        <v>0.45056305211880338</v>
      </c>
      <c r="F132" s="23">
        <f t="shared" si="62"/>
        <v>0.44066421889606977</v>
      </c>
      <c r="G132" s="23">
        <f t="shared" si="62"/>
        <v>0.4074627284216284</v>
      </c>
      <c r="H132" s="23">
        <f t="shared" si="62"/>
        <v>0.37222492989715722</v>
      </c>
      <c r="I132" s="23">
        <f t="shared" si="62"/>
        <v>0.3574902308833724</v>
      </c>
      <c r="J132" s="23">
        <f t="shared" si="62"/>
        <v>0.39132391199114624</v>
      </c>
      <c r="K132" s="23">
        <f t="shared" si="62"/>
        <v>0.37404917955945555</v>
      </c>
      <c r="L132" s="23">
        <f t="shared" si="62"/>
        <v>0.34550579504443452</v>
      </c>
      <c r="M132" s="23">
        <f t="shared" si="62"/>
        <v>0.31969484619705757</v>
      </c>
      <c r="N132" s="23">
        <f t="shared" si="62"/>
        <v>0.29159515692441496</v>
      </c>
      <c r="O132" s="23">
        <f t="shared" si="62"/>
        <v>0.2641987244150385</v>
      </c>
      <c r="P132" s="23">
        <f t="shared" si="62"/>
        <v>0.23750782460109263</v>
      </c>
      <c r="Q132" s="23">
        <f t="shared" si="62"/>
        <v>0.21476683614687841</v>
      </c>
      <c r="R132" s="23">
        <f t="shared" si="62"/>
        <v>0.19400970280597321</v>
      </c>
      <c r="S132" s="23">
        <f t="shared" si="62"/>
        <v>0.1745187306189839</v>
      </c>
      <c r="T132" s="23">
        <f t="shared" si="62"/>
        <v>0.16050105906806747</v>
      </c>
      <c r="U132" s="23">
        <f t="shared" si="62"/>
        <v>0.15112414359967766</v>
      </c>
      <c r="V132" s="23">
        <f t="shared" si="62"/>
        <v>0.13767686466780474</v>
      </c>
      <c r="W132" s="23">
        <f t="shared" si="62"/>
        <v>0.12930610633014045</v>
      </c>
      <c r="X132" s="23">
        <f t="shared" si="62"/>
        <v>0.11939092017818487</v>
      </c>
      <c r="Y132" s="23">
        <f t="shared" si="62"/>
        <v>0.11170908540731109</v>
      </c>
      <c r="Z132" s="23">
        <f t="shared" si="62"/>
        <v>0.10481193406424333</v>
      </c>
      <c r="AA132" s="23">
        <f t="shared" si="62"/>
        <v>9.8247557063545293E-2</v>
      </c>
      <c r="AB132" s="23">
        <f t="shared" si="62"/>
        <v>9.2108382394130689E-2</v>
      </c>
      <c r="AC132" s="23">
        <f t="shared" si="62"/>
        <v>8.5545937627971386E-2</v>
      </c>
      <c r="AD132" s="23">
        <f t="shared" si="62"/>
        <v>7.9414461715175869E-2</v>
      </c>
      <c r="AE132" s="23">
        <f t="shared" si="62"/>
        <v>7.4669483365465431E-2</v>
      </c>
      <c r="AF132" s="23">
        <f t="shared" si="62"/>
        <v>7.8242496964659264E-2</v>
      </c>
      <c r="AG132" s="23">
        <f t="shared" si="62"/>
        <v>7.4220451641960672E-2</v>
      </c>
      <c r="AH132" s="23">
        <f t="shared" si="62"/>
        <v>6.9289077227064774E-2</v>
      </c>
      <c r="AI132" s="23">
        <f t="shared" si="62"/>
        <v>1.4535321591480459E-3</v>
      </c>
      <c r="AJ132" s="23">
        <f t="shared" si="62"/>
        <v>5.1123774929101606E-4</v>
      </c>
      <c r="AK132" s="23">
        <f t="shared" si="62"/>
        <v>3.3767383148428884E-4</v>
      </c>
      <c r="AL132" s="23">
        <f t="shared" si="62"/>
        <v>2.7211092611629096E-4</v>
      </c>
      <c r="AM132" s="23">
        <f t="shared" si="62"/>
        <v>2.375296813265237E-4</v>
      </c>
      <c r="AN132" s="23">
        <f t="shared" si="62"/>
        <v>2.1522442081779969E-4</v>
      </c>
      <c r="AO132" s="23">
        <f t="shared" si="62"/>
        <v>1.9874146917519262E-4</v>
      </c>
      <c r="AP132" s="23">
        <f t="shared" si="62"/>
        <v>1.8539537431543372E-4</v>
      </c>
      <c r="AQ132" s="23">
        <f t="shared" si="62"/>
        <v>1.73937853774162E-4</v>
      </c>
      <c r="AR132" s="23">
        <f t="shared" si="62"/>
        <v>1.6374264588950654E-4</v>
      </c>
      <c r="AS132" s="23">
        <f t="shared" si="62"/>
        <v>1.54474181032786E-4</v>
      </c>
      <c r="AT132" s="23">
        <f t="shared" si="62"/>
        <v>1.4593980803689956E-4</v>
      </c>
      <c r="AU132" s="23">
        <f t="shared" si="62"/>
        <v>1.3802002436933647E-4</v>
      </c>
      <c r="AV132" s="23">
        <f t="shared" si="62"/>
        <v>1.3063430965659461E-4</v>
      </c>
      <c r="AW132" s="23">
        <f t="shared" si="62"/>
        <v>1.2372393887866869E-4</v>
      </c>
      <c r="AX132" s="23">
        <f t="shared" si="62"/>
        <v>1.1724311970456461E-4</v>
      </c>
      <c r="AY132" s="23">
        <f t="shared" si="62"/>
        <v>1.1115428964668293E-4</v>
      </c>
      <c r="AZ132" s="23">
        <f t="shared" si="62"/>
        <v>1.0542552613343589E-4</v>
      </c>
      <c r="BA132" s="23">
        <f t="shared" si="62"/>
        <v>1.0002904885087998E-4</v>
      </c>
      <c r="BB132" s="23">
        <f t="shared" si="62"/>
        <v>9.4940299610773564E-5</v>
      </c>
      <c r="BC132" s="23">
        <f t="shared" si="62"/>
        <v>9.0137337181984422E-5</v>
      </c>
      <c r="BD132" s="23">
        <f t="shared" si="62"/>
        <v>8.5600411281495508E-5</v>
      </c>
      <c r="BE132" s="23">
        <f t="shared" si="62"/>
        <v>8.1267188713114288E-5</v>
      </c>
      <c r="BF132" s="23">
        <f t="shared" si="62"/>
        <v>7.7185320861389176E-5</v>
      </c>
      <c r="BG132" s="23">
        <f t="shared" si="62"/>
        <v>7.3334018820244286E-5</v>
      </c>
      <c r="BH132" s="23">
        <f t="shared" si="62"/>
        <v>6.9694502844249462E-5</v>
      </c>
      <c r="BI132" s="23">
        <f t="shared" si="62"/>
        <v>6.9694502844249462E-5</v>
      </c>
    </row>
    <row r="133" spans="1:61" ht="18" customHeight="1" x14ac:dyDescent="0.2">
      <c r="A133" s="23" t="s">
        <v>14</v>
      </c>
      <c r="B133" s="143">
        <f t="shared" ref="B133:AG133" si="63">+B17*B132/$B132</f>
        <v>1</v>
      </c>
      <c r="C133" s="143">
        <f t="shared" si="63"/>
        <v>1.0598075033157774</v>
      </c>
      <c r="D133" s="23">
        <f t="shared" si="63"/>
        <v>0.96336786066317415</v>
      </c>
      <c r="E133" s="23">
        <f t="shared" si="63"/>
        <v>0.8433717460279343</v>
      </c>
      <c r="F133" s="23">
        <f t="shared" si="63"/>
        <v>0.71074013106566891</v>
      </c>
      <c r="G133" s="23">
        <f t="shared" si="63"/>
        <v>0.5662790782121031</v>
      </c>
      <c r="H133" s="23">
        <f t="shared" si="63"/>
        <v>0.4457462126361984</v>
      </c>
      <c r="I133" s="23">
        <f t="shared" si="63"/>
        <v>0.36888072337983668</v>
      </c>
      <c r="J133" s="23">
        <f t="shared" si="63"/>
        <v>0.34793470221858064</v>
      </c>
      <c r="K133" s="23">
        <f t="shared" si="63"/>
        <v>0.2865692875840084</v>
      </c>
      <c r="L133" s="23">
        <f t="shared" si="63"/>
        <v>0.22808454110082521</v>
      </c>
      <c r="M133" s="23">
        <f t="shared" si="63"/>
        <v>0.18185101424543884</v>
      </c>
      <c r="N133" s="23">
        <f t="shared" si="63"/>
        <v>0.14292229343847476</v>
      </c>
      <c r="O133" s="23">
        <f t="shared" si="63"/>
        <v>0.11158092670737804</v>
      </c>
      <c r="P133" s="23">
        <f t="shared" si="63"/>
        <v>8.6432434736848807E-2</v>
      </c>
      <c r="Q133" s="23">
        <f t="shared" si="63"/>
        <v>6.7345041041046619E-2</v>
      </c>
      <c r="R133" s="23">
        <f t="shared" si="63"/>
        <v>5.2420532762709728E-2</v>
      </c>
      <c r="S133" s="23">
        <f t="shared" si="63"/>
        <v>4.0631195703684682E-2</v>
      </c>
      <c r="T133" s="23">
        <f t="shared" si="63"/>
        <v>3.2198455325552114E-2</v>
      </c>
      <c r="U133" s="23">
        <f t="shared" si="63"/>
        <v>2.6123452032565393E-2</v>
      </c>
      <c r="V133" s="23">
        <f t="shared" si="63"/>
        <v>2.0506769849817707E-2</v>
      </c>
      <c r="W133" s="23">
        <f t="shared" si="63"/>
        <v>1.6595674264947562E-2</v>
      </c>
      <c r="X133" s="23">
        <f t="shared" si="63"/>
        <v>1.3203429308483096E-2</v>
      </c>
      <c r="Y133" s="23">
        <f t="shared" si="63"/>
        <v>1.0644947374991056E-2</v>
      </c>
      <c r="Z133" s="23">
        <f t="shared" si="63"/>
        <v>8.6060791330622947E-3</v>
      </c>
      <c r="AA133" s="23">
        <f t="shared" si="63"/>
        <v>6.9511384396251001E-3</v>
      </c>
      <c r="AB133" s="23">
        <f t="shared" si="63"/>
        <v>5.6152993128625516E-3</v>
      </c>
      <c r="AC133" s="23">
        <f t="shared" si="63"/>
        <v>4.4937894821367539E-3</v>
      </c>
      <c r="AD133" s="23">
        <f t="shared" si="63"/>
        <v>3.5946160300404087E-3</v>
      </c>
      <c r="AE133" s="23">
        <f t="shared" si="63"/>
        <v>2.9122968076600499E-3</v>
      </c>
      <c r="AF133" s="23">
        <f t="shared" si="63"/>
        <v>2.6295096374777684E-3</v>
      </c>
      <c r="AG133" s="23">
        <f t="shared" si="63"/>
        <v>2.1492910759406568E-3</v>
      </c>
      <c r="AH133" s="23">
        <f t="shared" ref="AH133:BI133" si="64">+AH17*AH132/$B132</f>
        <v>1.7289243772966637E-3</v>
      </c>
      <c r="AI133" s="23">
        <f t="shared" si="64"/>
        <v>3.1251829236859242E-5</v>
      </c>
      <c r="AJ133" s="23">
        <f t="shared" si="64"/>
        <v>9.4713806149290171E-6</v>
      </c>
      <c r="AK133" s="23">
        <f t="shared" si="64"/>
        <v>5.3904789990414801E-6</v>
      </c>
      <c r="AL133" s="23">
        <f t="shared" si="64"/>
        <v>3.7429627985391449E-6</v>
      </c>
      <c r="AM133" s="23">
        <f t="shared" si="64"/>
        <v>2.8153149972863688E-6</v>
      </c>
      <c r="AN133" s="23">
        <f t="shared" si="64"/>
        <v>2.1980634918937663E-6</v>
      </c>
      <c r="AO133" s="23">
        <f t="shared" si="64"/>
        <v>1.7489474425360766E-6</v>
      </c>
      <c r="AP133" s="23">
        <f t="shared" si="64"/>
        <v>1.405810343522377E-6</v>
      </c>
      <c r="AQ133" s="23">
        <f t="shared" si="64"/>
        <v>1.1364792867565049E-6</v>
      </c>
      <c r="AR133" s="23">
        <f t="shared" si="64"/>
        <v>9.2186812551393513E-7</v>
      </c>
      <c r="AS133" s="23">
        <f t="shared" si="64"/>
        <v>7.4938064889959608E-7</v>
      </c>
      <c r="AT133" s="23">
        <f t="shared" si="64"/>
        <v>6.1004225949451569E-7</v>
      </c>
      <c r="AU133" s="23">
        <f t="shared" si="64"/>
        <v>4.9712754525579817E-7</v>
      </c>
      <c r="AV133" s="23">
        <f t="shared" si="64"/>
        <v>4.0543623466269635E-7</v>
      </c>
      <c r="AW133" s="23">
        <f t="shared" si="64"/>
        <v>3.3087093642939049E-7</v>
      </c>
      <c r="AX133" s="23">
        <f t="shared" si="64"/>
        <v>2.7016670514818672E-7</v>
      </c>
      <c r="AY133" s="23">
        <f t="shared" si="64"/>
        <v>2.2070403105060664E-7</v>
      </c>
      <c r="AZ133" s="23">
        <f t="shared" si="64"/>
        <v>1.8037211278628166E-7</v>
      </c>
      <c r="BA133" s="23">
        <f t="shared" si="64"/>
        <v>1.4746512798656046E-7</v>
      </c>
      <c r="BB133" s="23">
        <f t="shared" si="64"/>
        <v>1.2060168295617687E-7</v>
      </c>
      <c r="BC133" s="23">
        <f t="shared" si="64"/>
        <v>9.8661354148973401E-8</v>
      </c>
      <c r="BD133" s="23">
        <f t="shared" si="64"/>
        <v>8.0734242851764504E-8</v>
      </c>
      <c r="BE133" s="23">
        <f t="shared" si="64"/>
        <v>6.6044512569006701E-8</v>
      </c>
      <c r="BF133" s="23">
        <f t="shared" si="64"/>
        <v>5.4050011943999199E-8</v>
      </c>
      <c r="BG133" s="23">
        <f t="shared" si="64"/>
        <v>4.4249273385351941E-8</v>
      </c>
      <c r="BH133" s="23">
        <f t="shared" si="64"/>
        <v>3.6235875586291051E-8</v>
      </c>
      <c r="BI133" s="23">
        <f t="shared" si="64"/>
        <v>3.1223266605468905E-8</v>
      </c>
    </row>
    <row r="134" spans="1:61" ht="18" customHeight="1" x14ac:dyDescent="0.2">
      <c r="A134" s="23" t="s">
        <v>15</v>
      </c>
      <c r="B134" s="143"/>
      <c r="C134" s="143">
        <f>+(C133/B133)^-0.1-1</f>
        <v>-5.7918910501674192E-3</v>
      </c>
      <c r="D134" s="23">
        <f t="shared" ref="D134:BI134" si="65">+(D133/C133)^-0.1-1</f>
        <v>9.5863814567300754E-3</v>
      </c>
      <c r="E134" s="23">
        <f t="shared" si="65"/>
        <v>1.3391624491595699E-2</v>
      </c>
      <c r="F134" s="23">
        <f t="shared" si="65"/>
        <v>1.7257313695164145E-2</v>
      </c>
      <c r="G134" s="23">
        <f t="shared" si="65"/>
        <v>2.2982094359584426E-2</v>
      </c>
      <c r="H134" s="23">
        <f t="shared" si="65"/>
        <v>2.4222437105229977E-2</v>
      </c>
      <c r="I134" s="23">
        <f t="shared" si="65"/>
        <v>1.9107904441239887E-2</v>
      </c>
      <c r="J134" s="23">
        <f t="shared" si="65"/>
        <v>5.8629727446797286E-3</v>
      </c>
      <c r="K134" s="23">
        <f t="shared" si="65"/>
        <v>1.9592918012628635E-2</v>
      </c>
      <c r="L134" s="23">
        <f t="shared" si="65"/>
        <v>2.308891526664314E-2</v>
      </c>
      <c r="M134" s="23">
        <f t="shared" si="65"/>
        <v>2.2911385035438991E-2</v>
      </c>
      <c r="N134" s="23">
        <f t="shared" si="65"/>
        <v>2.4381142539348311E-2</v>
      </c>
      <c r="O134" s="23">
        <f t="shared" si="65"/>
        <v>2.5064046710012056E-2</v>
      </c>
      <c r="P134" s="23">
        <f t="shared" si="65"/>
        <v>2.5867618918744117E-2</v>
      </c>
      <c r="Q134" s="23">
        <f t="shared" si="65"/>
        <v>2.5267314982959421E-2</v>
      </c>
      <c r="R134" s="23">
        <f t="shared" si="65"/>
        <v>2.5369556900053825E-2</v>
      </c>
      <c r="S134" s="23">
        <f t="shared" si="65"/>
        <v>2.5803514685152518E-2</v>
      </c>
      <c r="T134" s="23">
        <f t="shared" si="65"/>
        <v>2.3534430844311283E-2</v>
      </c>
      <c r="U134" s="23">
        <f t="shared" si="65"/>
        <v>2.1128616540859291E-2</v>
      </c>
      <c r="V134" s="23">
        <f t="shared" si="65"/>
        <v>2.4503227284026652E-2</v>
      </c>
      <c r="W134" s="23">
        <f t="shared" si="65"/>
        <v>2.1386787350628156E-2</v>
      </c>
      <c r="X134" s="23">
        <f t="shared" si="65"/>
        <v>2.3129992000094912E-2</v>
      </c>
      <c r="Y134" s="23">
        <f t="shared" si="65"/>
        <v>2.1772765112223258E-2</v>
      </c>
      <c r="Z134" s="23">
        <f t="shared" si="65"/>
        <v>2.1489291923288079E-2</v>
      </c>
      <c r="AA134" s="23">
        <f t="shared" si="65"/>
        <v>2.1586016607658021E-2</v>
      </c>
      <c r="AB134" s="23">
        <f t="shared" si="65"/>
        <v>2.1570404712603519E-2</v>
      </c>
      <c r="AC134" s="23">
        <f t="shared" si="65"/>
        <v>2.2529905996228283E-2</v>
      </c>
      <c r="AD134" s="23">
        <f t="shared" si="65"/>
        <v>2.2577003315793265E-2</v>
      </c>
      <c r="AE134" s="23">
        <f t="shared" si="65"/>
        <v>2.127261644805345E-2</v>
      </c>
      <c r="AF134" s="23">
        <f t="shared" si="65"/>
        <v>1.0266812912933521E-2</v>
      </c>
      <c r="AG134" s="23">
        <f t="shared" si="65"/>
        <v>2.037063848152143E-2</v>
      </c>
      <c r="AH134" s="23">
        <f t="shared" si="65"/>
        <v>2.2002419067957968E-2</v>
      </c>
      <c r="AI134" s="23">
        <f t="shared" si="65"/>
        <v>0.49379174639575396</v>
      </c>
      <c r="AJ134" s="23">
        <f t="shared" si="65"/>
        <v>0.12679838360709694</v>
      </c>
      <c r="AK134" s="23">
        <f t="shared" si="65"/>
        <v>5.7982765469869024E-2</v>
      </c>
      <c r="AL134" s="23">
        <f t="shared" si="65"/>
        <v>3.7149076007448878E-2</v>
      </c>
      <c r="AM134" s="23">
        <f t="shared" si="65"/>
        <v>2.8889775977900101E-2</v>
      </c>
      <c r="AN134" s="23">
        <f t="shared" si="65"/>
        <v>2.5058558612762738E-2</v>
      </c>
      <c r="AO134" s="23">
        <f t="shared" si="65"/>
        <v>2.3119465396394201E-2</v>
      </c>
      <c r="AP134" s="23">
        <f t="shared" si="65"/>
        <v>2.2080264315202713E-2</v>
      </c>
      <c r="AQ134" s="23">
        <f t="shared" si="65"/>
        <v>2.1495648628493402E-2</v>
      </c>
      <c r="AR134" s="23">
        <f t="shared" si="65"/>
        <v>2.1149367236249939E-2</v>
      </c>
      <c r="AS134" s="23">
        <f t="shared" si="65"/>
        <v>2.0931567389950168E-2</v>
      </c>
      <c r="AT134" s="23">
        <f t="shared" si="65"/>
        <v>2.0784942820023744E-2</v>
      </c>
      <c r="AU134" s="23">
        <f t="shared" si="65"/>
        <v>2.0679070239347341E-2</v>
      </c>
      <c r="AV134" s="23">
        <f t="shared" si="65"/>
        <v>2.0597562497663757E-2</v>
      </c>
      <c r="AW134" s="23">
        <f t="shared" si="65"/>
        <v>2.0531452109651793E-2</v>
      </c>
      <c r="AX134" s="23">
        <f t="shared" si="65"/>
        <v>2.0475727855769454E-2</v>
      </c>
      <c r="AY134" s="23">
        <f t="shared" si="65"/>
        <v>2.0427504655837536E-2</v>
      </c>
      <c r="AZ134" s="23">
        <f t="shared" si="65"/>
        <v>2.0385050723545461E-2</v>
      </c>
      <c r="BA134" s="23">
        <f t="shared" si="65"/>
        <v>2.0347268109325523E-2</v>
      </c>
      <c r="BB134" s="23">
        <f t="shared" si="65"/>
        <v>2.0313414110081585E-2</v>
      </c>
      <c r="BC134" s="23">
        <f t="shared" si="65"/>
        <v>2.0282951025695439E-2</v>
      </c>
      <c r="BD134" s="23">
        <f t="shared" si="65"/>
        <v>2.0255464472109352E-2</v>
      </c>
      <c r="BE134" s="23">
        <f t="shared" si="65"/>
        <v>2.0286414137353326E-2</v>
      </c>
      <c r="BF134" s="23">
        <f t="shared" si="65"/>
        <v>2.0244105977578863E-2</v>
      </c>
      <c r="BG134" s="23">
        <f t="shared" si="65"/>
        <v>2.0208564548611418E-2</v>
      </c>
      <c r="BH134" s="23">
        <f t="shared" si="65"/>
        <v>2.017984300687492E-2</v>
      </c>
      <c r="BI134" s="23">
        <f t="shared" si="65"/>
        <v>1.4999999999999902E-2</v>
      </c>
    </row>
    <row r="135" spans="1:61" ht="18" customHeight="1" x14ac:dyDescent="0.2">
      <c r="A135" s="23" t="s">
        <v>206</v>
      </c>
      <c r="B135" s="143"/>
      <c r="C135" s="143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 x14ac:dyDescent="0.2">
      <c r="A136" s="23" t="s">
        <v>207</v>
      </c>
      <c r="B136" s="143"/>
      <c r="C136" s="143">
        <f>+C134+C135</f>
        <v>8.4843019391900414E-3</v>
      </c>
      <c r="D136" s="23">
        <f t="shared" ref="D136:K136" si="67">+D134+D135</f>
        <v>2.1242589397524089E-2</v>
      </c>
      <c r="E136" s="23">
        <f t="shared" si="67"/>
        <v>2.232834795293008E-2</v>
      </c>
      <c r="F136" s="23">
        <f t="shared" si="67"/>
        <v>2.3699966377119078E-2</v>
      </c>
      <c r="G136" s="23">
        <f t="shared" si="67"/>
        <v>2.5667470878294407E-2</v>
      </c>
      <c r="H136" s="23">
        <f t="shared" si="67"/>
        <v>2.4969212822462495E-2</v>
      </c>
      <c r="I136" s="23">
        <f t="shared" si="67"/>
        <v>1.9854680158472405E-2</v>
      </c>
      <c r="J136" s="23">
        <f t="shared" si="67"/>
        <v>6.6097484619122475E-3</v>
      </c>
      <c r="K136" s="23">
        <f t="shared" si="67"/>
        <v>2.0339693729861153E-2</v>
      </c>
    </row>
    <row r="137" spans="1:61" ht="18" customHeight="1" x14ac:dyDescent="0.2">
      <c r="A137" s="23" t="s">
        <v>208</v>
      </c>
      <c r="B137" s="143"/>
      <c r="C137" s="143">
        <f>+C136-C129</f>
        <v>-1.2824017173281816E-2</v>
      </c>
      <c r="D137" s="23">
        <f t="shared" ref="D137:K137" si="68">+D136-D129</f>
        <v>-1.1082708349667569E-3</v>
      </c>
      <c r="E137" s="23">
        <f t="shared" si="68"/>
        <v>-1.3357897823908851E-3</v>
      </c>
      <c r="F137" s="23">
        <f t="shared" si="68"/>
        <v>-1.8187813943393687E-3</v>
      </c>
      <c r="G137" s="23">
        <f t="shared" si="68"/>
        <v>8.7558089157981425E-4</v>
      </c>
      <c r="H137" s="23">
        <f t="shared" si="68"/>
        <v>5.1834084805631453E-3</v>
      </c>
      <c r="I137" s="23">
        <f t="shared" si="68"/>
        <v>1.3150664530215104E-2</v>
      </c>
      <c r="J137" s="23">
        <f t="shared" si="68"/>
        <v>-1.365186240853446E-2</v>
      </c>
      <c r="K137" s="23">
        <f t="shared" si="68"/>
        <v>-2.4534640443041635E-3</v>
      </c>
    </row>
    <row r="138" spans="1:61" ht="18" customHeight="1" x14ac:dyDescent="0.2">
      <c r="A138" s="23"/>
      <c r="B138" s="143" t="s">
        <v>28</v>
      </c>
    </row>
    <row r="139" spans="1:61" ht="18" customHeight="1" x14ac:dyDescent="0.2">
      <c r="A139" s="23" t="s">
        <v>209</v>
      </c>
      <c r="B139" s="143">
        <f t="shared" ref="B139:BI139" si="69">+$B$7*B68/B74-(1-(1-0.1)^10)/10</f>
        <v>0.10628155518197337</v>
      </c>
      <c r="C139" s="143">
        <f t="shared" si="69"/>
        <v>3.9948408144160785E-2</v>
      </c>
      <c r="D139" s="23">
        <f t="shared" si="69"/>
        <v>1.9339408426361629E-2</v>
      </c>
      <c r="E139" s="23">
        <f t="shared" si="69"/>
        <v>1.6850472218411974E-2</v>
      </c>
      <c r="F139" s="23">
        <f t="shared" si="69"/>
        <v>1.8449831119279142E-2</v>
      </c>
      <c r="G139" s="23">
        <f t="shared" si="69"/>
        <v>2.2644235399365539E-2</v>
      </c>
      <c r="H139" s="23">
        <f t="shared" si="69"/>
        <v>2.5445342200899126E-2</v>
      </c>
      <c r="I139" s="23">
        <f t="shared" si="69"/>
        <v>2.3849485924099176E-2</v>
      </c>
      <c r="J139" s="23">
        <f t="shared" si="69"/>
        <v>1.6252636915786947E-2</v>
      </c>
      <c r="K139" s="23">
        <f t="shared" si="69"/>
        <v>2.1170006851277401E-2</v>
      </c>
      <c r="L139" s="23">
        <f t="shared" si="69"/>
        <v>2.5188308082632241E-2</v>
      </c>
      <c r="M139" s="23">
        <f t="shared" si="69"/>
        <v>2.4759797135835537E-2</v>
      </c>
      <c r="N139" s="23">
        <f t="shared" si="69"/>
        <v>2.7695942833565551E-2</v>
      </c>
      <c r="O139" s="23">
        <f t="shared" si="69"/>
        <v>2.9129468188034149E-2</v>
      </c>
      <c r="P139" s="23">
        <f t="shared" si="69"/>
        <v>3.0108373293669347E-2</v>
      </c>
      <c r="Q139" s="23">
        <f t="shared" si="69"/>
        <v>3.0061862405758227E-2</v>
      </c>
      <c r="R139" s="23">
        <f t="shared" si="69"/>
        <v>3.0109843616102291E-2</v>
      </c>
      <c r="S139" s="23">
        <f t="shared" si="69"/>
        <v>3.0394740678628546E-2</v>
      </c>
      <c r="T139" s="23">
        <f t="shared" si="69"/>
        <v>2.9087359357440334E-2</v>
      </c>
      <c r="U139" s="23">
        <f t="shared" si="69"/>
        <v>2.7199711262694368E-2</v>
      </c>
      <c r="V139" s="23">
        <f t="shared" si="69"/>
        <v>2.9336316614040986E-2</v>
      </c>
      <c r="W139" s="23">
        <f t="shared" si="69"/>
        <v>2.8861494685638547E-2</v>
      </c>
      <c r="X139" s="23">
        <f t="shared" si="69"/>
        <v>2.9777403741304276E-2</v>
      </c>
      <c r="Y139" s="23">
        <f t="shared" si="69"/>
        <v>2.9243763342590379E-2</v>
      </c>
      <c r="Z139" s="23">
        <f t="shared" si="69"/>
        <v>2.8893870077669484E-2</v>
      </c>
      <c r="AA139" s="23">
        <f t="shared" si="69"/>
        <v>2.8837390626029955E-2</v>
      </c>
      <c r="AB139" s="23">
        <f t="shared" si="69"/>
        <v>2.8809064793388142E-2</v>
      </c>
      <c r="AC139" s="23">
        <f t="shared" si="69"/>
        <v>2.9389386068247744E-2</v>
      </c>
      <c r="AD139" s="23">
        <f t="shared" si="69"/>
        <v>2.9611723403428922E-2</v>
      </c>
      <c r="AE139" s="23">
        <f t="shared" si="69"/>
        <v>2.8881953366956994E-2</v>
      </c>
      <c r="AF139" s="23">
        <f t="shared" si="69"/>
        <v>2.1892425478711119E-2</v>
      </c>
      <c r="AG139" s="23">
        <f t="shared" si="69"/>
        <v>2.5222899731122753E-2</v>
      </c>
      <c r="AH139" s="23">
        <f t="shared" si="69"/>
        <v>2.738242876144277E-2</v>
      </c>
      <c r="AI139" s="23">
        <f t="shared" si="69"/>
        <v>1.1059894698139068</v>
      </c>
      <c r="AJ139" s="23">
        <f t="shared" si="69"/>
        <v>0.19366692563381122</v>
      </c>
      <c r="AK139" s="23">
        <f t="shared" si="69"/>
        <v>8.4624000275691516E-2</v>
      </c>
      <c r="AL139" s="23">
        <f t="shared" si="69"/>
        <v>5.2878832578357626E-2</v>
      </c>
      <c r="AM139" s="23">
        <f t="shared" si="69"/>
        <v>4.0022789080982571E-2</v>
      </c>
      <c r="AN139" s="23">
        <f t="shared" si="69"/>
        <v>3.4000440339898644E-2</v>
      </c>
      <c r="AO139" s="23">
        <f t="shared" si="69"/>
        <v>3.0960136895671939E-2</v>
      </c>
      <c r="AP139" s="23">
        <f t="shared" si="69"/>
        <v>2.9353198738945943E-2</v>
      </c>
      <c r="AQ139" s="23">
        <f t="shared" si="69"/>
        <v>2.8472404453758787E-2</v>
      </c>
      <c r="AR139" s="23">
        <f t="shared" si="69"/>
        <v>2.7971043406715398E-2</v>
      </c>
      <c r="AS139" s="23">
        <f t="shared" si="69"/>
        <v>2.7672258644911532E-2</v>
      </c>
      <c r="AT139" s="23">
        <f t="shared" si="69"/>
        <v>2.748375269978659E-2</v>
      </c>
      <c r="AU139" s="23">
        <f t="shared" si="69"/>
        <v>2.7356663650707644E-2</v>
      </c>
      <c r="AV139" s="23">
        <f t="shared" si="69"/>
        <v>2.7264841714154331E-2</v>
      </c>
      <c r="AW139" s="23">
        <f t="shared" si="69"/>
        <v>2.719413873221975E-2</v>
      </c>
      <c r="AX139" s="23">
        <f t="shared" si="69"/>
        <v>2.7136792794720824E-2</v>
      </c>
      <c r="AY139" s="23">
        <f t="shared" si="69"/>
        <v>2.7088459802273118E-2</v>
      </c>
      <c r="AZ139" s="23">
        <f t="shared" si="69"/>
        <v>2.7046636334369739E-2</v>
      </c>
      <c r="BA139" s="23">
        <f t="shared" si="69"/>
        <v>2.700981872912199E-2</v>
      </c>
      <c r="BB139" s="23">
        <f t="shared" si="69"/>
        <v>2.6977053273797402E-2</v>
      </c>
      <c r="BC139" s="23">
        <f t="shared" si="69"/>
        <v>2.6947694702636596E-2</v>
      </c>
      <c r="BD139" s="23">
        <f t="shared" si="69"/>
        <v>2.6921275855573037E-2</v>
      </c>
      <c r="BE139" s="23">
        <f t="shared" si="69"/>
        <v>2.693099554635793E-2</v>
      </c>
      <c r="BF139" s="23">
        <f t="shared" si="69"/>
        <v>2.6908821263161353E-2</v>
      </c>
      <c r="BG139" s="23">
        <f t="shared" si="69"/>
        <v>2.6879981212224166E-2</v>
      </c>
      <c r="BH139" s="23">
        <f t="shared" si="69"/>
        <v>2.6853000713322167E-2</v>
      </c>
      <c r="BI139" s="23">
        <f t="shared" si="69"/>
        <v>2.682995699461499E-2</v>
      </c>
    </row>
    <row r="140" spans="1:61" ht="18" customHeight="1" x14ac:dyDescent="0.2">
      <c r="A140" s="23" t="s">
        <v>94</v>
      </c>
      <c r="B140" s="143">
        <v>1</v>
      </c>
      <c r="C140" s="143">
        <f t="shared" ref="C140:AH140" si="70">+B140/(1+C131)^10</f>
        <v>0.86214630168100137</v>
      </c>
      <c r="D140" s="23">
        <f t="shared" si="70"/>
        <v>0.6946982794667953</v>
      </c>
      <c r="E140" s="23">
        <f t="shared" si="70"/>
        <v>0.55336036713805381</v>
      </c>
      <c r="F140" s="23">
        <f t="shared" si="70"/>
        <v>0.43401107005179901</v>
      </c>
      <c r="G140" s="23">
        <f t="shared" si="70"/>
        <v>0.33853541951736493</v>
      </c>
      <c r="H140" s="23">
        <f t="shared" si="70"/>
        <v>0.27156130415423108</v>
      </c>
      <c r="I140" s="23">
        <f t="shared" si="70"/>
        <v>0.23808036417588468</v>
      </c>
      <c r="J140" s="23">
        <f t="shared" si="70"/>
        <v>0.20823786162217919</v>
      </c>
      <c r="K140" s="23">
        <f t="shared" si="70"/>
        <v>0.16829048491469958</v>
      </c>
      <c r="L140" s="23">
        <f t="shared" si="70"/>
        <v>0.13503394988337758</v>
      </c>
      <c r="M140" s="23">
        <f t="shared" si="70"/>
        <v>0.10815302499586776</v>
      </c>
      <c r="N140" s="23">
        <f t="shared" si="70"/>
        <v>8.5737720979564169E-2</v>
      </c>
      <c r="O140" s="23">
        <f t="shared" si="70"/>
        <v>6.7488510546276803E-2</v>
      </c>
      <c r="P140" s="23">
        <f t="shared" si="70"/>
        <v>5.3072237576490842E-2</v>
      </c>
      <c r="Q140" s="23">
        <f t="shared" si="70"/>
        <v>4.1834496817983208E-2</v>
      </c>
      <c r="R140" s="23">
        <f t="shared" si="70"/>
        <v>3.2892219989224404E-2</v>
      </c>
      <c r="S140" s="23">
        <f t="shared" si="70"/>
        <v>2.6088605675197687E-2</v>
      </c>
      <c r="T140" s="23">
        <f t="shared" si="70"/>
        <v>2.1159765379636236E-2</v>
      </c>
      <c r="U140" s="23">
        <f t="shared" si="70"/>
        <v>1.7019081554908139E-2</v>
      </c>
      <c r="V140" s="23">
        <f t="shared" si="70"/>
        <v>1.3569997938783876E-2</v>
      </c>
      <c r="W140" s="23">
        <f t="shared" si="70"/>
        <v>1.0850489083123343E-2</v>
      </c>
      <c r="X140" s="23">
        <f t="shared" si="70"/>
        <v>8.6599748606298165E-3</v>
      </c>
      <c r="Y140" s="23">
        <f t="shared" si="70"/>
        <v>6.9661458975107679E-3</v>
      </c>
      <c r="Z140" s="23">
        <f t="shared" si="70"/>
        <v>5.6086312433594838E-3</v>
      </c>
      <c r="AA140" s="23">
        <f t="shared" si="70"/>
        <v>4.5139057448051918E-3</v>
      </c>
      <c r="AB140" s="23">
        <f t="shared" si="70"/>
        <v>3.6164811886690356E-3</v>
      </c>
      <c r="AC140" s="23">
        <f t="shared" si="70"/>
        <v>2.8835582333166833E-3</v>
      </c>
      <c r="AD140" s="23">
        <f t="shared" si="70"/>
        <v>2.313043809957342E-3</v>
      </c>
      <c r="AE140" s="23">
        <f t="shared" si="70"/>
        <v>1.9713654872477206E-3</v>
      </c>
      <c r="AF140" s="23">
        <f t="shared" si="70"/>
        <v>1.6915725685961746E-3</v>
      </c>
      <c r="AG140" s="23">
        <f t="shared" si="70"/>
        <v>1.3731208002046291E-3</v>
      </c>
      <c r="AH140" s="23">
        <f t="shared" si="70"/>
        <v>2.0133957238330393E-4</v>
      </c>
      <c r="AI140" s="23">
        <f t="shared" ref="AI140:BG140" si="71">+AH140/(1+AI131)^10</f>
        <v>1.989010678188535E-5</v>
      </c>
      <c r="AJ140" s="23">
        <f t="shared" si="71"/>
        <v>8.5588170388016882E-6</v>
      </c>
      <c r="AK140" s="23">
        <f t="shared" si="71"/>
        <v>5.4311493132705728E-6</v>
      </c>
      <c r="AL140" s="23">
        <f t="shared" si="71"/>
        <v>3.9410790888739387E-6</v>
      </c>
      <c r="AM140" s="23">
        <f t="shared" si="71"/>
        <v>3.0273856919508211E-6</v>
      </c>
      <c r="AN140" s="23">
        <f t="shared" si="71"/>
        <v>2.3901837907599807E-6</v>
      </c>
      <c r="AO140" s="23">
        <f t="shared" si="71"/>
        <v>1.9141238086705824E-6</v>
      </c>
      <c r="AP140" s="23">
        <f t="shared" si="71"/>
        <v>1.5448397386221656E-6</v>
      </c>
      <c r="AQ140" s="23">
        <f t="shared" si="71"/>
        <v>1.2523737667133997E-6</v>
      </c>
      <c r="AR140" s="23">
        <f t="shared" si="71"/>
        <v>1.018026729677301E-6</v>
      </c>
      <c r="AS140" s="23">
        <f t="shared" si="71"/>
        <v>8.2897925068242134E-7</v>
      </c>
      <c r="AT140" s="23">
        <f t="shared" si="71"/>
        <v>6.7585629915435337E-7</v>
      </c>
      <c r="AU140" s="23">
        <f t="shared" si="71"/>
        <v>5.5151289792200936E-7</v>
      </c>
      <c r="AV140" s="23">
        <f t="shared" si="71"/>
        <v>4.5036512009465599E-7</v>
      </c>
      <c r="AW140" s="23">
        <f t="shared" si="71"/>
        <v>3.6798309426863347E-7</v>
      </c>
      <c r="AX140" s="23">
        <f t="shared" si="71"/>
        <v>3.0082072731770793E-7</v>
      </c>
      <c r="AY140" s="23">
        <f t="shared" si="71"/>
        <v>2.4602359597898061E-7</v>
      </c>
      <c r="AZ140" s="23">
        <f t="shared" si="71"/>
        <v>2.0128579226961268E-7</v>
      </c>
      <c r="BA140" s="23">
        <f t="shared" si="71"/>
        <v>1.6473994192725057E-7</v>
      </c>
      <c r="BB140" s="23">
        <f t="shared" si="71"/>
        <v>1.3487108912646546E-7</v>
      </c>
      <c r="BC140" s="23">
        <f t="shared" si="71"/>
        <v>1.1044847245725749E-7</v>
      </c>
      <c r="BD140" s="23">
        <f t="shared" si="71"/>
        <v>9.0446827509273329E-8</v>
      </c>
      <c r="BE140" s="23">
        <f t="shared" si="71"/>
        <v>7.407141816597732E-8</v>
      </c>
      <c r="BF140" s="23">
        <f t="shared" si="71"/>
        <v>6.0683469204314758E-8</v>
      </c>
      <c r="BG140" s="23">
        <f t="shared" si="71"/>
        <v>4.9730660237039035E-8</v>
      </c>
      <c r="BH140" s="23">
        <f>+BG140</f>
        <v>4.9730660237039035E-8</v>
      </c>
      <c r="BI140" s="23">
        <f>+BH140</f>
        <v>4.9730660237039035E-8</v>
      </c>
    </row>
    <row r="141" spans="1:61" ht="18" customHeight="1" x14ac:dyDescent="0.2">
      <c r="A141" s="23" t="s">
        <v>208</v>
      </c>
      <c r="B141" s="143">
        <f t="shared" ref="B141:K141" si="72">+B139-C131</f>
        <v>9.1337969927288418E-2</v>
      </c>
      <c r="C141" s="143">
        <f t="shared" si="72"/>
        <v>1.8118818471679433E-2</v>
      </c>
      <c r="D141" s="23">
        <f t="shared" si="72"/>
        <v>-3.668090557544277E-3</v>
      </c>
      <c r="E141" s="23">
        <f t="shared" si="72"/>
        <v>-7.740970534977732E-3</v>
      </c>
      <c r="F141" s="23">
        <f t="shared" si="72"/>
        <v>-6.7054877598073798E-3</v>
      </c>
      <c r="G141" s="23">
        <f t="shared" si="72"/>
        <v>3.5538823505856798E-4</v>
      </c>
      <c r="H141" s="23">
        <f t="shared" si="72"/>
        <v>1.2200432215820801E-2</v>
      </c>
      <c r="I141" s="23">
        <f t="shared" si="72"/>
        <v>1.0366672674747172E-2</v>
      </c>
      <c r="J141" s="23">
        <f t="shared" si="72"/>
        <v>-5.2747474065190647E-3</v>
      </c>
      <c r="K141" s="23">
        <f t="shared" si="72"/>
        <v>-1.0906790984450965E-3</v>
      </c>
    </row>
    <row r="142" spans="1:61" ht="18" customHeight="1" x14ac:dyDescent="0.2">
      <c r="A142" s="23" t="s">
        <v>13</v>
      </c>
      <c r="B142" s="143"/>
      <c r="C142" s="143">
        <f>+EXP(C128-0.1)</f>
        <v>1.0053041510206062</v>
      </c>
      <c r="D142" s="23">
        <f>+EXP(D128-0.1)</f>
        <v>0.98470189498261507</v>
      </c>
    </row>
    <row r="143" spans="1:61" ht="18" customHeight="1" x14ac:dyDescent="0.2">
      <c r="A143" s="23" t="s">
        <v>149</v>
      </c>
      <c r="B143" s="143"/>
    </row>
    <row r="144" spans="1:61" ht="18" customHeight="1" x14ac:dyDescent="0.2">
      <c r="A144" s="23" t="s">
        <v>152</v>
      </c>
      <c r="B144" s="143">
        <f>+SUMPRODUCT(B140:U140*B84:U84)*10</f>
        <v>128.46947311192002</v>
      </c>
    </row>
    <row r="145" spans="1:74" ht="18" customHeight="1" x14ac:dyDescent="0.2">
      <c r="A145" s="23" t="s">
        <v>150</v>
      </c>
      <c r="B145" s="143">
        <f>+SUMPRODUCT(B140:AE140*B84:AE84)*10</f>
        <v>132.0849640427011</v>
      </c>
    </row>
    <row r="146" spans="1:74" ht="18" customHeight="1" x14ac:dyDescent="0.2">
      <c r="A146" s="23" t="s">
        <v>151</v>
      </c>
      <c r="B146" s="143">
        <f>+SUMPRODUCT(B140:BI140*B84:BI84)*10</f>
        <v>132.48661913589251</v>
      </c>
    </row>
    <row r="147" spans="1:74" ht="18" customHeight="1" x14ac:dyDescent="0.2">
      <c r="A147" s="23"/>
      <c r="B147" s="143"/>
    </row>
    <row r="148" spans="1:74" s="63" customFormat="1" ht="18" customHeight="1" x14ac:dyDescent="0.2">
      <c r="A148" s="23" t="s">
        <v>69</v>
      </c>
      <c r="B148" s="143">
        <v>1</v>
      </c>
      <c r="C148" s="143">
        <f t="shared" ref="C148:AH148" si="73">+B148/(1+B79)^10</f>
        <v>1.0598075033157766</v>
      </c>
      <c r="D148" s="23">
        <f t="shared" si="73"/>
        <v>0.9633678606631727</v>
      </c>
      <c r="E148" s="23">
        <f t="shared" si="73"/>
        <v>0.84337174602793386</v>
      </c>
      <c r="F148" s="23">
        <f t="shared" si="73"/>
        <v>0.71074013106566936</v>
      </c>
      <c r="G148" s="23">
        <f t="shared" si="73"/>
        <v>0.56627907821210333</v>
      </c>
      <c r="H148" s="23">
        <f t="shared" si="73"/>
        <v>0.44574621263619812</v>
      </c>
      <c r="I148" s="23">
        <f t="shared" si="73"/>
        <v>0.36888072337983591</v>
      </c>
      <c r="J148" s="23">
        <f t="shared" si="73"/>
        <v>0.34793470221857964</v>
      </c>
      <c r="K148" s="23">
        <f t="shared" si="73"/>
        <v>0.28656928758400751</v>
      </c>
      <c r="L148" s="23">
        <f t="shared" si="73"/>
        <v>0.22808454110082471</v>
      </c>
      <c r="M148" s="23">
        <f t="shared" si="73"/>
        <v>0.18185101424543851</v>
      </c>
      <c r="N148" s="23">
        <f t="shared" si="73"/>
        <v>0.14292229343847443</v>
      </c>
      <c r="O148" s="23">
        <f t="shared" si="73"/>
        <v>0.11158092670737786</v>
      </c>
      <c r="P148" s="23">
        <f t="shared" si="73"/>
        <v>8.6432434736848598E-2</v>
      </c>
      <c r="Q148" s="23">
        <f t="shared" si="73"/>
        <v>6.734504104104648E-2</v>
      </c>
      <c r="R148" s="23">
        <f t="shared" si="73"/>
        <v>5.242053276270963E-2</v>
      </c>
      <c r="S148" s="23">
        <f t="shared" si="73"/>
        <v>4.0631195703684633E-2</v>
      </c>
      <c r="T148" s="23">
        <f t="shared" si="73"/>
        <v>3.2198455325552072E-2</v>
      </c>
      <c r="U148" s="23">
        <f t="shared" si="73"/>
        <v>2.6123452032565369E-2</v>
      </c>
      <c r="V148" s="23">
        <f t="shared" si="73"/>
        <v>2.0506769849817672E-2</v>
      </c>
      <c r="W148" s="23">
        <f t="shared" si="73"/>
        <v>1.6595674264947523E-2</v>
      </c>
      <c r="X148" s="23">
        <f t="shared" si="73"/>
        <v>1.3203429308483082E-2</v>
      </c>
      <c r="Y148" s="23">
        <f t="shared" si="73"/>
        <v>1.0644947374991047E-2</v>
      </c>
      <c r="Z148" s="23">
        <f t="shared" si="73"/>
        <v>8.6060791330622895E-3</v>
      </c>
      <c r="AA148" s="23">
        <f t="shared" si="73"/>
        <v>6.9511384396250932E-3</v>
      </c>
      <c r="AB148" s="23">
        <f t="shared" si="73"/>
        <v>5.615299312862543E-3</v>
      </c>
      <c r="AC148" s="23">
        <f t="shared" si="73"/>
        <v>4.4937894821367496E-3</v>
      </c>
      <c r="AD148" s="23">
        <f t="shared" si="73"/>
        <v>3.59461603004041E-3</v>
      </c>
      <c r="AE148" s="23">
        <f t="shared" si="73"/>
        <v>2.9122968076600538E-3</v>
      </c>
      <c r="AF148" s="23">
        <f t="shared" si="73"/>
        <v>2.6295096374777728E-3</v>
      </c>
      <c r="AG148" s="23">
        <f t="shared" si="73"/>
        <v>2.1492910759406602E-3</v>
      </c>
      <c r="AH148" s="23">
        <f t="shared" si="73"/>
        <v>1.7289243772966659E-3</v>
      </c>
      <c r="AI148" s="23">
        <f t="shared" ref="AI148:BI148" si="74">+AH148/(1+AH79)^10</f>
        <v>3.1251829236859249E-5</v>
      </c>
      <c r="AJ148" s="23">
        <f t="shared" si="74"/>
        <v>9.4713806149290307E-6</v>
      </c>
      <c r="AK148" s="23">
        <f t="shared" si="74"/>
        <v>5.3904789990414886E-6</v>
      </c>
      <c r="AL148" s="23">
        <f t="shared" si="74"/>
        <v>3.7429627985391504E-6</v>
      </c>
      <c r="AM148" s="23">
        <f t="shared" si="74"/>
        <v>2.8153149972863713E-6</v>
      </c>
      <c r="AN148" s="23">
        <f t="shared" si="74"/>
        <v>2.1980634918937671E-6</v>
      </c>
      <c r="AO148" s="23">
        <f t="shared" si="74"/>
        <v>1.748947442536077E-6</v>
      </c>
      <c r="AP148" s="23">
        <f t="shared" si="74"/>
        <v>1.4058103435223791E-6</v>
      </c>
      <c r="AQ148" s="23">
        <f t="shared" si="74"/>
        <v>1.1364792867565062E-6</v>
      </c>
      <c r="AR148" s="23">
        <f t="shared" si="74"/>
        <v>9.2186812551393556E-7</v>
      </c>
      <c r="AS148" s="23">
        <f t="shared" si="74"/>
        <v>7.4938064889959555E-7</v>
      </c>
      <c r="AT148" s="23">
        <f t="shared" si="74"/>
        <v>6.1004225949451463E-7</v>
      </c>
      <c r="AU148" s="23">
        <f t="shared" si="74"/>
        <v>4.9712754525579637E-7</v>
      </c>
      <c r="AV148" s="23">
        <f t="shared" si="74"/>
        <v>4.0543623466269524E-7</v>
      </c>
      <c r="AW148" s="23">
        <f t="shared" si="74"/>
        <v>3.3087093642938986E-7</v>
      </c>
      <c r="AX148" s="23">
        <f t="shared" si="74"/>
        <v>2.7016670514818656E-7</v>
      </c>
      <c r="AY148" s="23">
        <f t="shared" si="74"/>
        <v>2.2070403105060648E-7</v>
      </c>
      <c r="AZ148" s="23">
        <f t="shared" si="74"/>
        <v>1.803721127862816E-7</v>
      </c>
      <c r="BA148" s="23">
        <f t="shared" si="74"/>
        <v>1.4746512798656049E-7</v>
      </c>
      <c r="BB148" s="23">
        <f t="shared" si="74"/>
        <v>1.2060168295617684E-7</v>
      </c>
      <c r="BC148" s="23">
        <f t="shared" si="74"/>
        <v>9.8661354148973375E-8</v>
      </c>
      <c r="BD148" s="23">
        <f t="shared" si="74"/>
        <v>8.0734242851764412E-8</v>
      </c>
      <c r="BE148" s="23">
        <f t="shared" si="74"/>
        <v>6.6044512569006608E-8</v>
      </c>
      <c r="BF148" s="23">
        <f t="shared" si="74"/>
        <v>5.4050011943999126E-8</v>
      </c>
      <c r="BG148" s="23">
        <f t="shared" si="74"/>
        <v>4.4249273385351848E-8</v>
      </c>
      <c r="BH148" s="23">
        <f t="shared" si="74"/>
        <v>3.6235875586290998E-8</v>
      </c>
      <c r="BI148" s="23">
        <f t="shared" si="74"/>
        <v>3.1223266605468858E-8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 x14ac:dyDescent="0.2">
      <c r="A149" s="23"/>
      <c r="B149" s="143"/>
    </row>
    <row r="150" spans="1:74" ht="18" customHeight="1" x14ac:dyDescent="0.2">
      <c r="A150" s="23" t="s">
        <v>149</v>
      </c>
      <c r="B150" s="143"/>
    </row>
    <row r="151" spans="1:74" ht="18" customHeight="1" x14ac:dyDescent="0.2">
      <c r="A151" s="23" t="s">
        <v>152</v>
      </c>
      <c r="B151" s="143">
        <f>+SUMPRODUCT(B148:U148*B84:U84)*10</f>
        <v>186.62158955780779</v>
      </c>
    </row>
    <row r="152" spans="1:74" ht="18" customHeight="1" x14ac:dyDescent="0.2">
      <c r="A152" s="23" t="s">
        <v>150</v>
      </c>
      <c r="B152" s="143">
        <f>+SUMPRODUCT(B148:AE148*B84:AE84)*10</f>
        <v>192.14855571213087</v>
      </c>
    </row>
    <row r="153" spans="1:74" ht="18" customHeight="1" x14ac:dyDescent="0.2">
      <c r="A153" s="23" t="s">
        <v>151</v>
      </c>
      <c r="B153" s="143">
        <f>+SUMPRODUCT(B148:BI148*B84:BI84)*10</f>
        <v>192.82223794524771</v>
      </c>
    </row>
    <row r="154" spans="1:74" ht="18" customHeight="1" x14ac:dyDescent="0.2">
      <c r="A154" s="23" t="s">
        <v>151</v>
      </c>
      <c r="B154" s="143">
        <f>+SUMPRODUCT(B149:BI149*B84:BI84)*10</f>
        <v>0</v>
      </c>
    </row>
    <row r="155" spans="1:74" ht="18" customHeight="1" x14ac:dyDescent="0.2">
      <c r="A155" s="21" t="s">
        <v>228</v>
      </c>
      <c r="B155" s="144">
        <f>+B63*B61</f>
        <v>5.4742167186312661E-3</v>
      </c>
      <c r="C155" s="144">
        <f t="shared" ref="C155:BI155" si="75">+C63*C61</f>
        <v>5.3269547602913872E-3</v>
      </c>
      <c r="D155" s="29">
        <f t="shared" si="75"/>
        <v>3.7762662829419836E-3</v>
      </c>
      <c r="E155" s="29">
        <f t="shared" si="75"/>
        <v>4.1824553450195267E-3</v>
      </c>
      <c r="F155" s="29">
        <f t="shared" si="75"/>
        <v>5.4578818493326306E-3</v>
      </c>
      <c r="G155" s="29">
        <f t="shared" si="75"/>
        <v>7.7474358219854341E-3</v>
      </c>
      <c r="H155" s="29">
        <f t="shared" si="75"/>
        <v>6.7564401804847936E-3</v>
      </c>
      <c r="I155" s="29">
        <f t="shared" si="75"/>
        <v>9.1406853880913238E-3</v>
      </c>
      <c r="J155" s="29">
        <f t="shared" si="75"/>
        <v>1.1122562069571287E-2</v>
      </c>
      <c r="K155" s="29">
        <f t="shared" si="75"/>
        <v>8.0451023359451521E-3</v>
      </c>
      <c r="L155" s="29">
        <f t="shared" si="75"/>
        <v>8.8192861044751308E-3</v>
      </c>
      <c r="M155" s="29">
        <f t="shared" si="75"/>
        <v>1.179947596365938E-2</v>
      </c>
      <c r="N155" s="29">
        <f t="shared" si="75"/>
        <v>1.4659274433615413E-2</v>
      </c>
      <c r="O155" s="29">
        <f t="shared" si="75"/>
        <v>1.55379107809837E-2</v>
      </c>
      <c r="P155" s="29">
        <f t="shared" si="75"/>
        <v>1.4761245299935312E-2</v>
      </c>
      <c r="Q155" s="29">
        <f t="shared" si="75"/>
        <v>1.9373543640529369E-2</v>
      </c>
      <c r="R155" s="29">
        <f t="shared" si="75"/>
        <v>2.0101507912901061E-2</v>
      </c>
      <c r="S155" s="29">
        <f t="shared" si="75"/>
        <v>2.2354137948275364E-2</v>
      </c>
      <c r="T155" s="29">
        <f t="shared" si="75"/>
        <v>2.0414076073776245E-2</v>
      </c>
      <c r="U155" s="29">
        <f t="shared" si="75"/>
        <v>2.4751303942082449E-2</v>
      </c>
      <c r="V155" s="29">
        <f t="shared" si="75"/>
        <v>2.9150007821381631E-2</v>
      </c>
      <c r="W155" s="29">
        <f t="shared" si="75"/>
        <v>2.7395477323081768E-2</v>
      </c>
      <c r="X155" s="29">
        <f t="shared" si="75"/>
        <v>3.1121285363172609E-2</v>
      </c>
      <c r="Y155" s="29">
        <f t="shared" si="75"/>
        <v>3.4617038705251686E-2</v>
      </c>
      <c r="Z155" s="29">
        <f t="shared" si="75"/>
        <v>3.9638943092995524E-2</v>
      </c>
      <c r="AA155" s="29">
        <f t="shared" si="75"/>
        <v>5.0086725359094003E-2</v>
      </c>
      <c r="AB155" s="29">
        <f t="shared" si="75"/>
        <v>5.9847729304524477E-2</v>
      </c>
      <c r="AC155" s="29">
        <f t="shared" si="75"/>
        <v>5.9390635399886468E-2</v>
      </c>
      <c r="AD155" s="29">
        <f t="shared" si="75"/>
        <v>6.010264422130869E-2</v>
      </c>
      <c r="AE155" s="29">
        <f t="shared" si="75"/>
        <v>7.2416059555982695E-2</v>
      </c>
      <c r="AF155" s="29">
        <f t="shared" si="75"/>
        <v>7.3835110208015781E-2</v>
      </c>
      <c r="AG155" s="29">
        <f t="shared" si="75"/>
        <v>6.7738720895896221E-2</v>
      </c>
      <c r="AH155" s="29">
        <f t="shared" si="75"/>
        <v>7.5001917793472442E-2</v>
      </c>
      <c r="AI155" s="29">
        <f t="shared" si="75"/>
        <v>1.2644009808595498</v>
      </c>
      <c r="AJ155" s="29">
        <f t="shared" si="75"/>
        <v>1.5307794123567948</v>
      </c>
      <c r="AK155" s="29">
        <f t="shared" si="75"/>
        <v>2.4033995086400219</v>
      </c>
      <c r="AL155" s="29">
        <f t="shared" si="75"/>
        <v>2.9783153271973237</v>
      </c>
      <c r="AM155" s="29">
        <f t="shared" si="75"/>
        <v>3.3852904327695326</v>
      </c>
      <c r="AN155" s="29">
        <f t="shared" si="75"/>
        <v>3.7046050173380332</v>
      </c>
      <c r="AO155" s="29">
        <f t="shared" si="75"/>
        <v>3.9796268241550643</v>
      </c>
      <c r="AP155" s="29">
        <f t="shared" si="75"/>
        <v>4.234245469048342</v>
      </c>
      <c r="AQ155" s="29">
        <f t="shared" si="75"/>
        <v>4.4819356209471861</v>
      </c>
      <c r="AR155" s="29">
        <f t="shared" si="75"/>
        <v>4.7304902960172717</v>
      </c>
      <c r="AS155" s="29">
        <f t="shared" si="75"/>
        <v>4.9845693722573747</v>
      </c>
      <c r="AT155" s="29">
        <f t="shared" si="75"/>
        <v>5.2470996577769782</v>
      </c>
      <c r="AU155" s="29">
        <f t="shared" si="75"/>
        <v>5.5200530162497623</v>
      </c>
      <c r="AV155" s="29">
        <f t="shared" si="75"/>
        <v>5.8048817819741378</v>
      </c>
      <c r="AW155" s="29">
        <f t="shared" si="75"/>
        <v>6.1027635521322541</v>
      </c>
      <c r="AX155" s="29">
        <f t="shared" si="75"/>
        <v>6.4147394459026152</v>
      </c>
      <c r="AY155" s="29">
        <f t="shared" si="75"/>
        <v>6.7417927010416729</v>
      </c>
      <c r="AZ155" s="29">
        <f t="shared" si="75"/>
        <v>7.0848938432677215</v>
      </c>
      <c r="BA155" s="29">
        <f t="shared" si="75"/>
        <v>7.4450271447217666</v>
      </c>
      <c r="BB155" s="29">
        <f t="shared" si="75"/>
        <v>7.8232066351581082</v>
      </c>
      <c r="BC155" s="29">
        <f t="shared" si="75"/>
        <v>8.2204863088784723</v>
      </c>
      <c r="BD155" s="29">
        <f t="shared" si="75"/>
        <v>8.6379671373931473</v>
      </c>
      <c r="BE155" s="29">
        <f t="shared" si="75"/>
        <v>9.076802356013971</v>
      </c>
      <c r="BF155" s="29">
        <f t="shared" si="75"/>
        <v>9.5388936929061448</v>
      </c>
      <c r="BG155" s="29">
        <f t="shared" si="75"/>
        <v>10.025058636641139</v>
      </c>
      <c r="BH155" s="29">
        <f t="shared" si="75"/>
        <v>10.536270397254999</v>
      </c>
      <c r="BI155" s="29">
        <f t="shared" si="75"/>
        <v>11.073854702385619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25" activePane="bottomRight" state="frozen"/>
      <selection pane="topRight" activeCell="B1" sqref="B1"/>
      <selection pane="bottomLeft" activeCell="A5" sqref="A5"/>
      <selection pane="bottomRight" activeCell="B2" sqref="B2:DA2"/>
    </sheetView>
  </sheetViews>
  <sheetFormatPr baseColWidth="10" defaultColWidth="9.1640625" defaultRowHeight="15" x14ac:dyDescent="0.2"/>
  <cols>
    <col min="1" max="1" width="33.1640625" style="170" customWidth="1"/>
    <col min="2" max="3" width="7.6640625" style="245" customWidth="1"/>
    <col min="4" max="4" width="7.1640625" style="245" customWidth="1"/>
    <col min="5" max="6" width="8" style="245" customWidth="1"/>
    <col min="7" max="11" width="0.6640625" style="245" customWidth="1"/>
    <col min="12" max="12" width="7.5" style="245" customWidth="1"/>
    <col min="13" max="41" width="0.6640625" style="245" customWidth="1"/>
    <col min="42" max="42" width="7.5" style="245" customWidth="1"/>
    <col min="43" max="45" width="0.6640625" style="245" customWidth="1"/>
    <col min="46" max="46" width="0.5" style="245" customWidth="1"/>
    <col min="47" max="86" width="0.6640625" style="245" customWidth="1"/>
    <col min="87" max="101" width="0.5" style="245" customWidth="1"/>
    <col min="102" max="122" width="6.6640625" style="245" customWidth="1"/>
    <col min="123" max="127" width="6.83203125" style="170" customWidth="1"/>
    <col min="128" max="16384" width="9.1640625" style="170"/>
  </cols>
  <sheetData>
    <row r="1" spans="1:126" x14ac:dyDescent="0.2">
      <c r="A1" s="244" t="s">
        <v>793</v>
      </c>
      <c r="CC1" s="245">
        <v>0</v>
      </c>
      <c r="CD1" s="245">
        <v>0</v>
      </c>
      <c r="CE1" s="245">
        <v>0</v>
      </c>
      <c r="CF1" s="245">
        <v>0</v>
      </c>
      <c r="CG1" s="245">
        <v>0</v>
      </c>
      <c r="CH1" s="245">
        <v>0</v>
      </c>
      <c r="CI1" s="245">
        <v>0</v>
      </c>
      <c r="CJ1" s="245">
        <v>0</v>
      </c>
    </row>
    <row r="2" spans="1:126" x14ac:dyDescent="0.2">
      <c r="A2" s="170" t="s">
        <v>740</v>
      </c>
      <c r="B2" s="683">
        <f>Global!B4</f>
        <v>1990</v>
      </c>
      <c r="C2" s="683">
        <f>Global!C4</f>
        <v>1991</v>
      </c>
      <c r="D2" s="683">
        <f>Global!D4</f>
        <v>1992</v>
      </c>
      <c r="E2" s="683">
        <f>Global!E4</f>
        <v>1993</v>
      </c>
      <c r="F2" s="683">
        <f>Global!F4</f>
        <v>1994</v>
      </c>
      <c r="G2" s="683">
        <f>Global!G4</f>
        <v>1995</v>
      </c>
      <c r="H2" s="683">
        <f>Global!H4</f>
        <v>1996</v>
      </c>
      <c r="I2" s="683">
        <f>Global!I4</f>
        <v>1997</v>
      </c>
      <c r="J2" s="683">
        <f>Global!J4</f>
        <v>1998</v>
      </c>
      <c r="K2" s="683">
        <f>Global!K4</f>
        <v>1999</v>
      </c>
      <c r="L2" s="683">
        <f>Global!L4</f>
        <v>2000</v>
      </c>
      <c r="M2" s="683">
        <f>Global!M4</f>
        <v>2001</v>
      </c>
      <c r="N2" s="683">
        <f>Global!N4</f>
        <v>2002</v>
      </c>
      <c r="O2" s="683">
        <f>Global!O4</f>
        <v>2003</v>
      </c>
      <c r="P2" s="683">
        <f>Global!P4</f>
        <v>2004</v>
      </c>
      <c r="Q2" s="683">
        <f>Global!Q4</f>
        <v>2005</v>
      </c>
      <c r="R2" s="683">
        <f>Global!R4</f>
        <v>2006</v>
      </c>
      <c r="S2" s="683">
        <f>Global!S4</f>
        <v>2007</v>
      </c>
      <c r="T2" s="683">
        <f>Global!T4</f>
        <v>2008</v>
      </c>
      <c r="U2" s="683">
        <f>Global!U4</f>
        <v>2009</v>
      </c>
      <c r="V2" s="683">
        <f>Global!V4</f>
        <v>2010</v>
      </c>
      <c r="W2" s="683">
        <f>Global!W4</f>
        <v>2011</v>
      </c>
      <c r="X2" s="683">
        <f>Global!X4</f>
        <v>2012</v>
      </c>
      <c r="Y2" s="683">
        <f>Global!Y4</f>
        <v>2013</v>
      </c>
      <c r="Z2" s="683">
        <f>Global!Z4</f>
        <v>2014</v>
      </c>
      <c r="AA2" s="683">
        <f>Global!AA4</f>
        <v>2015</v>
      </c>
      <c r="AB2" s="683">
        <f>Global!AB4</f>
        <v>2016</v>
      </c>
      <c r="AC2" s="683">
        <f>Global!AC4</f>
        <v>2017</v>
      </c>
      <c r="AD2" s="683">
        <f>Global!AD4</f>
        <v>2018</v>
      </c>
      <c r="AE2" s="683">
        <f>Global!AE4</f>
        <v>2019</v>
      </c>
      <c r="AF2" s="683">
        <f>Global!AF4</f>
        <v>2020</v>
      </c>
      <c r="AG2" s="683">
        <f>Global!AG4</f>
        <v>2021</v>
      </c>
      <c r="AH2" s="683">
        <f>Global!AH4</f>
        <v>2022</v>
      </c>
      <c r="AI2" s="683">
        <f>Global!AI4</f>
        <v>2023</v>
      </c>
      <c r="AJ2" s="683">
        <f>Global!AJ4</f>
        <v>2024</v>
      </c>
      <c r="AK2" s="683">
        <f>Global!AK4</f>
        <v>2025</v>
      </c>
      <c r="AL2" s="683">
        <f>Global!AL4</f>
        <v>2035</v>
      </c>
      <c r="AM2" s="683">
        <f>Global!AM4</f>
        <v>2045</v>
      </c>
      <c r="AN2" s="683">
        <f>Global!AN4</f>
        <v>2055</v>
      </c>
      <c r="AO2" s="683">
        <f>Global!AO4</f>
        <v>2065</v>
      </c>
      <c r="AP2" s="683">
        <f>Global!AP4</f>
        <v>2075</v>
      </c>
      <c r="AQ2" s="683">
        <f>Global!AQ4</f>
        <v>2085</v>
      </c>
      <c r="AR2" s="683">
        <f>Global!AR4</f>
        <v>2095</v>
      </c>
      <c r="AS2" s="683">
        <f>Global!AS4</f>
        <v>2105</v>
      </c>
      <c r="AT2" s="683">
        <f>Global!AT4</f>
        <v>2115</v>
      </c>
      <c r="AU2" s="683">
        <f>Global!AU4</f>
        <v>2125</v>
      </c>
      <c r="AV2" s="683">
        <f>Global!AV4</f>
        <v>2135</v>
      </c>
      <c r="AW2" s="683">
        <f>Global!AW4</f>
        <v>2145</v>
      </c>
      <c r="AX2" s="683">
        <f>Global!AX4</f>
        <v>2155</v>
      </c>
      <c r="AY2" s="683">
        <f>Global!AY4</f>
        <v>2165</v>
      </c>
      <c r="AZ2" s="683">
        <f>Global!AZ4</f>
        <v>2175</v>
      </c>
      <c r="BA2" s="683">
        <f>Global!BA4</f>
        <v>2185</v>
      </c>
      <c r="BB2" s="683">
        <f>Global!BB4</f>
        <v>2195</v>
      </c>
      <c r="BC2" s="683">
        <f>Global!BC4</f>
        <v>2205</v>
      </c>
      <c r="BD2" s="683">
        <f>Global!BD4</f>
        <v>2215</v>
      </c>
      <c r="BE2" s="683">
        <f>Global!BE4</f>
        <v>2225</v>
      </c>
      <c r="BF2" s="683">
        <f>Global!BF4</f>
        <v>2235</v>
      </c>
      <c r="BG2" s="683">
        <f>Global!BG4</f>
        <v>2245</v>
      </c>
      <c r="BH2" s="683">
        <f>Global!BH4</f>
        <v>2255</v>
      </c>
      <c r="BI2" s="683">
        <f>Global!BI4</f>
        <v>2265</v>
      </c>
      <c r="BJ2" s="683">
        <f>Global!BJ4</f>
        <v>2275</v>
      </c>
      <c r="BK2" s="683">
        <f>Global!BK4</f>
        <v>2285</v>
      </c>
      <c r="BL2" s="683">
        <f>Global!BL4</f>
        <v>2295</v>
      </c>
      <c r="BM2" s="683">
        <f>Global!BM4</f>
        <v>2305</v>
      </c>
      <c r="BN2" s="683">
        <f>Global!BN4</f>
        <v>2315</v>
      </c>
      <c r="BO2" s="683">
        <f>Global!BO4</f>
        <v>2325</v>
      </c>
      <c r="BP2" s="683">
        <f>Global!BP4</f>
        <v>2335</v>
      </c>
      <c r="BQ2" s="683">
        <f>Global!BQ4</f>
        <v>2345</v>
      </c>
      <c r="BR2" s="683">
        <f>Global!BR4</f>
        <v>2355</v>
      </c>
      <c r="BS2" s="683">
        <f>Global!BS4</f>
        <v>2365</v>
      </c>
      <c r="BT2" s="683">
        <f>Global!BT4</f>
        <v>2375</v>
      </c>
      <c r="BU2" s="683">
        <f>Global!BU4</f>
        <v>2385</v>
      </c>
      <c r="BV2" s="683">
        <f>Global!BV4</f>
        <v>2395</v>
      </c>
      <c r="BW2" s="683">
        <f>Global!BW4</f>
        <v>2405</v>
      </c>
      <c r="BX2" s="683">
        <f>Global!BX4</f>
        <v>2415</v>
      </c>
      <c r="BY2" s="683">
        <f>Global!BY4</f>
        <v>2425</v>
      </c>
      <c r="BZ2" s="683">
        <f>Global!BZ4</f>
        <v>2435</v>
      </c>
      <c r="CA2" s="683">
        <f>Global!CA4</f>
        <v>2445</v>
      </c>
      <c r="CB2" s="683">
        <f>Global!CB4</f>
        <v>2455</v>
      </c>
      <c r="CC2" s="683">
        <f>Global!CC4</f>
        <v>2465</v>
      </c>
      <c r="CD2" s="683">
        <f>Global!CD4</f>
        <v>2475</v>
      </c>
      <c r="CE2" s="683">
        <f>Global!CE4</f>
        <v>2485</v>
      </c>
      <c r="CF2" s="683">
        <f>Global!CF4</f>
        <v>2495</v>
      </c>
      <c r="CG2" s="683">
        <f>Global!CG4</f>
        <v>2505</v>
      </c>
      <c r="CH2" s="683">
        <f>Global!CH4</f>
        <v>2515</v>
      </c>
      <c r="CI2" s="683">
        <f>Global!CI4</f>
        <v>2525</v>
      </c>
      <c r="CJ2" s="683">
        <f>Global!CJ4</f>
        <v>2535</v>
      </c>
      <c r="CK2" s="683">
        <f>Global!CK4</f>
        <v>2545</v>
      </c>
      <c r="CL2" s="683">
        <f>Global!CL4</f>
        <v>2555</v>
      </c>
      <c r="CM2" s="683">
        <f>Global!CM4</f>
        <v>2565</v>
      </c>
      <c r="CN2" s="683">
        <f>Global!CN4</f>
        <v>2575</v>
      </c>
      <c r="CO2" s="683">
        <f>Global!CO4</f>
        <v>2585</v>
      </c>
      <c r="CP2" s="683">
        <f>Global!CP4</f>
        <v>2595</v>
      </c>
      <c r="CQ2" s="683">
        <f>Global!CQ4</f>
        <v>2605</v>
      </c>
      <c r="CR2" s="683">
        <f>Global!CR4</f>
        <v>2615</v>
      </c>
      <c r="CS2" s="683">
        <f>Global!CS4</f>
        <v>2625</v>
      </c>
      <c r="CT2" s="683">
        <f>Global!CT4</f>
        <v>2635</v>
      </c>
      <c r="CU2" s="683">
        <f>Global!CU4</f>
        <v>2645</v>
      </c>
      <c r="CV2" s="683">
        <f>Global!CV4</f>
        <v>2655</v>
      </c>
      <c r="CW2" s="683">
        <f>Global!CW4</f>
        <v>2665</v>
      </c>
      <c r="CX2" s="683">
        <f>Global!CX4</f>
        <v>2675</v>
      </c>
      <c r="CY2" s="683">
        <f>Global!CY4</f>
        <v>2685</v>
      </c>
      <c r="CZ2" s="683">
        <f>Global!CZ4</f>
        <v>2695</v>
      </c>
      <c r="DA2" s="683">
        <f>Global!DA4</f>
        <v>2705</v>
      </c>
      <c r="DB2" s="245">
        <f t="shared" ref="AR2:DC2" si="0">+DA2+10</f>
        <v>2715</v>
      </c>
      <c r="DC2" s="245">
        <f t="shared" si="0"/>
        <v>2725</v>
      </c>
      <c r="DD2" s="245">
        <f t="shared" ref="DD2:DR2" si="1">+DC2+10</f>
        <v>2735</v>
      </c>
      <c r="DE2" s="245">
        <f t="shared" si="1"/>
        <v>2745</v>
      </c>
      <c r="DF2" s="245">
        <f t="shared" si="1"/>
        <v>2755</v>
      </c>
      <c r="DG2" s="245">
        <f t="shared" si="1"/>
        <v>2765</v>
      </c>
      <c r="DH2" s="245">
        <f t="shared" si="1"/>
        <v>2775</v>
      </c>
      <c r="DI2" s="245">
        <f t="shared" si="1"/>
        <v>2785</v>
      </c>
      <c r="DJ2" s="245">
        <f t="shared" si="1"/>
        <v>2795</v>
      </c>
      <c r="DK2" s="245">
        <f t="shared" si="1"/>
        <v>2805</v>
      </c>
      <c r="DL2" s="245">
        <f t="shared" si="1"/>
        <v>2815</v>
      </c>
      <c r="DM2" s="245">
        <f t="shared" si="1"/>
        <v>2825</v>
      </c>
      <c r="DN2" s="245">
        <f t="shared" si="1"/>
        <v>2835</v>
      </c>
      <c r="DO2" s="245">
        <f t="shared" si="1"/>
        <v>2845</v>
      </c>
      <c r="DP2" s="245">
        <f t="shared" si="1"/>
        <v>2855</v>
      </c>
      <c r="DQ2" s="245">
        <f t="shared" si="1"/>
        <v>2865</v>
      </c>
      <c r="DR2" s="245">
        <f t="shared" si="1"/>
        <v>2875</v>
      </c>
    </row>
    <row r="3" spans="1:126" x14ac:dyDescent="0.2">
      <c r="A3" s="170" t="s">
        <v>741</v>
      </c>
      <c r="B3" s="246">
        <f>+Global!B70</f>
        <v>0.72</v>
      </c>
      <c r="C3" s="246">
        <f>+Global!C70</f>
        <v>0.67</v>
      </c>
      <c r="D3" s="246">
        <f>+Global!D70</f>
        <v>0.49</v>
      </c>
      <c r="E3" s="246">
        <f>+Global!E70</f>
        <v>0.5</v>
      </c>
      <c r="F3" s="246">
        <f>+Global!F70</f>
        <v>0.57999999999999996</v>
      </c>
      <c r="G3" s="246">
        <f>+Global!G70</f>
        <v>0.71</v>
      </c>
      <c r="H3" s="246">
        <f>+Global!H70</f>
        <v>0.6</v>
      </c>
      <c r="I3" s="246">
        <f>+Global!I70</f>
        <v>0.73</v>
      </c>
      <c r="J3" s="246">
        <f>+Global!J70</f>
        <v>0.87</v>
      </c>
      <c r="K3" s="246">
        <f>+Global!K70</f>
        <v>0.65</v>
      </c>
      <c r="L3" s="246">
        <f>+Global!L70</f>
        <v>0.66</v>
      </c>
      <c r="M3" s="246">
        <f>+Global!M70</f>
        <v>0.8</v>
      </c>
      <c r="N3" s="246">
        <f>+Global!N70</f>
        <v>0.9</v>
      </c>
      <c r="O3" s="246">
        <f>+Global!O70</f>
        <v>0.89</v>
      </c>
      <c r="P3" s="246">
        <f>+Global!P70</f>
        <v>0.8</v>
      </c>
      <c r="Q3" s="246">
        <f>+Global!Q70</f>
        <v>0.94</v>
      </c>
      <c r="R3" s="246">
        <f>+Global!R70</f>
        <v>0.91</v>
      </c>
      <c r="S3" s="246">
        <f>+Global!S70</f>
        <v>0.93</v>
      </c>
      <c r="T3" s="246">
        <f>+Global!T70</f>
        <v>0.81</v>
      </c>
      <c r="U3" s="246">
        <f>+Global!U70</f>
        <v>0.92</v>
      </c>
      <c r="V3" s="246">
        <f>+Global!V70</f>
        <v>0.99</v>
      </c>
      <c r="W3" s="246">
        <f>+Global!W70</f>
        <v>0.88</v>
      </c>
      <c r="X3" s="246">
        <f>+Global!X70</f>
        <v>0.92</v>
      </c>
      <c r="Y3" s="246">
        <f>+Global!Y70</f>
        <v>0.95</v>
      </c>
      <c r="Z3" s="246">
        <f>+Global!Z70</f>
        <v>1.01</v>
      </c>
      <c r="AA3" s="246">
        <f>+Global!AA70</f>
        <v>1.17</v>
      </c>
      <c r="AB3" s="246">
        <f>+Global!AB70</f>
        <v>1.28</v>
      </c>
      <c r="AC3" s="246">
        <f>+Global!AC70</f>
        <v>1.19</v>
      </c>
      <c r="AD3" s="246">
        <f>+Global!AD70</f>
        <v>1.1200000000000001</v>
      </c>
      <c r="AE3" s="246">
        <f>+Global!AE70</f>
        <v>1.25</v>
      </c>
      <c r="AF3" s="246">
        <f>+Global!AF70</f>
        <v>1.28</v>
      </c>
      <c r="AG3" s="246">
        <f>+Global!AG70</f>
        <v>1.1200000000000001</v>
      </c>
      <c r="AH3" s="246">
        <f>+Global!AH70</f>
        <v>1.1599999999999999</v>
      </c>
      <c r="AI3" s="246">
        <f>+Global!AI70</f>
        <v>1.44</v>
      </c>
      <c r="AJ3" s="246">
        <f>+Global!AJ70</f>
        <v>0</v>
      </c>
      <c r="AK3" s="246">
        <f>+Global!AK70</f>
        <v>0</v>
      </c>
      <c r="AL3" s="246">
        <f>+Global!AL70</f>
        <v>0</v>
      </c>
      <c r="AM3" s="246">
        <f>+Global!AM70</f>
        <v>0</v>
      </c>
      <c r="AN3" s="246">
        <f>+Global!AN70</f>
        <v>0</v>
      </c>
      <c r="AO3" s="246">
        <f>+Global!AO70</f>
        <v>0</v>
      </c>
      <c r="AP3" s="246">
        <f>+Global!AP70</f>
        <v>0</v>
      </c>
      <c r="AQ3" s="246">
        <f>+Global!AQ70</f>
        <v>0</v>
      </c>
      <c r="AR3" s="246">
        <f>+Global!AR70</f>
        <v>0</v>
      </c>
      <c r="AS3" s="246">
        <f>+Global!AS70</f>
        <v>0</v>
      </c>
      <c r="AT3" s="246">
        <f>+Global!AT70</f>
        <v>0</v>
      </c>
      <c r="AU3" s="246">
        <f>+Global!AU70</f>
        <v>0</v>
      </c>
      <c r="AV3" s="246">
        <f>+Global!AV70</f>
        <v>0</v>
      </c>
      <c r="AW3" s="246">
        <f>+Global!AW70</f>
        <v>0</v>
      </c>
      <c r="AX3" s="246">
        <f>+Global!AX70</f>
        <v>0</v>
      </c>
      <c r="AY3" s="246">
        <f>+Global!AY70</f>
        <v>0</v>
      </c>
      <c r="AZ3" s="246">
        <f>+Global!AZ70</f>
        <v>0</v>
      </c>
      <c r="BA3" s="246">
        <f>+Global!BA70</f>
        <v>0</v>
      </c>
      <c r="BB3" s="246">
        <f>+Global!BB70</f>
        <v>0</v>
      </c>
      <c r="BC3" s="246">
        <f>+Global!BC70</f>
        <v>0</v>
      </c>
      <c r="BD3" s="246">
        <f>+Global!BD70</f>
        <v>0</v>
      </c>
      <c r="BE3" s="246">
        <f>+Global!BE70</f>
        <v>0</v>
      </c>
      <c r="BF3" s="246">
        <f>+Global!BF70</f>
        <v>0</v>
      </c>
      <c r="BG3" s="246">
        <f>+Global!BG70</f>
        <v>0</v>
      </c>
      <c r="BH3" s="246">
        <f>+Global!BH70</f>
        <v>0</v>
      </c>
      <c r="BI3" s="246">
        <f>+Global!BI70</f>
        <v>0</v>
      </c>
      <c r="BJ3" s="246">
        <f>+Global!BJ70</f>
        <v>0</v>
      </c>
      <c r="BK3" s="246">
        <f>+Global!BK70</f>
        <v>0</v>
      </c>
      <c r="BL3" s="246">
        <f>+Global!BL70</f>
        <v>0</v>
      </c>
      <c r="BM3" s="246">
        <f>+Global!BM70</f>
        <v>0</v>
      </c>
      <c r="BN3" s="246">
        <f>+Global!BN70</f>
        <v>0</v>
      </c>
      <c r="BO3" s="246">
        <f>+Global!BO70</f>
        <v>0</v>
      </c>
      <c r="BP3" s="246">
        <f>+Global!BP70</f>
        <v>0</v>
      </c>
      <c r="BQ3" s="246">
        <f>+Global!BQ70</f>
        <v>0</v>
      </c>
      <c r="BR3" s="246">
        <f>+Global!BR70</f>
        <v>0</v>
      </c>
      <c r="BS3" s="246">
        <f>+Global!BS70</f>
        <v>0</v>
      </c>
      <c r="BT3" s="246">
        <f>+Global!BT70</f>
        <v>0</v>
      </c>
      <c r="BU3" s="246">
        <f>+Global!BU70</f>
        <v>0</v>
      </c>
      <c r="BV3" s="246">
        <f>+Global!BV70</f>
        <v>0</v>
      </c>
      <c r="BW3" s="246">
        <f>+Global!BW70</f>
        <v>0</v>
      </c>
      <c r="BX3" s="246">
        <f>+Global!BX70</f>
        <v>0</v>
      </c>
      <c r="BY3" s="246">
        <f>+Global!BY70</f>
        <v>0</v>
      </c>
      <c r="BZ3" s="246">
        <f>+Global!BZ70</f>
        <v>0</v>
      </c>
      <c r="CA3" s="246">
        <f>+Global!CA70</f>
        <v>0</v>
      </c>
      <c r="CB3" s="246">
        <f>+Global!CB70</f>
        <v>0</v>
      </c>
      <c r="CC3" s="246">
        <f>+Global!CC70</f>
        <v>0</v>
      </c>
      <c r="CD3" s="246">
        <f>+Global!CD70</f>
        <v>0</v>
      </c>
      <c r="CE3" s="246">
        <f>+Global!CE70</f>
        <v>0</v>
      </c>
      <c r="CF3" s="246">
        <f>+Global!CF70</f>
        <v>0</v>
      </c>
      <c r="CG3" s="246">
        <f>+Global!CG70</f>
        <v>0</v>
      </c>
      <c r="CH3" s="246">
        <f>+Global!CH70</f>
        <v>0</v>
      </c>
      <c r="CI3" s="246">
        <f>+Global!CI70</f>
        <v>0</v>
      </c>
      <c r="CJ3" s="246">
        <f>+Global!CJ70</f>
        <v>0</v>
      </c>
      <c r="CK3" s="246">
        <f>+Global!CK70</f>
        <v>0</v>
      </c>
      <c r="CL3" s="246">
        <f>+Global!CL70</f>
        <v>0</v>
      </c>
      <c r="CM3" s="246">
        <f>+Global!CM70</f>
        <v>0</v>
      </c>
      <c r="CN3" s="246">
        <f>+Global!CN70</f>
        <v>0</v>
      </c>
      <c r="CO3" s="246">
        <f>+Global!CO70</f>
        <v>0</v>
      </c>
      <c r="CP3" s="246">
        <f>+Global!CP70</f>
        <v>0</v>
      </c>
      <c r="CQ3" s="246">
        <f>+Global!CQ70</f>
        <v>0</v>
      </c>
      <c r="CR3" s="246">
        <f>+Global!CR70</f>
        <v>0</v>
      </c>
      <c r="CS3" s="246">
        <f>+Global!CS70</f>
        <v>0</v>
      </c>
      <c r="CT3" s="246">
        <f>+Global!CT70</f>
        <v>0</v>
      </c>
      <c r="CU3" s="246">
        <f>+Global!CU70</f>
        <v>0</v>
      </c>
      <c r="CV3" s="246">
        <f>+Global!CV70</f>
        <v>0</v>
      </c>
      <c r="CW3" s="246">
        <f>+Global!CW70</f>
        <v>0</v>
      </c>
      <c r="CX3" s="246">
        <f>+Global!CX70</f>
        <v>0</v>
      </c>
      <c r="CY3" s="246">
        <f>+Global!CY70</f>
        <v>0</v>
      </c>
      <c r="CZ3" s="246">
        <f>+Global!CZ70</f>
        <v>0</v>
      </c>
      <c r="DA3" s="246">
        <f>+Global!DA70</f>
        <v>0</v>
      </c>
      <c r="DB3" s="246">
        <f>+Global!DB70</f>
        <v>0</v>
      </c>
      <c r="DC3" s="246">
        <f>+Global!DC70</f>
        <v>0</v>
      </c>
      <c r="DD3" s="246">
        <f>+Global!DD70</f>
        <v>0</v>
      </c>
      <c r="DE3" s="246">
        <f>+Global!DE70</f>
        <v>0</v>
      </c>
      <c r="DF3" s="246">
        <f>+Global!DF70</f>
        <v>0</v>
      </c>
      <c r="DG3" s="246">
        <f>+Global!DG70</f>
        <v>0</v>
      </c>
      <c r="DH3" s="246">
        <f>+Global!DH70</f>
        <v>0</v>
      </c>
      <c r="DI3" s="246">
        <f>+Global!DI70</f>
        <v>0</v>
      </c>
      <c r="DJ3" s="246">
        <f>+Global!DJ70</f>
        <v>0</v>
      </c>
      <c r="DK3" s="246">
        <f>+Global!DK70</f>
        <v>0</v>
      </c>
      <c r="DL3" s="246">
        <f>+Global!DL70</f>
        <v>0</v>
      </c>
      <c r="DM3" s="246">
        <f>+Global!DM70</f>
        <v>0</v>
      </c>
      <c r="DN3" s="246">
        <f>+Global!DN70</f>
        <v>0</v>
      </c>
      <c r="DO3" s="246">
        <f>+Global!DO70</f>
        <v>0</v>
      </c>
      <c r="DP3" s="246">
        <f>+Global!DP70</f>
        <v>0</v>
      </c>
      <c r="DQ3" s="246">
        <f>+Global!DQ70</f>
        <v>0</v>
      </c>
      <c r="DR3" s="246">
        <f>+Global!DR70</f>
        <v>0</v>
      </c>
      <c r="DS3" s="247"/>
      <c r="DT3" s="247"/>
      <c r="DU3" s="247"/>
      <c r="DV3" s="247"/>
    </row>
    <row r="4" spans="1:126" x14ac:dyDescent="0.2">
      <c r="A4" s="170" t="s">
        <v>742</v>
      </c>
      <c r="B4" s="248">
        <f>+Global!B60</f>
        <v>369.48356807511738</v>
      </c>
      <c r="C4" s="248">
        <f>+Global!C60</f>
        <v>389.20187793427232</v>
      </c>
      <c r="D4" s="248">
        <f>+Global!D60</f>
        <v>409.41817598044832</v>
      </c>
      <c r="E4" s="248">
        <f>+Global!E60</f>
        <v>422.90754791377805</v>
      </c>
      <c r="F4" s="248">
        <f>+Global!F60</f>
        <v>431.6697776839863</v>
      </c>
      <c r="G4" s="248">
        <f>+Global!G60</f>
        <v>437.19330056482465</v>
      </c>
      <c r="H4" s="248">
        <f>+Global!H60</f>
        <v>440.73819054101551</v>
      </c>
      <c r="I4" s="248">
        <f>+Global!I60</f>
        <v>442.83959754746508</v>
      </c>
      <c r="J4" s="248">
        <f>+Global!J60</f>
        <v>443.97831668815508</v>
      </c>
      <c r="K4" s="248">
        <f>+Global!K60</f>
        <v>444.28889186050503</v>
      </c>
      <c r="L4" s="248">
        <f>+Global!L60</f>
        <v>444.26152665122845</v>
      </c>
      <c r="M4" s="248">
        <f>+Global!M60</f>
        <v>444.20090770033119</v>
      </c>
      <c r="N4" s="248">
        <f>+Global!N60</f>
        <v>443.94077692497387</v>
      </c>
      <c r="O4" s="248">
        <f>+Global!O60</f>
        <v>443.63381196111158</v>
      </c>
      <c r="P4" s="248">
        <f>+Global!P60</f>
        <v>443.45800717738803</v>
      </c>
      <c r="Q4" s="248">
        <f>+Global!Q60</f>
        <v>443.55962543377206</v>
      </c>
      <c r="R4" s="248">
        <f>+Global!R60</f>
        <v>443.88682454796736</v>
      </c>
      <c r="S4" s="248">
        <f>+Global!S60</f>
        <v>444.49617170507599</v>
      </c>
      <c r="T4" s="248">
        <f>+Global!T60</f>
        <v>445.38271544737017</v>
      </c>
      <c r="U4" s="248">
        <f>+Global!U60</f>
        <v>446.30569745714712</v>
      </c>
      <c r="V4" s="248">
        <f>+Global!V60</f>
        <v>446.95599793012144</v>
      </c>
      <c r="W4" s="248">
        <f>+Global!W60</f>
        <v>447.89391637526421</v>
      </c>
      <c r="X4" s="248">
        <f>+Global!X60</f>
        <v>449.00325453446573</v>
      </c>
      <c r="Y4" s="248">
        <f>+Global!Y60</f>
        <v>450.21167842358949</v>
      </c>
      <c r="Z4" s="248">
        <f>+Global!Z60</f>
        <v>451.50964772199404</v>
      </c>
      <c r="AA4" s="248">
        <f>+Global!AA60</f>
        <v>452.89954083186547</v>
      </c>
      <c r="AB4" s="248">
        <f>+Global!AB60</f>
        <v>454.36408532315147</v>
      </c>
      <c r="AC4" s="248">
        <f>+Global!AC60</f>
        <v>447.08070361728841</v>
      </c>
      <c r="AD4" s="248">
        <f>+Global!AD60</f>
        <v>440.94101894723832</v>
      </c>
      <c r="AE4" s="248">
        <f>+Global!AE60</f>
        <v>435.75336361101097</v>
      </c>
      <c r="AF4" s="248">
        <f>+Global!AF60</f>
        <v>431.35822482470815</v>
      </c>
      <c r="AG4" s="248">
        <f>+Global!AG60</f>
        <v>427.62285445568682</v>
      </c>
      <c r="AH4" s="248">
        <f>+Global!AH60</f>
        <v>424.43678146486911</v>
      </c>
      <c r="AI4" s="248">
        <f>+Global!AI60</f>
        <v>421.70807605928439</v>
      </c>
      <c r="AJ4" s="248">
        <f>+Global!AJ60</f>
        <v>419.36023977816961</v>
      </c>
      <c r="AK4" s="248">
        <f>+Global!AK60</f>
        <v>417.3296167523805</v>
      </c>
      <c r="AL4" s="248">
        <f>+Global!AL60</f>
        <v>415.5632388873604</v>
      </c>
      <c r="AM4" s="248">
        <f>+Global!AM60</f>
        <v>414.01703230815457</v>
      </c>
      <c r="AN4" s="248">
        <f>+Global!AN60</f>
        <v>412.65432455771031</v>
      </c>
      <c r="AO4" s="248">
        <f>+Global!AO60</f>
        <v>411.44460216282192</v>
      </c>
      <c r="AP4" s="248">
        <f>+Global!AP60</f>
        <v>410.36247661394651</v>
      </c>
      <c r="AQ4" s="248">
        <f>+Global!AQ60</f>
        <v>409.38682382781337</v>
      </c>
      <c r="AR4" s="248">
        <f>+Global!AR60</f>
        <v>408.50006801040087</v>
      </c>
      <c r="AS4" s="248">
        <f>+Global!AS60</f>
        <v>407.68758570844415</v>
      </c>
      <c r="AT4" s="248">
        <f>+Global!AT60</f>
        <v>406.93720989347304</v>
      </c>
      <c r="AU4" s="248">
        <f>+Global!AU60</f>
        <v>406.23881729957009</v>
      </c>
      <c r="AV4" s="248">
        <f>+Global!AV60</f>
        <v>405.58398504798197</v>
      </c>
      <c r="AW4" s="248">
        <f>+Global!AW60</f>
        <v>404.96570493289579</v>
      </c>
      <c r="AX4" s="248">
        <f>+Global!AX60</f>
        <v>404.3781456918249</v>
      </c>
      <c r="AY4" s="248">
        <f>+Global!AY60</f>
        <v>403.81645520670537</v>
      </c>
      <c r="AZ4" s="248">
        <f>+Global!AZ60</f>
        <v>403.27659593260682</v>
      </c>
      <c r="BA4" s="248">
        <f>+Global!BA60</f>
        <v>402.75520797540742</v>
      </c>
      <c r="BB4" s="248">
        <f>+Global!BB60</f>
        <v>402.24949517575885</v>
      </c>
      <c r="BC4" s="248">
        <f>+Global!BC60</f>
        <v>401.75713033573692</v>
      </c>
      <c r="BD4" s="248">
        <f>+Global!BD60</f>
        <v>401.27617637301023</v>
      </c>
      <c r="BE4" s="248">
        <f>+Global!BE60</f>
        <v>400.80502072704871</v>
      </c>
      <c r="BF4" s="248">
        <f>+Global!BF60</f>
        <v>400.34232079105766</v>
      </c>
      <c r="BG4" s="248">
        <f>+Global!BG60</f>
        <v>399.88695851713362</v>
      </c>
      <c r="BH4" s="248">
        <f>+Global!BH60</f>
        <v>399.43800265322199</v>
      </c>
      <c r="BI4" s="248">
        <f>+Global!BI60</f>
        <v>398.99467732933812</v>
      </c>
      <c r="BJ4" s="248">
        <f>+Global!BJ60</f>
        <v>398.55633592594074</v>
      </c>
      <c r="BK4" s="248">
        <f>+Global!BK60</f>
        <v>398.12242782490523</v>
      </c>
      <c r="BL4" s="248">
        <f>+Global!BL60</f>
        <v>397.69251854667817</v>
      </c>
      <c r="BM4" s="248">
        <f>+Global!BM60</f>
        <v>397.2662318395341</v>
      </c>
      <c r="BN4" s="248">
        <f>+Global!BN60</f>
        <v>396.84325356401678</v>
      </c>
      <c r="BO4" s="248">
        <f>+Global!BO60</f>
        <v>396.42332123344846</v>
      </c>
      <c r="BP4" s="248">
        <f>+Global!BP60</f>
        <v>396.00621531668497</v>
      </c>
      <c r="BQ4" s="248">
        <f>+Global!BQ60</f>
        <v>395.59175200620575</v>
      </c>
      <c r="BR4" s="248">
        <f>+Global!BR60</f>
        <v>395.17977720465029</v>
      </c>
      <c r="BS4" s="248">
        <f>+Global!BS60</f>
        <v>394.77016152451131</v>
      </c>
      <c r="BT4" s="248">
        <f>+Global!BT60</f>
        <v>394.36279613028353</v>
      </c>
      <c r="BU4" s="248">
        <f>+Global!BU60</f>
        <v>393.95758928112468</v>
      </c>
      <c r="BV4" s="248">
        <f>+Global!BV60</f>
        <v>393.55446345600552</v>
      </c>
      <c r="BW4" s="248">
        <f>+Global!BW60</f>
        <v>393.15335296320575</v>
      </c>
      <c r="BX4" s="248">
        <f>+Global!BX60</f>
        <v>392.75420195255242</v>
      </c>
      <c r="BY4" s="248">
        <f>+Global!BY60</f>
        <v>392.35696276254356</v>
      </c>
      <c r="BZ4" s="248">
        <f>+Global!BZ60</f>
        <v>391.96159454593516</v>
      </c>
      <c r="CA4" s="248">
        <f>+Global!CA60</f>
        <v>391.56806212687297</v>
      </c>
      <c r="CB4" s="248">
        <f>+Global!CB60</f>
        <v>391.17633505055915</v>
      </c>
      <c r="CC4" s="248">
        <f>+Global!CC60</f>
        <v>390.78638679301309</v>
      </c>
      <c r="CD4" s="248">
        <f>+Global!CD60</f>
        <v>390.39819410395387</v>
      </c>
      <c r="CE4" s="248">
        <f>+Global!CE60</f>
        <v>390.01173646037478</v>
      </c>
      <c r="CF4" s="248">
        <f>+Global!CF60</f>
        <v>389.62699561216095</v>
      </c>
      <c r="CG4" s="248">
        <f>+Global!CG60</f>
        <v>389.24395520424093</v>
      </c>
      <c r="CH4" s="248">
        <f>+Global!CH60</f>
        <v>388.86260046237862</v>
      </c>
      <c r="CI4" s="248">
        <f>+Global!CI60</f>
        <v>388.48291793188304</v>
      </c>
      <c r="CJ4" s="248">
        <f>+Global!CJ60</f>
        <v>388.10489526031938</v>
      </c>
      <c r="CK4" s="248">
        <f>+Global!CK60</f>
        <v>387.72852101680837</v>
      </c>
      <c r="CL4" s="248">
        <f>+Global!CL60</f>
        <v>387.35378454175026</v>
      </c>
      <c r="CM4" s="248">
        <f>+Global!CM60</f>
        <v>386.98067582184518</v>
      </c>
      <c r="CN4" s="248">
        <f>+Global!CN60</f>
        <v>386.60918538615101</v>
      </c>
      <c r="CO4" s="248">
        <f>+Global!CO60</f>
        <v>386.23930421963126</v>
      </c>
      <c r="CP4" s="248">
        <f>+Global!CP60</f>
        <v>385.87102369124847</v>
      </c>
      <c r="CQ4" s="248">
        <f>+Global!CQ60</f>
        <v>385.50433549415141</v>
      </c>
      <c r="CR4" s="248">
        <f>+Global!CR60</f>
        <v>385.13923159591883</v>
      </c>
      <c r="CS4" s="248">
        <f>+Global!CS60</f>
        <v>384.77570419716557</v>
      </c>
      <c r="CT4" s="248">
        <f>+Global!CT60</f>
        <v>384.41374569710177</v>
      </c>
      <c r="CU4" s="248">
        <f>+Global!CU60</f>
        <v>384.05334866487482</v>
      </c>
      <c r="CV4" s="248">
        <f>+Global!CV60</f>
        <v>383.69450581571806</v>
      </c>
      <c r="CW4" s="248">
        <f>+Global!CW60</f>
        <v>383.3372099910984</v>
      </c>
      <c r="CX4" s="248">
        <f>+Global!CX60</f>
        <v>382.98145414218754</v>
      </c>
      <c r="CY4" s="248">
        <f>+Global!CY60</f>
        <v>382.62723131609863</v>
      </c>
      <c r="CZ4" s="248">
        <f>+Global!CZ60</f>
        <v>382.27453464442027</v>
      </c>
      <c r="DA4" s="248">
        <f>+Global!DA60</f>
        <v>381.92335733366309</v>
      </c>
      <c r="DB4" s="248">
        <f>+Global!DB60</f>
        <v>381.57369265729562</v>
      </c>
      <c r="DC4" s="248">
        <f>+Global!DC60</f>
        <v>381.2255339491017</v>
      </c>
      <c r="DD4" s="248">
        <f>+Global!DD60</f>
        <v>380.87887459763692</v>
      </c>
      <c r="DE4" s="248">
        <f>+Global!DE60</f>
        <v>380.53370804160005</v>
      </c>
      <c r="DF4" s="248">
        <f>+Global!DF60</f>
        <v>380.19002776596358</v>
      </c>
      <c r="DG4" s="248">
        <f>+Global!DG60</f>
        <v>379.84782729873672</v>
      </c>
      <c r="DH4" s="248">
        <f>+Global!DH60</f>
        <v>379.50710020825477</v>
      </c>
      <c r="DI4" s="248">
        <f>+Global!DI60</f>
        <v>379.16784010090493</v>
      </c>
      <c r="DJ4" s="248">
        <f>+Global!DJ60</f>
        <v>378.83004061921594</v>
      </c>
      <c r="DK4" s="248">
        <f>+Global!DK60</f>
        <v>378.49369544025041</v>
      </c>
      <c r="DL4" s="248">
        <f>+Global!DL60</f>
        <v>378.15879827424891</v>
      </c>
      <c r="DM4" s="248">
        <f>+Global!DM60</f>
        <v>377.82534286348283</v>
      </c>
      <c r="DN4" s="248">
        <f>+Global!DN60</f>
        <v>377.49332298128149</v>
      </c>
      <c r="DO4" s="248">
        <f>+Global!DO60</f>
        <v>377.16273243120463</v>
      </c>
      <c r="DP4" s="248">
        <f>+Global!DP60</f>
        <v>376.83356504633463</v>
      </c>
      <c r="DQ4" s="248">
        <f>+Global!DQ60</f>
        <v>376.50581468866949</v>
      </c>
      <c r="DR4" s="248">
        <f>+Global!DR60</f>
        <v>376.17947524859932</v>
      </c>
      <c r="DS4" s="249"/>
      <c r="DT4" s="249"/>
      <c r="DU4" s="249"/>
      <c r="DV4" s="249"/>
    </row>
    <row r="5" spans="1:126" x14ac:dyDescent="0.2"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248"/>
      <c r="BA5" s="248"/>
      <c r="BB5" s="248"/>
      <c r="BC5" s="248"/>
      <c r="BD5" s="248"/>
      <c r="BE5" s="248"/>
      <c r="BF5" s="248"/>
      <c r="BG5" s="248"/>
      <c r="BH5" s="248"/>
      <c r="BI5" s="248"/>
      <c r="BJ5" s="248"/>
      <c r="BK5" s="248"/>
      <c r="BL5" s="248"/>
      <c r="BM5" s="248"/>
      <c r="BN5" s="248"/>
      <c r="BO5" s="248"/>
      <c r="BP5" s="248"/>
      <c r="BQ5" s="248"/>
      <c r="BR5" s="248"/>
      <c r="BS5" s="248"/>
      <c r="BT5" s="248"/>
      <c r="BU5" s="248"/>
      <c r="BV5" s="248"/>
      <c r="BW5" s="248"/>
      <c r="BX5" s="248"/>
      <c r="BY5" s="248"/>
      <c r="BZ5" s="248"/>
      <c r="CA5" s="248"/>
      <c r="CB5" s="248"/>
      <c r="CC5" s="248"/>
      <c r="CD5" s="248"/>
      <c r="CE5" s="248"/>
      <c r="CF5" s="248"/>
      <c r="CG5" s="248"/>
      <c r="CH5" s="248"/>
      <c r="CI5" s="248"/>
      <c r="CJ5" s="248"/>
      <c r="CK5" s="248"/>
      <c r="CL5" s="248"/>
      <c r="CM5" s="248"/>
      <c r="CN5" s="248"/>
      <c r="CO5" s="248"/>
      <c r="CP5" s="248"/>
      <c r="CQ5" s="248"/>
      <c r="CR5" s="248"/>
      <c r="CS5" s="248"/>
      <c r="CT5" s="248"/>
      <c r="CU5" s="248"/>
      <c r="CV5" s="248"/>
      <c r="CW5" s="248"/>
      <c r="CX5" s="248"/>
      <c r="CY5" s="248"/>
      <c r="CZ5" s="248"/>
      <c r="DA5" s="248"/>
      <c r="DB5" s="248"/>
      <c r="DC5" s="248"/>
      <c r="DD5" s="248"/>
      <c r="DE5" s="248"/>
      <c r="DF5" s="248"/>
      <c r="DG5" s="248"/>
      <c r="DH5" s="248"/>
      <c r="DI5" s="248"/>
      <c r="DJ5" s="248"/>
      <c r="DK5" s="248"/>
      <c r="DL5" s="248"/>
      <c r="DM5" s="248"/>
      <c r="DN5" s="248"/>
      <c r="DO5" s="248"/>
      <c r="DP5" s="248"/>
      <c r="DQ5" s="248"/>
      <c r="DR5" s="248"/>
      <c r="DS5" s="249"/>
      <c r="DT5" s="249"/>
      <c r="DU5" s="249"/>
      <c r="DV5" s="249"/>
    </row>
    <row r="6" spans="1:126" x14ac:dyDescent="0.2">
      <c r="A6" s="236" t="s">
        <v>743</v>
      </c>
      <c r="B6" s="237" t="s">
        <v>299</v>
      </c>
      <c r="C6" s="237" t="s">
        <v>744</v>
      </c>
      <c r="D6" s="238"/>
      <c r="E6" s="237"/>
      <c r="G6" s="248"/>
      <c r="H6" s="237" t="s">
        <v>300</v>
      </c>
      <c r="I6" s="248"/>
      <c r="J6" s="248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8"/>
      <c r="AJ6" s="248"/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8"/>
      <c r="BB6" s="248"/>
      <c r="BC6" s="248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8"/>
      <c r="BT6" s="248"/>
      <c r="BU6" s="248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8"/>
      <c r="CL6" s="248"/>
      <c r="CM6" s="248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8"/>
      <c r="DD6" s="248"/>
      <c r="DE6" s="248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9"/>
      <c r="DT6" s="249"/>
      <c r="DU6" s="249"/>
      <c r="DV6" s="249"/>
    </row>
    <row r="7" spans="1:126" x14ac:dyDescent="0.2">
      <c r="A7" s="170" t="s">
        <v>794</v>
      </c>
      <c r="B7" s="301">
        <v>0.5</v>
      </c>
      <c r="C7" s="245" t="s">
        <v>745</v>
      </c>
      <c r="E7" s="248"/>
      <c r="G7" s="248"/>
      <c r="H7" s="248" t="s">
        <v>746</v>
      </c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  <c r="AW7" s="248"/>
      <c r="AX7" s="248"/>
      <c r="AY7" s="248"/>
      <c r="AZ7" s="248"/>
      <c r="BA7" s="248"/>
      <c r="BB7" s="248"/>
      <c r="BC7" s="248"/>
      <c r="BD7" s="248"/>
      <c r="BE7" s="248"/>
      <c r="BF7" s="248"/>
      <c r="BG7" s="248"/>
      <c r="BH7" s="248"/>
      <c r="BI7" s="248"/>
      <c r="BJ7" s="248"/>
      <c r="BK7" s="248"/>
      <c r="BL7" s="248"/>
      <c r="BM7" s="248"/>
      <c r="BN7" s="248"/>
      <c r="BO7" s="248"/>
      <c r="BP7" s="248"/>
      <c r="BQ7" s="248"/>
      <c r="BR7" s="248"/>
      <c r="BS7" s="248"/>
      <c r="BT7" s="248"/>
      <c r="BU7" s="248"/>
      <c r="BV7" s="248"/>
      <c r="BW7" s="248"/>
      <c r="BX7" s="248"/>
      <c r="BY7" s="248"/>
      <c r="BZ7" s="248"/>
      <c r="CA7" s="248"/>
      <c r="CB7" s="248"/>
      <c r="CC7" s="248"/>
      <c r="CD7" s="248"/>
      <c r="CE7" s="248"/>
      <c r="CF7" s="248"/>
      <c r="CG7" s="248"/>
      <c r="CH7" s="248"/>
      <c r="CI7" s="248"/>
      <c r="CJ7" s="248"/>
      <c r="CK7" s="248"/>
      <c r="CL7" s="248"/>
      <c r="CM7" s="248"/>
      <c r="CN7" s="248"/>
      <c r="CO7" s="248"/>
      <c r="CP7" s="248"/>
      <c r="CQ7" s="248"/>
      <c r="CR7" s="248"/>
      <c r="CS7" s="248"/>
      <c r="CT7" s="248"/>
      <c r="CU7" s="248"/>
      <c r="CV7" s="248"/>
      <c r="CW7" s="248"/>
      <c r="CX7" s="248"/>
      <c r="CY7" s="248"/>
      <c r="CZ7" s="248"/>
      <c r="DA7" s="248"/>
      <c r="DB7" s="248"/>
      <c r="DC7" s="248"/>
      <c r="DD7" s="248"/>
      <c r="DE7" s="248"/>
      <c r="DF7" s="248"/>
      <c r="DG7" s="248"/>
      <c r="DH7" s="248"/>
      <c r="DI7" s="248"/>
      <c r="DJ7" s="248"/>
      <c r="DK7" s="248"/>
      <c r="DL7" s="248"/>
      <c r="DM7" s="248"/>
      <c r="DN7" s="248"/>
      <c r="DO7" s="248"/>
      <c r="DP7" s="248"/>
      <c r="DQ7" s="248"/>
      <c r="DR7" s="248"/>
      <c r="DS7" s="249"/>
      <c r="DT7" s="249"/>
      <c r="DU7" s="249"/>
      <c r="DV7" s="249"/>
    </row>
    <row r="8" spans="1:126" x14ac:dyDescent="0.2">
      <c r="A8" s="170" t="s">
        <v>747</v>
      </c>
      <c r="B8" s="301">
        <f>0.024076141150722*Parameters!B25</f>
        <v>2.4076141150722E-2</v>
      </c>
      <c r="C8" s="245" t="s">
        <v>748</v>
      </c>
      <c r="E8" s="248"/>
      <c r="G8" s="248"/>
      <c r="H8" s="248" t="s">
        <v>139</v>
      </c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8"/>
      <c r="V8" s="248"/>
      <c r="W8" s="248"/>
      <c r="X8" s="248"/>
      <c r="Y8" s="248"/>
      <c r="Z8" s="248"/>
      <c r="AA8" s="248"/>
      <c r="AB8" s="248"/>
      <c r="AC8" s="248"/>
      <c r="AD8" s="248"/>
      <c r="AE8" s="248"/>
      <c r="AF8" s="248"/>
      <c r="AG8" s="248"/>
      <c r="AH8" s="248"/>
      <c r="AI8" s="248"/>
      <c r="AJ8" s="248"/>
      <c r="AK8" s="248"/>
      <c r="AL8" s="248"/>
      <c r="AM8" s="248"/>
      <c r="AN8" s="248"/>
      <c r="AO8" s="248"/>
      <c r="AP8" s="248"/>
      <c r="AQ8" s="248"/>
      <c r="AR8" s="248"/>
      <c r="AS8" s="248"/>
      <c r="AT8" s="248"/>
      <c r="AU8" s="248"/>
      <c r="AV8" s="248"/>
      <c r="AW8" s="248"/>
      <c r="AX8" s="248"/>
      <c r="AY8" s="248"/>
      <c r="AZ8" s="248"/>
      <c r="BA8" s="248"/>
      <c r="BB8" s="248"/>
      <c r="BC8" s="248"/>
      <c r="BD8" s="248"/>
      <c r="BE8" s="248"/>
      <c r="BF8" s="248"/>
      <c r="BG8" s="248"/>
      <c r="BH8" s="248"/>
      <c r="BI8" s="248"/>
      <c r="BJ8" s="248"/>
      <c r="BK8" s="248"/>
      <c r="BL8" s="248"/>
      <c r="BM8" s="248"/>
      <c r="BN8" s="248"/>
      <c r="BO8" s="248"/>
      <c r="BP8" s="248"/>
      <c r="BQ8" s="248"/>
      <c r="BR8" s="248"/>
      <c r="BS8" s="248"/>
      <c r="BT8" s="248"/>
      <c r="BU8" s="248"/>
      <c r="BV8" s="248"/>
      <c r="BW8" s="248"/>
      <c r="BX8" s="248"/>
      <c r="BY8" s="248"/>
      <c r="BZ8" s="248"/>
      <c r="CA8" s="248"/>
      <c r="CB8" s="248"/>
      <c r="CC8" s="248"/>
      <c r="CD8" s="248"/>
      <c r="CE8" s="248"/>
      <c r="CF8" s="248"/>
      <c r="CG8" s="248"/>
      <c r="CH8" s="248"/>
      <c r="CI8" s="248"/>
      <c r="CJ8" s="248"/>
      <c r="CK8" s="248"/>
      <c r="CL8" s="248"/>
      <c r="CM8" s="248"/>
      <c r="CN8" s="248"/>
      <c r="CO8" s="248"/>
      <c r="CP8" s="248"/>
      <c r="CQ8" s="248"/>
      <c r="CR8" s="248"/>
      <c r="CS8" s="248"/>
      <c r="CT8" s="248"/>
      <c r="CU8" s="248"/>
      <c r="CV8" s="248"/>
      <c r="CW8" s="248"/>
      <c r="CX8" s="248"/>
      <c r="CY8" s="248"/>
      <c r="CZ8" s="248"/>
      <c r="DA8" s="248"/>
      <c r="DB8" s="248"/>
      <c r="DC8" s="248"/>
      <c r="DD8" s="248"/>
      <c r="DE8" s="248"/>
      <c r="DF8" s="248"/>
      <c r="DG8" s="248"/>
      <c r="DH8" s="248"/>
      <c r="DI8" s="248"/>
      <c r="DJ8" s="248"/>
      <c r="DK8" s="248"/>
      <c r="DL8" s="248"/>
      <c r="DM8" s="248"/>
      <c r="DN8" s="248"/>
      <c r="DO8" s="248"/>
      <c r="DP8" s="248"/>
      <c r="DQ8" s="248"/>
      <c r="DR8" s="248"/>
      <c r="DS8" s="249"/>
      <c r="DT8" s="249"/>
      <c r="DU8" s="249"/>
      <c r="DV8" s="249"/>
    </row>
    <row r="9" spans="1:126" x14ac:dyDescent="0.2">
      <c r="A9" s="170" t="s">
        <v>749</v>
      </c>
      <c r="B9" s="301">
        <v>9.2066693664206015E-2</v>
      </c>
      <c r="C9" s="248" t="s">
        <v>750</v>
      </c>
      <c r="E9" s="248"/>
      <c r="F9" s="248"/>
      <c r="G9" s="248"/>
      <c r="H9" s="248" t="s">
        <v>795</v>
      </c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48"/>
      <c r="T9" s="248"/>
      <c r="U9" s="248"/>
      <c r="V9" s="248"/>
      <c r="W9" s="248"/>
      <c r="X9" s="248"/>
      <c r="Y9" s="248"/>
      <c r="Z9" s="248"/>
      <c r="AA9" s="248"/>
      <c r="AB9" s="248"/>
      <c r="AC9" s="248"/>
      <c r="AD9" s="248"/>
      <c r="AE9" s="248"/>
      <c r="AF9" s="248"/>
      <c r="AG9" s="248"/>
      <c r="AH9" s="248"/>
      <c r="AI9" s="248"/>
      <c r="AJ9" s="248"/>
      <c r="AK9" s="248"/>
      <c r="AL9" s="248"/>
      <c r="AM9" s="248"/>
      <c r="AN9" s="248"/>
      <c r="AO9" s="248"/>
      <c r="AP9" s="248"/>
      <c r="AQ9" s="248"/>
      <c r="AR9" s="248"/>
      <c r="AS9" s="248"/>
      <c r="AT9" s="248"/>
      <c r="AU9" s="248"/>
      <c r="AV9" s="248"/>
      <c r="AW9" s="248"/>
      <c r="AX9" s="248"/>
      <c r="AY9" s="248"/>
      <c r="AZ9" s="248"/>
      <c r="BA9" s="248"/>
      <c r="BB9" s="248"/>
      <c r="BC9" s="248"/>
      <c r="BD9" s="248"/>
      <c r="BE9" s="248"/>
      <c r="BF9" s="248"/>
      <c r="BG9" s="248"/>
      <c r="BH9" s="248"/>
      <c r="BI9" s="248"/>
      <c r="BJ9" s="248"/>
      <c r="BK9" s="248"/>
      <c r="BL9" s="248"/>
      <c r="BM9" s="248"/>
      <c r="BN9" s="248"/>
      <c r="BO9" s="248"/>
      <c r="BP9" s="248"/>
      <c r="BQ9" s="248"/>
      <c r="BR9" s="248"/>
      <c r="BS9" s="248"/>
      <c r="BT9" s="248"/>
      <c r="BU9" s="248"/>
      <c r="BV9" s="248"/>
      <c r="BW9" s="248"/>
      <c r="BX9" s="248"/>
      <c r="BY9" s="248"/>
      <c r="BZ9" s="248"/>
      <c r="CA9" s="248"/>
      <c r="CB9" s="248"/>
      <c r="CC9" s="248"/>
      <c r="CD9" s="248"/>
      <c r="CE9" s="248"/>
      <c r="CF9" s="248"/>
      <c r="CG9" s="248"/>
      <c r="CH9" s="248"/>
      <c r="CI9" s="248"/>
      <c r="CJ9" s="248"/>
      <c r="CK9" s="248"/>
      <c r="CL9" s="248"/>
      <c r="CM9" s="248"/>
      <c r="CN9" s="248"/>
      <c r="CO9" s="248"/>
      <c r="CP9" s="248"/>
      <c r="CQ9" s="248"/>
      <c r="CR9" s="248"/>
      <c r="CS9" s="248"/>
      <c r="CT9" s="248"/>
      <c r="CU9" s="248"/>
      <c r="CV9" s="248"/>
      <c r="CW9" s="248"/>
      <c r="CX9" s="248"/>
      <c r="CY9" s="248"/>
      <c r="CZ9" s="248"/>
      <c r="DA9" s="248"/>
      <c r="DB9" s="248"/>
      <c r="DC9" s="248"/>
      <c r="DD9" s="248"/>
      <c r="DE9" s="248"/>
      <c r="DF9" s="248"/>
      <c r="DG9" s="248"/>
      <c r="DH9" s="248"/>
      <c r="DI9" s="248"/>
      <c r="DJ9" s="248"/>
      <c r="DK9" s="248"/>
      <c r="DL9" s="248"/>
      <c r="DM9" s="248"/>
      <c r="DN9" s="248"/>
      <c r="DO9" s="248"/>
      <c r="DP9" s="248"/>
      <c r="DQ9" s="248"/>
      <c r="DR9" s="248"/>
      <c r="DS9" s="249"/>
      <c r="DT9" s="249"/>
      <c r="DU9" s="249"/>
      <c r="DV9" s="249"/>
    </row>
    <row r="10" spans="1:126" x14ac:dyDescent="0.2">
      <c r="A10" s="236" t="s">
        <v>751</v>
      </c>
      <c r="B10" s="248"/>
      <c r="C10" s="248"/>
      <c r="E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8"/>
      <c r="AV10" s="248"/>
      <c r="AW10" s="248"/>
      <c r="AX10" s="248"/>
      <c r="AY10" s="248"/>
      <c r="AZ10" s="248"/>
      <c r="BA10" s="248"/>
      <c r="BB10" s="248"/>
      <c r="BC10" s="248"/>
      <c r="BD10" s="248"/>
      <c r="BE10" s="248"/>
      <c r="BF10" s="248"/>
      <c r="BG10" s="248"/>
      <c r="BH10" s="248"/>
      <c r="BI10" s="248"/>
      <c r="BJ10" s="248"/>
      <c r="BK10" s="248"/>
      <c r="BL10" s="248"/>
      <c r="BM10" s="248"/>
      <c r="BN10" s="248"/>
      <c r="BO10" s="248"/>
      <c r="BP10" s="248"/>
      <c r="BQ10" s="248"/>
      <c r="BR10" s="248"/>
      <c r="BS10" s="248"/>
      <c r="BT10" s="248"/>
      <c r="BU10" s="248"/>
      <c r="BV10" s="248"/>
      <c r="BW10" s="248"/>
      <c r="BX10" s="248"/>
      <c r="BY10" s="248"/>
      <c r="BZ10" s="248"/>
      <c r="CA10" s="248"/>
      <c r="CB10" s="248"/>
      <c r="CC10" s="248"/>
      <c r="CD10" s="248"/>
      <c r="CE10" s="248"/>
      <c r="CF10" s="248"/>
      <c r="CG10" s="248"/>
      <c r="CH10" s="248"/>
      <c r="CI10" s="248"/>
      <c r="CJ10" s="248"/>
      <c r="CK10" s="248"/>
      <c r="CL10" s="248"/>
      <c r="CM10" s="248"/>
      <c r="CN10" s="248"/>
      <c r="CO10" s="248"/>
      <c r="CP10" s="248"/>
      <c r="CQ10" s="248"/>
      <c r="CR10" s="248"/>
      <c r="CS10" s="248"/>
      <c r="CT10" s="248"/>
      <c r="CU10" s="248"/>
      <c r="CV10" s="248"/>
      <c r="CW10" s="248"/>
      <c r="CX10" s="248"/>
      <c r="CY10" s="248"/>
      <c r="CZ10" s="248"/>
      <c r="DA10" s="248"/>
      <c r="DB10" s="248"/>
      <c r="DC10" s="248"/>
      <c r="DD10" s="248"/>
      <c r="DE10" s="248"/>
      <c r="DF10" s="248"/>
      <c r="DG10" s="248"/>
      <c r="DH10" s="248"/>
      <c r="DI10" s="248"/>
      <c r="DJ10" s="248"/>
      <c r="DK10" s="248"/>
      <c r="DL10" s="248"/>
      <c r="DM10" s="248"/>
      <c r="DN10" s="248"/>
      <c r="DO10" s="248"/>
      <c r="DP10" s="248"/>
      <c r="DQ10" s="248"/>
      <c r="DR10" s="248"/>
      <c r="DS10" s="249"/>
      <c r="DT10" s="249"/>
      <c r="DU10" s="249"/>
      <c r="DV10" s="249"/>
    </row>
    <row r="11" spans="1:126" x14ac:dyDescent="0.2">
      <c r="A11" s="170" t="s">
        <v>752</v>
      </c>
      <c r="B11" s="301">
        <v>1</v>
      </c>
      <c r="H11" s="248" t="s">
        <v>276</v>
      </c>
    </row>
    <row r="12" spans="1:126" x14ac:dyDescent="0.2">
      <c r="A12" s="170" t="s">
        <v>753</v>
      </c>
      <c r="B12" s="301">
        <v>0.26</v>
      </c>
      <c r="C12" s="245" t="s">
        <v>754</v>
      </c>
      <c r="H12" s="245" t="s">
        <v>796</v>
      </c>
    </row>
    <row r="13" spans="1:126" x14ac:dyDescent="0.2">
      <c r="A13" s="170" t="s">
        <v>755</v>
      </c>
      <c r="B13" s="301">
        <f>+Parameters!B25*0.0008</f>
        <v>8.0000000000000004E-4</v>
      </c>
      <c r="C13" s="245" t="s">
        <v>756</v>
      </c>
      <c r="H13" s="245" t="s">
        <v>797</v>
      </c>
    </row>
    <row r="14" spans="1:126" x14ac:dyDescent="0.2">
      <c r="A14" s="170" t="s">
        <v>757</v>
      </c>
      <c r="B14" s="301">
        <v>-1</v>
      </c>
      <c r="C14" s="245" t="s">
        <v>758</v>
      </c>
      <c r="H14" s="245" t="s">
        <v>798</v>
      </c>
    </row>
    <row r="15" spans="1:126" x14ac:dyDescent="0.2">
      <c r="B15" s="248"/>
      <c r="C15" s="248"/>
      <c r="E15" s="248"/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8"/>
      <c r="S15" s="248"/>
      <c r="T15" s="248"/>
      <c r="U15" s="248"/>
      <c r="V15" s="248"/>
      <c r="W15" s="248"/>
      <c r="X15" s="248"/>
      <c r="Y15" s="248"/>
      <c r="Z15" s="248"/>
      <c r="AA15" s="248"/>
      <c r="AB15" s="248"/>
      <c r="AC15" s="248"/>
      <c r="AD15" s="248"/>
      <c r="AE15" s="248"/>
      <c r="AF15" s="248"/>
      <c r="AG15" s="248"/>
      <c r="AH15" s="248"/>
      <c r="AI15" s="248"/>
      <c r="AJ15" s="248"/>
      <c r="AK15" s="248"/>
      <c r="AL15" s="248"/>
      <c r="AM15" s="248"/>
      <c r="AN15" s="248"/>
      <c r="AO15" s="248"/>
      <c r="AP15" s="248"/>
      <c r="AQ15" s="248"/>
      <c r="AR15" s="248"/>
      <c r="AS15" s="248"/>
      <c r="AT15" s="248"/>
      <c r="AU15" s="248"/>
      <c r="AV15" s="248"/>
      <c r="AW15" s="248"/>
      <c r="AX15" s="248"/>
      <c r="AY15" s="248"/>
      <c r="AZ15" s="248"/>
      <c r="BA15" s="248"/>
      <c r="BB15" s="248"/>
      <c r="BC15" s="248"/>
      <c r="BD15" s="248"/>
      <c r="BE15" s="248"/>
      <c r="BF15" s="248"/>
      <c r="BG15" s="248"/>
      <c r="BH15" s="248"/>
      <c r="BI15" s="248"/>
      <c r="BJ15" s="248"/>
      <c r="BK15" s="248"/>
      <c r="BL15" s="248"/>
      <c r="BM15" s="248"/>
      <c r="BN15" s="248"/>
      <c r="BO15" s="248"/>
      <c r="BP15" s="248"/>
      <c r="BQ15" s="248"/>
      <c r="BR15" s="248"/>
      <c r="BS15" s="248"/>
      <c r="BT15" s="248"/>
      <c r="BU15" s="248"/>
      <c r="BV15" s="248"/>
      <c r="BW15" s="248"/>
      <c r="BX15" s="248"/>
      <c r="BY15" s="248"/>
      <c r="BZ15" s="248"/>
      <c r="CA15" s="248"/>
      <c r="CB15" s="248"/>
      <c r="CC15" s="248"/>
      <c r="CD15" s="248"/>
      <c r="CE15" s="248"/>
      <c r="CF15" s="248"/>
      <c r="CG15" s="248"/>
      <c r="CH15" s="248"/>
      <c r="CI15" s="248"/>
      <c r="CJ15" s="248"/>
      <c r="CK15" s="248"/>
      <c r="CL15" s="248"/>
      <c r="CM15" s="248"/>
      <c r="CN15" s="248"/>
      <c r="CO15" s="248"/>
      <c r="CP15" s="248"/>
      <c r="CQ15" s="248"/>
      <c r="CR15" s="248"/>
      <c r="CS15" s="248"/>
      <c r="CT15" s="248"/>
      <c r="CU15" s="248"/>
      <c r="CV15" s="248"/>
      <c r="CW15" s="248"/>
      <c r="CX15" s="248"/>
      <c r="CY15" s="248"/>
      <c r="CZ15" s="248"/>
      <c r="DA15" s="248"/>
      <c r="DB15" s="248"/>
      <c r="DC15" s="248"/>
      <c r="DD15" s="248"/>
      <c r="DE15" s="248"/>
      <c r="DF15" s="248"/>
      <c r="DG15" s="248"/>
      <c r="DH15" s="248"/>
      <c r="DI15" s="248"/>
      <c r="DJ15" s="248"/>
      <c r="DK15" s="248"/>
      <c r="DL15" s="248"/>
      <c r="DM15" s="248"/>
      <c r="DN15" s="248"/>
      <c r="DO15" s="248"/>
      <c r="DP15" s="248"/>
      <c r="DQ15" s="248"/>
      <c r="DR15" s="248"/>
      <c r="DS15" s="249"/>
      <c r="DT15" s="249"/>
      <c r="DU15" s="249"/>
      <c r="DV15" s="249"/>
    </row>
    <row r="16" spans="1:126" x14ac:dyDescent="0.2">
      <c r="A16" s="236" t="s">
        <v>759</v>
      </c>
      <c r="E16" s="248"/>
      <c r="F16" s="248"/>
      <c r="G16" s="248"/>
      <c r="H16" s="248"/>
      <c r="I16" s="248"/>
      <c r="J16" s="248"/>
      <c r="K16" s="248"/>
      <c r="L16" s="248"/>
      <c r="M16" s="248"/>
      <c r="N16" s="248"/>
      <c r="O16" s="248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8"/>
      <c r="AF16" s="248"/>
      <c r="AG16" s="248"/>
      <c r="AH16" s="248"/>
      <c r="AI16" s="248"/>
      <c r="AJ16" s="248"/>
      <c r="AK16" s="248"/>
      <c r="AL16" s="248"/>
      <c r="AM16" s="248"/>
      <c r="AN16" s="248"/>
      <c r="AO16" s="248"/>
      <c r="AP16" s="248"/>
      <c r="AQ16" s="248"/>
      <c r="AR16" s="248"/>
      <c r="AS16" s="248"/>
      <c r="AT16" s="248"/>
      <c r="AU16" s="248"/>
      <c r="AV16" s="248"/>
      <c r="AW16" s="248"/>
      <c r="AX16" s="248"/>
      <c r="AY16" s="248"/>
      <c r="AZ16" s="248"/>
      <c r="BA16" s="248"/>
      <c r="BB16" s="248"/>
      <c r="BC16" s="248"/>
      <c r="BD16" s="248"/>
      <c r="BE16" s="248"/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48"/>
      <c r="BU16" s="248"/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  <c r="CG16" s="248"/>
      <c r="CH16" s="248"/>
      <c r="CI16" s="248"/>
      <c r="CJ16" s="248"/>
      <c r="CK16" s="248"/>
      <c r="CL16" s="248"/>
      <c r="CM16" s="248"/>
      <c r="CN16" s="248"/>
      <c r="CO16" s="248"/>
      <c r="CP16" s="248"/>
      <c r="CQ16" s="248"/>
      <c r="CR16" s="248"/>
      <c r="CS16" s="248"/>
      <c r="CT16" s="248"/>
      <c r="CU16" s="248"/>
      <c r="CV16" s="248"/>
      <c r="CW16" s="248"/>
      <c r="CX16" s="248"/>
      <c r="CY16" s="248"/>
      <c r="CZ16" s="248"/>
      <c r="DA16" s="248"/>
      <c r="DB16" s="248"/>
      <c r="DC16" s="248"/>
      <c r="DD16" s="248"/>
      <c r="DE16" s="248"/>
      <c r="DF16" s="248"/>
      <c r="DG16" s="248"/>
      <c r="DH16" s="248"/>
      <c r="DI16" s="248"/>
      <c r="DJ16" s="248"/>
      <c r="DK16" s="248"/>
      <c r="DL16" s="248"/>
      <c r="DM16" s="248"/>
      <c r="DN16" s="248"/>
      <c r="DO16" s="248"/>
      <c r="DP16" s="248"/>
      <c r="DQ16" s="248"/>
      <c r="DR16" s="248"/>
      <c r="DS16" s="249"/>
      <c r="DT16" s="249"/>
      <c r="DU16" s="249"/>
      <c r="DV16" s="249"/>
    </row>
    <row r="17" spans="1:126" x14ac:dyDescent="0.2">
      <c r="A17" s="170" t="s">
        <v>764</v>
      </c>
      <c r="B17" s="301">
        <v>0.6</v>
      </c>
      <c r="C17" s="245" t="s">
        <v>778</v>
      </c>
      <c r="E17" s="248"/>
      <c r="F17" s="248"/>
      <c r="G17" s="248"/>
      <c r="H17" s="248" t="s">
        <v>799</v>
      </c>
      <c r="I17" s="248"/>
      <c r="J17" s="248"/>
      <c r="K17" s="248"/>
      <c r="L17" s="248"/>
      <c r="M17" s="248"/>
      <c r="N17" s="248"/>
      <c r="O17" s="248"/>
      <c r="P17" s="248"/>
      <c r="Q17" s="248"/>
      <c r="R17" s="248"/>
      <c r="S17" s="248"/>
      <c r="T17" s="248"/>
      <c r="U17" s="248"/>
      <c r="V17" s="248"/>
      <c r="W17" s="248"/>
      <c r="X17" s="248"/>
      <c r="Y17" s="248"/>
      <c r="Z17" s="248"/>
      <c r="AA17" s="248"/>
      <c r="AB17" s="248"/>
      <c r="AC17" s="248"/>
      <c r="AD17" s="248"/>
      <c r="AE17" s="248"/>
      <c r="AF17" s="248"/>
      <c r="AG17" s="248"/>
      <c r="AH17" s="248"/>
      <c r="AI17" s="248"/>
      <c r="AJ17" s="248"/>
      <c r="AK17" s="248"/>
      <c r="AL17" s="248"/>
      <c r="AM17" s="248"/>
      <c r="AN17" s="248"/>
      <c r="AO17" s="248"/>
      <c r="AP17" s="248"/>
      <c r="AQ17" s="248"/>
      <c r="AR17" s="248"/>
      <c r="AS17" s="248"/>
      <c r="AT17" s="248"/>
      <c r="AU17" s="248"/>
      <c r="AV17" s="248"/>
      <c r="AW17" s="248"/>
      <c r="AX17" s="248"/>
      <c r="AY17" s="248"/>
      <c r="AZ17" s="248"/>
      <c r="BA17" s="248"/>
      <c r="BB17" s="248"/>
      <c r="BC17" s="248"/>
      <c r="BD17" s="248"/>
      <c r="BE17" s="248"/>
      <c r="BF17" s="248"/>
      <c r="BG17" s="248"/>
      <c r="BH17" s="248"/>
      <c r="BI17" s="248"/>
      <c r="BJ17" s="248"/>
      <c r="BK17" s="248"/>
      <c r="BL17" s="248"/>
      <c r="BM17" s="248"/>
      <c r="BN17" s="248"/>
      <c r="BO17" s="248"/>
      <c r="BP17" s="248"/>
      <c r="BQ17" s="248"/>
      <c r="BR17" s="248"/>
      <c r="BS17" s="248"/>
      <c r="BT17" s="248"/>
      <c r="BU17" s="248"/>
      <c r="BV17" s="248"/>
      <c r="BW17" s="248"/>
      <c r="BX17" s="248"/>
      <c r="BY17" s="248"/>
      <c r="BZ17" s="248"/>
      <c r="CA17" s="248"/>
      <c r="CB17" s="248"/>
      <c r="CC17" s="248"/>
      <c r="CD17" s="248"/>
      <c r="CE17" s="248"/>
      <c r="CF17" s="248"/>
      <c r="CG17" s="248"/>
      <c r="CH17" s="248"/>
      <c r="CI17" s="248"/>
      <c r="CJ17" s="248"/>
      <c r="CK17" s="248"/>
      <c r="CL17" s="248"/>
      <c r="CM17" s="248"/>
      <c r="CN17" s="248"/>
      <c r="CO17" s="248"/>
      <c r="CP17" s="248"/>
      <c r="CQ17" s="248"/>
      <c r="CR17" s="248"/>
      <c r="CS17" s="248"/>
      <c r="CT17" s="248"/>
      <c r="CU17" s="248"/>
      <c r="CV17" s="248"/>
      <c r="CW17" s="248"/>
      <c r="CX17" s="248"/>
      <c r="CY17" s="248"/>
      <c r="CZ17" s="248"/>
      <c r="DA17" s="248"/>
      <c r="DB17" s="248"/>
      <c r="DC17" s="248"/>
      <c r="DD17" s="248"/>
      <c r="DE17" s="248"/>
      <c r="DF17" s="248"/>
      <c r="DG17" s="248"/>
      <c r="DH17" s="248"/>
      <c r="DI17" s="248"/>
      <c r="DJ17" s="248"/>
      <c r="DK17" s="248"/>
      <c r="DL17" s="248"/>
      <c r="DM17" s="248"/>
      <c r="DN17" s="248"/>
      <c r="DO17" s="248"/>
      <c r="DP17" s="248"/>
      <c r="DQ17" s="248"/>
      <c r="DR17" s="248"/>
      <c r="DS17" s="249"/>
      <c r="DT17" s="249"/>
      <c r="DU17" s="249"/>
      <c r="DV17" s="249"/>
    </row>
    <row r="18" spans="1:126" x14ac:dyDescent="0.2">
      <c r="A18" s="170" t="s">
        <v>760</v>
      </c>
      <c r="B18" s="301">
        <v>7.3</v>
      </c>
      <c r="C18" s="245" t="s">
        <v>754</v>
      </c>
      <c r="E18" s="248"/>
      <c r="G18" s="248"/>
      <c r="H18" s="248" t="s">
        <v>761</v>
      </c>
      <c r="I18" s="248"/>
      <c r="J18" s="248"/>
      <c r="K18" s="248"/>
      <c r="L18" s="248"/>
      <c r="M18" s="248"/>
      <c r="N18" s="248"/>
      <c r="O18" s="248"/>
      <c r="P18" s="248"/>
      <c r="Q18" s="248"/>
      <c r="R18" s="248"/>
      <c r="S18" s="248"/>
      <c r="T18" s="248"/>
      <c r="U18" s="248"/>
      <c r="V18" s="248"/>
      <c r="W18" s="248"/>
      <c r="X18" s="248"/>
      <c r="Y18" s="248"/>
      <c r="Z18" s="248"/>
      <c r="AA18" s="248"/>
      <c r="AB18" s="248"/>
      <c r="AC18" s="248"/>
      <c r="AD18" s="248"/>
      <c r="AE18" s="248"/>
      <c r="AF18" s="248"/>
      <c r="AG18" s="248"/>
      <c r="AH18" s="248"/>
      <c r="AI18" s="248"/>
      <c r="AJ18" s="248"/>
      <c r="AK18" s="248"/>
      <c r="AL18" s="248"/>
      <c r="AM18" s="248"/>
      <c r="AN18" s="248"/>
      <c r="AO18" s="248"/>
      <c r="AP18" s="248"/>
      <c r="AQ18" s="248"/>
      <c r="AR18" s="248"/>
      <c r="AS18" s="248"/>
      <c r="AT18" s="248"/>
      <c r="AU18" s="248"/>
      <c r="AV18" s="248"/>
      <c r="AW18" s="248"/>
      <c r="AX18" s="248"/>
      <c r="AY18" s="248"/>
      <c r="AZ18" s="248"/>
      <c r="BA18" s="248"/>
      <c r="BB18" s="248"/>
      <c r="BC18" s="248"/>
      <c r="BD18" s="248"/>
      <c r="BE18" s="248"/>
      <c r="BF18" s="248"/>
      <c r="BG18" s="248"/>
      <c r="BH18" s="248"/>
      <c r="BI18" s="248"/>
      <c r="BJ18" s="248"/>
      <c r="BK18" s="248"/>
      <c r="BL18" s="248"/>
      <c r="BM18" s="248"/>
      <c r="BN18" s="248"/>
      <c r="BO18" s="248"/>
      <c r="BP18" s="248"/>
      <c r="BQ18" s="248"/>
      <c r="BR18" s="248"/>
      <c r="BS18" s="248"/>
      <c r="BT18" s="248"/>
      <c r="BU18" s="248"/>
      <c r="BV18" s="248"/>
      <c r="BW18" s="248"/>
      <c r="BX18" s="248"/>
      <c r="BY18" s="248"/>
      <c r="BZ18" s="248"/>
      <c r="CA18" s="248"/>
      <c r="CB18" s="248"/>
      <c r="CC18" s="248"/>
      <c r="CD18" s="248"/>
      <c r="CE18" s="248"/>
      <c r="CF18" s="248"/>
      <c r="CG18" s="248"/>
      <c r="CH18" s="248"/>
      <c r="CI18" s="248"/>
      <c r="CJ18" s="248"/>
      <c r="CK18" s="248"/>
      <c r="CL18" s="248"/>
      <c r="CM18" s="248"/>
      <c r="CN18" s="248"/>
      <c r="CO18" s="248"/>
      <c r="CP18" s="248"/>
      <c r="CQ18" s="248"/>
      <c r="CR18" s="248"/>
      <c r="CS18" s="248"/>
      <c r="CT18" s="248"/>
      <c r="CU18" s="248"/>
      <c r="CV18" s="248"/>
      <c r="CW18" s="248"/>
      <c r="CX18" s="248"/>
      <c r="CY18" s="248"/>
      <c r="CZ18" s="248"/>
      <c r="DA18" s="248"/>
      <c r="DB18" s="248"/>
      <c r="DC18" s="248"/>
      <c r="DD18" s="248"/>
      <c r="DE18" s="248"/>
      <c r="DF18" s="248"/>
      <c r="DG18" s="248"/>
      <c r="DH18" s="248"/>
      <c r="DI18" s="248"/>
      <c r="DJ18" s="248"/>
      <c r="DK18" s="248"/>
      <c r="DL18" s="248"/>
      <c r="DM18" s="248"/>
      <c r="DN18" s="248"/>
      <c r="DO18" s="248"/>
      <c r="DP18" s="248"/>
      <c r="DQ18" s="248"/>
      <c r="DR18" s="248"/>
      <c r="DS18" s="249"/>
      <c r="DT18" s="249"/>
      <c r="DU18" s="249"/>
      <c r="DV18" s="249"/>
    </row>
    <row r="19" spans="1:126" x14ac:dyDescent="0.2">
      <c r="A19" s="170" t="s">
        <v>762</v>
      </c>
      <c r="B19" s="301">
        <f>+Parameters!B26*1</f>
        <v>0</v>
      </c>
      <c r="C19" s="245" t="s">
        <v>763</v>
      </c>
      <c r="E19" s="248"/>
      <c r="G19" s="248"/>
      <c r="H19" s="245" t="s">
        <v>139</v>
      </c>
      <c r="I19" s="248"/>
      <c r="J19" s="248"/>
      <c r="K19" s="248"/>
      <c r="L19" s="248"/>
      <c r="M19" s="248"/>
      <c r="N19" s="248"/>
      <c r="O19" s="248"/>
      <c r="P19" s="248"/>
      <c r="Q19" s="248"/>
      <c r="R19" s="248"/>
      <c r="S19" s="248"/>
      <c r="T19" s="248"/>
      <c r="U19" s="248"/>
      <c r="V19" s="248"/>
      <c r="W19" s="248"/>
      <c r="X19" s="248"/>
      <c r="Y19" s="248"/>
      <c r="Z19" s="248"/>
      <c r="AA19" s="248"/>
      <c r="AB19" s="248"/>
      <c r="AC19" s="248"/>
      <c r="AD19" s="248"/>
      <c r="AE19" s="248"/>
      <c r="AF19" s="248"/>
      <c r="AG19" s="248"/>
      <c r="AH19" s="248"/>
      <c r="AI19" s="248"/>
      <c r="AJ19" s="248"/>
      <c r="AK19" s="248"/>
      <c r="AL19" s="248"/>
      <c r="AM19" s="248"/>
      <c r="AN19" s="248"/>
      <c r="AO19" s="248"/>
      <c r="AP19" s="248"/>
      <c r="AQ19" s="248"/>
      <c r="AR19" s="248"/>
      <c r="AS19" s="248"/>
      <c r="AT19" s="248"/>
      <c r="AU19" s="248"/>
      <c r="AV19" s="248"/>
      <c r="AW19" s="248"/>
      <c r="AX19" s="248"/>
      <c r="AY19" s="248"/>
      <c r="AZ19" s="248"/>
      <c r="BA19" s="248"/>
      <c r="BB19" s="248"/>
      <c r="BC19" s="248"/>
      <c r="BD19" s="248"/>
      <c r="BE19" s="248"/>
      <c r="BF19" s="248"/>
      <c r="BG19" s="248"/>
      <c r="BH19" s="248"/>
      <c r="BI19" s="248"/>
      <c r="BJ19" s="248"/>
      <c r="BK19" s="248"/>
      <c r="BL19" s="248"/>
      <c r="BM19" s="248"/>
      <c r="BN19" s="248"/>
      <c r="BO19" s="248"/>
      <c r="BP19" s="248"/>
      <c r="BQ19" s="248"/>
      <c r="BR19" s="248"/>
      <c r="BS19" s="248"/>
      <c r="BT19" s="248"/>
      <c r="BU19" s="248"/>
      <c r="BV19" s="248"/>
      <c r="BW19" s="248"/>
      <c r="BX19" s="248"/>
      <c r="BY19" s="248"/>
      <c r="BZ19" s="248"/>
      <c r="CA19" s="248"/>
      <c r="CB19" s="248"/>
      <c r="CC19" s="248"/>
      <c r="CD19" s="248"/>
      <c r="CE19" s="248"/>
      <c r="CF19" s="248"/>
      <c r="CG19" s="248"/>
      <c r="CH19" s="248"/>
      <c r="CI19" s="248"/>
      <c r="CJ19" s="248"/>
      <c r="CK19" s="248"/>
      <c r="CL19" s="248"/>
      <c r="CM19" s="248"/>
      <c r="CN19" s="248"/>
      <c r="CO19" s="248"/>
      <c r="CP19" s="248"/>
      <c r="CQ19" s="248"/>
      <c r="CR19" s="248"/>
      <c r="CS19" s="248"/>
      <c r="CT19" s="248"/>
      <c r="CU19" s="248"/>
      <c r="CV19" s="248"/>
      <c r="CW19" s="248"/>
      <c r="CX19" s="248"/>
      <c r="CY19" s="248"/>
      <c r="CZ19" s="248"/>
      <c r="DA19" s="248"/>
      <c r="DB19" s="248"/>
      <c r="DC19" s="248"/>
      <c r="DD19" s="248"/>
      <c r="DE19" s="248"/>
      <c r="DF19" s="248"/>
      <c r="DG19" s="248"/>
      <c r="DH19" s="248"/>
      <c r="DI19" s="248"/>
      <c r="DJ19" s="248"/>
      <c r="DK19" s="248"/>
      <c r="DL19" s="248"/>
      <c r="DM19" s="248"/>
      <c r="DN19" s="248"/>
      <c r="DO19" s="248"/>
      <c r="DP19" s="248"/>
      <c r="DQ19" s="248"/>
      <c r="DR19" s="248"/>
      <c r="DS19" s="249"/>
      <c r="DT19" s="249"/>
      <c r="DU19" s="249"/>
      <c r="DV19" s="249"/>
    </row>
    <row r="20" spans="1:126" x14ac:dyDescent="0.2">
      <c r="A20" s="170" t="s">
        <v>800</v>
      </c>
      <c r="B20" s="301">
        <f>+Parameters!B25*1.11860081578514</f>
        <v>1.1186008157851399</v>
      </c>
      <c r="C20" s="245" t="s">
        <v>801</v>
      </c>
      <c r="E20" s="248"/>
      <c r="G20" s="248"/>
      <c r="H20" s="245" t="s">
        <v>139</v>
      </c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48"/>
      <c r="AO20" s="248"/>
      <c r="AP20" s="248"/>
      <c r="AQ20" s="248"/>
      <c r="AR20" s="248"/>
      <c r="AS20" s="248"/>
      <c r="AT20" s="248"/>
      <c r="AU20" s="248"/>
      <c r="AV20" s="248"/>
      <c r="AW20" s="248"/>
      <c r="AX20" s="248"/>
      <c r="AY20" s="248"/>
      <c r="AZ20" s="248"/>
      <c r="BA20" s="248"/>
      <c r="BB20" s="248"/>
      <c r="BC20" s="248"/>
      <c r="BD20" s="248"/>
      <c r="BE20" s="248"/>
      <c r="BF20" s="248"/>
      <c r="BG20" s="248"/>
      <c r="BH20" s="248"/>
      <c r="BI20" s="248"/>
      <c r="BJ20" s="248"/>
      <c r="BK20" s="248"/>
      <c r="BL20" s="248"/>
      <c r="BM20" s="248"/>
      <c r="BN20" s="248"/>
      <c r="BO20" s="248"/>
      <c r="BP20" s="248"/>
      <c r="BQ20" s="248"/>
      <c r="BR20" s="248"/>
      <c r="BS20" s="248"/>
      <c r="BT20" s="248"/>
      <c r="BU20" s="248"/>
      <c r="BV20" s="248"/>
      <c r="BW20" s="248"/>
      <c r="BX20" s="248"/>
      <c r="BY20" s="248"/>
      <c r="BZ20" s="248"/>
      <c r="CA20" s="248"/>
      <c r="CB20" s="248"/>
      <c r="CC20" s="248"/>
      <c r="CD20" s="248"/>
      <c r="CE20" s="248"/>
      <c r="CF20" s="248"/>
      <c r="CG20" s="248"/>
      <c r="CH20" s="248"/>
      <c r="CI20" s="248"/>
      <c r="CJ20" s="248"/>
      <c r="CK20" s="248"/>
      <c r="CL20" s="248"/>
      <c r="CM20" s="248"/>
      <c r="CN20" s="248"/>
      <c r="CO20" s="248"/>
      <c r="CP20" s="248"/>
      <c r="CQ20" s="248"/>
      <c r="CR20" s="248"/>
      <c r="CS20" s="248"/>
      <c r="CT20" s="248"/>
      <c r="CU20" s="248"/>
      <c r="CV20" s="248"/>
      <c r="CW20" s="248"/>
      <c r="CX20" s="248"/>
      <c r="CY20" s="248"/>
      <c r="CZ20" s="248"/>
      <c r="DA20" s="248"/>
      <c r="DB20" s="248"/>
      <c r="DC20" s="248"/>
      <c r="DD20" s="248"/>
      <c r="DE20" s="248"/>
      <c r="DF20" s="248"/>
      <c r="DG20" s="248"/>
      <c r="DH20" s="248"/>
      <c r="DI20" s="248"/>
      <c r="DJ20" s="248"/>
      <c r="DK20" s="248"/>
      <c r="DL20" s="248"/>
      <c r="DM20" s="248"/>
      <c r="DN20" s="248"/>
      <c r="DO20" s="248"/>
      <c r="DP20" s="248"/>
      <c r="DQ20" s="248"/>
      <c r="DR20" s="248"/>
      <c r="DS20" s="249"/>
      <c r="DT20" s="249"/>
      <c r="DU20" s="249"/>
      <c r="DV20" s="249"/>
    </row>
    <row r="21" spans="1:126" x14ac:dyDescent="0.2">
      <c r="A21" s="170" t="s">
        <v>802</v>
      </c>
      <c r="B21" s="301">
        <v>1</v>
      </c>
      <c r="E21" s="250"/>
      <c r="F21" s="250"/>
      <c r="G21" s="248"/>
      <c r="H21" s="245" t="s">
        <v>139</v>
      </c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48"/>
      <c r="AO21" s="248"/>
      <c r="AP21" s="248"/>
      <c r="AQ21" s="248"/>
      <c r="AR21" s="248"/>
      <c r="AS21" s="248"/>
      <c r="AT21" s="248"/>
      <c r="AU21" s="248"/>
      <c r="AV21" s="248"/>
      <c r="AW21" s="248"/>
      <c r="AX21" s="248"/>
      <c r="AY21" s="248"/>
      <c r="AZ21" s="248"/>
      <c r="BA21" s="248"/>
      <c r="BB21" s="248"/>
      <c r="BC21" s="248"/>
      <c r="BD21" s="248"/>
      <c r="BE21" s="248"/>
      <c r="BF21" s="248"/>
      <c r="BG21" s="248"/>
      <c r="BH21" s="248"/>
      <c r="BI21" s="248"/>
      <c r="BJ21" s="248"/>
      <c r="BK21" s="248"/>
      <c r="BL21" s="248"/>
      <c r="BM21" s="248"/>
      <c r="BN21" s="248"/>
      <c r="BO21" s="248"/>
      <c r="BP21" s="248"/>
      <c r="BQ21" s="248"/>
      <c r="BR21" s="248"/>
      <c r="BS21" s="248"/>
      <c r="BT21" s="248"/>
      <c r="BU21" s="248"/>
      <c r="BV21" s="248"/>
      <c r="BW21" s="248"/>
      <c r="BX21" s="248"/>
      <c r="BY21" s="248"/>
      <c r="BZ21" s="248"/>
      <c r="CA21" s="248"/>
      <c r="CB21" s="248"/>
      <c r="CC21" s="248"/>
      <c r="CD21" s="248"/>
      <c r="CE21" s="248"/>
      <c r="CF21" s="248"/>
      <c r="CG21" s="248"/>
      <c r="CH21" s="248"/>
      <c r="CI21" s="248"/>
      <c r="CJ21" s="248"/>
      <c r="CK21" s="248"/>
      <c r="CL21" s="248"/>
      <c r="CM21" s="248"/>
      <c r="CN21" s="248"/>
      <c r="CO21" s="248"/>
      <c r="CP21" s="248"/>
      <c r="CQ21" s="248"/>
      <c r="CR21" s="248"/>
      <c r="CS21" s="248"/>
      <c r="CT21" s="248"/>
      <c r="CU21" s="248"/>
      <c r="CV21" s="248"/>
      <c r="CW21" s="248"/>
      <c r="CX21" s="248"/>
      <c r="CY21" s="248"/>
      <c r="CZ21" s="248"/>
      <c r="DA21" s="248"/>
      <c r="DB21" s="248"/>
      <c r="DC21" s="248"/>
      <c r="DD21" s="248"/>
      <c r="DE21" s="248"/>
      <c r="DF21" s="248"/>
      <c r="DG21" s="248"/>
      <c r="DH21" s="248"/>
      <c r="DI21" s="248"/>
      <c r="DJ21" s="248"/>
      <c r="DK21" s="248"/>
      <c r="DL21" s="248"/>
      <c r="DM21" s="248"/>
      <c r="DN21" s="248"/>
      <c r="DO21" s="248"/>
      <c r="DP21" s="248"/>
      <c r="DQ21" s="248"/>
      <c r="DR21" s="248"/>
      <c r="DS21" s="249"/>
      <c r="DT21" s="249"/>
      <c r="DU21" s="249"/>
      <c r="DV21" s="249"/>
    </row>
    <row r="22" spans="1:126" x14ac:dyDescent="0.2">
      <c r="B22" s="251"/>
      <c r="E22" s="248"/>
      <c r="G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L22" s="248"/>
      <c r="AM22" s="248"/>
      <c r="AN22" s="248"/>
      <c r="AO22" s="248"/>
      <c r="AP22" s="248"/>
      <c r="AQ22" s="248"/>
      <c r="AR22" s="248"/>
      <c r="AS22" s="248"/>
      <c r="AT22" s="248"/>
      <c r="AU22" s="248"/>
      <c r="AV22" s="248"/>
      <c r="AW22" s="248"/>
      <c r="AX22" s="248"/>
      <c r="AY22" s="248"/>
      <c r="AZ22" s="248"/>
      <c r="BA22" s="248"/>
      <c r="BB22" s="248"/>
      <c r="BC22" s="248"/>
      <c r="BD22" s="248"/>
      <c r="BE22" s="248"/>
      <c r="BF22" s="248"/>
      <c r="BG22" s="248"/>
      <c r="BH22" s="248"/>
      <c r="BI22" s="248"/>
      <c r="BJ22" s="248"/>
      <c r="BK22" s="248"/>
      <c r="BL22" s="248"/>
      <c r="BM22" s="248"/>
      <c r="BN22" s="248"/>
      <c r="BO22" s="248"/>
      <c r="BP22" s="248"/>
      <c r="BQ22" s="248"/>
      <c r="BR22" s="248"/>
      <c r="BS22" s="248"/>
      <c r="BT22" s="248"/>
      <c r="BU22" s="248"/>
      <c r="BV22" s="248"/>
      <c r="BW22" s="248"/>
      <c r="BX22" s="248"/>
      <c r="BY22" s="248"/>
      <c r="BZ22" s="248"/>
      <c r="CA22" s="248"/>
      <c r="CB22" s="248"/>
      <c r="CC22" s="248"/>
      <c r="CD22" s="248"/>
      <c r="CE22" s="248"/>
      <c r="CF22" s="248"/>
      <c r="CG22" s="248"/>
      <c r="CH22" s="248"/>
      <c r="CI22" s="248"/>
      <c r="CJ22" s="248"/>
      <c r="CK22" s="248"/>
      <c r="CL22" s="248"/>
      <c r="CM22" s="248"/>
      <c r="CN22" s="248"/>
      <c r="CO22" s="248"/>
      <c r="CP22" s="248"/>
      <c r="CQ22" s="248"/>
      <c r="CR22" s="248"/>
      <c r="CS22" s="248"/>
      <c r="CT22" s="248"/>
      <c r="CU22" s="248"/>
      <c r="CV22" s="248"/>
      <c r="CW22" s="248"/>
      <c r="CX22" s="248"/>
      <c r="CY22" s="248"/>
      <c r="CZ22" s="248"/>
      <c r="DA22" s="248"/>
      <c r="DB22" s="248"/>
      <c r="DC22" s="248"/>
      <c r="DD22" s="248"/>
      <c r="DE22" s="248"/>
      <c r="DF22" s="248"/>
      <c r="DG22" s="248"/>
      <c r="DH22" s="248"/>
      <c r="DI22" s="248"/>
      <c r="DJ22" s="248"/>
      <c r="DK22" s="248"/>
      <c r="DL22" s="248"/>
      <c r="DM22" s="248"/>
      <c r="DN22" s="248"/>
      <c r="DO22" s="248"/>
      <c r="DP22" s="248"/>
      <c r="DQ22" s="248"/>
      <c r="DR22" s="248"/>
      <c r="DS22" s="249"/>
      <c r="DT22" s="249"/>
      <c r="DU22" s="249"/>
      <c r="DV22" s="249"/>
    </row>
    <row r="23" spans="1:126" x14ac:dyDescent="0.2">
      <c r="A23" s="236" t="s">
        <v>773</v>
      </c>
      <c r="B23" s="248"/>
      <c r="C23" s="248"/>
      <c r="E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L23" s="248"/>
      <c r="AM23" s="248"/>
      <c r="AN23" s="248"/>
      <c r="AO23" s="248"/>
      <c r="AP23" s="248"/>
      <c r="AQ23" s="248"/>
      <c r="AR23" s="248"/>
      <c r="AS23" s="248"/>
      <c r="AT23" s="248"/>
      <c r="AU23" s="248"/>
      <c r="AV23" s="248"/>
      <c r="AW23" s="248"/>
      <c r="AX23" s="248"/>
      <c r="AY23" s="248"/>
      <c r="AZ23" s="248"/>
      <c r="BA23" s="248"/>
      <c r="BB23" s="248"/>
      <c r="BC23" s="248"/>
      <c r="BD23" s="248"/>
      <c r="BE23" s="248"/>
      <c r="BF23" s="248"/>
      <c r="BG23" s="248"/>
      <c r="BH23" s="248"/>
      <c r="BI23" s="248"/>
      <c r="BJ23" s="248"/>
      <c r="BK23" s="248"/>
      <c r="BL23" s="248"/>
      <c r="BM23" s="248"/>
      <c r="BN23" s="248"/>
      <c r="BO23" s="248"/>
      <c r="BP23" s="248"/>
      <c r="BQ23" s="248"/>
      <c r="BR23" s="248"/>
      <c r="BS23" s="248"/>
      <c r="BT23" s="248"/>
      <c r="BU23" s="248"/>
      <c r="BV23" s="248"/>
      <c r="BW23" s="248"/>
      <c r="BX23" s="248"/>
      <c r="BY23" s="248"/>
      <c r="BZ23" s="248"/>
      <c r="CA23" s="248"/>
      <c r="CB23" s="248"/>
      <c r="CC23" s="248"/>
      <c r="CD23" s="248"/>
      <c r="CE23" s="248"/>
      <c r="CF23" s="248"/>
      <c r="CG23" s="248"/>
      <c r="CH23" s="248"/>
      <c r="CI23" s="248"/>
      <c r="CJ23" s="248"/>
      <c r="CK23" s="248"/>
      <c r="CL23" s="248"/>
      <c r="CM23" s="248"/>
      <c r="CN23" s="248"/>
      <c r="CO23" s="248"/>
      <c r="CP23" s="248"/>
      <c r="CQ23" s="248"/>
      <c r="CR23" s="248"/>
      <c r="CS23" s="248"/>
      <c r="CT23" s="248"/>
      <c r="CU23" s="248"/>
      <c r="CV23" s="248"/>
      <c r="CW23" s="248"/>
      <c r="CX23" s="248"/>
      <c r="CY23" s="248"/>
      <c r="CZ23" s="248"/>
      <c r="DA23" s="248"/>
      <c r="DB23" s="248"/>
      <c r="DC23" s="248"/>
      <c r="DD23" s="248"/>
      <c r="DE23" s="248"/>
      <c r="DF23" s="248"/>
      <c r="DG23" s="248"/>
      <c r="DH23" s="248"/>
      <c r="DI23" s="248"/>
      <c r="DJ23" s="248"/>
      <c r="DK23" s="248"/>
      <c r="DL23" s="248"/>
      <c r="DM23" s="248"/>
      <c r="DN23" s="248"/>
      <c r="DO23" s="248"/>
      <c r="DP23" s="248"/>
      <c r="DQ23" s="248"/>
      <c r="DR23" s="248"/>
      <c r="DS23" s="249"/>
      <c r="DT23" s="249"/>
      <c r="DU23" s="249"/>
      <c r="DV23" s="249"/>
    </row>
    <row r="24" spans="1:126" x14ac:dyDescent="0.2">
      <c r="A24" s="170" t="s">
        <v>764</v>
      </c>
      <c r="B24" s="301">
        <v>0.21</v>
      </c>
      <c r="C24" s="248" t="s">
        <v>803</v>
      </c>
      <c r="E24" s="248"/>
      <c r="G24" s="248"/>
      <c r="H24" s="248" t="s">
        <v>799</v>
      </c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48"/>
      <c r="AO24" s="248"/>
      <c r="AP24" s="248"/>
      <c r="AQ24" s="248"/>
      <c r="AR24" s="248"/>
      <c r="AS24" s="248"/>
      <c r="AT24" s="248"/>
      <c r="AU24" s="248"/>
      <c r="AV24" s="248"/>
      <c r="AW24" s="248"/>
      <c r="AX24" s="248"/>
      <c r="AY24" s="248"/>
      <c r="AZ24" s="248"/>
      <c r="BA24" s="248"/>
      <c r="BB24" s="248"/>
      <c r="BC24" s="248"/>
      <c r="BD24" s="248"/>
      <c r="BE24" s="248"/>
      <c r="BF24" s="248"/>
      <c r="BG24" s="248"/>
      <c r="BH24" s="248"/>
      <c r="BI24" s="248"/>
      <c r="BJ24" s="248"/>
      <c r="BK24" s="248"/>
      <c r="BL24" s="248"/>
      <c r="BM24" s="248"/>
      <c r="BN24" s="248"/>
      <c r="BO24" s="248"/>
      <c r="BP24" s="248"/>
      <c r="BQ24" s="248"/>
      <c r="BR24" s="248"/>
      <c r="BS24" s="248"/>
      <c r="BT24" s="248"/>
      <c r="BU24" s="248"/>
      <c r="BV24" s="248"/>
      <c r="BW24" s="248"/>
      <c r="BX24" s="248"/>
      <c r="BY24" s="248"/>
      <c r="BZ24" s="248"/>
      <c r="CA24" s="248"/>
      <c r="CB24" s="248"/>
      <c r="CC24" s="248"/>
      <c r="CD24" s="248"/>
      <c r="CE24" s="248"/>
      <c r="CF24" s="248"/>
      <c r="CG24" s="248"/>
      <c r="CH24" s="248"/>
      <c r="CI24" s="248"/>
      <c r="CJ24" s="248"/>
      <c r="CK24" s="248"/>
      <c r="CL24" s="248"/>
      <c r="CM24" s="248"/>
      <c r="CN24" s="248"/>
      <c r="CO24" s="248"/>
      <c r="CP24" s="248"/>
      <c r="CQ24" s="248"/>
      <c r="CR24" s="248"/>
      <c r="CS24" s="248"/>
      <c r="CT24" s="248"/>
      <c r="CU24" s="248"/>
      <c r="CV24" s="248"/>
      <c r="CW24" s="248"/>
      <c r="CX24" s="248"/>
      <c r="CY24" s="248"/>
      <c r="CZ24" s="248"/>
      <c r="DA24" s="248"/>
      <c r="DB24" s="248"/>
      <c r="DC24" s="248"/>
      <c r="DD24" s="248"/>
      <c r="DE24" s="248"/>
      <c r="DF24" s="248"/>
      <c r="DG24" s="248"/>
      <c r="DH24" s="248"/>
      <c r="DI24" s="248"/>
      <c r="DJ24" s="248"/>
      <c r="DK24" s="248"/>
      <c r="DL24" s="248"/>
      <c r="DM24" s="248"/>
      <c r="DN24" s="248"/>
      <c r="DO24" s="248"/>
      <c r="DP24" s="248"/>
      <c r="DQ24" s="248"/>
      <c r="DR24" s="248"/>
      <c r="DS24" s="249"/>
      <c r="DT24" s="249"/>
      <c r="DU24" s="249"/>
      <c r="DV24" s="249"/>
    </row>
    <row r="25" spans="1:126" x14ac:dyDescent="0.2">
      <c r="A25" s="170" t="s">
        <v>804</v>
      </c>
      <c r="B25" s="301">
        <v>0.7703327893280344</v>
      </c>
      <c r="C25" s="248" t="s">
        <v>803</v>
      </c>
      <c r="E25" s="248"/>
      <c r="G25" s="248"/>
      <c r="H25" s="248" t="s">
        <v>805</v>
      </c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L25" s="248"/>
      <c r="AM25" s="248"/>
      <c r="AN25" s="248"/>
      <c r="AO25" s="248"/>
      <c r="AP25" s="248"/>
      <c r="AQ25" s="248"/>
      <c r="AR25" s="248"/>
      <c r="AS25" s="248"/>
      <c r="AT25" s="248"/>
      <c r="AU25" s="248"/>
      <c r="AV25" s="248"/>
      <c r="AW25" s="248"/>
      <c r="AX25" s="248"/>
      <c r="AY25" s="248"/>
      <c r="AZ25" s="248"/>
      <c r="BA25" s="248"/>
      <c r="BB25" s="248"/>
      <c r="BC25" s="248"/>
      <c r="BD25" s="248"/>
      <c r="BE25" s="248"/>
      <c r="BF25" s="248"/>
      <c r="BG25" s="248"/>
      <c r="BH25" s="248"/>
      <c r="BI25" s="248"/>
      <c r="BJ25" s="248"/>
      <c r="BK25" s="248"/>
      <c r="BL25" s="248"/>
      <c r="BM25" s="248"/>
      <c r="BN25" s="248"/>
      <c r="BO25" s="248"/>
      <c r="BP25" s="248"/>
      <c r="BQ25" s="248"/>
      <c r="BR25" s="248"/>
      <c r="BS25" s="248"/>
      <c r="BT25" s="248"/>
      <c r="BU25" s="248"/>
      <c r="BV25" s="248"/>
      <c r="BW25" s="248"/>
      <c r="BX25" s="248"/>
      <c r="BY25" s="248"/>
      <c r="BZ25" s="248"/>
      <c r="CA25" s="248"/>
      <c r="CB25" s="248"/>
      <c r="CC25" s="248"/>
      <c r="CD25" s="248"/>
      <c r="CE25" s="248"/>
      <c r="CF25" s="248"/>
      <c r="CG25" s="248"/>
      <c r="CH25" s="248"/>
      <c r="CI25" s="248"/>
      <c r="CJ25" s="248"/>
      <c r="CK25" s="248"/>
      <c r="CL25" s="248"/>
      <c r="CM25" s="248"/>
      <c r="CN25" s="248"/>
      <c r="CO25" s="248"/>
      <c r="CP25" s="248"/>
      <c r="CQ25" s="248"/>
      <c r="CR25" s="248"/>
      <c r="CS25" s="248"/>
      <c r="CT25" s="248"/>
      <c r="CU25" s="248"/>
      <c r="CV25" s="248"/>
      <c r="CW25" s="248"/>
      <c r="CX25" s="248"/>
      <c r="CY25" s="248"/>
      <c r="CZ25" s="248"/>
      <c r="DA25" s="248"/>
      <c r="DB25" s="248"/>
      <c r="DC25" s="248"/>
      <c r="DD25" s="248"/>
      <c r="DE25" s="248"/>
      <c r="DF25" s="248"/>
      <c r="DG25" s="248"/>
      <c r="DH25" s="248"/>
      <c r="DI25" s="248"/>
      <c r="DJ25" s="248"/>
      <c r="DK25" s="248"/>
      <c r="DL25" s="248"/>
      <c r="DM25" s="248"/>
      <c r="DN25" s="248"/>
      <c r="DO25" s="248"/>
      <c r="DP25" s="248"/>
      <c r="DQ25" s="248"/>
      <c r="DR25" s="248"/>
      <c r="DS25" s="249"/>
      <c r="DT25" s="249"/>
      <c r="DU25" s="249"/>
      <c r="DV25" s="249"/>
    </row>
    <row r="26" spans="1:126" x14ac:dyDescent="0.2">
      <c r="A26" s="170" t="s">
        <v>806</v>
      </c>
      <c r="B26" s="301">
        <v>-0.60040718523653258</v>
      </c>
      <c r="C26" s="245" t="s">
        <v>807</v>
      </c>
      <c r="E26" s="248" t="s">
        <v>808</v>
      </c>
      <c r="G26" s="248"/>
      <c r="H26" s="248" t="s">
        <v>809</v>
      </c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L26" s="248"/>
      <c r="AM26" s="248"/>
      <c r="AN26" s="248"/>
      <c r="AO26" s="248"/>
      <c r="AP26" s="248"/>
      <c r="AQ26" s="248"/>
      <c r="AR26" s="248"/>
      <c r="AS26" s="248"/>
      <c r="AT26" s="248"/>
      <c r="AU26" s="248"/>
      <c r="AV26" s="248"/>
      <c r="AW26" s="248"/>
      <c r="AX26" s="248"/>
      <c r="AY26" s="248"/>
      <c r="AZ26" s="248"/>
      <c r="BA26" s="248"/>
      <c r="BB26" s="248"/>
      <c r="BC26" s="248"/>
      <c r="BD26" s="248"/>
      <c r="BE26" s="248"/>
      <c r="BF26" s="248"/>
      <c r="BG26" s="248"/>
      <c r="BH26" s="248"/>
      <c r="BI26" s="248"/>
      <c r="BJ26" s="248"/>
      <c r="BK26" s="248"/>
      <c r="BL26" s="248"/>
      <c r="BM26" s="248"/>
      <c r="BN26" s="248"/>
      <c r="BO26" s="248"/>
      <c r="BP26" s="248"/>
      <c r="BQ26" s="248"/>
      <c r="BR26" s="248"/>
      <c r="BS26" s="248"/>
      <c r="BT26" s="248"/>
      <c r="BU26" s="248"/>
      <c r="BV26" s="248"/>
      <c r="BW26" s="248"/>
      <c r="BX26" s="248"/>
      <c r="BY26" s="248"/>
      <c r="BZ26" s="248"/>
      <c r="CA26" s="248"/>
      <c r="CB26" s="248"/>
      <c r="CC26" s="248"/>
      <c r="CD26" s="248"/>
      <c r="CE26" s="248"/>
      <c r="CF26" s="248"/>
      <c r="CG26" s="248"/>
      <c r="CH26" s="248"/>
      <c r="CI26" s="248"/>
      <c r="CJ26" s="248"/>
      <c r="CK26" s="248"/>
      <c r="CL26" s="248"/>
      <c r="CM26" s="248"/>
      <c r="CN26" s="248"/>
      <c r="CO26" s="248"/>
      <c r="CP26" s="248"/>
      <c r="CQ26" s="248"/>
      <c r="CR26" s="248"/>
      <c r="CS26" s="248"/>
      <c r="CT26" s="248"/>
      <c r="CU26" s="248"/>
      <c r="CV26" s="248"/>
      <c r="CW26" s="248"/>
      <c r="CX26" s="248"/>
      <c r="CY26" s="248"/>
      <c r="CZ26" s="248"/>
      <c r="DA26" s="248"/>
      <c r="DB26" s="248"/>
      <c r="DC26" s="248"/>
      <c r="DD26" s="248"/>
      <c r="DE26" s="248"/>
      <c r="DF26" s="248"/>
      <c r="DG26" s="248"/>
      <c r="DH26" s="248"/>
      <c r="DI26" s="248"/>
      <c r="DJ26" s="248"/>
      <c r="DK26" s="248"/>
      <c r="DL26" s="248"/>
      <c r="DM26" s="248"/>
      <c r="DN26" s="248"/>
      <c r="DO26" s="248"/>
      <c r="DP26" s="248"/>
      <c r="DQ26" s="248"/>
      <c r="DR26" s="248"/>
      <c r="DS26" s="249"/>
      <c r="DT26" s="249"/>
      <c r="DU26" s="249"/>
      <c r="DV26" s="249"/>
    </row>
    <row r="27" spans="1:126" x14ac:dyDescent="0.2">
      <c r="A27" s="170" t="s">
        <v>810</v>
      </c>
      <c r="B27" s="301">
        <f>+Parameters!B25*2.22542020899689</f>
        <v>2.2254202089968902</v>
      </c>
      <c r="C27" s="245" t="s">
        <v>807</v>
      </c>
      <c r="D27" s="248"/>
      <c r="E27" s="248" t="s">
        <v>811</v>
      </c>
      <c r="G27" s="248"/>
      <c r="H27" s="248" t="s">
        <v>812</v>
      </c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248"/>
      <c r="AM27" s="248"/>
      <c r="AN27" s="248"/>
      <c r="AO27" s="248"/>
      <c r="AP27" s="248"/>
      <c r="AQ27" s="248"/>
      <c r="AR27" s="248"/>
      <c r="AS27" s="248"/>
      <c r="AT27" s="248"/>
      <c r="AU27" s="248"/>
      <c r="AV27" s="248"/>
      <c r="AW27" s="248"/>
      <c r="AX27" s="248"/>
      <c r="AY27" s="248"/>
      <c r="AZ27" s="248"/>
      <c r="BA27" s="248"/>
      <c r="BB27" s="248"/>
      <c r="BC27" s="248"/>
      <c r="BD27" s="248"/>
      <c r="BE27" s="248"/>
      <c r="BF27" s="248"/>
      <c r="BG27" s="248"/>
      <c r="BH27" s="248"/>
      <c r="BI27" s="248"/>
      <c r="BJ27" s="248"/>
      <c r="BK27" s="248"/>
      <c r="BL27" s="248"/>
      <c r="BM27" s="248"/>
      <c r="BN27" s="248"/>
      <c r="BO27" s="248"/>
      <c r="BP27" s="248"/>
      <c r="BQ27" s="248"/>
      <c r="BR27" s="248"/>
      <c r="BS27" s="248"/>
      <c r="BT27" s="248"/>
      <c r="BU27" s="248"/>
      <c r="BV27" s="248"/>
      <c r="BW27" s="248"/>
      <c r="BX27" s="248"/>
      <c r="BY27" s="248"/>
      <c r="BZ27" s="248"/>
      <c r="CA27" s="248"/>
      <c r="CB27" s="248"/>
      <c r="CC27" s="248"/>
      <c r="CD27" s="248"/>
      <c r="CE27" s="248"/>
      <c r="CF27" s="248"/>
      <c r="CG27" s="248"/>
      <c r="CH27" s="248"/>
      <c r="CI27" s="248"/>
      <c r="CJ27" s="248"/>
      <c r="CK27" s="248"/>
      <c r="CL27" s="248"/>
      <c r="CM27" s="248"/>
      <c r="CN27" s="248"/>
      <c r="CO27" s="248"/>
      <c r="CP27" s="248"/>
      <c r="CQ27" s="248"/>
      <c r="CR27" s="248"/>
      <c r="CS27" s="248"/>
      <c r="CT27" s="248"/>
      <c r="CU27" s="248"/>
      <c r="CV27" s="248"/>
      <c r="CW27" s="248"/>
      <c r="CX27" s="248"/>
      <c r="CY27" s="248"/>
      <c r="CZ27" s="248"/>
      <c r="DA27" s="248"/>
      <c r="DB27" s="248"/>
      <c r="DC27" s="248"/>
      <c r="DD27" s="248"/>
      <c r="DE27" s="248"/>
      <c r="DF27" s="248"/>
      <c r="DG27" s="248"/>
      <c r="DH27" s="248"/>
      <c r="DI27" s="248"/>
      <c r="DJ27" s="248"/>
      <c r="DK27" s="248"/>
      <c r="DL27" s="248"/>
      <c r="DM27" s="248"/>
      <c r="DN27" s="248"/>
      <c r="DO27" s="248"/>
      <c r="DP27" s="248"/>
      <c r="DQ27" s="248"/>
      <c r="DR27" s="248"/>
      <c r="DS27" s="249"/>
      <c r="DT27" s="249"/>
      <c r="DU27" s="249"/>
      <c r="DV27" s="249"/>
    </row>
    <row r="28" spans="1:126" x14ac:dyDescent="0.2">
      <c r="A28" s="170" t="s">
        <v>813</v>
      </c>
      <c r="B28" s="301">
        <f>+Parameters!B26*3</f>
        <v>0</v>
      </c>
      <c r="C28" s="245" t="s">
        <v>765</v>
      </c>
      <c r="D28" s="248"/>
      <c r="E28" s="248"/>
      <c r="G28" s="248"/>
      <c r="H28" s="248" t="s">
        <v>812</v>
      </c>
      <c r="I28" s="248"/>
      <c r="J28" s="248"/>
      <c r="K28" s="248"/>
      <c r="L28" s="248"/>
      <c r="M28" s="248"/>
      <c r="N28" s="248"/>
      <c r="O28" s="248"/>
      <c r="P28" s="248"/>
      <c r="Q28" s="248"/>
      <c r="R28" s="248"/>
      <c r="S28" s="248"/>
      <c r="T28" s="248"/>
      <c r="U28" s="248"/>
      <c r="V28" s="248"/>
      <c r="W28" s="248"/>
      <c r="X28" s="248"/>
      <c r="Y28" s="248"/>
      <c r="Z28" s="248"/>
      <c r="AA28" s="248"/>
      <c r="AB28" s="248"/>
      <c r="AC28" s="248"/>
      <c r="AD28" s="248"/>
      <c r="AE28" s="248"/>
      <c r="AF28" s="248"/>
      <c r="AG28" s="248"/>
      <c r="AH28" s="248"/>
      <c r="AI28" s="248"/>
      <c r="AJ28" s="248"/>
      <c r="AK28" s="248"/>
      <c r="AL28" s="248"/>
      <c r="AM28" s="248"/>
      <c r="AN28" s="248"/>
      <c r="AO28" s="248"/>
      <c r="AP28" s="248"/>
      <c r="AQ28" s="248"/>
      <c r="AR28" s="248"/>
      <c r="AS28" s="248"/>
      <c r="AT28" s="248"/>
      <c r="AU28" s="248"/>
      <c r="AV28" s="248"/>
      <c r="AW28" s="248"/>
      <c r="AX28" s="248"/>
      <c r="AY28" s="248"/>
      <c r="AZ28" s="248"/>
      <c r="BA28" s="248"/>
      <c r="BB28" s="248"/>
      <c r="BC28" s="248"/>
      <c r="BD28" s="248"/>
      <c r="BE28" s="248"/>
      <c r="BF28" s="248"/>
      <c r="BG28" s="248"/>
      <c r="BH28" s="248"/>
      <c r="BI28" s="248"/>
      <c r="BJ28" s="248"/>
      <c r="BK28" s="248"/>
      <c r="BL28" s="248"/>
      <c r="BM28" s="248"/>
      <c r="BN28" s="248"/>
      <c r="BO28" s="248"/>
      <c r="BP28" s="248"/>
      <c r="BQ28" s="248"/>
      <c r="BR28" s="248"/>
      <c r="BS28" s="248"/>
      <c r="BT28" s="248"/>
      <c r="BU28" s="248"/>
      <c r="BV28" s="248"/>
      <c r="BW28" s="248"/>
      <c r="BX28" s="248"/>
      <c r="BY28" s="248"/>
      <c r="BZ28" s="248"/>
      <c r="CA28" s="248"/>
      <c r="CB28" s="248"/>
      <c r="CC28" s="248"/>
      <c r="CD28" s="248"/>
      <c r="CE28" s="248"/>
      <c r="CF28" s="248"/>
      <c r="CG28" s="248"/>
      <c r="CH28" s="248"/>
      <c r="CI28" s="248"/>
      <c r="CJ28" s="248"/>
      <c r="CK28" s="248"/>
      <c r="CL28" s="248"/>
      <c r="CM28" s="248"/>
      <c r="CN28" s="248"/>
      <c r="CO28" s="248"/>
      <c r="CP28" s="248"/>
      <c r="CQ28" s="248"/>
      <c r="CR28" s="248"/>
      <c r="CS28" s="248"/>
      <c r="CT28" s="248"/>
      <c r="CU28" s="248"/>
      <c r="CV28" s="248"/>
      <c r="CW28" s="248"/>
      <c r="CX28" s="248"/>
      <c r="CY28" s="248"/>
      <c r="CZ28" s="248"/>
      <c r="DA28" s="248"/>
      <c r="DB28" s="248"/>
      <c r="DC28" s="248"/>
      <c r="DD28" s="248"/>
      <c r="DE28" s="248"/>
      <c r="DF28" s="248"/>
      <c r="DG28" s="248"/>
      <c r="DH28" s="248"/>
      <c r="DI28" s="248"/>
      <c r="DJ28" s="248"/>
      <c r="DK28" s="248"/>
      <c r="DL28" s="248"/>
      <c r="DM28" s="248"/>
      <c r="DN28" s="248"/>
      <c r="DO28" s="248"/>
      <c r="DP28" s="248"/>
      <c r="DQ28" s="248"/>
      <c r="DR28" s="248"/>
      <c r="DS28" s="249"/>
      <c r="DT28" s="249"/>
      <c r="DU28" s="249"/>
      <c r="DV28" s="249"/>
    </row>
    <row r="29" spans="1:126" x14ac:dyDescent="0.2">
      <c r="A29" s="170" t="s">
        <v>814</v>
      </c>
      <c r="B29" s="301">
        <v>1.3</v>
      </c>
      <c r="D29" s="248"/>
      <c r="E29" s="252"/>
      <c r="G29" s="248"/>
      <c r="H29" s="248"/>
      <c r="I29" s="248"/>
      <c r="J29" s="248"/>
      <c r="K29" s="248"/>
      <c r="L29" s="248"/>
      <c r="M29" s="248"/>
      <c r="N29" s="248"/>
      <c r="O29" s="248"/>
      <c r="P29" s="248"/>
      <c r="Q29" s="248"/>
      <c r="R29" s="248"/>
      <c r="S29" s="248"/>
      <c r="T29" s="248"/>
      <c r="U29" s="248"/>
      <c r="V29" s="248"/>
      <c r="W29" s="248"/>
      <c r="X29" s="248"/>
      <c r="Y29" s="248"/>
      <c r="Z29" s="248"/>
      <c r="AA29" s="248"/>
      <c r="AB29" s="248"/>
      <c r="AC29" s="248"/>
      <c r="AD29" s="248"/>
      <c r="AE29" s="248"/>
      <c r="AF29" s="248"/>
      <c r="AG29" s="248"/>
      <c r="AH29" s="248"/>
      <c r="AI29" s="248"/>
      <c r="AJ29" s="248"/>
      <c r="AK29" s="248"/>
      <c r="AL29" s="248"/>
      <c r="AM29" s="248"/>
      <c r="AN29" s="248"/>
      <c r="AO29" s="248"/>
      <c r="AP29" s="248"/>
      <c r="AQ29" s="248"/>
      <c r="AR29" s="248"/>
      <c r="AS29" s="248"/>
      <c r="AT29" s="248"/>
      <c r="AU29" s="248"/>
      <c r="AV29" s="248"/>
      <c r="AW29" s="248"/>
      <c r="AX29" s="248"/>
      <c r="AY29" s="248"/>
      <c r="AZ29" s="248"/>
      <c r="BA29" s="248"/>
      <c r="BB29" s="248"/>
      <c r="BC29" s="248"/>
      <c r="BD29" s="248"/>
      <c r="BE29" s="248"/>
      <c r="BF29" s="248"/>
      <c r="BG29" s="248"/>
      <c r="BH29" s="248"/>
      <c r="BI29" s="248"/>
      <c r="BJ29" s="248"/>
      <c r="BK29" s="248"/>
      <c r="BL29" s="248"/>
      <c r="BM29" s="248"/>
      <c r="BN29" s="248"/>
      <c r="BO29" s="248"/>
      <c r="BP29" s="248"/>
      <c r="BQ29" s="248"/>
      <c r="BR29" s="248"/>
      <c r="BS29" s="248"/>
      <c r="BT29" s="248"/>
      <c r="BU29" s="248"/>
      <c r="BV29" s="248"/>
      <c r="BW29" s="248"/>
      <c r="BX29" s="248"/>
      <c r="BY29" s="248"/>
      <c r="BZ29" s="248"/>
      <c r="CA29" s="248"/>
      <c r="CB29" s="248"/>
      <c r="CC29" s="248"/>
      <c r="CD29" s="248"/>
      <c r="CE29" s="248"/>
      <c r="CF29" s="248"/>
      <c r="CG29" s="248"/>
      <c r="CH29" s="248"/>
      <c r="CI29" s="248"/>
      <c r="CJ29" s="248"/>
      <c r="CK29" s="248"/>
      <c r="CL29" s="248"/>
      <c r="CM29" s="248"/>
      <c r="CN29" s="248"/>
      <c r="CO29" s="248"/>
      <c r="CP29" s="248"/>
      <c r="CQ29" s="248"/>
      <c r="CR29" s="248"/>
      <c r="CS29" s="248"/>
      <c r="CT29" s="248"/>
      <c r="CU29" s="248"/>
      <c r="CV29" s="248"/>
      <c r="CW29" s="248"/>
      <c r="CX29" s="248"/>
      <c r="CY29" s="248"/>
      <c r="CZ29" s="248"/>
      <c r="DA29" s="248"/>
      <c r="DB29" s="248"/>
      <c r="DC29" s="248"/>
      <c r="DD29" s="248"/>
      <c r="DE29" s="248"/>
      <c r="DF29" s="248"/>
      <c r="DG29" s="248"/>
      <c r="DH29" s="248"/>
      <c r="DI29" s="248"/>
      <c r="DJ29" s="248"/>
      <c r="DK29" s="248"/>
      <c r="DL29" s="248"/>
      <c r="DM29" s="248"/>
      <c r="DN29" s="248"/>
      <c r="DO29" s="248"/>
      <c r="DP29" s="248"/>
      <c r="DQ29" s="248"/>
      <c r="DR29" s="248"/>
      <c r="DS29" s="249"/>
      <c r="DT29" s="249"/>
      <c r="DU29" s="249"/>
      <c r="DV29" s="249"/>
    </row>
    <row r="30" spans="1:126" x14ac:dyDescent="0.2">
      <c r="A30" s="217" t="s">
        <v>770</v>
      </c>
      <c r="B30" s="301">
        <v>56.6</v>
      </c>
      <c r="D30" s="248"/>
      <c r="E30" s="252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  <c r="AA30" s="248"/>
      <c r="AB30" s="248"/>
      <c r="AC30" s="248"/>
      <c r="AD30" s="248"/>
      <c r="AE30" s="248"/>
      <c r="AF30" s="248"/>
      <c r="AG30" s="248"/>
      <c r="AH30" s="248"/>
      <c r="AI30" s="248"/>
      <c r="AJ30" s="248"/>
      <c r="AK30" s="248"/>
      <c r="AL30" s="248"/>
      <c r="AM30" s="248"/>
      <c r="AN30" s="248"/>
      <c r="AO30" s="248"/>
      <c r="AP30" s="248"/>
      <c r="AQ30" s="248"/>
      <c r="AR30" s="248"/>
      <c r="AS30" s="248"/>
      <c r="AT30" s="248"/>
      <c r="AU30" s="248"/>
      <c r="AV30" s="248"/>
      <c r="AW30" s="248"/>
      <c r="AX30" s="248"/>
      <c r="AY30" s="248"/>
      <c r="AZ30" s="248"/>
      <c r="BA30" s="248"/>
      <c r="BB30" s="248"/>
      <c r="BC30" s="248"/>
      <c r="BD30" s="248"/>
      <c r="BE30" s="248"/>
      <c r="BF30" s="248"/>
      <c r="BG30" s="248"/>
      <c r="BH30" s="248"/>
      <c r="BI30" s="248"/>
      <c r="BJ30" s="248"/>
      <c r="BK30" s="248"/>
      <c r="BL30" s="248"/>
      <c r="BM30" s="248"/>
      <c r="BN30" s="248"/>
      <c r="BO30" s="248"/>
      <c r="BP30" s="248"/>
      <c r="BQ30" s="248"/>
      <c r="BR30" s="248"/>
      <c r="BS30" s="248"/>
      <c r="BT30" s="248"/>
      <c r="BU30" s="248"/>
      <c r="BV30" s="248"/>
      <c r="BW30" s="248"/>
      <c r="BX30" s="248"/>
      <c r="BY30" s="248"/>
      <c r="BZ30" s="248"/>
      <c r="CA30" s="248"/>
      <c r="CB30" s="248"/>
      <c r="CC30" s="248"/>
      <c r="CD30" s="248"/>
      <c r="CE30" s="248"/>
      <c r="CF30" s="248"/>
      <c r="CG30" s="248"/>
      <c r="CH30" s="248"/>
      <c r="CI30" s="248"/>
      <c r="CJ30" s="248"/>
      <c r="CK30" s="248"/>
      <c r="CL30" s="248"/>
      <c r="CM30" s="248"/>
      <c r="CN30" s="248"/>
      <c r="CO30" s="248"/>
      <c r="CP30" s="248"/>
      <c r="CQ30" s="248"/>
      <c r="CR30" s="248"/>
      <c r="CS30" s="248"/>
      <c r="CT30" s="248"/>
      <c r="CU30" s="248"/>
      <c r="CV30" s="248"/>
      <c r="CW30" s="248"/>
      <c r="CX30" s="248"/>
      <c r="CY30" s="248"/>
      <c r="CZ30" s="248"/>
      <c r="DA30" s="248"/>
      <c r="DB30" s="248"/>
      <c r="DC30" s="248"/>
      <c r="DD30" s="248"/>
      <c r="DE30" s="248"/>
      <c r="DF30" s="248"/>
      <c r="DG30" s="248"/>
      <c r="DH30" s="248"/>
      <c r="DI30" s="248"/>
      <c r="DJ30" s="248"/>
      <c r="DK30" s="248"/>
      <c r="DL30" s="248"/>
      <c r="DM30" s="248"/>
      <c r="DN30" s="248"/>
      <c r="DO30" s="248"/>
      <c r="DP30" s="248"/>
      <c r="DQ30" s="248"/>
      <c r="DR30" s="248"/>
      <c r="DS30" s="249"/>
      <c r="DT30" s="249"/>
      <c r="DU30" s="249"/>
      <c r="DV30" s="249"/>
    </row>
    <row r="31" spans="1:126" x14ac:dyDescent="0.2">
      <c r="A31" s="217" t="s">
        <v>774</v>
      </c>
      <c r="B31" s="301">
        <v>5</v>
      </c>
      <c r="D31" s="248"/>
      <c r="E31" s="252"/>
      <c r="G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  <c r="AA31" s="248"/>
      <c r="AB31" s="248"/>
      <c r="AC31" s="248"/>
      <c r="AD31" s="248"/>
      <c r="AE31" s="248"/>
      <c r="AF31" s="248"/>
      <c r="AG31" s="248"/>
      <c r="AH31" s="248"/>
      <c r="AI31" s="248"/>
      <c r="AJ31" s="248"/>
      <c r="AK31" s="248"/>
      <c r="AL31" s="248"/>
      <c r="AM31" s="248"/>
      <c r="AN31" s="248"/>
      <c r="AO31" s="248"/>
      <c r="AP31" s="248"/>
      <c r="AQ31" s="248"/>
      <c r="AR31" s="248"/>
      <c r="AS31" s="248"/>
      <c r="AT31" s="248"/>
      <c r="AU31" s="248"/>
      <c r="AV31" s="248"/>
      <c r="AW31" s="248"/>
      <c r="AX31" s="248"/>
      <c r="AY31" s="248"/>
      <c r="AZ31" s="248"/>
      <c r="BA31" s="248"/>
      <c r="BB31" s="248"/>
      <c r="BC31" s="248"/>
      <c r="BD31" s="248"/>
      <c r="BE31" s="248"/>
      <c r="BF31" s="248"/>
      <c r="BG31" s="248"/>
      <c r="BH31" s="248"/>
      <c r="BI31" s="248"/>
      <c r="BJ31" s="248"/>
      <c r="BK31" s="248"/>
      <c r="BL31" s="248"/>
      <c r="BM31" s="248"/>
      <c r="BN31" s="248"/>
      <c r="BO31" s="248"/>
      <c r="BP31" s="248"/>
      <c r="BQ31" s="248"/>
      <c r="BR31" s="248"/>
      <c r="BS31" s="248"/>
      <c r="BT31" s="248"/>
      <c r="BU31" s="248"/>
      <c r="BV31" s="248"/>
      <c r="BW31" s="248"/>
      <c r="BX31" s="248"/>
      <c r="BY31" s="248"/>
      <c r="BZ31" s="248"/>
      <c r="CA31" s="248"/>
      <c r="CB31" s="248"/>
      <c r="CC31" s="248"/>
      <c r="CD31" s="248"/>
      <c r="CE31" s="248"/>
      <c r="CF31" s="248"/>
      <c r="CG31" s="248"/>
      <c r="CH31" s="248"/>
      <c r="CI31" s="248"/>
      <c r="CJ31" s="248"/>
      <c r="CK31" s="248"/>
      <c r="CL31" s="248"/>
      <c r="CM31" s="248"/>
      <c r="CN31" s="248"/>
      <c r="CO31" s="248"/>
      <c r="CP31" s="248"/>
      <c r="CQ31" s="248"/>
      <c r="CR31" s="248"/>
      <c r="CS31" s="248"/>
      <c r="CT31" s="248"/>
      <c r="CU31" s="248"/>
      <c r="CV31" s="248"/>
      <c r="CW31" s="248"/>
      <c r="CX31" s="248"/>
      <c r="CY31" s="248"/>
      <c r="CZ31" s="248"/>
      <c r="DA31" s="248"/>
      <c r="DB31" s="248"/>
      <c r="DC31" s="248"/>
      <c r="DD31" s="248"/>
      <c r="DE31" s="248"/>
      <c r="DF31" s="248"/>
      <c r="DG31" s="248"/>
      <c r="DH31" s="248"/>
      <c r="DI31" s="248"/>
      <c r="DJ31" s="248"/>
      <c r="DK31" s="248"/>
      <c r="DL31" s="248"/>
      <c r="DM31" s="248"/>
      <c r="DN31" s="248"/>
      <c r="DO31" s="248"/>
      <c r="DP31" s="248"/>
      <c r="DQ31" s="248"/>
      <c r="DR31" s="248"/>
      <c r="DS31" s="249"/>
      <c r="DT31" s="249"/>
      <c r="DU31" s="249"/>
      <c r="DV31" s="249"/>
    </row>
    <row r="32" spans="1:126" x14ac:dyDescent="0.2">
      <c r="A32" s="217" t="s">
        <v>775</v>
      </c>
      <c r="B32" s="301">
        <v>51.6</v>
      </c>
      <c r="D32" s="248"/>
      <c r="G32" s="251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A32" s="248"/>
      <c r="AB32" s="248"/>
      <c r="AC32" s="248"/>
      <c r="AD32" s="248"/>
      <c r="AE32" s="248"/>
      <c r="AF32" s="248"/>
      <c r="AG32" s="248"/>
      <c r="AH32" s="248"/>
      <c r="AI32" s="248"/>
      <c r="AJ32" s="248"/>
      <c r="AK32" s="248"/>
      <c r="AL32" s="248"/>
      <c r="AM32" s="248"/>
      <c r="AN32" s="248"/>
      <c r="AO32" s="248"/>
      <c r="AP32" s="248"/>
      <c r="AQ32" s="248"/>
      <c r="AR32" s="248"/>
      <c r="AS32" s="248"/>
      <c r="AT32" s="248"/>
      <c r="AU32" s="248"/>
      <c r="AV32" s="248"/>
      <c r="AW32" s="248"/>
      <c r="AX32" s="248"/>
      <c r="AY32" s="248"/>
      <c r="AZ32" s="248"/>
      <c r="BA32" s="248"/>
      <c r="BB32" s="248"/>
      <c r="BC32" s="248"/>
      <c r="BD32" s="248"/>
      <c r="BE32" s="248"/>
      <c r="BF32" s="248"/>
      <c r="BG32" s="248"/>
      <c r="BH32" s="248"/>
      <c r="BI32" s="248"/>
      <c r="BJ32" s="248"/>
      <c r="BK32" s="248"/>
      <c r="BL32" s="248"/>
      <c r="BM32" s="248"/>
      <c r="BN32" s="248"/>
      <c r="BO32" s="248"/>
      <c r="BP32" s="248"/>
      <c r="BQ32" s="248"/>
      <c r="BR32" s="248"/>
      <c r="BS32" s="248"/>
      <c r="BT32" s="248"/>
      <c r="BU32" s="248"/>
      <c r="BV32" s="248"/>
      <c r="BW32" s="248"/>
      <c r="BX32" s="248"/>
      <c r="BY32" s="248"/>
      <c r="BZ32" s="248"/>
      <c r="CA32" s="248"/>
      <c r="CB32" s="248"/>
      <c r="CC32" s="248"/>
      <c r="CD32" s="248"/>
      <c r="CE32" s="248"/>
      <c r="CF32" s="248"/>
      <c r="CG32" s="248"/>
      <c r="CH32" s="248"/>
      <c r="CI32" s="248"/>
      <c r="CJ32" s="248"/>
      <c r="CK32" s="248"/>
      <c r="CL32" s="248"/>
      <c r="CM32" s="248"/>
      <c r="CN32" s="248"/>
      <c r="CO32" s="248"/>
      <c r="CP32" s="248"/>
      <c r="CQ32" s="248"/>
      <c r="CR32" s="248"/>
      <c r="CS32" s="248"/>
      <c r="CT32" s="248"/>
      <c r="CU32" s="248"/>
      <c r="CV32" s="248"/>
      <c r="CW32" s="248"/>
      <c r="CX32" s="248"/>
      <c r="CY32" s="248"/>
      <c r="CZ32" s="248"/>
      <c r="DA32" s="248"/>
      <c r="DB32" s="248"/>
      <c r="DC32" s="248"/>
      <c r="DD32" s="248"/>
      <c r="DE32" s="248"/>
      <c r="DF32" s="248"/>
      <c r="DG32" s="248"/>
      <c r="DH32" s="248"/>
      <c r="DI32" s="248"/>
      <c r="DJ32" s="248"/>
      <c r="DK32" s="248"/>
      <c r="DL32" s="248"/>
      <c r="DM32" s="248"/>
      <c r="DN32" s="248"/>
      <c r="DO32" s="248"/>
      <c r="DP32" s="248"/>
      <c r="DQ32" s="248"/>
      <c r="DR32" s="248"/>
      <c r="DS32" s="249"/>
      <c r="DT32" s="249"/>
      <c r="DU32" s="249"/>
      <c r="DV32" s="249"/>
    </row>
    <row r="33" spans="1:129" x14ac:dyDescent="0.2">
      <c r="A33" s="236"/>
      <c r="D33" s="248"/>
      <c r="E33" s="252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8"/>
      <c r="T33" s="248"/>
      <c r="U33" s="248"/>
      <c r="V33" s="248"/>
      <c r="W33" s="248"/>
      <c r="X33" s="248"/>
      <c r="Y33" s="248"/>
      <c r="Z33" s="248"/>
      <c r="AA33" s="248"/>
      <c r="AB33" s="248"/>
      <c r="AC33" s="248"/>
      <c r="AD33" s="248"/>
      <c r="AE33" s="248"/>
      <c r="AF33" s="248"/>
      <c r="AG33" s="248"/>
      <c r="AH33" s="248"/>
      <c r="AI33" s="248"/>
      <c r="AJ33" s="248"/>
      <c r="AK33" s="248"/>
      <c r="AL33" s="248"/>
      <c r="AM33" s="248"/>
      <c r="AN33" s="248"/>
      <c r="AO33" s="248"/>
      <c r="AP33" s="248"/>
      <c r="AQ33" s="248"/>
      <c r="AR33" s="248"/>
      <c r="AS33" s="248"/>
      <c r="AT33" s="248"/>
      <c r="AU33" s="248"/>
      <c r="AV33" s="248"/>
      <c r="AW33" s="248"/>
      <c r="AX33" s="248"/>
      <c r="AY33" s="248"/>
      <c r="AZ33" s="248"/>
      <c r="BA33" s="248"/>
      <c r="BB33" s="248"/>
      <c r="BC33" s="248"/>
      <c r="BD33" s="248"/>
      <c r="BE33" s="248"/>
      <c r="BF33" s="248"/>
      <c r="BG33" s="248"/>
      <c r="BH33" s="248"/>
      <c r="BI33" s="248"/>
      <c r="BJ33" s="248"/>
      <c r="BK33" s="248"/>
      <c r="BL33" s="248"/>
      <c r="BM33" s="248"/>
      <c r="BN33" s="248"/>
      <c r="BO33" s="248"/>
      <c r="BP33" s="248"/>
      <c r="BQ33" s="248"/>
      <c r="BR33" s="248"/>
      <c r="BS33" s="248"/>
      <c r="BT33" s="248"/>
      <c r="BU33" s="248"/>
      <c r="BV33" s="248"/>
      <c r="BW33" s="248"/>
      <c r="BX33" s="248"/>
      <c r="BY33" s="248"/>
      <c r="BZ33" s="248"/>
      <c r="CA33" s="248"/>
      <c r="CB33" s="248"/>
      <c r="CC33" s="248"/>
      <c r="CD33" s="248"/>
      <c r="CE33" s="248"/>
      <c r="CF33" s="248"/>
      <c r="CG33" s="248"/>
      <c r="CH33" s="248"/>
      <c r="CI33" s="248"/>
      <c r="CJ33" s="248"/>
      <c r="CK33" s="248"/>
      <c r="CL33" s="248"/>
      <c r="CM33" s="248"/>
      <c r="CN33" s="248"/>
      <c r="CO33" s="248"/>
      <c r="CP33" s="248"/>
      <c r="CQ33" s="248"/>
      <c r="CR33" s="248"/>
      <c r="CS33" s="248"/>
      <c r="CT33" s="248"/>
      <c r="CU33" s="248"/>
      <c r="CV33" s="248"/>
      <c r="CW33" s="248"/>
      <c r="CX33" s="248"/>
      <c r="CY33" s="248"/>
      <c r="CZ33" s="248"/>
      <c r="DA33" s="248"/>
      <c r="DB33" s="248"/>
      <c r="DC33" s="248"/>
      <c r="DD33" s="248"/>
      <c r="DE33" s="248"/>
      <c r="DF33" s="248"/>
      <c r="DG33" s="248"/>
      <c r="DH33" s="248"/>
      <c r="DI33" s="248"/>
      <c r="DJ33" s="248"/>
      <c r="DK33" s="248"/>
      <c r="DL33" s="248"/>
      <c r="DM33" s="248"/>
      <c r="DN33" s="248"/>
      <c r="DO33" s="248"/>
      <c r="DP33" s="248"/>
      <c r="DQ33" s="248"/>
      <c r="DR33" s="248"/>
      <c r="DS33" s="249"/>
      <c r="DT33" s="249"/>
      <c r="DU33" s="249"/>
      <c r="DV33" s="249"/>
    </row>
    <row r="34" spans="1:129" x14ac:dyDescent="0.2">
      <c r="A34" s="236" t="s">
        <v>815</v>
      </c>
      <c r="D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  <c r="AA34" s="248"/>
      <c r="AB34" s="248"/>
      <c r="AC34" s="248"/>
      <c r="AD34" s="248"/>
      <c r="AE34" s="248"/>
      <c r="AF34" s="248"/>
      <c r="AG34" s="248"/>
      <c r="AH34" s="248"/>
      <c r="AI34" s="248"/>
      <c r="AJ34" s="248"/>
      <c r="AK34" s="248"/>
      <c r="AL34" s="248"/>
      <c r="AM34" s="248"/>
      <c r="AN34" s="248"/>
      <c r="AO34" s="248"/>
      <c r="AP34" s="248"/>
      <c r="AQ34" s="248"/>
      <c r="AR34" s="248"/>
      <c r="AS34" s="248"/>
      <c r="AT34" s="248"/>
      <c r="AU34" s="248"/>
      <c r="AV34" s="248"/>
      <c r="AW34" s="248"/>
      <c r="AX34" s="248"/>
      <c r="AY34" s="248"/>
      <c r="AZ34" s="248"/>
      <c r="BA34" s="248"/>
      <c r="BB34" s="248"/>
      <c r="BC34" s="248"/>
      <c r="BD34" s="248"/>
      <c r="BE34" s="248"/>
      <c r="BF34" s="248"/>
      <c r="BG34" s="248"/>
      <c r="BH34" s="248"/>
      <c r="BI34" s="248"/>
      <c r="BJ34" s="248"/>
      <c r="BK34" s="248"/>
      <c r="BL34" s="248"/>
      <c r="BM34" s="248"/>
      <c r="BN34" s="248"/>
      <c r="BO34" s="248"/>
      <c r="BP34" s="248"/>
      <c r="BQ34" s="248"/>
      <c r="BR34" s="248"/>
      <c r="BS34" s="248"/>
      <c r="BT34" s="248"/>
      <c r="BU34" s="248"/>
      <c r="BV34" s="248"/>
      <c r="BW34" s="248"/>
      <c r="BX34" s="248"/>
      <c r="BY34" s="248"/>
      <c r="BZ34" s="248"/>
      <c r="CA34" s="248"/>
      <c r="CB34" s="248"/>
      <c r="CC34" s="248"/>
      <c r="CD34" s="248"/>
      <c r="CE34" s="248"/>
      <c r="CF34" s="248"/>
      <c r="CG34" s="248"/>
      <c r="CH34" s="248"/>
      <c r="CI34" s="248"/>
      <c r="CJ34" s="248"/>
      <c r="CK34" s="248"/>
      <c r="CL34" s="248"/>
      <c r="CM34" s="248"/>
      <c r="CN34" s="248"/>
      <c r="CO34" s="248"/>
      <c r="CP34" s="248"/>
      <c r="CQ34" s="248"/>
      <c r="CR34" s="248"/>
      <c r="CS34" s="248"/>
      <c r="CT34" s="248"/>
      <c r="CU34" s="248"/>
      <c r="CV34" s="248"/>
      <c r="CW34" s="248"/>
      <c r="CX34" s="248"/>
      <c r="CY34" s="248"/>
      <c r="CZ34" s="248"/>
      <c r="DA34" s="248"/>
      <c r="DB34" s="248"/>
      <c r="DC34" s="248"/>
      <c r="DD34" s="248"/>
      <c r="DE34" s="248"/>
      <c r="DF34" s="248"/>
      <c r="DG34" s="248"/>
      <c r="DH34" s="248"/>
      <c r="DI34" s="248"/>
      <c r="DJ34" s="248"/>
      <c r="DK34" s="248"/>
      <c r="DL34" s="248"/>
      <c r="DM34" s="248"/>
      <c r="DN34" s="248"/>
      <c r="DO34" s="248"/>
      <c r="DP34" s="248"/>
      <c r="DQ34" s="248"/>
      <c r="DR34" s="248"/>
      <c r="DS34" s="249"/>
      <c r="DT34" s="249"/>
      <c r="DU34" s="249"/>
      <c r="DV34" s="249"/>
    </row>
    <row r="35" spans="1:129" x14ac:dyDescent="0.2">
      <c r="A35" s="236"/>
      <c r="D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  <c r="AA35" s="248"/>
      <c r="AB35" s="248"/>
      <c r="AC35" s="248"/>
      <c r="AD35" s="248"/>
      <c r="AE35" s="248"/>
      <c r="AF35" s="248"/>
      <c r="AG35" s="248"/>
      <c r="AH35" s="248"/>
      <c r="AI35" s="248"/>
      <c r="AJ35" s="248"/>
      <c r="AK35" s="248"/>
      <c r="AL35" s="248"/>
      <c r="AM35" s="248"/>
      <c r="AN35" s="248"/>
      <c r="AO35" s="248"/>
      <c r="AP35" s="248"/>
      <c r="AQ35" s="248"/>
      <c r="AR35" s="248"/>
      <c r="AS35" s="248"/>
      <c r="AT35" s="248"/>
      <c r="AU35" s="248"/>
      <c r="AV35" s="248"/>
      <c r="AW35" s="248"/>
      <c r="AX35" s="248"/>
      <c r="AY35" s="248"/>
      <c r="AZ35" s="248"/>
      <c r="BA35" s="248"/>
      <c r="BB35" s="248"/>
      <c r="BC35" s="248"/>
      <c r="BD35" s="248"/>
      <c r="BE35" s="248"/>
      <c r="BF35" s="248"/>
      <c r="BG35" s="248"/>
      <c r="BH35" s="248"/>
      <c r="BI35" s="248"/>
      <c r="BJ35" s="248"/>
      <c r="BK35" s="248"/>
      <c r="BL35" s="248"/>
      <c r="BM35" s="248"/>
      <c r="BN35" s="248"/>
      <c r="BO35" s="248"/>
      <c r="BP35" s="248"/>
      <c r="BQ35" s="248"/>
      <c r="BR35" s="248"/>
      <c r="BS35" s="248"/>
      <c r="BT35" s="248"/>
      <c r="BU35" s="248"/>
      <c r="BV35" s="248"/>
      <c r="BW35" s="248"/>
      <c r="BX35" s="248"/>
      <c r="BY35" s="248"/>
      <c r="BZ35" s="248"/>
      <c r="CA35" s="248"/>
      <c r="CB35" s="248"/>
      <c r="CC35" s="248"/>
      <c r="CD35" s="248"/>
      <c r="CE35" s="248"/>
      <c r="CF35" s="248"/>
      <c r="CG35" s="248"/>
      <c r="CH35" s="248"/>
      <c r="CI35" s="248"/>
      <c r="CJ35" s="248"/>
      <c r="CK35" s="248"/>
      <c r="CL35" s="248"/>
      <c r="CM35" s="248"/>
      <c r="CN35" s="248"/>
      <c r="CO35" s="248"/>
      <c r="CP35" s="248"/>
      <c r="CQ35" s="248"/>
      <c r="CR35" s="248"/>
      <c r="CS35" s="248"/>
      <c r="CT35" s="248"/>
      <c r="CU35" s="248"/>
      <c r="CV35" s="248"/>
      <c r="CW35" s="248"/>
      <c r="CX35" s="248"/>
      <c r="CY35" s="248"/>
      <c r="CZ35" s="248"/>
      <c r="DA35" s="248"/>
      <c r="DB35" s="248"/>
      <c r="DC35" s="248"/>
      <c r="DD35" s="248"/>
      <c r="DE35" s="248"/>
      <c r="DF35" s="248"/>
      <c r="DG35" s="248"/>
      <c r="DH35" s="248"/>
      <c r="DI35" s="248"/>
      <c r="DJ35" s="248"/>
      <c r="DK35" s="248"/>
      <c r="DL35" s="248"/>
      <c r="DM35" s="248"/>
      <c r="DN35" s="248"/>
      <c r="DO35" s="248"/>
      <c r="DP35" s="248"/>
      <c r="DQ35" s="248"/>
      <c r="DR35" s="248"/>
      <c r="DS35" s="249"/>
      <c r="DT35" s="249"/>
      <c r="DU35" s="249"/>
      <c r="DV35" s="249"/>
    </row>
    <row r="36" spans="1:129" x14ac:dyDescent="0.2">
      <c r="A36" s="253" t="s">
        <v>743</v>
      </c>
    </row>
    <row r="37" spans="1:129" x14ac:dyDescent="0.2">
      <c r="A37" s="220" t="s">
        <v>766</v>
      </c>
      <c r="B37" s="254">
        <f t="shared" ref="B37:BM37" si="2">+B3*$B$7</f>
        <v>0.36</v>
      </c>
      <c r="C37" s="254">
        <f t="shared" si="2"/>
        <v>0.33500000000000002</v>
      </c>
      <c r="D37" s="254">
        <f t="shared" si="2"/>
        <v>0.245</v>
      </c>
      <c r="E37" s="254">
        <f t="shared" si="2"/>
        <v>0.25</v>
      </c>
      <c r="F37" s="254">
        <f t="shared" si="2"/>
        <v>0.28999999999999998</v>
      </c>
      <c r="G37" s="254">
        <f t="shared" si="2"/>
        <v>0.35499999999999998</v>
      </c>
      <c r="H37" s="254">
        <f t="shared" si="2"/>
        <v>0.3</v>
      </c>
      <c r="I37" s="254">
        <f t="shared" si="2"/>
        <v>0.36499999999999999</v>
      </c>
      <c r="J37" s="254">
        <f t="shared" si="2"/>
        <v>0.435</v>
      </c>
      <c r="K37" s="254">
        <f t="shared" si="2"/>
        <v>0.32500000000000001</v>
      </c>
      <c r="L37" s="254">
        <f t="shared" si="2"/>
        <v>0.33</v>
      </c>
      <c r="M37" s="254">
        <f t="shared" si="2"/>
        <v>0.4</v>
      </c>
      <c r="N37" s="254">
        <f t="shared" si="2"/>
        <v>0.45</v>
      </c>
      <c r="O37" s="254">
        <f t="shared" si="2"/>
        <v>0.44500000000000001</v>
      </c>
      <c r="P37" s="254">
        <f t="shared" si="2"/>
        <v>0.4</v>
      </c>
      <c r="Q37" s="254">
        <f t="shared" si="2"/>
        <v>0.47</v>
      </c>
      <c r="R37" s="254">
        <f t="shared" si="2"/>
        <v>0.45500000000000002</v>
      </c>
      <c r="S37" s="254">
        <f t="shared" si="2"/>
        <v>0.46500000000000002</v>
      </c>
      <c r="T37" s="254">
        <f t="shared" si="2"/>
        <v>0.40500000000000003</v>
      </c>
      <c r="U37" s="254">
        <f t="shared" si="2"/>
        <v>0.46</v>
      </c>
      <c r="V37" s="254">
        <f t="shared" si="2"/>
        <v>0.495</v>
      </c>
      <c r="W37" s="254">
        <f t="shared" si="2"/>
        <v>0.44</v>
      </c>
      <c r="X37" s="254">
        <f t="shared" si="2"/>
        <v>0.46</v>
      </c>
      <c r="Y37" s="254">
        <f t="shared" si="2"/>
        <v>0.47499999999999998</v>
      </c>
      <c r="Z37" s="254">
        <f t="shared" si="2"/>
        <v>0.505</v>
      </c>
      <c r="AA37" s="254">
        <f t="shared" si="2"/>
        <v>0.58499999999999996</v>
      </c>
      <c r="AB37" s="254">
        <f t="shared" si="2"/>
        <v>0.64</v>
      </c>
      <c r="AC37" s="254">
        <f t="shared" si="2"/>
        <v>0.59499999999999997</v>
      </c>
      <c r="AD37" s="254">
        <f t="shared" si="2"/>
        <v>0.56000000000000005</v>
      </c>
      <c r="AE37" s="254">
        <f t="shared" si="2"/>
        <v>0.625</v>
      </c>
      <c r="AF37" s="254">
        <f t="shared" si="2"/>
        <v>0.64</v>
      </c>
      <c r="AG37" s="254">
        <f t="shared" si="2"/>
        <v>0.56000000000000005</v>
      </c>
      <c r="AH37" s="254">
        <f t="shared" si="2"/>
        <v>0.57999999999999996</v>
      </c>
      <c r="AI37" s="254">
        <f t="shared" si="2"/>
        <v>0.72</v>
      </c>
      <c r="AJ37" s="254">
        <f t="shared" si="2"/>
        <v>0</v>
      </c>
      <c r="AK37" s="254">
        <f t="shared" si="2"/>
        <v>0</v>
      </c>
      <c r="AL37" s="254">
        <f t="shared" si="2"/>
        <v>0</v>
      </c>
      <c r="AM37" s="254">
        <f t="shared" si="2"/>
        <v>0</v>
      </c>
      <c r="AN37" s="254">
        <f t="shared" si="2"/>
        <v>0</v>
      </c>
      <c r="AO37" s="254">
        <f t="shared" si="2"/>
        <v>0</v>
      </c>
      <c r="AP37" s="254">
        <f t="shared" si="2"/>
        <v>0</v>
      </c>
      <c r="AQ37" s="254">
        <f t="shared" si="2"/>
        <v>0</v>
      </c>
      <c r="AR37" s="254">
        <f t="shared" si="2"/>
        <v>0</v>
      </c>
      <c r="AS37" s="254">
        <f t="shared" si="2"/>
        <v>0</v>
      </c>
      <c r="AT37" s="254">
        <f t="shared" si="2"/>
        <v>0</v>
      </c>
      <c r="AU37" s="254">
        <f t="shared" si="2"/>
        <v>0</v>
      </c>
      <c r="AV37" s="254">
        <f t="shared" si="2"/>
        <v>0</v>
      </c>
      <c r="AW37" s="254">
        <f t="shared" si="2"/>
        <v>0</v>
      </c>
      <c r="AX37" s="254">
        <f t="shared" si="2"/>
        <v>0</v>
      </c>
      <c r="AY37" s="254">
        <f t="shared" si="2"/>
        <v>0</v>
      </c>
      <c r="AZ37" s="254">
        <f t="shared" si="2"/>
        <v>0</v>
      </c>
      <c r="BA37" s="254">
        <f t="shared" si="2"/>
        <v>0</v>
      </c>
      <c r="BB37" s="254">
        <f t="shared" si="2"/>
        <v>0</v>
      </c>
      <c r="BC37" s="254">
        <f t="shared" si="2"/>
        <v>0</v>
      </c>
      <c r="BD37" s="254">
        <f t="shared" si="2"/>
        <v>0</v>
      </c>
      <c r="BE37" s="254">
        <f t="shared" si="2"/>
        <v>0</v>
      </c>
      <c r="BF37" s="254">
        <f t="shared" si="2"/>
        <v>0</v>
      </c>
      <c r="BG37" s="254">
        <f t="shared" si="2"/>
        <v>0</v>
      </c>
      <c r="BH37" s="254">
        <f t="shared" si="2"/>
        <v>0</v>
      </c>
      <c r="BI37" s="254">
        <f t="shared" si="2"/>
        <v>0</v>
      </c>
      <c r="BJ37" s="254">
        <f t="shared" si="2"/>
        <v>0</v>
      </c>
      <c r="BK37" s="254">
        <f t="shared" si="2"/>
        <v>0</v>
      </c>
      <c r="BL37" s="254">
        <f t="shared" si="2"/>
        <v>0</v>
      </c>
      <c r="BM37" s="254">
        <f t="shared" si="2"/>
        <v>0</v>
      </c>
      <c r="BN37" s="254">
        <f t="shared" ref="BN37:DR37" si="3">+BN3*$B$7</f>
        <v>0</v>
      </c>
      <c r="BO37" s="254">
        <f t="shared" si="3"/>
        <v>0</v>
      </c>
      <c r="BP37" s="254">
        <f t="shared" si="3"/>
        <v>0</v>
      </c>
      <c r="BQ37" s="254">
        <f t="shared" si="3"/>
        <v>0</v>
      </c>
      <c r="BR37" s="254">
        <f t="shared" si="3"/>
        <v>0</v>
      </c>
      <c r="BS37" s="254">
        <f t="shared" si="3"/>
        <v>0</v>
      </c>
      <c r="BT37" s="254">
        <f t="shared" si="3"/>
        <v>0</v>
      </c>
      <c r="BU37" s="254">
        <f t="shared" si="3"/>
        <v>0</v>
      </c>
      <c r="BV37" s="254">
        <f t="shared" si="3"/>
        <v>0</v>
      </c>
      <c r="BW37" s="254">
        <f t="shared" si="3"/>
        <v>0</v>
      </c>
      <c r="BX37" s="254">
        <f t="shared" si="3"/>
        <v>0</v>
      </c>
      <c r="BY37" s="254">
        <f t="shared" si="3"/>
        <v>0</v>
      </c>
      <c r="BZ37" s="254">
        <f t="shared" si="3"/>
        <v>0</v>
      </c>
      <c r="CA37" s="254">
        <f t="shared" si="3"/>
        <v>0</v>
      </c>
      <c r="CB37" s="254">
        <f t="shared" si="3"/>
        <v>0</v>
      </c>
      <c r="CC37" s="254">
        <f t="shared" si="3"/>
        <v>0</v>
      </c>
      <c r="CD37" s="254">
        <f t="shared" si="3"/>
        <v>0</v>
      </c>
      <c r="CE37" s="254">
        <f t="shared" si="3"/>
        <v>0</v>
      </c>
      <c r="CF37" s="254">
        <f t="shared" si="3"/>
        <v>0</v>
      </c>
      <c r="CG37" s="254">
        <f t="shared" si="3"/>
        <v>0</v>
      </c>
      <c r="CH37" s="254">
        <f t="shared" si="3"/>
        <v>0</v>
      </c>
      <c r="CI37" s="254">
        <f t="shared" si="3"/>
        <v>0</v>
      </c>
      <c r="CJ37" s="254">
        <f t="shared" si="3"/>
        <v>0</v>
      </c>
      <c r="CK37" s="254">
        <f t="shared" si="3"/>
        <v>0</v>
      </c>
      <c r="CL37" s="254">
        <f t="shared" si="3"/>
        <v>0</v>
      </c>
      <c r="CM37" s="254">
        <f t="shared" si="3"/>
        <v>0</v>
      </c>
      <c r="CN37" s="254">
        <f t="shared" si="3"/>
        <v>0</v>
      </c>
      <c r="CO37" s="254">
        <f t="shared" si="3"/>
        <v>0</v>
      </c>
      <c r="CP37" s="254">
        <f t="shared" si="3"/>
        <v>0</v>
      </c>
      <c r="CQ37" s="254">
        <f t="shared" si="3"/>
        <v>0</v>
      </c>
      <c r="CR37" s="254">
        <f t="shared" si="3"/>
        <v>0</v>
      </c>
      <c r="CS37" s="254">
        <f t="shared" si="3"/>
        <v>0</v>
      </c>
      <c r="CT37" s="254">
        <f t="shared" si="3"/>
        <v>0</v>
      </c>
      <c r="CU37" s="254">
        <f t="shared" si="3"/>
        <v>0</v>
      </c>
      <c r="CV37" s="254">
        <f t="shared" si="3"/>
        <v>0</v>
      </c>
      <c r="CW37" s="254">
        <f t="shared" si="3"/>
        <v>0</v>
      </c>
      <c r="CX37" s="254">
        <f t="shared" si="3"/>
        <v>0</v>
      </c>
      <c r="CY37" s="254">
        <f t="shared" si="3"/>
        <v>0</v>
      </c>
      <c r="CZ37" s="254">
        <f t="shared" si="3"/>
        <v>0</v>
      </c>
      <c r="DA37" s="254">
        <f t="shared" si="3"/>
        <v>0</v>
      </c>
      <c r="DB37" s="254">
        <f t="shared" si="3"/>
        <v>0</v>
      </c>
      <c r="DC37" s="254">
        <f t="shared" si="3"/>
        <v>0</v>
      </c>
      <c r="DD37" s="254">
        <f t="shared" si="3"/>
        <v>0</v>
      </c>
      <c r="DE37" s="254">
        <f t="shared" si="3"/>
        <v>0</v>
      </c>
      <c r="DF37" s="254">
        <f t="shared" si="3"/>
        <v>0</v>
      </c>
      <c r="DG37" s="254">
        <f t="shared" si="3"/>
        <v>0</v>
      </c>
      <c r="DH37" s="254">
        <f t="shared" si="3"/>
        <v>0</v>
      </c>
      <c r="DI37" s="254">
        <f t="shared" si="3"/>
        <v>0</v>
      </c>
      <c r="DJ37" s="254">
        <f t="shared" si="3"/>
        <v>0</v>
      </c>
      <c r="DK37" s="254">
        <f t="shared" si="3"/>
        <v>0</v>
      </c>
      <c r="DL37" s="254">
        <f t="shared" si="3"/>
        <v>0</v>
      </c>
      <c r="DM37" s="254">
        <f t="shared" si="3"/>
        <v>0</v>
      </c>
      <c r="DN37" s="254">
        <f t="shared" si="3"/>
        <v>0</v>
      </c>
      <c r="DO37" s="254">
        <f t="shared" si="3"/>
        <v>0</v>
      </c>
      <c r="DP37" s="254">
        <f t="shared" si="3"/>
        <v>0</v>
      </c>
      <c r="DQ37" s="254">
        <f t="shared" si="3"/>
        <v>0</v>
      </c>
      <c r="DR37" s="254">
        <f t="shared" si="3"/>
        <v>0</v>
      </c>
      <c r="DS37" s="220"/>
      <c r="DT37" s="220"/>
      <c r="DU37" s="220"/>
      <c r="DV37" s="220"/>
      <c r="DW37" s="220"/>
      <c r="DX37" s="220"/>
      <c r="DY37" s="220"/>
    </row>
    <row r="38" spans="1:129" x14ac:dyDescent="0.2">
      <c r="A38" s="220" t="s">
        <v>816</v>
      </c>
      <c r="B38" s="254">
        <f>+B9+$B$8*(B37-B9)</f>
        <v>9.8517493766526229E-2</v>
      </c>
      <c r="C38" s="254">
        <f t="shared" ref="C38:H38" si="4">+B38+$B$8*(C37-B38)</f>
        <v>0.10421107996627985</v>
      </c>
      <c r="D38" s="254">
        <f t="shared" si="4"/>
        <v>0.10760073387746941</v>
      </c>
      <c r="E38" s="254">
        <f t="shared" si="4"/>
        <v>0.11102915870839468</v>
      </c>
      <c r="F38" s="254">
        <f t="shared" si="4"/>
        <v>0.11533808594519483</v>
      </c>
      <c r="G38" s="254">
        <f t="shared" si="4"/>
        <v>0.12110822001643053</v>
      </c>
      <c r="H38" s="254">
        <f t="shared" si="4"/>
        <v>0.12541524376201885</v>
      </c>
      <c r="I38" s="254">
        <f t="shared" ref="I38:BT38" si="5">+H38+$B$8*(I37-H38)</f>
        <v>0.13118352017076582</v>
      </c>
      <c r="J38" s="254">
        <f t="shared" si="5"/>
        <v>0.13849824862304994</v>
      </c>
      <c r="K38" s="254">
        <f t="shared" si="5"/>
        <v>0.14298849111405826</v>
      </c>
      <c r="L38" s="254">
        <f t="shared" si="5"/>
        <v>0.14749100659880571</v>
      </c>
      <c r="M38" s="254">
        <f t="shared" si="5"/>
        <v>0.15357044876575959</v>
      </c>
      <c r="N38" s="254">
        <f t="shared" si="5"/>
        <v>0.16070732848252034</v>
      </c>
      <c r="O38" s="254">
        <f t="shared" si="5"/>
        <v>0.16755199897009102</v>
      </c>
      <c r="P38" s="254">
        <f t="shared" si="5"/>
        <v>0.17314844985309027</v>
      </c>
      <c r="Q38" s="254">
        <f t="shared" si="5"/>
        <v>0.1802954896752379</v>
      </c>
      <c r="R38" s="254">
        <f t="shared" si="5"/>
        <v>0.18690931424055685</v>
      </c>
      <c r="S38" s="254">
        <f t="shared" si="5"/>
        <v>0.19360466484360228</v>
      </c>
      <c r="T38" s="254">
        <f t="shared" si="5"/>
        <v>0.19869424877143191</v>
      </c>
      <c r="U38" s="254">
        <f t="shared" si="5"/>
        <v>0.20498548292150637</v>
      </c>
      <c r="V38" s="254">
        <f t="shared" si="5"/>
        <v>0.21196791337044665</v>
      </c>
      <c r="W38" s="254">
        <f t="shared" si="5"/>
        <v>0.21745804607503344</v>
      </c>
      <c r="X38" s="254">
        <f t="shared" si="5"/>
        <v>0.22329752039270284</v>
      </c>
      <c r="Y38" s="254">
        <f t="shared" si="5"/>
        <v>0.22935754481971485</v>
      </c>
      <c r="Z38" s="254">
        <f t="shared" si="5"/>
        <v>0.23599395147776694</v>
      </c>
      <c r="AA38" s="254">
        <f t="shared" si="5"/>
        <v>0.24439667036444396</v>
      </c>
      <c r="AB38" s="254">
        <f t="shared" si="5"/>
        <v>0.25392127196844522</v>
      </c>
      <c r="AC38" s="254">
        <f t="shared" si="5"/>
        <v>0.26213313156804163</v>
      </c>
      <c r="AD38" s="254">
        <f t="shared" si="5"/>
        <v>0.26930461633653302</v>
      </c>
      <c r="AE38" s="254">
        <f t="shared" si="5"/>
        <v>0.27786838860027485</v>
      </c>
      <c r="AF38" s="254">
        <f t="shared" si="5"/>
        <v>0.28658712039147305</v>
      </c>
      <c r="AG38" s="254">
        <f t="shared" si="5"/>
        <v>0.29316984747335328</v>
      </c>
      <c r="AH38" s="254">
        <f t="shared" si="5"/>
        <v>0.30007561071186795</v>
      </c>
      <c r="AI38" s="254">
        <f t="shared" si="5"/>
        <v>0.31018576958099975</v>
      </c>
      <c r="AJ38" s="254">
        <f t="shared" si="5"/>
        <v>0.30271769320962227</v>
      </c>
      <c r="AK38" s="254">
        <f t="shared" si="5"/>
        <v>0.29542941929908645</v>
      </c>
      <c r="AL38" s="254">
        <f t="shared" si="5"/>
        <v>0.28831661889996579</v>
      </c>
      <c r="AM38" s="254">
        <f t="shared" si="5"/>
        <v>0.28137506728723127</v>
      </c>
      <c r="AN38" s="254">
        <f t="shared" si="5"/>
        <v>0.27460064145092999</v>
      </c>
      <c r="AO38" s="254">
        <f t="shared" si="5"/>
        <v>0.26798931764727862</v>
      </c>
      <c r="AP38" s="254">
        <f t="shared" si="5"/>
        <v>0.2615371690087171</v>
      </c>
      <c r="AQ38" s="254">
        <f t="shared" si="5"/>
        <v>0.25524036321150301</v>
      </c>
      <c r="AR38" s="254">
        <f t="shared" si="5"/>
        <v>0.24909516019946132</v>
      </c>
      <c r="AS38" s="254">
        <f t="shared" si="5"/>
        <v>0.24309790996253738</v>
      </c>
      <c r="AT38" s="254">
        <f t="shared" si="5"/>
        <v>0.23724505036883384</v>
      </c>
      <c r="AU38" s="254">
        <f t="shared" si="5"/>
        <v>0.23153310504884364</v>
      </c>
      <c r="AV38" s="254">
        <f t="shared" si="5"/>
        <v>0.22595868133062275</v>
      </c>
      <c r="AW38" s="254">
        <f t="shared" si="5"/>
        <v>0.22051846822467566</v>
      </c>
      <c r="AX38" s="254">
        <f t="shared" si="5"/>
        <v>0.21520923445735737</v>
      </c>
      <c r="AY38" s="254">
        <f t="shared" si="5"/>
        <v>0.21002782655162322</v>
      </c>
      <c r="AZ38" s="254">
        <f t="shared" si="5"/>
        <v>0.20497116695398698</v>
      </c>
      <c r="BA38" s="254">
        <f t="shared" si="5"/>
        <v>0.20003625220657459</v>
      </c>
      <c r="BB38" s="254">
        <f t="shared" si="5"/>
        <v>0.19522015116318767</v>
      </c>
      <c r="BC38" s="254">
        <f t="shared" si="5"/>
        <v>0.19052000324831747</v>
      </c>
      <c r="BD38" s="254">
        <f t="shared" si="5"/>
        <v>0.18593301675807497</v>
      </c>
      <c r="BE38" s="254">
        <f t="shared" si="5"/>
        <v>0.18145646720202799</v>
      </c>
      <c r="BF38" s="254">
        <f t="shared" si="5"/>
        <v>0.17708769568496061</v>
      </c>
      <c r="BG38" s="254">
        <f t="shared" si="5"/>
        <v>0.1728241073275934</v>
      </c>
      <c r="BH38" s="254">
        <f t="shared" si="5"/>
        <v>0.16866316972532674</v>
      </c>
      <c r="BI38" s="254">
        <f t="shared" si="5"/>
        <v>0.1646024114440916</v>
      </c>
      <c r="BJ38" s="254">
        <f t="shared" si="5"/>
        <v>0.16063942055241442</v>
      </c>
      <c r="BK38" s="254">
        <f t="shared" si="5"/>
        <v>0.15677184318882431</v>
      </c>
      <c r="BL38" s="254">
        <f t="shared" si="5"/>
        <v>0.15299738216375133</v>
      </c>
      <c r="BM38" s="254">
        <f t="shared" si="5"/>
        <v>0.1493137955950859</v>
      </c>
      <c r="BN38" s="254">
        <f t="shared" si="5"/>
        <v>0.14571889557658857</v>
      </c>
      <c r="BO38" s="254">
        <f t="shared" si="5"/>
        <v>0.1422105468783593</v>
      </c>
      <c r="BP38" s="254">
        <f t="shared" si="5"/>
        <v>0.13878666567859455</v>
      </c>
      <c r="BQ38" s="254">
        <f t="shared" si="5"/>
        <v>0.13544521832587864</v>
      </c>
      <c r="BR38" s="254">
        <f t="shared" si="5"/>
        <v>0.13218422013127443</v>
      </c>
      <c r="BS38" s="254">
        <f t="shared" si="5"/>
        <v>0.12900173418949576</v>
      </c>
      <c r="BT38" s="254">
        <f t="shared" si="5"/>
        <v>0.12589587022846155</v>
      </c>
      <c r="BU38" s="254">
        <f t="shared" ref="BU38:DR38" si="6">+BT38+$B$8*(BU37-BT38)</f>
        <v>0.12286478348654813</v>
      </c>
      <c r="BV38" s="254">
        <f t="shared" si="6"/>
        <v>0.1199066736168731</v>
      </c>
      <c r="BW38" s="254">
        <f t="shared" si="6"/>
        <v>0.11701978361795971</v>
      </c>
      <c r="BX38" s="254">
        <f t="shared" si="6"/>
        <v>0.11420239879014676</v>
      </c>
      <c r="BY38" s="254">
        <f t="shared" si="6"/>
        <v>0.11145284571712415</v>
      </c>
      <c r="BZ38" s="254">
        <f t="shared" si="6"/>
        <v>0.10876949127198902</v>
      </c>
      <c r="CA38" s="254">
        <f t="shared" si="6"/>
        <v>0.10615074164723239</v>
      </c>
      <c r="CB38" s="254">
        <f t="shared" si="6"/>
        <v>0.10359504140807979</v>
      </c>
      <c r="CC38" s="254">
        <f t="shared" si="6"/>
        <v>0.10110087256862398</v>
      </c>
      <c r="CD38" s="254">
        <f t="shared" si="6"/>
        <v>9.8666753690200629E-2</v>
      </c>
      <c r="CE38" s="254">
        <f t="shared" si="6"/>
        <v>9.6291239001471837E-2</v>
      </c>
      <c r="CF38" s="254">
        <f t="shared" si="6"/>
        <v>9.39729175396945E-2</v>
      </c>
      <c r="CG38" s="254">
        <f t="shared" si="6"/>
        <v>9.171041231266365E-2</v>
      </c>
      <c r="CH38" s="254">
        <f t="shared" si="6"/>
        <v>8.9502379480833047E-2</v>
      </c>
      <c r="CI38" s="254">
        <f t="shared" si="6"/>
        <v>8.7347507559127027E-2</v>
      </c>
      <c r="CJ38" s="254">
        <f t="shared" si="6"/>
        <v>8.5244516637969725E-2</v>
      </c>
      <c r="CK38" s="254">
        <f t="shared" si="6"/>
        <v>8.3192157623068891E-2</v>
      </c>
      <c r="CL38" s="254">
        <f t="shared" si="6"/>
        <v>8.1189211493502778E-2</v>
      </c>
      <c r="CM38" s="254">
        <f t="shared" si="6"/>
        <v>7.923448857766939E-2</v>
      </c>
      <c r="CN38" s="254">
        <f t="shared" si="6"/>
        <v>7.7326827846668153E-2</v>
      </c>
      <c r="CO38" s="254">
        <f t="shared" si="6"/>
        <v>7.5465096224694189E-2</v>
      </c>
      <c r="CP38" s="254">
        <f t="shared" si="6"/>
        <v>7.364818791603564E-2</v>
      </c>
      <c r="CQ38" s="254">
        <f t="shared" si="6"/>
        <v>7.1875023748274272E-2</v>
      </c>
      <c r="CR38" s="254">
        <f t="shared" si="6"/>
        <v>7.0144550531299324E-2</v>
      </c>
      <c r="CS38" s="254">
        <f t="shared" si="6"/>
        <v>6.8455740431753814E-2</v>
      </c>
      <c r="CT38" s="254">
        <f t="shared" si="6"/>
        <v>6.6807590362541719E-2</v>
      </c>
      <c r="CU38" s="254">
        <f t="shared" si="6"/>
        <v>6.5199121387033543E-2</v>
      </c>
      <c r="CV38" s="254">
        <f t="shared" si="6"/>
        <v>6.3629378137616266E-2</v>
      </c>
      <c r="CW38" s="254">
        <f t="shared" si="6"/>
        <v>6.2097428248242353E-2</v>
      </c>
      <c r="CX38" s="254">
        <f t="shared" si="6"/>
        <v>6.0602361800640839E-2</v>
      </c>
      <c r="CY38" s="254">
        <f t="shared" si="6"/>
        <v>5.9143290783861484E-2</v>
      </c>
      <c r="CZ38" s="254">
        <f t="shared" si="6"/>
        <v>5.7719348566831037E-2</v>
      </c>
      <c r="DA38" s="254">
        <f t="shared" si="6"/>
        <v>5.6329689383608286E-2</v>
      </c>
      <c r="DB38" s="254">
        <f t="shared" si="6"/>
        <v>5.497348783103221E-2</v>
      </c>
      <c r="DC38" s="254">
        <f t="shared" si="6"/>
        <v>5.3649938378464782E-2</v>
      </c>
      <c r="DD38" s="254">
        <f t="shared" si="6"/>
        <v>5.2358254889337326E-2</v>
      </c>
      <c r="DE38" s="254">
        <f t="shared" si="6"/>
        <v>5.1097670154216158E-2</v>
      </c>
      <c r="DF38" s="254">
        <f t="shared" si="6"/>
        <v>4.9867435435110213E-2</v>
      </c>
      <c r="DG38" s="254">
        <f t="shared" si="6"/>
        <v>4.8666820020749985E-2</v>
      </c>
      <c r="DH38" s="254">
        <f t="shared" si="6"/>
        <v>4.7495110792573625E-2</v>
      </c>
      <c r="DI38" s="254">
        <f t="shared" si="6"/>
        <v>4.6351611801162443E-2</v>
      </c>
      <c r="DJ38" s="254">
        <f t="shared" si="6"/>
        <v>4.5235643852874187E-2</v>
      </c>
      <c r="DK38" s="254">
        <f t="shared" si="6"/>
        <v>4.4146544106428598E-2</v>
      </c>
      <c r="DL38" s="254">
        <f t="shared" si="6"/>
        <v>4.308366567920565E-2</v>
      </c>
      <c r="DM38" s="254">
        <f t="shared" si="6"/>
        <v>4.2046377263022579E-2</v>
      </c>
      <c r="DN38" s="254">
        <f t="shared" si="6"/>
        <v>4.1034062749161541E-2</v>
      </c>
      <c r="DO38" s="254">
        <f t="shared" si="6"/>
        <v>4.0046120862425143E-2</v>
      </c>
      <c r="DP38" s="254">
        <f t="shared" si="6"/>
        <v>3.9081964804002521E-2</v>
      </c>
      <c r="DQ38" s="254">
        <f t="shared" si="6"/>
        <v>3.8141021902933808E-2</v>
      </c>
      <c r="DR38" s="254">
        <f t="shared" si="6"/>
        <v>3.7222733275965994E-2</v>
      </c>
      <c r="DS38" s="220"/>
      <c r="DT38" s="220"/>
      <c r="DU38" s="220"/>
      <c r="DV38" s="220"/>
      <c r="DW38" s="220"/>
      <c r="DX38" s="220"/>
      <c r="DY38" s="220"/>
    </row>
    <row r="39" spans="1:129" s="220" customFormat="1" x14ac:dyDescent="0.2">
      <c r="A39" s="170"/>
      <c r="B39" s="245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45"/>
      <c r="AH39" s="245"/>
      <c r="AI39" s="245"/>
      <c r="AJ39" s="245"/>
      <c r="AK39" s="245"/>
      <c r="AL39" s="245"/>
      <c r="AM39" s="245"/>
      <c r="AN39" s="245"/>
      <c r="AO39" s="245"/>
      <c r="AP39" s="245"/>
      <c r="AQ39" s="245"/>
      <c r="AR39" s="245"/>
      <c r="AS39" s="245"/>
      <c r="AT39" s="245"/>
      <c r="AU39" s="245"/>
      <c r="AV39" s="245"/>
      <c r="AW39" s="245"/>
      <c r="AX39" s="245"/>
      <c r="AY39" s="245"/>
      <c r="AZ39" s="245"/>
      <c r="BA39" s="245"/>
      <c r="BB39" s="245"/>
      <c r="BC39" s="245"/>
      <c r="BD39" s="245"/>
      <c r="BE39" s="245"/>
      <c r="BF39" s="245"/>
      <c r="BG39" s="245"/>
      <c r="BH39" s="245"/>
      <c r="BI39" s="245"/>
      <c r="BJ39" s="245"/>
      <c r="BK39" s="245"/>
      <c r="BL39" s="245"/>
      <c r="BM39" s="245"/>
      <c r="BN39" s="245"/>
      <c r="BO39" s="245"/>
      <c r="BP39" s="245"/>
      <c r="BQ39" s="245"/>
      <c r="BR39" s="245"/>
      <c r="BS39" s="245"/>
      <c r="BT39" s="245"/>
      <c r="BU39" s="245"/>
      <c r="BV39" s="245"/>
      <c r="BW39" s="245"/>
      <c r="BX39" s="245"/>
      <c r="BY39" s="245"/>
      <c r="BZ39" s="245"/>
      <c r="CA39" s="245"/>
      <c r="CB39" s="245"/>
      <c r="CC39" s="245"/>
      <c r="CD39" s="245"/>
      <c r="CE39" s="245"/>
      <c r="CF39" s="245"/>
      <c r="CG39" s="245"/>
      <c r="CH39" s="245"/>
      <c r="CI39" s="245"/>
      <c r="CJ39" s="245"/>
      <c r="CK39" s="245"/>
      <c r="CL39" s="245"/>
      <c r="CM39" s="245"/>
      <c r="CN39" s="245"/>
      <c r="CO39" s="245"/>
      <c r="CP39" s="245"/>
      <c r="CQ39" s="245"/>
      <c r="CR39" s="245"/>
      <c r="CS39" s="245"/>
      <c r="CT39" s="245"/>
      <c r="CU39" s="245"/>
      <c r="CV39" s="245"/>
      <c r="CW39" s="245"/>
      <c r="CX39" s="245"/>
      <c r="CY39" s="245"/>
      <c r="CZ39" s="245"/>
      <c r="DA39" s="245"/>
      <c r="DB39" s="245"/>
      <c r="DC39" s="245"/>
      <c r="DD39" s="245"/>
      <c r="DE39" s="245"/>
      <c r="DF39" s="245"/>
      <c r="DG39" s="245"/>
      <c r="DH39" s="245"/>
      <c r="DI39" s="245"/>
      <c r="DJ39" s="245"/>
      <c r="DK39" s="245"/>
      <c r="DL39" s="245"/>
      <c r="DM39" s="245"/>
      <c r="DN39" s="245"/>
      <c r="DO39" s="245"/>
      <c r="DP39" s="245"/>
      <c r="DQ39" s="245"/>
      <c r="DR39" s="245"/>
      <c r="DS39" s="170"/>
      <c r="DT39" s="170"/>
      <c r="DU39" s="170"/>
      <c r="DV39" s="170"/>
      <c r="DW39" s="170"/>
      <c r="DX39" s="170"/>
      <c r="DY39" s="170"/>
    </row>
    <row r="40" spans="1:129" s="220" customFormat="1" x14ac:dyDescent="0.2">
      <c r="A40" s="253" t="s">
        <v>817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  <c r="U40" s="245"/>
      <c r="V40" s="245"/>
      <c r="W40" s="245"/>
      <c r="X40" s="245"/>
      <c r="Y40" s="245"/>
      <c r="Z40" s="245"/>
      <c r="AA40" s="245"/>
      <c r="AB40" s="245"/>
      <c r="AC40" s="245"/>
      <c r="AD40" s="245"/>
      <c r="AE40" s="245"/>
      <c r="AF40" s="245"/>
      <c r="AG40" s="245"/>
      <c r="AH40" s="245"/>
      <c r="AI40" s="245"/>
      <c r="AJ40" s="245"/>
      <c r="AK40" s="245"/>
      <c r="AL40" s="245"/>
      <c r="AM40" s="245"/>
      <c r="AN40" s="245"/>
      <c r="AO40" s="245"/>
      <c r="AP40" s="245"/>
      <c r="AQ40" s="245"/>
      <c r="AR40" s="245"/>
      <c r="AS40" s="245"/>
      <c r="AT40" s="245"/>
      <c r="AU40" s="245"/>
      <c r="AV40" s="245"/>
      <c r="AW40" s="245"/>
      <c r="AX40" s="245"/>
      <c r="AY40" s="245"/>
      <c r="AZ40" s="245"/>
      <c r="BA40" s="245"/>
      <c r="BB40" s="245"/>
      <c r="BC40" s="245"/>
      <c r="BD40" s="245"/>
      <c r="BE40" s="245"/>
      <c r="BF40" s="245"/>
      <c r="BG40" s="245"/>
      <c r="BH40" s="245"/>
      <c r="BI40" s="245"/>
      <c r="BJ40" s="245"/>
      <c r="BK40" s="245"/>
      <c r="BL40" s="245"/>
      <c r="BM40" s="245"/>
      <c r="BN40" s="245"/>
      <c r="BO40" s="245"/>
      <c r="BP40" s="245"/>
      <c r="BQ40" s="245"/>
      <c r="BR40" s="245"/>
      <c r="BS40" s="245"/>
      <c r="BT40" s="245"/>
      <c r="BU40" s="245"/>
      <c r="BV40" s="245"/>
      <c r="BW40" s="245"/>
      <c r="BX40" s="245"/>
      <c r="BY40" s="245"/>
      <c r="BZ40" s="245"/>
      <c r="CA40" s="245"/>
      <c r="CB40" s="245"/>
      <c r="CC40" s="245"/>
      <c r="CD40" s="245"/>
      <c r="CE40" s="245"/>
      <c r="CF40" s="245"/>
      <c r="CG40" s="245"/>
      <c r="CH40" s="245"/>
      <c r="CI40" s="245"/>
      <c r="CJ40" s="245"/>
      <c r="CK40" s="245"/>
      <c r="CL40" s="245"/>
      <c r="CM40" s="245"/>
      <c r="CN40" s="245"/>
      <c r="CO40" s="245"/>
      <c r="CP40" s="245"/>
      <c r="CQ40" s="245"/>
      <c r="CR40" s="245"/>
      <c r="CS40" s="245"/>
      <c r="CT40" s="245"/>
      <c r="CU40" s="245"/>
      <c r="CV40" s="245"/>
      <c r="CW40" s="245"/>
      <c r="CX40" s="245"/>
      <c r="CY40" s="245"/>
      <c r="CZ40" s="245"/>
      <c r="DA40" s="245"/>
      <c r="DB40" s="245"/>
      <c r="DC40" s="245"/>
      <c r="DD40" s="245"/>
      <c r="DE40" s="245"/>
      <c r="DF40" s="245"/>
      <c r="DG40" s="245"/>
      <c r="DH40" s="245"/>
      <c r="DI40" s="245"/>
      <c r="DJ40" s="245"/>
      <c r="DK40" s="245"/>
      <c r="DL40" s="245"/>
      <c r="DM40" s="245"/>
      <c r="DN40" s="245"/>
      <c r="DO40" s="245"/>
      <c r="DP40" s="245"/>
      <c r="DQ40" s="245"/>
      <c r="DR40" s="245"/>
      <c r="DS40" s="170"/>
      <c r="DT40" s="170"/>
      <c r="DU40" s="170"/>
      <c r="DV40" s="170"/>
      <c r="DW40" s="170"/>
      <c r="DX40" s="170"/>
      <c r="DY40" s="170"/>
    </row>
    <row r="41" spans="1:129" x14ac:dyDescent="0.2">
      <c r="A41" s="220" t="s">
        <v>767</v>
      </c>
      <c r="B41" s="254">
        <f>+B12</f>
        <v>0.26</v>
      </c>
      <c r="C41" s="254">
        <f t="shared" ref="C41:BN41" si="7">+$B$41-B43</f>
        <v>0.24624000000000001</v>
      </c>
      <c r="D41" s="254">
        <f t="shared" si="7"/>
        <v>0.24116366769230771</v>
      </c>
      <c r="E41" s="254">
        <f t="shared" si="7"/>
        <v>0.23752766162556213</v>
      </c>
      <c r="F41" s="254">
        <f t="shared" si="7"/>
        <v>0.2338733899082458</v>
      </c>
      <c r="G41" s="254">
        <f t="shared" si="7"/>
        <v>0.22969964941142174</v>
      </c>
      <c r="H41" s="254">
        <f t="shared" si="7"/>
        <v>0.2246815955319722</v>
      </c>
      <c r="I41" s="254">
        <f t="shared" si="7"/>
        <v>0.22053362761445888</v>
      </c>
      <c r="J41" s="254">
        <f t="shared" si="7"/>
        <v>0.21558010305573411</v>
      </c>
      <c r="K41" s="254">
        <f t="shared" si="7"/>
        <v>0.2098091895277806</v>
      </c>
      <c r="L41" s="254">
        <f t="shared" si="7"/>
        <v>0.20561300573722499</v>
      </c>
      <c r="M41" s="254">
        <f t="shared" si="7"/>
        <v>0.20143748008225365</v>
      </c>
      <c r="N41" s="254">
        <f t="shared" si="7"/>
        <v>0.19647901903407511</v>
      </c>
      <c r="O41" s="254">
        <f t="shared" si="7"/>
        <v>0.19103806158390071</v>
      </c>
      <c r="P41" s="254">
        <f t="shared" si="7"/>
        <v>0.18580655774360311</v>
      </c>
      <c r="Q41" s="254">
        <f t="shared" si="7"/>
        <v>0.18123285786068366</v>
      </c>
      <c r="R41" s="254">
        <f t="shared" si="7"/>
        <v>0.17599104597179005</v>
      </c>
      <c r="S41" s="254">
        <f t="shared" si="7"/>
        <v>0.17106329668457992</v>
      </c>
      <c r="T41" s="254">
        <f t="shared" si="7"/>
        <v>0.16616825465637503</v>
      </c>
      <c r="U41" s="254">
        <f t="shared" si="7"/>
        <v>0.16202683046340075</v>
      </c>
      <c r="V41" s="254">
        <f t="shared" si="7"/>
        <v>0.15744022480105219</v>
      </c>
      <c r="W41" s="254">
        <f t="shared" si="7"/>
        <v>0.15264435333788168</v>
      </c>
      <c r="X41" s="254">
        <f t="shared" si="7"/>
        <v>0.14851121392442518</v>
      </c>
      <c r="Y41" s="254">
        <f t="shared" si="7"/>
        <v>0.14430720417641069</v>
      </c>
      <c r="Z41" s="254">
        <f t="shared" si="7"/>
        <v>0.14008899359279253</v>
      </c>
      <c r="AA41" s="254">
        <f t="shared" si="7"/>
        <v>0.13573545871498577</v>
      </c>
      <c r="AB41" s="254">
        <f t="shared" si="7"/>
        <v>0.13084898220124627</v>
      </c>
      <c r="AC41" s="254">
        <f t="shared" si="7"/>
        <v>0.1256955453637818</v>
      </c>
      <c r="AD41" s="254">
        <f t="shared" si="7"/>
        <v>0.12109315462584641</v>
      </c>
      <c r="AE41" s="254">
        <f t="shared" si="7"/>
        <v>0.11692009822027877</v>
      </c>
      <c r="AF41" s="254">
        <f t="shared" si="7"/>
        <v>0.11242317136565266</v>
      </c>
      <c r="AG41" s="254">
        <f t="shared" si="7"/>
        <v>0.10799542800109774</v>
      </c>
      <c r="AH41" s="254">
        <f t="shared" si="7"/>
        <v>0.1042737394053676</v>
      </c>
      <c r="AI41" s="254">
        <f t="shared" si="7"/>
        <v>0.1005519690142837</v>
      </c>
      <c r="AJ41" s="254">
        <f t="shared" si="7"/>
        <v>9.6096743310266214E-2</v>
      </c>
      <c r="AK41" s="254">
        <f t="shared" si="7"/>
        <v>9.6096743310266214E-2</v>
      </c>
      <c r="AL41" s="254">
        <f t="shared" si="7"/>
        <v>9.6096743310266214E-2</v>
      </c>
      <c r="AM41" s="254">
        <f t="shared" si="7"/>
        <v>9.6096743310266214E-2</v>
      </c>
      <c r="AN41" s="254">
        <f t="shared" si="7"/>
        <v>9.6096743310266214E-2</v>
      </c>
      <c r="AO41" s="254">
        <f t="shared" si="7"/>
        <v>9.6096743310266214E-2</v>
      </c>
      <c r="AP41" s="254">
        <f t="shared" si="7"/>
        <v>9.6096743310266214E-2</v>
      </c>
      <c r="AQ41" s="254">
        <f t="shared" si="7"/>
        <v>9.6096743310266214E-2</v>
      </c>
      <c r="AR41" s="254">
        <f t="shared" si="7"/>
        <v>9.6096743310266214E-2</v>
      </c>
      <c r="AS41" s="254">
        <f t="shared" si="7"/>
        <v>9.6096743310266214E-2</v>
      </c>
      <c r="AT41" s="254">
        <f t="shared" si="7"/>
        <v>9.6096743310266214E-2</v>
      </c>
      <c r="AU41" s="254">
        <f t="shared" si="7"/>
        <v>9.6096743310266214E-2</v>
      </c>
      <c r="AV41" s="254">
        <f t="shared" si="7"/>
        <v>9.6096743310266214E-2</v>
      </c>
      <c r="AW41" s="254">
        <f t="shared" si="7"/>
        <v>9.6096743310266214E-2</v>
      </c>
      <c r="AX41" s="254">
        <f t="shared" si="7"/>
        <v>9.6096743310266214E-2</v>
      </c>
      <c r="AY41" s="254">
        <f t="shared" si="7"/>
        <v>9.6096743310266214E-2</v>
      </c>
      <c r="AZ41" s="254">
        <f t="shared" si="7"/>
        <v>9.6096743310266214E-2</v>
      </c>
      <c r="BA41" s="254">
        <f t="shared" si="7"/>
        <v>9.6096743310266214E-2</v>
      </c>
      <c r="BB41" s="254">
        <f t="shared" si="7"/>
        <v>9.6096743310266214E-2</v>
      </c>
      <c r="BC41" s="254">
        <f t="shared" si="7"/>
        <v>9.6096743310266214E-2</v>
      </c>
      <c r="BD41" s="254">
        <f t="shared" si="7"/>
        <v>9.6096743310266214E-2</v>
      </c>
      <c r="BE41" s="254">
        <f t="shared" si="7"/>
        <v>9.6096743310266214E-2</v>
      </c>
      <c r="BF41" s="254">
        <f t="shared" si="7"/>
        <v>9.6096743310266214E-2</v>
      </c>
      <c r="BG41" s="254">
        <f t="shared" si="7"/>
        <v>9.6096743310266214E-2</v>
      </c>
      <c r="BH41" s="254">
        <f t="shared" si="7"/>
        <v>9.6096743310266214E-2</v>
      </c>
      <c r="BI41" s="254">
        <f t="shared" si="7"/>
        <v>9.6096743310266214E-2</v>
      </c>
      <c r="BJ41" s="254">
        <f t="shared" si="7"/>
        <v>9.6096743310266214E-2</v>
      </c>
      <c r="BK41" s="254">
        <f t="shared" si="7"/>
        <v>9.6096743310266214E-2</v>
      </c>
      <c r="BL41" s="254">
        <f t="shared" si="7"/>
        <v>9.6096743310266214E-2</v>
      </c>
      <c r="BM41" s="254">
        <f t="shared" si="7"/>
        <v>9.6096743310266214E-2</v>
      </c>
      <c r="BN41" s="254">
        <f t="shared" si="7"/>
        <v>9.6096743310266214E-2</v>
      </c>
      <c r="BO41" s="254">
        <f t="shared" ref="BO41:DR41" si="8">+$B$41-BN43</f>
        <v>9.6096743310266214E-2</v>
      </c>
      <c r="BP41" s="254">
        <f t="shared" si="8"/>
        <v>9.6096743310266214E-2</v>
      </c>
      <c r="BQ41" s="254">
        <f t="shared" si="8"/>
        <v>9.6096743310266214E-2</v>
      </c>
      <c r="BR41" s="254">
        <f t="shared" si="8"/>
        <v>9.6096743310266214E-2</v>
      </c>
      <c r="BS41" s="254">
        <f t="shared" si="8"/>
        <v>9.6096743310266214E-2</v>
      </c>
      <c r="BT41" s="254">
        <f t="shared" si="8"/>
        <v>9.6096743310266214E-2</v>
      </c>
      <c r="BU41" s="254">
        <f t="shared" si="8"/>
        <v>9.6096743310266214E-2</v>
      </c>
      <c r="BV41" s="254">
        <f t="shared" si="8"/>
        <v>9.6096743310266214E-2</v>
      </c>
      <c r="BW41" s="254">
        <f t="shared" si="8"/>
        <v>9.6096743310266214E-2</v>
      </c>
      <c r="BX41" s="254">
        <f t="shared" si="8"/>
        <v>9.6096743310266214E-2</v>
      </c>
      <c r="BY41" s="254">
        <f t="shared" si="8"/>
        <v>9.6096743310266214E-2</v>
      </c>
      <c r="BZ41" s="254">
        <f t="shared" si="8"/>
        <v>9.6096743310266214E-2</v>
      </c>
      <c r="CA41" s="254">
        <f t="shared" si="8"/>
        <v>9.6096743310266214E-2</v>
      </c>
      <c r="CB41" s="254">
        <f t="shared" si="8"/>
        <v>9.6096743310266214E-2</v>
      </c>
      <c r="CC41" s="254">
        <f t="shared" si="8"/>
        <v>9.6096743310266214E-2</v>
      </c>
      <c r="CD41" s="254">
        <f t="shared" si="8"/>
        <v>9.6096743310266214E-2</v>
      </c>
      <c r="CE41" s="254">
        <f t="shared" si="8"/>
        <v>9.6096743310266214E-2</v>
      </c>
      <c r="CF41" s="254">
        <f t="shared" si="8"/>
        <v>9.6096743310266214E-2</v>
      </c>
      <c r="CG41" s="254">
        <f t="shared" si="8"/>
        <v>9.6096743310266214E-2</v>
      </c>
      <c r="CH41" s="254">
        <f t="shared" si="8"/>
        <v>9.6096743310266214E-2</v>
      </c>
      <c r="CI41" s="254">
        <f t="shared" si="8"/>
        <v>9.6096743310266214E-2</v>
      </c>
      <c r="CJ41" s="254">
        <f t="shared" si="8"/>
        <v>9.6096743310266214E-2</v>
      </c>
      <c r="CK41" s="254">
        <f t="shared" si="8"/>
        <v>9.6096743310266214E-2</v>
      </c>
      <c r="CL41" s="254">
        <f t="shared" si="8"/>
        <v>9.6096743310266214E-2</v>
      </c>
      <c r="CM41" s="254">
        <f t="shared" si="8"/>
        <v>9.6096743310266214E-2</v>
      </c>
      <c r="CN41" s="254">
        <f t="shared" si="8"/>
        <v>9.6096743310266214E-2</v>
      </c>
      <c r="CO41" s="254">
        <f t="shared" si="8"/>
        <v>9.6096743310266214E-2</v>
      </c>
      <c r="CP41" s="254">
        <f t="shared" si="8"/>
        <v>9.6096743310266214E-2</v>
      </c>
      <c r="CQ41" s="254">
        <f t="shared" si="8"/>
        <v>9.6096743310266214E-2</v>
      </c>
      <c r="CR41" s="254">
        <f t="shared" si="8"/>
        <v>9.6096743310266214E-2</v>
      </c>
      <c r="CS41" s="254">
        <f t="shared" si="8"/>
        <v>9.6096743310266214E-2</v>
      </c>
      <c r="CT41" s="254">
        <f t="shared" si="8"/>
        <v>9.6096743310266214E-2</v>
      </c>
      <c r="CU41" s="254">
        <f t="shared" si="8"/>
        <v>9.6096743310266214E-2</v>
      </c>
      <c r="CV41" s="254">
        <f t="shared" si="8"/>
        <v>9.6096743310266214E-2</v>
      </c>
      <c r="CW41" s="254">
        <f t="shared" si="8"/>
        <v>9.6096743310266214E-2</v>
      </c>
      <c r="CX41" s="254">
        <f t="shared" si="8"/>
        <v>9.6096743310266214E-2</v>
      </c>
      <c r="CY41" s="254">
        <f t="shared" si="8"/>
        <v>9.6096743310266214E-2</v>
      </c>
      <c r="CZ41" s="254">
        <f t="shared" si="8"/>
        <v>9.6096743310266214E-2</v>
      </c>
      <c r="DA41" s="254">
        <f t="shared" si="8"/>
        <v>9.6096743310266214E-2</v>
      </c>
      <c r="DB41" s="254">
        <f t="shared" si="8"/>
        <v>9.6096743310266214E-2</v>
      </c>
      <c r="DC41" s="254">
        <f t="shared" si="8"/>
        <v>9.6096743310266214E-2</v>
      </c>
      <c r="DD41" s="254">
        <f t="shared" si="8"/>
        <v>9.6096743310266214E-2</v>
      </c>
      <c r="DE41" s="254">
        <f t="shared" si="8"/>
        <v>9.6096743310266214E-2</v>
      </c>
      <c r="DF41" s="254">
        <f t="shared" si="8"/>
        <v>9.6096743310266214E-2</v>
      </c>
      <c r="DG41" s="254">
        <f t="shared" si="8"/>
        <v>9.6096743310266214E-2</v>
      </c>
      <c r="DH41" s="254">
        <f t="shared" si="8"/>
        <v>9.6096743310266214E-2</v>
      </c>
      <c r="DI41" s="254">
        <f t="shared" si="8"/>
        <v>9.6096743310266214E-2</v>
      </c>
      <c r="DJ41" s="254">
        <f t="shared" si="8"/>
        <v>9.6096743310266214E-2</v>
      </c>
      <c r="DK41" s="254">
        <f t="shared" si="8"/>
        <v>9.6096743310266214E-2</v>
      </c>
      <c r="DL41" s="254">
        <f t="shared" si="8"/>
        <v>9.6096743310266214E-2</v>
      </c>
      <c r="DM41" s="254">
        <f t="shared" si="8"/>
        <v>9.6096743310266214E-2</v>
      </c>
      <c r="DN41" s="254">
        <f t="shared" si="8"/>
        <v>9.6096743310266214E-2</v>
      </c>
      <c r="DO41" s="254">
        <f t="shared" si="8"/>
        <v>9.6096743310266214E-2</v>
      </c>
      <c r="DP41" s="254">
        <f t="shared" si="8"/>
        <v>9.6096743310266214E-2</v>
      </c>
      <c r="DQ41" s="254">
        <f t="shared" si="8"/>
        <v>9.6096743310266214E-2</v>
      </c>
      <c r="DR41" s="254">
        <f t="shared" si="8"/>
        <v>9.6096743310266214E-2</v>
      </c>
      <c r="DS41" s="220"/>
      <c r="DT41" s="220"/>
      <c r="DU41" s="220"/>
      <c r="DV41" s="220"/>
      <c r="DW41" s="220"/>
      <c r="DX41" s="220"/>
      <c r="DY41" s="220"/>
    </row>
    <row r="42" spans="1:129" x14ac:dyDescent="0.2">
      <c r="A42" s="255" t="s">
        <v>768</v>
      </c>
      <c r="B42" s="256">
        <f>+$B$13*10*(B41/$B$12)^$B$11*(B3-B14)</f>
        <v>1.376E-2</v>
      </c>
      <c r="C42" s="256">
        <f t="shared" ref="C42:BN42" si="9">+$B$13*10*(C41/$B$12)^$B$11*(C3-$B$44)</f>
        <v>5.0763323076923085E-3</v>
      </c>
      <c r="D42" s="256">
        <f t="shared" si="9"/>
        <v>3.6360060667455624E-3</v>
      </c>
      <c r="E42" s="256">
        <f t="shared" si="9"/>
        <v>3.6542717173163402E-3</v>
      </c>
      <c r="F42" s="256">
        <f t="shared" si="9"/>
        <v>4.1737404968240788E-3</v>
      </c>
      <c r="G42" s="256">
        <f t="shared" si="9"/>
        <v>5.0180538794495208E-3</v>
      </c>
      <c r="H42" s="256">
        <f t="shared" si="9"/>
        <v>4.1479679175133325E-3</v>
      </c>
      <c r="I42" s="256">
        <f t="shared" si="9"/>
        <v>4.9535245587247687E-3</v>
      </c>
      <c r="J42" s="256">
        <f t="shared" si="9"/>
        <v>5.7709135279534977E-3</v>
      </c>
      <c r="K42" s="256">
        <f t="shared" si="9"/>
        <v>4.1961837905556123E-3</v>
      </c>
      <c r="L42" s="256">
        <f t="shared" si="9"/>
        <v>4.1755256549713387E-3</v>
      </c>
      <c r="M42" s="256">
        <f t="shared" si="9"/>
        <v>4.9584610481785514E-3</v>
      </c>
      <c r="N42" s="256">
        <f t="shared" si="9"/>
        <v>5.4409574501743871E-3</v>
      </c>
      <c r="O42" s="256">
        <f t="shared" si="9"/>
        <v>5.2315038402975887E-3</v>
      </c>
      <c r="P42" s="256">
        <f t="shared" si="9"/>
        <v>4.5736998829194611E-3</v>
      </c>
      <c r="Q42" s="256">
        <f t="shared" si="9"/>
        <v>5.2418118888936192E-3</v>
      </c>
      <c r="R42" s="256">
        <f t="shared" si="9"/>
        <v>4.9277492872101206E-3</v>
      </c>
      <c r="S42" s="256">
        <f t="shared" si="9"/>
        <v>4.8950420282049024E-3</v>
      </c>
      <c r="T42" s="256">
        <f t="shared" si="9"/>
        <v>4.1414241929742697E-3</v>
      </c>
      <c r="U42" s="256">
        <f t="shared" si="9"/>
        <v>4.586605662348575E-3</v>
      </c>
      <c r="V42" s="256">
        <f t="shared" si="9"/>
        <v>4.7958714631705125E-3</v>
      </c>
      <c r="W42" s="256">
        <f t="shared" si="9"/>
        <v>4.1331394134564887E-3</v>
      </c>
      <c r="X42" s="256">
        <f t="shared" si="9"/>
        <v>4.2040097480144974E-3</v>
      </c>
      <c r="Y42" s="256">
        <f t="shared" si="9"/>
        <v>4.2182105836181582E-3</v>
      </c>
      <c r="Z42" s="256">
        <f t="shared" si="9"/>
        <v>4.353534877806783E-3</v>
      </c>
      <c r="AA42" s="256">
        <f t="shared" si="9"/>
        <v>4.8864765137394874E-3</v>
      </c>
      <c r="AB42" s="256">
        <f t="shared" si="9"/>
        <v>5.1534368374644684E-3</v>
      </c>
      <c r="AC42" s="256">
        <f t="shared" si="9"/>
        <v>4.6023907379353956E-3</v>
      </c>
      <c r="AD42" s="256">
        <f t="shared" si="9"/>
        <v>4.1730564055676303E-3</v>
      </c>
      <c r="AE42" s="256">
        <f t="shared" si="9"/>
        <v>4.4969268546261069E-3</v>
      </c>
      <c r="AF42" s="256">
        <f t="shared" si="9"/>
        <v>4.4277433645549353E-3</v>
      </c>
      <c r="AG42" s="256">
        <f t="shared" si="9"/>
        <v>3.7216885957301379E-3</v>
      </c>
      <c r="AH42" s="256">
        <f t="shared" si="9"/>
        <v>3.7217703910838898E-3</v>
      </c>
      <c r="AI42" s="256">
        <f t="shared" si="9"/>
        <v>4.4552257040174929E-3</v>
      </c>
      <c r="AJ42" s="256">
        <f t="shared" si="9"/>
        <v>0</v>
      </c>
      <c r="AK42" s="256">
        <f t="shared" si="9"/>
        <v>0</v>
      </c>
      <c r="AL42" s="256">
        <f t="shared" si="9"/>
        <v>0</v>
      </c>
      <c r="AM42" s="256">
        <f t="shared" si="9"/>
        <v>0</v>
      </c>
      <c r="AN42" s="256">
        <f t="shared" si="9"/>
        <v>0</v>
      </c>
      <c r="AO42" s="256">
        <f t="shared" si="9"/>
        <v>0</v>
      </c>
      <c r="AP42" s="256">
        <f t="shared" si="9"/>
        <v>0</v>
      </c>
      <c r="AQ42" s="256">
        <f t="shared" si="9"/>
        <v>0</v>
      </c>
      <c r="AR42" s="256">
        <f t="shared" si="9"/>
        <v>0</v>
      </c>
      <c r="AS42" s="256">
        <f t="shared" si="9"/>
        <v>0</v>
      </c>
      <c r="AT42" s="256">
        <f t="shared" si="9"/>
        <v>0</v>
      </c>
      <c r="AU42" s="256">
        <f t="shared" si="9"/>
        <v>0</v>
      </c>
      <c r="AV42" s="256">
        <f t="shared" si="9"/>
        <v>0</v>
      </c>
      <c r="AW42" s="256">
        <f t="shared" si="9"/>
        <v>0</v>
      </c>
      <c r="AX42" s="256">
        <f t="shared" si="9"/>
        <v>0</v>
      </c>
      <c r="AY42" s="256">
        <f t="shared" si="9"/>
        <v>0</v>
      </c>
      <c r="AZ42" s="256">
        <f t="shared" si="9"/>
        <v>0</v>
      </c>
      <c r="BA42" s="256">
        <f t="shared" si="9"/>
        <v>0</v>
      </c>
      <c r="BB42" s="256">
        <f t="shared" si="9"/>
        <v>0</v>
      </c>
      <c r="BC42" s="256">
        <f t="shared" si="9"/>
        <v>0</v>
      </c>
      <c r="BD42" s="256">
        <f t="shared" si="9"/>
        <v>0</v>
      </c>
      <c r="BE42" s="256">
        <f t="shared" si="9"/>
        <v>0</v>
      </c>
      <c r="BF42" s="256">
        <f t="shared" si="9"/>
        <v>0</v>
      </c>
      <c r="BG42" s="256">
        <f t="shared" si="9"/>
        <v>0</v>
      </c>
      <c r="BH42" s="256">
        <f t="shared" si="9"/>
        <v>0</v>
      </c>
      <c r="BI42" s="256">
        <f t="shared" si="9"/>
        <v>0</v>
      </c>
      <c r="BJ42" s="256">
        <f t="shared" si="9"/>
        <v>0</v>
      </c>
      <c r="BK42" s="256">
        <f t="shared" si="9"/>
        <v>0</v>
      </c>
      <c r="BL42" s="256">
        <f t="shared" si="9"/>
        <v>0</v>
      </c>
      <c r="BM42" s="256">
        <f t="shared" si="9"/>
        <v>0</v>
      </c>
      <c r="BN42" s="256">
        <f t="shared" si="9"/>
        <v>0</v>
      </c>
      <c r="BO42" s="256">
        <f t="shared" ref="BO42:DR42" si="10">+$B$13*10*(BO41/$B$12)^$B$11*(BO3-$B$44)</f>
        <v>0</v>
      </c>
      <c r="BP42" s="256">
        <f t="shared" si="10"/>
        <v>0</v>
      </c>
      <c r="BQ42" s="256">
        <f t="shared" si="10"/>
        <v>0</v>
      </c>
      <c r="BR42" s="256">
        <f t="shared" si="10"/>
        <v>0</v>
      </c>
      <c r="BS42" s="256">
        <f t="shared" si="10"/>
        <v>0</v>
      </c>
      <c r="BT42" s="256">
        <f t="shared" si="10"/>
        <v>0</v>
      </c>
      <c r="BU42" s="256">
        <f t="shared" si="10"/>
        <v>0</v>
      </c>
      <c r="BV42" s="256">
        <f t="shared" si="10"/>
        <v>0</v>
      </c>
      <c r="BW42" s="256">
        <f t="shared" si="10"/>
        <v>0</v>
      </c>
      <c r="BX42" s="256">
        <f t="shared" si="10"/>
        <v>0</v>
      </c>
      <c r="BY42" s="256">
        <f t="shared" si="10"/>
        <v>0</v>
      </c>
      <c r="BZ42" s="256">
        <f t="shared" si="10"/>
        <v>0</v>
      </c>
      <c r="CA42" s="256">
        <f t="shared" si="10"/>
        <v>0</v>
      </c>
      <c r="CB42" s="256">
        <f t="shared" si="10"/>
        <v>0</v>
      </c>
      <c r="CC42" s="256">
        <f t="shared" si="10"/>
        <v>0</v>
      </c>
      <c r="CD42" s="256">
        <f t="shared" si="10"/>
        <v>0</v>
      </c>
      <c r="CE42" s="256">
        <f t="shared" si="10"/>
        <v>0</v>
      </c>
      <c r="CF42" s="256">
        <f t="shared" si="10"/>
        <v>0</v>
      </c>
      <c r="CG42" s="256">
        <f t="shared" si="10"/>
        <v>0</v>
      </c>
      <c r="CH42" s="256">
        <f t="shared" si="10"/>
        <v>0</v>
      </c>
      <c r="CI42" s="256">
        <f t="shared" si="10"/>
        <v>0</v>
      </c>
      <c r="CJ42" s="256">
        <f t="shared" si="10"/>
        <v>0</v>
      </c>
      <c r="CK42" s="256">
        <f t="shared" si="10"/>
        <v>0</v>
      </c>
      <c r="CL42" s="256">
        <f t="shared" si="10"/>
        <v>0</v>
      </c>
      <c r="CM42" s="256">
        <f t="shared" si="10"/>
        <v>0</v>
      </c>
      <c r="CN42" s="256">
        <f t="shared" si="10"/>
        <v>0</v>
      </c>
      <c r="CO42" s="256">
        <f t="shared" si="10"/>
        <v>0</v>
      </c>
      <c r="CP42" s="256">
        <f t="shared" si="10"/>
        <v>0</v>
      </c>
      <c r="CQ42" s="256">
        <f t="shared" si="10"/>
        <v>0</v>
      </c>
      <c r="CR42" s="256">
        <f t="shared" si="10"/>
        <v>0</v>
      </c>
      <c r="CS42" s="256">
        <f t="shared" si="10"/>
        <v>0</v>
      </c>
      <c r="CT42" s="256">
        <f t="shared" si="10"/>
        <v>0</v>
      </c>
      <c r="CU42" s="256">
        <f t="shared" si="10"/>
        <v>0</v>
      </c>
      <c r="CV42" s="256">
        <f t="shared" si="10"/>
        <v>0</v>
      </c>
      <c r="CW42" s="256">
        <f t="shared" si="10"/>
        <v>0</v>
      </c>
      <c r="CX42" s="256">
        <f t="shared" si="10"/>
        <v>0</v>
      </c>
      <c r="CY42" s="256">
        <f t="shared" si="10"/>
        <v>0</v>
      </c>
      <c r="CZ42" s="256">
        <f t="shared" si="10"/>
        <v>0</v>
      </c>
      <c r="DA42" s="256">
        <f t="shared" si="10"/>
        <v>0</v>
      </c>
      <c r="DB42" s="256">
        <f t="shared" si="10"/>
        <v>0</v>
      </c>
      <c r="DC42" s="256">
        <f t="shared" si="10"/>
        <v>0</v>
      </c>
      <c r="DD42" s="256">
        <f t="shared" si="10"/>
        <v>0</v>
      </c>
      <c r="DE42" s="256">
        <f t="shared" si="10"/>
        <v>0</v>
      </c>
      <c r="DF42" s="256">
        <f t="shared" si="10"/>
        <v>0</v>
      </c>
      <c r="DG42" s="256">
        <f t="shared" si="10"/>
        <v>0</v>
      </c>
      <c r="DH42" s="256">
        <f t="shared" si="10"/>
        <v>0</v>
      </c>
      <c r="DI42" s="256">
        <f t="shared" si="10"/>
        <v>0</v>
      </c>
      <c r="DJ42" s="256">
        <f t="shared" si="10"/>
        <v>0</v>
      </c>
      <c r="DK42" s="256">
        <f t="shared" si="10"/>
        <v>0</v>
      </c>
      <c r="DL42" s="256">
        <f t="shared" si="10"/>
        <v>0</v>
      </c>
      <c r="DM42" s="256">
        <f t="shared" si="10"/>
        <v>0</v>
      </c>
      <c r="DN42" s="256">
        <f t="shared" si="10"/>
        <v>0</v>
      </c>
      <c r="DO42" s="256">
        <f t="shared" si="10"/>
        <v>0</v>
      </c>
      <c r="DP42" s="256">
        <f t="shared" si="10"/>
        <v>0</v>
      </c>
      <c r="DQ42" s="256">
        <f t="shared" si="10"/>
        <v>0</v>
      </c>
      <c r="DR42" s="256">
        <f t="shared" si="10"/>
        <v>0</v>
      </c>
      <c r="DS42" s="255"/>
      <c r="DT42" s="255"/>
      <c r="DU42" s="255"/>
      <c r="DV42" s="255"/>
      <c r="DW42" s="255"/>
      <c r="DX42" s="255"/>
      <c r="DY42" s="255"/>
    </row>
    <row r="43" spans="1:129" s="220" customFormat="1" x14ac:dyDescent="0.2">
      <c r="A43" s="255" t="s">
        <v>769</v>
      </c>
      <c r="B43" s="256">
        <f>+B42</f>
        <v>1.376E-2</v>
      </c>
      <c r="C43" s="256">
        <f t="shared" ref="C43:H43" si="11">+B43+C42</f>
        <v>1.8836332307692306E-2</v>
      </c>
      <c r="D43" s="256">
        <f t="shared" si="11"/>
        <v>2.2472338374437868E-2</v>
      </c>
      <c r="E43" s="256">
        <f t="shared" si="11"/>
        <v>2.6126610091754206E-2</v>
      </c>
      <c r="F43" s="256">
        <f t="shared" si="11"/>
        <v>3.0300350588578287E-2</v>
      </c>
      <c r="G43" s="256">
        <f t="shared" si="11"/>
        <v>3.5318404468027809E-2</v>
      </c>
      <c r="H43" s="256">
        <f t="shared" si="11"/>
        <v>3.946637238554114E-2</v>
      </c>
      <c r="I43" s="256">
        <f t="shared" ref="I43:BT43" si="12">+H43+I42</f>
        <v>4.4419896944265909E-2</v>
      </c>
      <c r="J43" s="256">
        <f t="shared" si="12"/>
        <v>5.0190810472219405E-2</v>
      </c>
      <c r="K43" s="256">
        <f t="shared" si="12"/>
        <v>5.4386994262775018E-2</v>
      </c>
      <c r="L43" s="256">
        <f t="shared" si="12"/>
        <v>5.8562519917746358E-2</v>
      </c>
      <c r="M43" s="256">
        <f t="shared" si="12"/>
        <v>6.3520980965924914E-2</v>
      </c>
      <c r="N43" s="256">
        <f t="shared" si="12"/>
        <v>6.8961938416099294E-2</v>
      </c>
      <c r="O43" s="256">
        <f t="shared" si="12"/>
        <v>7.4193442256396888E-2</v>
      </c>
      <c r="P43" s="256">
        <f t="shared" si="12"/>
        <v>7.8767142139316348E-2</v>
      </c>
      <c r="Q43" s="256">
        <f t="shared" si="12"/>
        <v>8.4008954028209973E-2</v>
      </c>
      <c r="R43" s="256">
        <f t="shared" si="12"/>
        <v>8.8936703315420099E-2</v>
      </c>
      <c r="S43" s="256">
        <f t="shared" si="12"/>
        <v>9.3831745343624998E-2</v>
      </c>
      <c r="T43" s="256">
        <f t="shared" si="12"/>
        <v>9.7973169536599264E-2</v>
      </c>
      <c r="U43" s="256">
        <f t="shared" si="12"/>
        <v>0.10255977519894784</v>
      </c>
      <c r="V43" s="256">
        <f t="shared" si="12"/>
        <v>0.10735564666211835</v>
      </c>
      <c r="W43" s="256">
        <f t="shared" si="12"/>
        <v>0.11148878607557483</v>
      </c>
      <c r="X43" s="256">
        <f t="shared" si="12"/>
        <v>0.11569279582358932</v>
      </c>
      <c r="Y43" s="256">
        <f t="shared" si="12"/>
        <v>0.11991100640720748</v>
      </c>
      <c r="Z43" s="256">
        <f t="shared" si="12"/>
        <v>0.12426454128501425</v>
      </c>
      <c r="AA43" s="256">
        <f t="shared" si="12"/>
        <v>0.12915101779875374</v>
      </c>
      <c r="AB43" s="256">
        <f t="shared" si="12"/>
        <v>0.13430445463621821</v>
      </c>
      <c r="AC43" s="256">
        <f t="shared" si="12"/>
        <v>0.1389068453741536</v>
      </c>
      <c r="AD43" s="256">
        <f t="shared" si="12"/>
        <v>0.14307990177972124</v>
      </c>
      <c r="AE43" s="256">
        <f t="shared" si="12"/>
        <v>0.14757682863434735</v>
      </c>
      <c r="AF43" s="256">
        <f t="shared" si="12"/>
        <v>0.15200457199890227</v>
      </c>
      <c r="AG43" s="256">
        <f t="shared" si="12"/>
        <v>0.1557262605946324</v>
      </c>
      <c r="AH43" s="256">
        <f t="shared" si="12"/>
        <v>0.1594480309857163</v>
      </c>
      <c r="AI43" s="256">
        <f t="shared" si="12"/>
        <v>0.1639032566897338</v>
      </c>
      <c r="AJ43" s="256">
        <f t="shared" si="12"/>
        <v>0.1639032566897338</v>
      </c>
      <c r="AK43" s="256">
        <f t="shared" si="12"/>
        <v>0.1639032566897338</v>
      </c>
      <c r="AL43" s="256">
        <f t="shared" si="12"/>
        <v>0.1639032566897338</v>
      </c>
      <c r="AM43" s="256">
        <f t="shared" si="12"/>
        <v>0.1639032566897338</v>
      </c>
      <c r="AN43" s="256">
        <f t="shared" si="12"/>
        <v>0.1639032566897338</v>
      </c>
      <c r="AO43" s="256">
        <f t="shared" si="12"/>
        <v>0.1639032566897338</v>
      </c>
      <c r="AP43" s="256">
        <f t="shared" si="12"/>
        <v>0.1639032566897338</v>
      </c>
      <c r="AQ43" s="256">
        <f t="shared" si="12"/>
        <v>0.1639032566897338</v>
      </c>
      <c r="AR43" s="256">
        <f t="shared" si="12"/>
        <v>0.1639032566897338</v>
      </c>
      <c r="AS43" s="256">
        <f t="shared" si="12"/>
        <v>0.1639032566897338</v>
      </c>
      <c r="AT43" s="256">
        <f t="shared" si="12"/>
        <v>0.1639032566897338</v>
      </c>
      <c r="AU43" s="256">
        <f t="shared" si="12"/>
        <v>0.1639032566897338</v>
      </c>
      <c r="AV43" s="256">
        <f t="shared" si="12"/>
        <v>0.1639032566897338</v>
      </c>
      <c r="AW43" s="256">
        <f t="shared" si="12"/>
        <v>0.1639032566897338</v>
      </c>
      <c r="AX43" s="256">
        <f t="shared" si="12"/>
        <v>0.1639032566897338</v>
      </c>
      <c r="AY43" s="256">
        <f t="shared" si="12"/>
        <v>0.1639032566897338</v>
      </c>
      <c r="AZ43" s="256">
        <f t="shared" si="12"/>
        <v>0.1639032566897338</v>
      </c>
      <c r="BA43" s="256">
        <f t="shared" si="12"/>
        <v>0.1639032566897338</v>
      </c>
      <c r="BB43" s="256">
        <f t="shared" si="12"/>
        <v>0.1639032566897338</v>
      </c>
      <c r="BC43" s="256">
        <f t="shared" si="12"/>
        <v>0.1639032566897338</v>
      </c>
      <c r="BD43" s="256">
        <f t="shared" si="12"/>
        <v>0.1639032566897338</v>
      </c>
      <c r="BE43" s="256">
        <f t="shared" si="12"/>
        <v>0.1639032566897338</v>
      </c>
      <c r="BF43" s="256">
        <f t="shared" si="12"/>
        <v>0.1639032566897338</v>
      </c>
      <c r="BG43" s="256">
        <f t="shared" si="12"/>
        <v>0.1639032566897338</v>
      </c>
      <c r="BH43" s="256">
        <f t="shared" si="12"/>
        <v>0.1639032566897338</v>
      </c>
      <c r="BI43" s="256">
        <f t="shared" si="12"/>
        <v>0.1639032566897338</v>
      </c>
      <c r="BJ43" s="256">
        <f t="shared" si="12"/>
        <v>0.1639032566897338</v>
      </c>
      <c r="BK43" s="256">
        <f t="shared" si="12"/>
        <v>0.1639032566897338</v>
      </c>
      <c r="BL43" s="256">
        <f t="shared" si="12"/>
        <v>0.1639032566897338</v>
      </c>
      <c r="BM43" s="256">
        <f t="shared" si="12"/>
        <v>0.1639032566897338</v>
      </c>
      <c r="BN43" s="256">
        <f t="shared" si="12"/>
        <v>0.1639032566897338</v>
      </c>
      <c r="BO43" s="256">
        <f t="shared" si="12"/>
        <v>0.1639032566897338</v>
      </c>
      <c r="BP43" s="256">
        <f t="shared" si="12"/>
        <v>0.1639032566897338</v>
      </c>
      <c r="BQ43" s="256">
        <f t="shared" si="12"/>
        <v>0.1639032566897338</v>
      </c>
      <c r="BR43" s="256">
        <f t="shared" si="12"/>
        <v>0.1639032566897338</v>
      </c>
      <c r="BS43" s="256">
        <f t="shared" si="12"/>
        <v>0.1639032566897338</v>
      </c>
      <c r="BT43" s="256">
        <f t="shared" si="12"/>
        <v>0.1639032566897338</v>
      </c>
      <c r="BU43" s="256">
        <f t="shared" ref="BU43:DR43" si="13">+BT43+BU42</f>
        <v>0.1639032566897338</v>
      </c>
      <c r="BV43" s="256">
        <f t="shared" si="13"/>
        <v>0.1639032566897338</v>
      </c>
      <c r="BW43" s="256">
        <f t="shared" si="13"/>
        <v>0.1639032566897338</v>
      </c>
      <c r="BX43" s="256">
        <f t="shared" si="13"/>
        <v>0.1639032566897338</v>
      </c>
      <c r="BY43" s="256">
        <f t="shared" si="13"/>
        <v>0.1639032566897338</v>
      </c>
      <c r="BZ43" s="256">
        <f t="shared" si="13"/>
        <v>0.1639032566897338</v>
      </c>
      <c r="CA43" s="256">
        <f t="shared" si="13"/>
        <v>0.1639032566897338</v>
      </c>
      <c r="CB43" s="256">
        <f t="shared" si="13"/>
        <v>0.1639032566897338</v>
      </c>
      <c r="CC43" s="256">
        <f t="shared" si="13"/>
        <v>0.1639032566897338</v>
      </c>
      <c r="CD43" s="256">
        <f t="shared" si="13"/>
        <v>0.1639032566897338</v>
      </c>
      <c r="CE43" s="256">
        <f t="shared" si="13"/>
        <v>0.1639032566897338</v>
      </c>
      <c r="CF43" s="256">
        <f t="shared" si="13"/>
        <v>0.1639032566897338</v>
      </c>
      <c r="CG43" s="256">
        <f t="shared" si="13"/>
        <v>0.1639032566897338</v>
      </c>
      <c r="CH43" s="256">
        <f t="shared" si="13"/>
        <v>0.1639032566897338</v>
      </c>
      <c r="CI43" s="256">
        <f t="shared" si="13"/>
        <v>0.1639032566897338</v>
      </c>
      <c r="CJ43" s="256">
        <f t="shared" si="13"/>
        <v>0.1639032566897338</v>
      </c>
      <c r="CK43" s="256">
        <f t="shared" si="13"/>
        <v>0.1639032566897338</v>
      </c>
      <c r="CL43" s="256">
        <f t="shared" si="13"/>
        <v>0.1639032566897338</v>
      </c>
      <c r="CM43" s="256">
        <f t="shared" si="13"/>
        <v>0.1639032566897338</v>
      </c>
      <c r="CN43" s="256">
        <f t="shared" si="13"/>
        <v>0.1639032566897338</v>
      </c>
      <c r="CO43" s="256">
        <f t="shared" si="13"/>
        <v>0.1639032566897338</v>
      </c>
      <c r="CP43" s="256">
        <f t="shared" si="13"/>
        <v>0.1639032566897338</v>
      </c>
      <c r="CQ43" s="256">
        <f t="shared" si="13"/>
        <v>0.1639032566897338</v>
      </c>
      <c r="CR43" s="256">
        <f t="shared" si="13"/>
        <v>0.1639032566897338</v>
      </c>
      <c r="CS43" s="256">
        <f t="shared" si="13"/>
        <v>0.1639032566897338</v>
      </c>
      <c r="CT43" s="256">
        <f t="shared" si="13"/>
        <v>0.1639032566897338</v>
      </c>
      <c r="CU43" s="256">
        <f t="shared" si="13"/>
        <v>0.1639032566897338</v>
      </c>
      <c r="CV43" s="256">
        <f t="shared" si="13"/>
        <v>0.1639032566897338</v>
      </c>
      <c r="CW43" s="256">
        <f t="shared" si="13"/>
        <v>0.1639032566897338</v>
      </c>
      <c r="CX43" s="256">
        <f t="shared" si="13"/>
        <v>0.1639032566897338</v>
      </c>
      <c r="CY43" s="256">
        <f t="shared" si="13"/>
        <v>0.1639032566897338</v>
      </c>
      <c r="CZ43" s="256">
        <f t="shared" si="13"/>
        <v>0.1639032566897338</v>
      </c>
      <c r="DA43" s="256">
        <f t="shared" si="13"/>
        <v>0.1639032566897338</v>
      </c>
      <c r="DB43" s="256">
        <f t="shared" si="13"/>
        <v>0.1639032566897338</v>
      </c>
      <c r="DC43" s="256">
        <f t="shared" si="13"/>
        <v>0.1639032566897338</v>
      </c>
      <c r="DD43" s="256">
        <f t="shared" si="13"/>
        <v>0.1639032566897338</v>
      </c>
      <c r="DE43" s="256">
        <f t="shared" si="13"/>
        <v>0.1639032566897338</v>
      </c>
      <c r="DF43" s="256">
        <f t="shared" si="13"/>
        <v>0.1639032566897338</v>
      </c>
      <c r="DG43" s="256">
        <f t="shared" si="13"/>
        <v>0.1639032566897338</v>
      </c>
      <c r="DH43" s="256">
        <f t="shared" si="13"/>
        <v>0.1639032566897338</v>
      </c>
      <c r="DI43" s="256">
        <f t="shared" si="13"/>
        <v>0.1639032566897338</v>
      </c>
      <c r="DJ43" s="256">
        <f t="shared" si="13"/>
        <v>0.1639032566897338</v>
      </c>
      <c r="DK43" s="256">
        <f t="shared" si="13"/>
        <v>0.1639032566897338</v>
      </c>
      <c r="DL43" s="256">
        <f t="shared" si="13"/>
        <v>0.1639032566897338</v>
      </c>
      <c r="DM43" s="256">
        <f t="shared" si="13"/>
        <v>0.1639032566897338</v>
      </c>
      <c r="DN43" s="256">
        <f t="shared" si="13"/>
        <v>0.1639032566897338</v>
      </c>
      <c r="DO43" s="256">
        <f t="shared" si="13"/>
        <v>0.1639032566897338</v>
      </c>
      <c r="DP43" s="256">
        <f t="shared" si="13"/>
        <v>0.1639032566897338</v>
      </c>
      <c r="DQ43" s="256">
        <f t="shared" si="13"/>
        <v>0.1639032566897338</v>
      </c>
      <c r="DR43" s="256">
        <f t="shared" si="13"/>
        <v>0.1639032566897338</v>
      </c>
      <c r="DS43" s="255"/>
      <c r="DT43" s="255"/>
      <c r="DU43" s="255"/>
      <c r="DV43" s="255"/>
      <c r="DW43" s="255"/>
      <c r="DX43" s="255"/>
      <c r="DY43" s="255"/>
    </row>
    <row r="44" spans="1:129" s="255" customFormat="1" x14ac:dyDescent="0.2">
      <c r="A44" s="170"/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245"/>
      <c r="V44" s="245"/>
      <c r="W44" s="245"/>
      <c r="X44" s="245"/>
      <c r="Y44" s="245"/>
      <c r="Z44" s="245"/>
      <c r="AA44" s="245"/>
      <c r="AB44" s="245"/>
      <c r="AC44" s="245"/>
      <c r="AD44" s="245"/>
      <c r="AE44" s="245"/>
      <c r="AF44" s="245"/>
      <c r="AG44" s="245"/>
      <c r="AH44" s="245"/>
      <c r="AI44" s="245"/>
      <c r="AJ44" s="245"/>
      <c r="AK44" s="245"/>
      <c r="AL44" s="245"/>
      <c r="AM44" s="245"/>
      <c r="AN44" s="245"/>
      <c r="AO44" s="245"/>
      <c r="AP44" s="245"/>
      <c r="AQ44" s="245"/>
      <c r="AR44" s="245"/>
      <c r="AS44" s="245"/>
      <c r="AT44" s="245"/>
      <c r="AU44" s="245"/>
      <c r="AV44" s="245"/>
      <c r="AW44" s="245"/>
      <c r="AX44" s="245"/>
      <c r="AY44" s="245"/>
      <c r="AZ44" s="245"/>
      <c r="BA44" s="245"/>
      <c r="BB44" s="245"/>
      <c r="BC44" s="245"/>
      <c r="BD44" s="245"/>
      <c r="BE44" s="245"/>
      <c r="BF44" s="245"/>
      <c r="BG44" s="245"/>
      <c r="BH44" s="245"/>
      <c r="BI44" s="245"/>
      <c r="BJ44" s="245"/>
      <c r="BK44" s="245"/>
      <c r="BL44" s="245"/>
      <c r="BM44" s="245"/>
      <c r="BN44" s="245"/>
      <c r="BO44" s="245"/>
      <c r="BP44" s="245"/>
      <c r="BQ44" s="245"/>
      <c r="BR44" s="245"/>
      <c r="BS44" s="245"/>
      <c r="BT44" s="245"/>
      <c r="BU44" s="245"/>
      <c r="BV44" s="245"/>
      <c r="BW44" s="245"/>
      <c r="BX44" s="245"/>
      <c r="BY44" s="245"/>
      <c r="BZ44" s="245"/>
      <c r="CA44" s="245"/>
      <c r="CB44" s="245"/>
      <c r="CC44" s="245"/>
      <c r="CD44" s="245"/>
      <c r="CE44" s="245"/>
      <c r="CF44" s="245"/>
      <c r="CG44" s="245"/>
      <c r="CH44" s="245"/>
      <c r="CI44" s="245"/>
      <c r="CJ44" s="245"/>
      <c r="CK44" s="245"/>
      <c r="CL44" s="245"/>
      <c r="CM44" s="245"/>
      <c r="CN44" s="245"/>
      <c r="CO44" s="245"/>
      <c r="CP44" s="245"/>
      <c r="CQ44" s="245"/>
      <c r="CR44" s="245"/>
      <c r="CS44" s="245"/>
      <c r="CT44" s="245"/>
      <c r="CU44" s="245"/>
      <c r="CV44" s="245"/>
      <c r="CW44" s="245"/>
      <c r="CX44" s="245"/>
      <c r="CY44" s="245"/>
      <c r="CZ44" s="245"/>
      <c r="DA44" s="245"/>
      <c r="DB44" s="245"/>
      <c r="DC44" s="245"/>
      <c r="DD44" s="245"/>
      <c r="DE44" s="245"/>
      <c r="DF44" s="245"/>
      <c r="DG44" s="245"/>
      <c r="DH44" s="245"/>
      <c r="DI44" s="245"/>
      <c r="DJ44" s="245"/>
      <c r="DK44" s="245"/>
      <c r="DL44" s="245"/>
      <c r="DM44" s="245"/>
      <c r="DN44" s="245"/>
      <c r="DO44" s="245"/>
      <c r="DP44" s="245"/>
      <c r="DQ44" s="245"/>
      <c r="DR44" s="245"/>
      <c r="DS44" s="170"/>
      <c r="DT44" s="170"/>
      <c r="DU44" s="170"/>
      <c r="DV44" s="170"/>
      <c r="DW44" s="170"/>
      <c r="DX44" s="170"/>
      <c r="DY44" s="170"/>
    </row>
    <row r="45" spans="1:129" s="255" customFormat="1" x14ac:dyDescent="0.2">
      <c r="A45" s="253" t="s">
        <v>818</v>
      </c>
      <c r="B45" s="245"/>
      <c r="C45" s="245"/>
      <c r="D45" s="245"/>
      <c r="E45" s="245"/>
      <c r="F45" s="24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245"/>
      <c r="V45" s="245"/>
      <c r="W45" s="245"/>
      <c r="X45" s="245"/>
      <c r="Y45" s="245"/>
      <c r="Z45" s="245"/>
      <c r="AA45" s="245"/>
      <c r="AB45" s="245"/>
      <c r="AC45" s="245"/>
      <c r="AD45" s="245"/>
      <c r="AE45" s="245"/>
      <c r="AF45" s="245"/>
      <c r="AG45" s="245"/>
      <c r="AH45" s="245"/>
      <c r="AI45" s="245"/>
      <c r="AJ45" s="245"/>
      <c r="AK45" s="245"/>
      <c r="AL45" s="245"/>
      <c r="AM45" s="245"/>
      <c r="AN45" s="245"/>
      <c r="AO45" s="245"/>
      <c r="AP45" s="245"/>
      <c r="AQ45" s="245"/>
      <c r="AR45" s="245"/>
      <c r="AS45" s="245"/>
      <c r="AT45" s="245"/>
      <c r="AU45" s="245"/>
      <c r="AV45" s="245"/>
      <c r="AW45" s="245"/>
      <c r="AX45" s="245"/>
      <c r="AY45" s="245"/>
      <c r="AZ45" s="245"/>
      <c r="BA45" s="245"/>
      <c r="BB45" s="245"/>
      <c r="BC45" s="245"/>
      <c r="BD45" s="245"/>
      <c r="BE45" s="245"/>
      <c r="BF45" s="245"/>
      <c r="BG45" s="245"/>
      <c r="BH45" s="245"/>
      <c r="BI45" s="245"/>
      <c r="BJ45" s="245"/>
      <c r="BK45" s="245"/>
      <c r="BL45" s="245"/>
      <c r="BM45" s="245"/>
      <c r="BN45" s="245"/>
      <c r="BO45" s="245"/>
      <c r="BP45" s="245"/>
      <c r="BQ45" s="245"/>
      <c r="BR45" s="245"/>
      <c r="BS45" s="245"/>
      <c r="BT45" s="245"/>
      <c r="BU45" s="245"/>
      <c r="BV45" s="245"/>
      <c r="BW45" s="245"/>
      <c r="BX45" s="245"/>
      <c r="BY45" s="245"/>
      <c r="BZ45" s="245"/>
      <c r="CA45" s="245"/>
      <c r="CB45" s="245"/>
      <c r="CC45" s="245"/>
      <c r="CD45" s="245"/>
      <c r="CE45" s="245"/>
      <c r="CF45" s="245"/>
      <c r="CG45" s="245"/>
      <c r="CH45" s="245"/>
      <c r="CI45" s="245"/>
      <c r="CJ45" s="245"/>
      <c r="CK45" s="245"/>
      <c r="CL45" s="245"/>
      <c r="CM45" s="245"/>
      <c r="CN45" s="245"/>
      <c r="CO45" s="245"/>
      <c r="CP45" s="245"/>
      <c r="CQ45" s="245"/>
      <c r="CR45" s="245"/>
      <c r="CS45" s="245"/>
      <c r="CT45" s="245"/>
      <c r="CU45" s="245"/>
      <c r="CV45" s="245"/>
      <c r="CW45" s="245"/>
      <c r="CX45" s="245"/>
      <c r="CY45" s="245"/>
      <c r="CZ45" s="245"/>
      <c r="DA45" s="245"/>
      <c r="DB45" s="245"/>
      <c r="DC45" s="245"/>
      <c r="DD45" s="245"/>
      <c r="DE45" s="245"/>
      <c r="DF45" s="245"/>
      <c r="DG45" s="245"/>
      <c r="DH45" s="245"/>
      <c r="DI45" s="245"/>
      <c r="DJ45" s="245"/>
      <c r="DK45" s="245"/>
      <c r="DL45" s="245"/>
      <c r="DM45" s="245"/>
      <c r="DN45" s="245"/>
      <c r="DO45" s="245"/>
      <c r="DP45" s="245"/>
      <c r="DQ45" s="245"/>
      <c r="DR45" s="245"/>
      <c r="DS45" s="170"/>
      <c r="DT45" s="170"/>
      <c r="DU45" s="170"/>
      <c r="DV45" s="170"/>
      <c r="DW45" s="170"/>
      <c r="DX45" s="170"/>
      <c r="DY45" s="170"/>
    </row>
    <row r="46" spans="1:129" x14ac:dyDescent="0.2">
      <c r="A46" s="255" t="s">
        <v>770</v>
      </c>
      <c r="B46" s="256">
        <f>+$B$18</f>
        <v>7.3</v>
      </c>
      <c r="C46" s="256">
        <f>+B46-B47/100</f>
        <v>7.2939999999999996</v>
      </c>
      <c r="D46" s="256">
        <f>+C46-C47/100</f>
        <v>7.2879999999999994</v>
      </c>
      <c r="E46" s="256">
        <f>+D46-D47/100</f>
        <v>7.2765188560026521</v>
      </c>
      <c r="F46" s="256">
        <f>+E46-E47/100</f>
        <v>7.2649631419234719</v>
      </c>
      <c r="G46" s="256">
        <f t="shared" ref="G46:BR46" si="14">+F46-F47/100</f>
        <v>7.2525351936638378</v>
      </c>
      <c r="H46" s="256">
        <f t="shared" si="14"/>
        <v>7.2386837795776193</v>
      </c>
      <c r="I46" s="256">
        <f t="shared" si="14"/>
        <v>7.2260789455825858</v>
      </c>
      <c r="J46" s="256">
        <f t="shared" si="14"/>
        <v>7.2120566048101571</v>
      </c>
      <c r="K46" s="256">
        <f t="shared" si="14"/>
        <v>7.1965142996700155</v>
      </c>
      <c r="L46" s="256">
        <f t="shared" si="14"/>
        <v>7.1834315243577205</v>
      </c>
      <c r="M46" s="256">
        <f t="shared" si="14"/>
        <v>7.1702624587763761</v>
      </c>
      <c r="N46" s="256">
        <f t="shared" si="14"/>
        <v>7.1555793264148821</v>
      </c>
      <c r="O46" s="256">
        <f t="shared" si="14"/>
        <v>7.139829791098995</v>
      </c>
      <c r="P46" s="256">
        <f t="shared" si="14"/>
        <v>7.1242243264875267</v>
      </c>
      <c r="Q46" s="256">
        <f t="shared" si="14"/>
        <v>7.1096354701715692</v>
      </c>
      <c r="R46" s="256">
        <f t="shared" si="14"/>
        <v>7.0935512856828575</v>
      </c>
      <c r="S46" s="256">
        <f t="shared" si="14"/>
        <v>7.0778295783904737</v>
      </c>
      <c r="T46" s="256">
        <f t="shared" si="14"/>
        <v>7.0619258043198112</v>
      </c>
      <c r="U46" s="256">
        <f t="shared" si="14"/>
        <v>7.047356309778948</v>
      </c>
      <c r="V46" s="256">
        <f t="shared" si="14"/>
        <v>7.0316289974204071</v>
      </c>
      <c r="W46" s="256">
        <f t="shared" si="14"/>
        <v>7.0151825488287125</v>
      </c>
      <c r="X46" s="256">
        <f t="shared" si="14"/>
        <v>6.9999570203620571</v>
      </c>
      <c r="Y46" s="256">
        <f t="shared" si="14"/>
        <v>6.9843354871634542</v>
      </c>
      <c r="Z46" s="256">
        <f t="shared" si="14"/>
        <v>6.9684277467562303</v>
      </c>
      <c r="AA46" s="256">
        <f t="shared" si="14"/>
        <v>6.9519155625097406</v>
      </c>
      <c r="AB46" s="256">
        <f t="shared" si="14"/>
        <v>6.9337380845805452</v>
      </c>
      <c r="AC46" s="256">
        <f t="shared" si="14"/>
        <v>6.9144394109498615</v>
      </c>
      <c r="AD46" s="256">
        <f t="shared" si="14"/>
        <v>6.8961480195117044</v>
      </c>
      <c r="AE46" s="256">
        <f t="shared" si="14"/>
        <v>6.8786447181032715</v>
      </c>
      <c r="AF46" s="256">
        <f t="shared" si="14"/>
        <v>6.8598155964288603</v>
      </c>
      <c r="AG46" s="256">
        <f t="shared" si="14"/>
        <v>6.8407226712639257</v>
      </c>
      <c r="AH46" s="256">
        <f t="shared" si="14"/>
        <v>6.8233600464438293</v>
      </c>
      <c r="AI46" s="256">
        <f t="shared" si="14"/>
        <v>6.805623264634912</v>
      </c>
      <c r="AJ46" s="256">
        <f t="shared" si="14"/>
        <v>6.7850126194044238</v>
      </c>
      <c r="AK46" s="256">
        <f t="shared" si="14"/>
        <v>6.7794358967035437</v>
      </c>
      <c r="AL46" s="256">
        <f t="shared" si="14"/>
        <v>6.7738637576103624</v>
      </c>
      <c r="AM46" s="256">
        <f t="shared" si="14"/>
        <v>6.7682961983575316</v>
      </c>
      <c r="AN46" s="256">
        <f t="shared" si="14"/>
        <v>6.7627332151807993</v>
      </c>
      <c r="AO46" s="256">
        <f t="shared" si="14"/>
        <v>6.757174804319007</v>
      </c>
      <c r="AP46" s="256">
        <f t="shared" si="14"/>
        <v>6.751620962014087</v>
      </c>
      <c r="AQ46" s="256">
        <f t="shared" si="14"/>
        <v>6.7460716845110618</v>
      </c>
      <c r="AR46" s="256">
        <f t="shared" si="14"/>
        <v>6.7405269680580391</v>
      </c>
      <c r="AS46" s="256">
        <f t="shared" si="14"/>
        <v>6.7349868089062106</v>
      </c>
      <c r="AT46" s="256">
        <f t="shared" si="14"/>
        <v>6.729451203309849</v>
      </c>
      <c r="AU46" s="256">
        <f t="shared" si="14"/>
        <v>6.7239201475263064</v>
      </c>
      <c r="AV46" s="256">
        <f t="shared" si="14"/>
        <v>6.7183936378160105</v>
      </c>
      <c r="AW46" s="256">
        <f t="shared" si="14"/>
        <v>6.7128716704424631</v>
      </c>
      <c r="AX46" s="256">
        <f t="shared" si="14"/>
        <v>6.7073542416722365</v>
      </c>
      <c r="AY46" s="256">
        <f t="shared" si="14"/>
        <v>6.7018413477749714</v>
      </c>
      <c r="AZ46" s="256">
        <f t="shared" si="14"/>
        <v>6.6963329850233757</v>
      </c>
      <c r="BA46" s="256">
        <f t="shared" si="14"/>
        <v>6.6908291496932195</v>
      </c>
      <c r="BB46" s="256">
        <f t="shared" si="14"/>
        <v>6.6853298380633346</v>
      </c>
      <c r="BC46" s="256">
        <f t="shared" si="14"/>
        <v>6.6798350464156115</v>
      </c>
      <c r="BD46" s="256">
        <f t="shared" si="14"/>
        <v>6.6743447710349963</v>
      </c>
      <c r="BE46" s="256">
        <f t="shared" si="14"/>
        <v>6.6688590082094885</v>
      </c>
      <c r="BF46" s="256">
        <f t="shared" si="14"/>
        <v>6.6633777542301384</v>
      </c>
      <c r="BG46" s="256">
        <f t="shared" si="14"/>
        <v>6.6579010053910448</v>
      </c>
      <c r="BH46" s="256">
        <f t="shared" si="14"/>
        <v>6.6524287579893535</v>
      </c>
      <c r="BI46" s="256">
        <f t="shared" si="14"/>
        <v>6.6469610083252526</v>
      </c>
      <c r="BJ46" s="256">
        <f t="shared" si="14"/>
        <v>6.6414977527019712</v>
      </c>
      <c r="BK46" s="256">
        <f t="shared" si="14"/>
        <v>6.6360389874257777</v>
      </c>
      <c r="BL46" s="256">
        <f t="shared" si="14"/>
        <v>6.6305847088059755</v>
      </c>
      <c r="BM46" s="256">
        <f t="shared" si="14"/>
        <v>6.625134913154902</v>
      </c>
      <c r="BN46" s="256">
        <f t="shared" si="14"/>
        <v>6.619689596787925</v>
      </c>
      <c r="BO46" s="256">
        <f t="shared" si="14"/>
        <v>6.614248756023442</v>
      </c>
      <c r="BP46" s="256">
        <f t="shared" si="14"/>
        <v>6.6088123871828746</v>
      </c>
      <c r="BQ46" s="256">
        <f t="shared" si="14"/>
        <v>6.6033804865906696</v>
      </c>
      <c r="BR46" s="256">
        <f t="shared" si="14"/>
        <v>6.5979530505742936</v>
      </c>
      <c r="BS46" s="256">
        <f t="shared" ref="BS46:DR46" si="15">+BR46-BR47/100</f>
        <v>6.5925300754642322</v>
      </c>
      <c r="BT46" s="256">
        <f t="shared" si="15"/>
        <v>6.587111557593988</v>
      </c>
      <c r="BU46" s="256">
        <f t="shared" si="15"/>
        <v>6.5816974933000756</v>
      </c>
      <c r="BV46" s="256">
        <f t="shared" si="15"/>
        <v>6.5762878789220212</v>
      </c>
      <c r="BW46" s="256">
        <f t="shared" si="15"/>
        <v>6.5708827108023593</v>
      </c>
      <c r="BX46" s="256">
        <f t="shared" si="15"/>
        <v>6.5654819852866311</v>
      </c>
      <c r="BY46" s="256">
        <f t="shared" si="15"/>
        <v>6.5600856987233822</v>
      </c>
      <c r="BZ46" s="256">
        <f t="shared" si="15"/>
        <v>6.5546938474641578</v>
      </c>
      <c r="CA46" s="256">
        <f t="shared" si="15"/>
        <v>6.5493064278635025</v>
      </c>
      <c r="CB46" s="256">
        <f t="shared" si="15"/>
        <v>6.5439234362789573</v>
      </c>
      <c r="CC46" s="256">
        <f t="shared" si="15"/>
        <v>6.5385448690710568</v>
      </c>
      <c r="CD46" s="256">
        <f t="shared" si="15"/>
        <v>6.5331707226033275</v>
      </c>
      <c r="CE46" s="256">
        <f t="shared" si="15"/>
        <v>6.527800993242284</v>
      </c>
      <c r="CF46" s="256">
        <f t="shared" si="15"/>
        <v>6.5224356773574277</v>
      </c>
      <c r="CG46" s="256">
        <f t="shared" si="15"/>
        <v>6.5170747713212434</v>
      </c>
      <c r="CH46" s="256">
        <f t="shared" si="15"/>
        <v>6.5117182715091984</v>
      </c>
      <c r="CI46" s="256">
        <f t="shared" si="15"/>
        <v>6.506366174299739</v>
      </c>
      <c r="CJ46" s="256">
        <f t="shared" si="15"/>
        <v>6.5010184760742868</v>
      </c>
      <c r="CK46" s="256">
        <f t="shared" si="15"/>
        <v>6.4956751732172391</v>
      </c>
      <c r="CL46" s="256">
        <f t="shared" si="15"/>
        <v>6.4903362621159646</v>
      </c>
      <c r="CM46" s="256">
        <f t="shared" si="15"/>
        <v>6.4850017391608006</v>
      </c>
      <c r="CN46" s="256">
        <f t="shared" si="15"/>
        <v>6.4796716007450517</v>
      </c>
      <c r="CO46" s="256">
        <f t="shared" si="15"/>
        <v>6.4743458432649872</v>
      </c>
      <c r="CP46" s="256">
        <f t="shared" si="15"/>
        <v>6.4690244631198377</v>
      </c>
      <c r="CQ46" s="256">
        <f t="shared" si="15"/>
        <v>6.463707456711794</v>
      </c>
      <c r="CR46" s="256">
        <f t="shared" si="15"/>
        <v>6.4583948204460038</v>
      </c>
      <c r="CS46" s="256">
        <f t="shared" si="15"/>
        <v>6.4530865507305686</v>
      </c>
      <c r="CT46" s="256">
        <f t="shared" si="15"/>
        <v>6.4477826439765433</v>
      </c>
      <c r="CU46" s="256">
        <f t="shared" si="15"/>
        <v>6.4424830965979325</v>
      </c>
      <c r="CV46" s="256">
        <f t="shared" si="15"/>
        <v>6.4371879050116876</v>
      </c>
      <c r="CW46" s="256">
        <f t="shared" si="15"/>
        <v>6.4318970656377052</v>
      </c>
      <c r="CX46" s="256">
        <f t="shared" si="15"/>
        <v>6.4266105748988247</v>
      </c>
      <c r="CY46" s="256">
        <f t="shared" si="15"/>
        <v>6.4213284292208259</v>
      </c>
      <c r="CZ46" s="256">
        <f t="shared" si="15"/>
        <v>6.4160506250324252</v>
      </c>
      <c r="DA46" s="256">
        <f t="shared" si="15"/>
        <v>6.4107771587652751</v>
      </c>
      <c r="DB46" s="256">
        <f t="shared" si="15"/>
        <v>6.405508026853961</v>
      </c>
      <c r="DC46" s="256">
        <f t="shared" si="15"/>
        <v>6.4002432257359985</v>
      </c>
      <c r="DD46" s="256">
        <f t="shared" si="15"/>
        <v>6.3949827518518321</v>
      </c>
      <c r="DE46" s="256">
        <f t="shared" si="15"/>
        <v>6.3897266016448304</v>
      </c>
      <c r="DF46" s="256">
        <f t="shared" si="15"/>
        <v>6.3844747715612868</v>
      </c>
      <c r="DG46" s="256">
        <f t="shared" si="15"/>
        <v>6.3792272580504141</v>
      </c>
      <c r="DH46" s="256">
        <f t="shared" si="15"/>
        <v>6.3739840575643454</v>
      </c>
      <c r="DI46" s="256">
        <f t="shared" si="15"/>
        <v>6.3687451665581278</v>
      </c>
      <c r="DJ46" s="256">
        <f t="shared" si="15"/>
        <v>6.3635105814897237</v>
      </c>
      <c r="DK46" s="256">
        <f t="shared" si="15"/>
        <v>6.3582802988200058</v>
      </c>
      <c r="DL46" s="256">
        <f t="shared" si="15"/>
        <v>6.3530543150127565</v>
      </c>
      <c r="DM46" s="256">
        <f t="shared" si="15"/>
        <v>6.3478326265346636</v>
      </c>
      <c r="DN46" s="256">
        <f t="shared" si="15"/>
        <v>6.34261522985532</v>
      </c>
      <c r="DO46" s="256">
        <f t="shared" si="15"/>
        <v>6.3374021214472194</v>
      </c>
      <c r="DP46" s="256">
        <f t="shared" si="15"/>
        <v>6.3321932977857562</v>
      </c>
      <c r="DQ46" s="256">
        <f t="shared" si="15"/>
        <v>6.3269887553492197</v>
      </c>
      <c r="DR46" s="256">
        <f t="shared" si="15"/>
        <v>6.321788490618796</v>
      </c>
      <c r="DS46" s="255"/>
      <c r="DT46" s="255"/>
      <c r="DU46" s="255"/>
      <c r="DV46" s="255"/>
      <c r="DW46" s="255"/>
      <c r="DX46" s="255"/>
      <c r="DY46" s="255"/>
    </row>
    <row r="47" spans="1:129" x14ac:dyDescent="0.2">
      <c r="A47" s="220" t="s">
        <v>771</v>
      </c>
      <c r="B47" s="254">
        <f>$B$17</f>
        <v>0.6</v>
      </c>
      <c r="C47" s="254">
        <f>+B17</f>
        <v>0.6</v>
      </c>
      <c r="D47" s="254">
        <f t="shared" ref="D47:BO47" si="16">+($B$20*(D3-$B$19)+$B$17)*C48</f>
        <v>1.1481143997347185</v>
      </c>
      <c r="E47" s="254">
        <f t="shared" si="16"/>
        <v>1.1555714079180619</v>
      </c>
      <c r="F47" s="254">
        <f t="shared" si="16"/>
        <v>1.2427948259633881</v>
      </c>
      <c r="G47" s="254">
        <f t="shared" si="16"/>
        <v>1.3851414086218761</v>
      </c>
      <c r="H47" s="254">
        <f t="shared" si="16"/>
        <v>1.2604833995033264</v>
      </c>
      <c r="I47" s="254">
        <f t="shared" si="16"/>
        <v>1.4022340772428492</v>
      </c>
      <c r="J47" s="254">
        <f t="shared" si="16"/>
        <v>1.5542305140141837</v>
      </c>
      <c r="K47" s="254">
        <f t="shared" si="16"/>
        <v>1.3082775312294805</v>
      </c>
      <c r="L47" s="254">
        <f t="shared" si="16"/>
        <v>1.3169065581344614</v>
      </c>
      <c r="M47" s="254">
        <f t="shared" si="16"/>
        <v>1.4683132361493809</v>
      </c>
      <c r="N47" s="254">
        <f t="shared" si="16"/>
        <v>1.5749535315887127</v>
      </c>
      <c r="O47" s="254">
        <f t="shared" si="16"/>
        <v>1.5605464611468269</v>
      </c>
      <c r="P47" s="254">
        <f t="shared" si="16"/>
        <v>1.4588856315957186</v>
      </c>
      <c r="Q47" s="254">
        <f t="shared" si="16"/>
        <v>1.6084184488711908</v>
      </c>
      <c r="R47" s="254">
        <f t="shared" si="16"/>
        <v>1.5721707292383857</v>
      </c>
      <c r="S47" s="254">
        <f t="shared" si="16"/>
        <v>1.5903774070662682</v>
      </c>
      <c r="T47" s="254">
        <f t="shared" si="16"/>
        <v>1.4569494540863244</v>
      </c>
      <c r="U47" s="254">
        <f t="shared" si="16"/>
        <v>1.5727312358540921</v>
      </c>
      <c r="V47" s="254">
        <f t="shared" si="16"/>
        <v>1.644644859169456</v>
      </c>
      <c r="W47" s="254">
        <f t="shared" si="16"/>
        <v>1.5225528466655516</v>
      </c>
      <c r="X47" s="254">
        <f t="shared" si="16"/>
        <v>1.5621533198602899</v>
      </c>
      <c r="Y47" s="254">
        <f t="shared" si="16"/>
        <v>1.5907740407223709</v>
      </c>
      <c r="Z47" s="254">
        <f t="shared" si="16"/>
        <v>1.6512184246489967</v>
      </c>
      <c r="AA47" s="254">
        <f t="shared" si="16"/>
        <v>1.8177477929195105</v>
      </c>
      <c r="AB47" s="254">
        <f t="shared" si="16"/>
        <v>1.929867363068392</v>
      </c>
      <c r="AC47" s="254">
        <f t="shared" si="16"/>
        <v>1.8291391438156972</v>
      </c>
      <c r="AD47" s="254">
        <f t="shared" si="16"/>
        <v>1.7503301408432876</v>
      </c>
      <c r="AE47" s="254">
        <f t="shared" si="16"/>
        <v>1.8829121674411016</v>
      </c>
      <c r="AF47" s="254">
        <f t="shared" si="16"/>
        <v>1.9092925164934977</v>
      </c>
      <c r="AG47" s="254">
        <f t="shared" si="16"/>
        <v>1.7362624820096402</v>
      </c>
      <c r="AH47" s="254">
        <f t="shared" si="16"/>
        <v>1.7736781808917454</v>
      </c>
      <c r="AI47" s="254">
        <f t="shared" si="16"/>
        <v>2.0610645230488411</v>
      </c>
      <c r="AJ47" s="254">
        <f t="shared" si="16"/>
        <v>0.55767227008803477</v>
      </c>
      <c r="AK47" s="254">
        <f t="shared" si="16"/>
        <v>0.55721390931809944</v>
      </c>
      <c r="AL47" s="254">
        <f t="shared" si="16"/>
        <v>0.55675592528304341</v>
      </c>
      <c r="AM47" s="254">
        <f t="shared" si="16"/>
        <v>0.5562983176732218</v>
      </c>
      <c r="AN47" s="254">
        <f t="shared" si="16"/>
        <v>0.55584108617924377</v>
      </c>
      <c r="AO47" s="254">
        <f t="shared" si="16"/>
        <v>0.55538423049197316</v>
      </c>
      <c r="AP47" s="254">
        <f t="shared" si="16"/>
        <v>0.55492775030252772</v>
      </c>
      <c r="AQ47" s="254">
        <f t="shared" si="16"/>
        <v>0.5544716453022791</v>
      </c>
      <c r="AR47" s="254">
        <f t="shared" si="16"/>
        <v>0.55401591518285254</v>
      </c>
      <c r="AS47" s="254">
        <f t="shared" si="16"/>
        <v>0.55356055963612683</v>
      </c>
      <c r="AT47" s="254">
        <f t="shared" si="16"/>
        <v>0.55310557835423424</v>
      </c>
      <c r="AU47" s="254">
        <f t="shared" si="16"/>
        <v>0.55265097102955951</v>
      </c>
      <c r="AV47" s="254">
        <f t="shared" si="16"/>
        <v>0.55219673735474073</v>
      </c>
      <c r="AW47" s="254">
        <f t="shared" si="16"/>
        <v>0.55174287702266822</v>
      </c>
      <c r="AX47" s="254">
        <f t="shared" si="16"/>
        <v>0.55128938972648533</v>
      </c>
      <c r="AY47" s="254">
        <f t="shared" si="16"/>
        <v>0.55083627515958677</v>
      </c>
      <c r="AZ47" s="254">
        <f t="shared" si="16"/>
        <v>0.55038353301562004</v>
      </c>
      <c r="BA47" s="254">
        <f t="shared" si="16"/>
        <v>0.54993116298848388</v>
      </c>
      <c r="BB47" s="254">
        <f t="shared" si="16"/>
        <v>0.54947916477232894</v>
      </c>
      <c r="BC47" s="254">
        <f t="shared" si="16"/>
        <v>0.54902753806155724</v>
      </c>
      <c r="BD47" s="254">
        <f t="shared" si="16"/>
        <v>0.54857628255082169</v>
      </c>
      <c r="BE47" s="254">
        <f t="shared" si="16"/>
        <v>0.54812539793502646</v>
      </c>
      <c r="BF47" s="254">
        <f t="shared" si="16"/>
        <v>0.54767488390932639</v>
      </c>
      <c r="BG47" s="254">
        <f t="shared" si="16"/>
        <v>0.54722474016912703</v>
      </c>
      <c r="BH47" s="254">
        <f t="shared" si="16"/>
        <v>0.54677496641008394</v>
      </c>
      <c r="BI47" s="254">
        <f t="shared" si="16"/>
        <v>0.54632556232810303</v>
      </c>
      <c r="BJ47" s="254">
        <f t="shared" si="16"/>
        <v>0.54587652761934025</v>
      </c>
      <c r="BK47" s="254">
        <f t="shared" si="16"/>
        <v>0.54542786198020099</v>
      </c>
      <c r="BL47" s="254">
        <f t="shared" si="16"/>
        <v>0.54497956510734058</v>
      </c>
      <c r="BM47" s="254">
        <f t="shared" si="16"/>
        <v>0.54453163669766325</v>
      </c>
      <c r="BN47" s="254">
        <f t="shared" si="16"/>
        <v>0.5440840764483228</v>
      </c>
      <c r="BO47" s="254">
        <f t="shared" si="16"/>
        <v>0.54363688405672139</v>
      </c>
      <c r="BP47" s="254">
        <f t="shared" ref="BP47:DR47" si="17">+($B$20*(BP3-$B$19)+$B$17)*BO48</f>
        <v>0.54319005922051045</v>
      </c>
      <c r="BQ47" s="254">
        <f t="shared" si="17"/>
        <v>0.54274360163758939</v>
      </c>
      <c r="BR47" s="254">
        <f t="shared" si="17"/>
        <v>0.54229751100610646</v>
      </c>
      <c r="BS47" s="254">
        <f t="shared" si="17"/>
        <v>0.54185178702445758</v>
      </c>
      <c r="BT47" s="254">
        <f t="shared" si="17"/>
        <v>0.54140642939128691</v>
      </c>
      <c r="BU47" s="254">
        <f t="shared" si="17"/>
        <v>0.54096143780548578</v>
      </c>
      <c r="BV47" s="254">
        <f t="shared" si="17"/>
        <v>0.54051681196619361</v>
      </c>
      <c r="BW47" s="254">
        <f t="shared" si="17"/>
        <v>0.54007255157279666</v>
      </c>
      <c r="BX47" s="254">
        <f t="shared" si="17"/>
        <v>0.53962865632492873</v>
      </c>
      <c r="BY47" s="254">
        <f t="shared" si="17"/>
        <v>0.53918512592246981</v>
      </c>
      <c r="BZ47" s="254">
        <f t="shared" si="17"/>
        <v>0.53874196006554731</v>
      </c>
      <c r="CA47" s="254">
        <f t="shared" si="17"/>
        <v>0.53829915845453447</v>
      </c>
      <c r="CB47" s="254">
        <f t="shared" si="17"/>
        <v>0.5378567207900512</v>
      </c>
      <c r="CC47" s="254">
        <f t="shared" si="17"/>
        <v>0.53741464677296358</v>
      </c>
      <c r="CD47" s="254">
        <f t="shared" si="17"/>
        <v>0.53697293610438301</v>
      </c>
      <c r="CE47" s="254">
        <f t="shared" si="17"/>
        <v>0.53653158848566707</v>
      </c>
      <c r="CF47" s="254">
        <f t="shared" si="17"/>
        <v>0.53609060361841865</v>
      </c>
      <c r="CG47" s="254">
        <f t="shared" si="17"/>
        <v>0.5356499812044857</v>
      </c>
      <c r="CH47" s="254">
        <f t="shared" si="17"/>
        <v>0.53520972094596142</v>
      </c>
      <c r="CI47" s="254">
        <f t="shared" si="17"/>
        <v>0.5347698225451839</v>
      </c>
      <c r="CJ47" s="254">
        <f t="shared" si="17"/>
        <v>0.53433028570473584</v>
      </c>
      <c r="CK47" s="254">
        <f t="shared" si="17"/>
        <v>0.53389111012744428</v>
      </c>
      <c r="CL47" s="254">
        <f t="shared" si="17"/>
        <v>0.53345229551638063</v>
      </c>
      <c r="CM47" s="254">
        <f t="shared" si="17"/>
        <v>0.53301384157486031</v>
      </c>
      <c r="CN47" s="254">
        <f t="shared" si="17"/>
        <v>0.53257574800644258</v>
      </c>
      <c r="CO47" s="254">
        <f t="shared" si="17"/>
        <v>0.53213801451493048</v>
      </c>
      <c r="CP47" s="254">
        <f t="shared" si="17"/>
        <v>0.53170064080437029</v>
      </c>
      <c r="CQ47" s="254">
        <f t="shared" si="17"/>
        <v>0.53126362657905157</v>
      </c>
      <c r="CR47" s="254">
        <f t="shared" si="17"/>
        <v>0.53082697154350711</v>
      </c>
      <c r="CS47" s="254">
        <f t="shared" si="17"/>
        <v>0.5303906754025125</v>
      </c>
      <c r="CT47" s="254">
        <f t="shared" si="17"/>
        <v>0.52995473786108571</v>
      </c>
      <c r="CU47" s="254">
        <f t="shared" si="17"/>
        <v>0.52951915862448762</v>
      </c>
      <c r="CV47" s="254">
        <f t="shared" si="17"/>
        <v>0.5290839373982209</v>
      </c>
      <c r="CW47" s="254">
        <f t="shared" si="17"/>
        <v>0.52864907388803062</v>
      </c>
      <c r="CX47" s="254">
        <f t="shared" si="17"/>
        <v>0.5282145677999035</v>
      </c>
      <c r="CY47" s="254">
        <f t="shared" si="17"/>
        <v>0.52778041884006788</v>
      </c>
      <c r="CZ47" s="254">
        <f t="shared" si="17"/>
        <v>0.52734662671499388</v>
      </c>
      <c r="DA47" s="254">
        <f t="shared" si="17"/>
        <v>0.52691319113139246</v>
      </c>
      <c r="DB47" s="254">
        <f t="shared" si="17"/>
        <v>0.52648011179621601</v>
      </c>
      <c r="DC47" s="254">
        <f t="shared" si="17"/>
        <v>0.52604738841665744</v>
      </c>
      <c r="DD47" s="254">
        <f t="shared" si="17"/>
        <v>0.52561502070015065</v>
      </c>
      <c r="DE47" s="254">
        <f t="shared" si="17"/>
        <v>0.52518300835436971</v>
      </c>
      <c r="DF47" s="254">
        <f t="shared" si="17"/>
        <v>0.52475135108722915</v>
      </c>
      <c r="DG47" s="254">
        <f t="shared" si="17"/>
        <v>0.52432004860688353</v>
      </c>
      <c r="DH47" s="254">
        <f t="shared" si="17"/>
        <v>0.52388910062172711</v>
      </c>
      <c r="DI47" s="254">
        <f t="shared" si="17"/>
        <v>0.52345850684039419</v>
      </c>
      <c r="DJ47" s="254">
        <f t="shared" si="17"/>
        <v>0.5230282669717583</v>
      </c>
      <c r="DK47" s="254">
        <f t="shared" si="17"/>
        <v>0.52259838072493214</v>
      </c>
      <c r="DL47" s="254">
        <f t="shared" si="17"/>
        <v>0.52216884780926776</v>
      </c>
      <c r="DM47" s="254">
        <f t="shared" si="17"/>
        <v>0.52173966793435611</v>
      </c>
      <c r="DN47" s="254">
        <f t="shared" si="17"/>
        <v>0.52131084081002654</v>
      </c>
      <c r="DO47" s="254">
        <f t="shared" si="17"/>
        <v>0.52088236614634698</v>
      </c>
      <c r="DP47" s="254">
        <f t="shared" si="17"/>
        <v>0.52045424365362403</v>
      </c>
      <c r="DQ47" s="254">
        <f t="shared" si="17"/>
        <v>0.52002647304240179</v>
      </c>
      <c r="DR47" s="254">
        <f t="shared" si="17"/>
        <v>0.51959905402346285</v>
      </c>
      <c r="DS47" s="220"/>
      <c r="DT47" s="220"/>
      <c r="DU47" s="220"/>
      <c r="DV47" s="220"/>
      <c r="DW47" s="220"/>
      <c r="DX47" s="220"/>
      <c r="DY47" s="220"/>
    </row>
    <row r="48" spans="1:129" s="220" customFormat="1" x14ac:dyDescent="0.2">
      <c r="A48" s="220" t="s">
        <v>819</v>
      </c>
      <c r="B48" s="254">
        <v>1</v>
      </c>
      <c r="C48" s="254">
        <v>1</v>
      </c>
      <c r="D48" s="254">
        <f t="shared" ref="D48:BO48" si="18">+(1-(D49/$B$18)^$B$21)</f>
        <v>0.99678340493187023</v>
      </c>
      <c r="E48" s="254">
        <f t="shared" si="18"/>
        <v>0.99520043040047568</v>
      </c>
      <c r="F48" s="254">
        <f t="shared" si="18"/>
        <v>0.99349797173477239</v>
      </c>
      <c r="G48" s="254">
        <f t="shared" si="18"/>
        <v>0.99160051775035885</v>
      </c>
      <c r="H48" s="254">
        <f t="shared" si="18"/>
        <v>0.98987382816199809</v>
      </c>
      <c r="I48" s="254">
        <f t="shared" si="18"/>
        <v>0.9879529595630353</v>
      </c>
      <c r="J48" s="254">
        <f t="shared" si="18"/>
        <v>0.98582387666712545</v>
      </c>
      <c r="K48" s="254">
        <f t="shared" si="18"/>
        <v>0.98403171566544123</v>
      </c>
      <c r="L48" s="254">
        <f t="shared" si="18"/>
        <v>0.98222773407895569</v>
      </c>
      <c r="M48" s="254">
        <f t="shared" si="18"/>
        <v>0.98021634608423047</v>
      </c>
      <c r="N48" s="254">
        <f t="shared" si="18"/>
        <v>0.97805887549301307</v>
      </c>
      <c r="O48" s="254">
        <f t="shared" si="18"/>
        <v>0.97592114061472979</v>
      </c>
      <c r="P48" s="254">
        <f t="shared" si="18"/>
        <v>0.97392266714679043</v>
      </c>
      <c r="Q48" s="254">
        <f t="shared" si="18"/>
        <v>0.97171935420313127</v>
      </c>
      <c r="R48" s="254">
        <f t="shared" si="18"/>
        <v>0.96956569566992801</v>
      </c>
      <c r="S48" s="254">
        <f t="shared" si="18"/>
        <v>0.96738709648216603</v>
      </c>
      <c r="T48" s="254">
        <f t="shared" si="18"/>
        <v>0.96539127531218472</v>
      </c>
      <c r="U48" s="254">
        <f t="shared" si="18"/>
        <v>0.9632368489616997</v>
      </c>
      <c r="V48" s="254">
        <f t="shared" si="18"/>
        <v>0.9609839107984538</v>
      </c>
      <c r="W48" s="254">
        <f t="shared" si="18"/>
        <v>0.95889822196740515</v>
      </c>
      <c r="X48" s="254">
        <f t="shared" si="18"/>
        <v>0.95675828591280199</v>
      </c>
      <c r="Y48" s="254">
        <f t="shared" si="18"/>
        <v>0.95457914339126448</v>
      </c>
      <c r="Z48" s="254">
        <f t="shared" si="18"/>
        <v>0.95231720034380007</v>
      </c>
      <c r="AA48" s="254">
        <f t="shared" si="18"/>
        <v>0.94982713487404735</v>
      </c>
      <c r="AB48" s="254">
        <f t="shared" si="18"/>
        <v>0.94718348095203586</v>
      </c>
      <c r="AC48" s="254">
        <f t="shared" si="18"/>
        <v>0.94467781089201441</v>
      </c>
      <c r="AD48" s="254">
        <f t="shared" si="18"/>
        <v>0.94228009837031124</v>
      </c>
      <c r="AE48" s="254">
        <f t="shared" si="18"/>
        <v>0.93970076663409052</v>
      </c>
      <c r="AF48" s="254">
        <f t="shared" si="18"/>
        <v>0.93708529743341451</v>
      </c>
      <c r="AG48" s="254">
        <f t="shared" si="18"/>
        <v>0.93470685567723688</v>
      </c>
      <c r="AH48" s="254">
        <f t="shared" si="18"/>
        <v>0.93227715953902901</v>
      </c>
      <c r="AI48" s="254">
        <f t="shared" si="18"/>
        <v>0.92945378348005803</v>
      </c>
      <c r="AJ48" s="254">
        <f t="shared" si="18"/>
        <v>0.92868984886349903</v>
      </c>
      <c r="AK48" s="254">
        <f t="shared" si="18"/>
        <v>0.92792654213840575</v>
      </c>
      <c r="AL48" s="254">
        <f t="shared" si="18"/>
        <v>0.927163862788703</v>
      </c>
      <c r="AM48" s="254">
        <f t="shared" si="18"/>
        <v>0.92640181029873969</v>
      </c>
      <c r="AN48" s="254">
        <f t="shared" si="18"/>
        <v>0.92564038415328864</v>
      </c>
      <c r="AO48" s="254">
        <f t="shared" si="18"/>
        <v>0.9248795838375462</v>
      </c>
      <c r="AP48" s="254">
        <f t="shared" si="18"/>
        <v>0.92411940883713184</v>
      </c>
      <c r="AQ48" s="254">
        <f t="shared" si="18"/>
        <v>0.92335985863808756</v>
      </c>
      <c r="AR48" s="254">
        <f t="shared" si="18"/>
        <v>0.92260093272687815</v>
      </c>
      <c r="AS48" s="254">
        <f t="shared" si="18"/>
        <v>0.9218426305903904</v>
      </c>
      <c r="AT48" s="254">
        <f t="shared" si="18"/>
        <v>0.92108495171593252</v>
      </c>
      <c r="AU48" s="254">
        <f t="shared" si="18"/>
        <v>0.92032789559123451</v>
      </c>
      <c r="AV48" s="254">
        <f t="shared" si="18"/>
        <v>0.91957146170444715</v>
      </c>
      <c r="AW48" s="254">
        <f t="shared" si="18"/>
        <v>0.91881564954414219</v>
      </c>
      <c r="AX48" s="254">
        <f t="shared" si="18"/>
        <v>0.9180604585993114</v>
      </c>
      <c r="AY48" s="254">
        <f t="shared" si="18"/>
        <v>0.91730588835936677</v>
      </c>
      <c r="AZ48" s="254">
        <f t="shared" si="18"/>
        <v>0.91655193831413984</v>
      </c>
      <c r="BA48" s="254">
        <f t="shared" si="18"/>
        <v>0.91579860795388168</v>
      </c>
      <c r="BB48" s="254">
        <f t="shared" si="18"/>
        <v>0.91504589676926207</v>
      </c>
      <c r="BC48" s="254">
        <f t="shared" si="18"/>
        <v>0.91429380425136952</v>
      </c>
      <c r="BD48" s="254">
        <f t="shared" si="18"/>
        <v>0.9135423298917108</v>
      </c>
      <c r="BE48" s="254">
        <f t="shared" si="18"/>
        <v>0.91279147318221077</v>
      </c>
      <c r="BF48" s="254">
        <f t="shared" si="18"/>
        <v>0.91204123361521172</v>
      </c>
      <c r="BG48" s="254">
        <f t="shared" si="18"/>
        <v>0.9112916106834732</v>
      </c>
      <c r="BH48" s="254">
        <f t="shared" si="18"/>
        <v>0.91054260388017172</v>
      </c>
      <c r="BI48" s="254">
        <f t="shared" si="18"/>
        <v>0.90979421269890037</v>
      </c>
      <c r="BJ48" s="254">
        <f t="shared" si="18"/>
        <v>0.90904643663366835</v>
      </c>
      <c r="BK48" s="254">
        <f t="shared" si="18"/>
        <v>0.90829927517890097</v>
      </c>
      <c r="BL48" s="254">
        <f t="shared" si="18"/>
        <v>0.90755272782943885</v>
      </c>
      <c r="BM48" s="254">
        <f t="shared" si="18"/>
        <v>0.90680679408053799</v>
      </c>
      <c r="BN48" s="254">
        <f t="shared" si="18"/>
        <v>0.90606147342786902</v>
      </c>
      <c r="BO48" s="254">
        <f t="shared" si="18"/>
        <v>0.90531676536751737</v>
      </c>
      <c r="BP48" s="254">
        <f t="shared" ref="BP48:DR48" si="19">+(1-(BP49/$B$18)^$B$21)</f>
        <v>0.90457266939598235</v>
      </c>
      <c r="BQ48" s="254">
        <f t="shared" si="19"/>
        <v>0.9038291850101775</v>
      </c>
      <c r="BR48" s="254">
        <f t="shared" si="19"/>
        <v>0.90308631170742937</v>
      </c>
      <c r="BS48" s="254">
        <f t="shared" si="19"/>
        <v>0.90234404898547815</v>
      </c>
      <c r="BT48" s="254">
        <f t="shared" si="19"/>
        <v>0.9016023963424763</v>
      </c>
      <c r="BU48" s="254">
        <f t="shared" si="19"/>
        <v>0.90086135327698935</v>
      </c>
      <c r="BV48" s="254">
        <f t="shared" si="19"/>
        <v>0.90012091928799454</v>
      </c>
      <c r="BW48" s="254">
        <f t="shared" si="19"/>
        <v>0.89938109387488119</v>
      </c>
      <c r="BX48" s="254">
        <f t="shared" si="19"/>
        <v>0.89864187653744976</v>
      </c>
      <c r="BY48" s="254">
        <f t="shared" si="19"/>
        <v>0.89790326677591215</v>
      </c>
      <c r="BZ48" s="254">
        <f t="shared" si="19"/>
        <v>0.89716526409089081</v>
      </c>
      <c r="CA48" s="254">
        <f t="shared" si="19"/>
        <v>0.89642786798341878</v>
      </c>
      <c r="CB48" s="254">
        <f t="shared" si="19"/>
        <v>0.8956910779549393</v>
      </c>
      <c r="CC48" s="254">
        <f t="shared" si="19"/>
        <v>0.89495489350730506</v>
      </c>
      <c r="CD48" s="254">
        <f t="shared" si="19"/>
        <v>0.89421931414277855</v>
      </c>
      <c r="CE48" s="254">
        <f t="shared" si="19"/>
        <v>0.89348433936403104</v>
      </c>
      <c r="CF48" s="254">
        <f t="shared" si="19"/>
        <v>0.8927499686741428</v>
      </c>
      <c r="CG48" s="254">
        <f t="shared" si="19"/>
        <v>0.89201620157660244</v>
      </c>
      <c r="CH48" s="254">
        <f t="shared" si="19"/>
        <v>0.89128303757530658</v>
      </c>
      <c r="CI48" s="254">
        <f t="shared" si="19"/>
        <v>0.89055047617455974</v>
      </c>
      <c r="CJ48" s="254">
        <f t="shared" si="19"/>
        <v>0.88981851687907376</v>
      </c>
      <c r="CK48" s="254">
        <f t="shared" si="19"/>
        <v>0.88908715919396775</v>
      </c>
      <c r="CL48" s="254">
        <f t="shared" si="19"/>
        <v>0.88835640262476723</v>
      </c>
      <c r="CM48" s="254">
        <f t="shared" si="19"/>
        <v>0.88762624667740442</v>
      </c>
      <c r="CN48" s="254">
        <f t="shared" si="19"/>
        <v>0.88689669085821743</v>
      </c>
      <c r="CO48" s="254">
        <f t="shared" si="19"/>
        <v>0.88616773467395049</v>
      </c>
      <c r="CP48" s="254">
        <f t="shared" si="19"/>
        <v>0.88543937763175273</v>
      </c>
      <c r="CQ48" s="254">
        <f t="shared" si="19"/>
        <v>0.88471161923917863</v>
      </c>
      <c r="CR48" s="254">
        <f t="shared" si="19"/>
        <v>0.88398445900418754</v>
      </c>
      <c r="CS48" s="254">
        <f t="shared" si="19"/>
        <v>0.88325789643514296</v>
      </c>
      <c r="CT48" s="254">
        <f t="shared" si="19"/>
        <v>0.88253193104081273</v>
      </c>
      <c r="CU48" s="254">
        <f t="shared" si="19"/>
        <v>0.88180656233036825</v>
      </c>
      <c r="CV48" s="254">
        <f t="shared" si="19"/>
        <v>0.88108178981338436</v>
      </c>
      <c r="CW48" s="254">
        <f t="shared" si="19"/>
        <v>0.88035761299983917</v>
      </c>
      <c r="CX48" s="254">
        <f t="shared" si="19"/>
        <v>0.8796340314001132</v>
      </c>
      <c r="CY48" s="254">
        <f t="shared" si="19"/>
        <v>0.87891104452498992</v>
      </c>
      <c r="CZ48" s="254">
        <f t="shared" si="19"/>
        <v>0.8781886518856542</v>
      </c>
      <c r="DA48" s="254">
        <f t="shared" si="19"/>
        <v>0.87746685299369342</v>
      </c>
      <c r="DB48" s="254">
        <f t="shared" si="19"/>
        <v>0.87674564736109584</v>
      </c>
      <c r="DC48" s="254">
        <f t="shared" si="19"/>
        <v>0.87602503450025115</v>
      </c>
      <c r="DD48" s="254">
        <f t="shared" si="19"/>
        <v>0.87530501392394955</v>
      </c>
      <c r="DE48" s="254">
        <f t="shared" si="19"/>
        <v>0.87458558514538187</v>
      </c>
      <c r="DF48" s="254">
        <f t="shared" si="19"/>
        <v>0.87386674767813921</v>
      </c>
      <c r="DG48" s="254">
        <f t="shared" si="19"/>
        <v>0.87314850103621189</v>
      </c>
      <c r="DH48" s="254">
        <f t="shared" si="19"/>
        <v>0.87243084473399035</v>
      </c>
      <c r="DI48" s="254">
        <f t="shared" si="19"/>
        <v>0.87171377828626384</v>
      </c>
      <c r="DJ48" s="254">
        <f t="shared" si="19"/>
        <v>0.87099730120822028</v>
      </c>
      <c r="DK48" s="254">
        <f t="shared" si="19"/>
        <v>0.87028141301544637</v>
      </c>
      <c r="DL48" s="254">
        <f t="shared" si="19"/>
        <v>0.86956611322392685</v>
      </c>
      <c r="DM48" s="254">
        <f t="shared" si="19"/>
        <v>0.86885140135004424</v>
      </c>
      <c r="DN48" s="254">
        <f t="shared" si="19"/>
        <v>0.8681372769105784</v>
      </c>
      <c r="DO48" s="254">
        <f t="shared" si="19"/>
        <v>0.86742373942270667</v>
      </c>
      <c r="DP48" s="254">
        <f t="shared" si="19"/>
        <v>0.86671078840400306</v>
      </c>
      <c r="DQ48" s="254">
        <f t="shared" si="19"/>
        <v>0.86599842337243815</v>
      </c>
      <c r="DR48" s="254">
        <f t="shared" si="19"/>
        <v>0.86528664384637866</v>
      </c>
    </row>
    <row r="49" spans="1:147" s="255" customFormat="1" x14ac:dyDescent="0.2">
      <c r="A49" s="255" t="s">
        <v>772</v>
      </c>
      <c r="B49" s="256">
        <f>+B47/100</f>
        <v>6.0000000000000001E-3</v>
      </c>
      <c r="C49" s="256">
        <f t="shared" ref="C49:BN49" si="20">+B49+C47/100</f>
        <v>1.2E-2</v>
      </c>
      <c r="D49" s="256">
        <f t="shared" si="20"/>
        <v>2.3481143997347187E-2</v>
      </c>
      <c r="E49" s="256">
        <f t="shared" si="20"/>
        <v>3.5036858076527802E-2</v>
      </c>
      <c r="F49" s="256">
        <f t="shared" si="20"/>
        <v>4.746480633616168E-2</v>
      </c>
      <c r="G49" s="256">
        <f t="shared" si="20"/>
        <v>6.1316220422380441E-2</v>
      </c>
      <c r="H49" s="256">
        <f t="shared" si="20"/>
        <v>7.3921054417413701E-2</v>
      </c>
      <c r="I49" s="256">
        <f t="shared" si="20"/>
        <v>8.7943395189842191E-2</v>
      </c>
      <c r="J49" s="256">
        <f t="shared" si="20"/>
        <v>0.10348570032998403</v>
      </c>
      <c r="K49" s="256">
        <f t="shared" si="20"/>
        <v>0.11656847564227883</v>
      </c>
      <c r="L49" s="256">
        <f t="shared" si="20"/>
        <v>0.12973754122362344</v>
      </c>
      <c r="M49" s="256">
        <f t="shared" si="20"/>
        <v>0.14442067358511723</v>
      </c>
      <c r="N49" s="256">
        <f t="shared" si="20"/>
        <v>0.16017020890100436</v>
      </c>
      <c r="O49" s="256">
        <f t="shared" si="20"/>
        <v>0.17577567351247264</v>
      </c>
      <c r="P49" s="256">
        <f t="shared" si="20"/>
        <v>0.19036452982842983</v>
      </c>
      <c r="Q49" s="256">
        <f t="shared" si="20"/>
        <v>0.20644871431714173</v>
      </c>
      <c r="R49" s="256">
        <f t="shared" si="20"/>
        <v>0.2221704216095256</v>
      </c>
      <c r="S49" s="256">
        <f t="shared" si="20"/>
        <v>0.23807419568018828</v>
      </c>
      <c r="T49" s="256">
        <f t="shared" si="20"/>
        <v>0.25264369022105154</v>
      </c>
      <c r="U49" s="256">
        <f t="shared" si="20"/>
        <v>0.26837100257959245</v>
      </c>
      <c r="V49" s="256">
        <f t="shared" si="20"/>
        <v>0.28481745117128704</v>
      </c>
      <c r="W49" s="256">
        <f t="shared" si="20"/>
        <v>0.30004297963794258</v>
      </c>
      <c r="X49" s="256">
        <f t="shared" si="20"/>
        <v>0.31566451283654545</v>
      </c>
      <c r="Y49" s="256">
        <f t="shared" si="20"/>
        <v>0.33157225324376915</v>
      </c>
      <c r="Z49" s="256">
        <f t="shared" si="20"/>
        <v>0.34808443749025914</v>
      </c>
      <c r="AA49" s="256">
        <f t="shared" si="20"/>
        <v>0.36626191541945424</v>
      </c>
      <c r="AB49" s="256">
        <f t="shared" si="20"/>
        <v>0.38556058905013818</v>
      </c>
      <c r="AC49" s="256">
        <f t="shared" si="20"/>
        <v>0.40385198048829518</v>
      </c>
      <c r="AD49" s="256">
        <f t="shared" si="20"/>
        <v>0.42135528189672805</v>
      </c>
      <c r="AE49" s="256">
        <f t="shared" si="20"/>
        <v>0.44018440357113908</v>
      </c>
      <c r="AF49" s="256">
        <f t="shared" si="20"/>
        <v>0.45927732873607408</v>
      </c>
      <c r="AG49" s="256">
        <f t="shared" si="20"/>
        <v>0.4766399535561705</v>
      </c>
      <c r="AH49" s="256">
        <f t="shared" si="20"/>
        <v>0.49437673536508797</v>
      </c>
      <c r="AI49" s="256">
        <f t="shared" si="20"/>
        <v>0.51498738059557636</v>
      </c>
      <c r="AJ49" s="256">
        <f t="shared" si="20"/>
        <v>0.52056410329645675</v>
      </c>
      <c r="AK49" s="256">
        <f t="shared" si="20"/>
        <v>0.52613624238963774</v>
      </c>
      <c r="AL49" s="256">
        <f t="shared" si="20"/>
        <v>0.53170380164246822</v>
      </c>
      <c r="AM49" s="256">
        <f t="shared" si="20"/>
        <v>0.53726678481920043</v>
      </c>
      <c r="AN49" s="256">
        <f t="shared" si="20"/>
        <v>0.54282519568099286</v>
      </c>
      <c r="AO49" s="256">
        <f t="shared" si="20"/>
        <v>0.54837903798591259</v>
      </c>
      <c r="AP49" s="256">
        <f t="shared" si="20"/>
        <v>0.55392831548893784</v>
      </c>
      <c r="AQ49" s="256">
        <f t="shared" si="20"/>
        <v>0.55947303194196063</v>
      </c>
      <c r="AR49" s="256">
        <f t="shared" si="20"/>
        <v>0.56501319109378911</v>
      </c>
      <c r="AS49" s="256">
        <f t="shared" si="20"/>
        <v>0.57054879669015035</v>
      </c>
      <c r="AT49" s="256">
        <f t="shared" si="20"/>
        <v>0.57607985247369264</v>
      </c>
      <c r="AU49" s="256">
        <f t="shared" si="20"/>
        <v>0.5816063621839882</v>
      </c>
      <c r="AV49" s="256">
        <f t="shared" si="20"/>
        <v>0.58712832955753558</v>
      </c>
      <c r="AW49" s="256">
        <f t="shared" si="20"/>
        <v>0.59264575832776223</v>
      </c>
      <c r="AX49" s="256">
        <f t="shared" si="20"/>
        <v>0.59815865222502707</v>
      </c>
      <c r="AY49" s="256">
        <f t="shared" si="20"/>
        <v>0.6036670149766229</v>
      </c>
      <c r="AZ49" s="256">
        <f t="shared" si="20"/>
        <v>0.60917085030677909</v>
      </c>
      <c r="BA49" s="256">
        <f t="shared" si="20"/>
        <v>0.61467016193666391</v>
      </c>
      <c r="BB49" s="256">
        <f t="shared" si="20"/>
        <v>0.62016495358438717</v>
      </c>
      <c r="BC49" s="256">
        <f t="shared" si="20"/>
        <v>0.6256552289650027</v>
      </c>
      <c r="BD49" s="256">
        <f t="shared" si="20"/>
        <v>0.63114099179051086</v>
      </c>
      <c r="BE49" s="256">
        <f t="shared" si="20"/>
        <v>0.63662224576986115</v>
      </c>
      <c r="BF49" s="256">
        <f t="shared" si="20"/>
        <v>0.64209899460895437</v>
      </c>
      <c r="BG49" s="256">
        <f t="shared" si="20"/>
        <v>0.64757124201064564</v>
      </c>
      <c r="BH49" s="256">
        <f t="shared" si="20"/>
        <v>0.65303899167474644</v>
      </c>
      <c r="BI49" s="256">
        <f t="shared" si="20"/>
        <v>0.65850224729802742</v>
      </c>
      <c r="BJ49" s="256">
        <f t="shared" si="20"/>
        <v>0.6639610125742208</v>
      </c>
      <c r="BK49" s="256">
        <f t="shared" si="20"/>
        <v>0.66941529119402277</v>
      </c>
      <c r="BL49" s="256">
        <f t="shared" si="20"/>
        <v>0.67486508684509616</v>
      </c>
      <c r="BM49" s="256">
        <f t="shared" si="20"/>
        <v>0.68031040321207281</v>
      </c>
      <c r="BN49" s="256">
        <f t="shared" si="20"/>
        <v>0.68575124397655607</v>
      </c>
      <c r="BO49" s="256">
        <f t="shared" ref="BO49:DR49" si="21">+BN49+BO47/100</f>
        <v>0.69118761281712326</v>
      </c>
      <c r="BP49" s="256">
        <f t="shared" si="21"/>
        <v>0.69661951340932837</v>
      </c>
      <c r="BQ49" s="256">
        <f t="shared" si="21"/>
        <v>0.70204694942570423</v>
      </c>
      <c r="BR49" s="256">
        <f t="shared" si="21"/>
        <v>0.70746992453576529</v>
      </c>
      <c r="BS49" s="256">
        <f t="shared" si="21"/>
        <v>0.7128884424060099</v>
      </c>
      <c r="BT49" s="256">
        <f t="shared" si="21"/>
        <v>0.71830250669992279</v>
      </c>
      <c r="BU49" s="256">
        <f t="shared" si="21"/>
        <v>0.72371212107797767</v>
      </c>
      <c r="BV49" s="256">
        <f t="shared" si="21"/>
        <v>0.72911728919763963</v>
      </c>
      <c r="BW49" s="256">
        <f t="shared" si="21"/>
        <v>0.73451801471336764</v>
      </c>
      <c r="BX49" s="256">
        <f t="shared" si="21"/>
        <v>0.73991430127661695</v>
      </c>
      <c r="BY49" s="256">
        <f t="shared" si="21"/>
        <v>0.74530615253584165</v>
      </c>
      <c r="BZ49" s="256">
        <f t="shared" si="21"/>
        <v>0.75069357213649712</v>
      </c>
      <c r="CA49" s="256">
        <f t="shared" si="21"/>
        <v>0.75607656372104248</v>
      </c>
      <c r="CB49" s="256">
        <f t="shared" si="21"/>
        <v>0.76145513092894301</v>
      </c>
      <c r="CC49" s="256">
        <f t="shared" si="21"/>
        <v>0.76682927739667262</v>
      </c>
      <c r="CD49" s="256">
        <f t="shared" si="21"/>
        <v>0.77219900675771647</v>
      </c>
      <c r="CE49" s="256">
        <f t="shared" si="21"/>
        <v>0.77756432264257314</v>
      </c>
      <c r="CF49" s="256">
        <f t="shared" si="21"/>
        <v>0.78292522867875736</v>
      </c>
      <c r="CG49" s="256">
        <f t="shared" si="21"/>
        <v>0.78828172849080225</v>
      </c>
      <c r="CH49" s="256">
        <f t="shared" si="21"/>
        <v>0.79363382570026186</v>
      </c>
      <c r="CI49" s="256">
        <f t="shared" si="21"/>
        <v>0.79898152392571375</v>
      </c>
      <c r="CJ49" s="256">
        <f t="shared" si="21"/>
        <v>0.80432482678276107</v>
      </c>
      <c r="CK49" s="256">
        <f t="shared" si="21"/>
        <v>0.80966373788403556</v>
      </c>
      <c r="CL49" s="256">
        <f t="shared" si="21"/>
        <v>0.81499826083919935</v>
      </c>
      <c r="CM49" s="256">
        <f t="shared" si="21"/>
        <v>0.82032839925494794</v>
      </c>
      <c r="CN49" s="256">
        <f t="shared" si="21"/>
        <v>0.82565415673501241</v>
      </c>
      <c r="CO49" s="256">
        <f t="shared" si="21"/>
        <v>0.83097553688016168</v>
      </c>
      <c r="CP49" s="256">
        <f t="shared" si="21"/>
        <v>0.83629254328820535</v>
      </c>
      <c r="CQ49" s="256">
        <f t="shared" si="21"/>
        <v>0.84160517955399583</v>
      </c>
      <c r="CR49" s="256">
        <f t="shared" si="21"/>
        <v>0.84691344926943091</v>
      </c>
      <c r="CS49" s="256">
        <f t="shared" si="21"/>
        <v>0.85221735602345605</v>
      </c>
      <c r="CT49" s="256">
        <f t="shared" si="21"/>
        <v>0.85751690340206688</v>
      </c>
      <c r="CU49" s="256">
        <f t="shared" si="21"/>
        <v>0.8628120949883118</v>
      </c>
      <c r="CV49" s="256">
        <f t="shared" si="21"/>
        <v>0.86810293436229402</v>
      </c>
      <c r="CW49" s="256">
        <f t="shared" si="21"/>
        <v>0.87338942510117434</v>
      </c>
      <c r="CX49" s="256">
        <f t="shared" si="21"/>
        <v>0.87867157077917335</v>
      </c>
      <c r="CY49" s="256">
        <f t="shared" si="21"/>
        <v>0.88394937496757398</v>
      </c>
      <c r="CZ49" s="256">
        <f t="shared" si="21"/>
        <v>0.88922284123472395</v>
      </c>
      <c r="DA49" s="256">
        <f t="shared" si="21"/>
        <v>0.8944919731460379</v>
      </c>
      <c r="DB49" s="256">
        <f t="shared" si="21"/>
        <v>0.89975677426400003</v>
      </c>
      <c r="DC49" s="256">
        <f t="shared" si="21"/>
        <v>0.90501724814816664</v>
      </c>
      <c r="DD49" s="256">
        <f t="shared" si="21"/>
        <v>0.91027339835516818</v>
      </c>
      <c r="DE49" s="256">
        <f t="shared" si="21"/>
        <v>0.91552522843871187</v>
      </c>
      <c r="DF49" s="256">
        <f t="shared" si="21"/>
        <v>0.92077274194958414</v>
      </c>
      <c r="DG49" s="256">
        <f t="shared" si="21"/>
        <v>0.92601594243565299</v>
      </c>
      <c r="DH49" s="256">
        <f t="shared" si="21"/>
        <v>0.93125483344187021</v>
      </c>
      <c r="DI49" s="256">
        <f t="shared" si="21"/>
        <v>0.93648941851027412</v>
      </c>
      <c r="DJ49" s="256">
        <f t="shared" si="21"/>
        <v>0.94171970117999171</v>
      </c>
      <c r="DK49" s="256">
        <f t="shared" si="21"/>
        <v>0.94694568498724108</v>
      </c>
      <c r="DL49" s="256">
        <f t="shared" si="21"/>
        <v>0.95216737346533376</v>
      </c>
      <c r="DM49" s="256">
        <f t="shared" si="21"/>
        <v>0.95738477014467727</v>
      </c>
      <c r="DN49" s="256">
        <f t="shared" si="21"/>
        <v>0.96259787855277756</v>
      </c>
      <c r="DO49" s="256">
        <f t="shared" si="21"/>
        <v>0.96780670221424103</v>
      </c>
      <c r="DP49" s="256">
        <f t="shared" si="21"/>
        <v>0.97301124465077726</v>
      </c>
      <c r="DQ49" s="256">
        <f t="shared" si="21"/>
        <v>0.97821150938120127</v>
      </c>
      <c r="DR49" s="256">
        <f t="shared" si="21"/>
        <v>0.98340749992143595</v>
      </c>
    </row>
    <row r="50" spans="1:147" s="220" customFormat="1" x14ac:dyDescent="0.2">
      <c r="B50" s="254"/>
      <c r="C50" s="254"/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4"/>
      <c r="O50" s="254"/>
      <c r="P50" s="254"/>
      <c r="Q50" s="254"/>
      <c r="R50" s="254"/>
      <c r="S50" s="254"/>
      <c r="T50" s="254"/>
      <c r="U50" s="254"/>
      <c r="V50" s="254"/>
      <c r="W50" s="254"/>
      <c r="X50" s="254"/>
      <c r="Y50" s="254"/>
      <c r="Z50" s="254"/>
      <c r="AA50" s="254"/>
      <c r="AB50" s="254"/>
      <c r="AC50" s="254"/>
      <c r="AD50" s="254"/>
      <c r="AE50" s="254"/>
      <c r="AF50" s="254"/>
      <c r="AG50" s="254"/>
      <c r="AH50" s="254"/>
      <c r="AI50" s="254"/>
      <c r="AJ50" s="254"/>
      <c r="AK50" s="254"/>
      <c r="AL50" s="254"/>
      <c r="AM50" s="254"/>
      <c r="AN50" s="254"/>
      <c r="AO50" s="254"/>
      <c r="AP50" s="254"/>
      <c r="AQ50" s="254"/>
      <c r="AR50" s="254"/>
      <c r="AS50" s="254"/>
      <c r="AT50" s="254"/>
      <c r="AU50" s="254"/>
      <c r="AV50" s="254"/>
      <c r="AW50" s="254"/>
      <c r="AX50" s="254"/>
      <c r="AY50" s="254"/>
      <c r="AZ50" s="254"/>
      <c r="BA50" s="254"/>
      <c r="BB50" s="254"/>
      <c r="BC50" s="254"/>
      <c r="BD50" s="254"/>
      <c r="BE50" s="254"/>
      <c r="BF50" s="254"/>
      <c r="BG50" s="254"/>
      <c r="BH50" s="254"/>
      <c r="BI50" s="254"/>
      <c r="BJ50" s="254"/>
      <c r="BK50" s="254"/>
      <c r="BL50" s="254"/>
      <c r="BM50" s="254"/>
      <c r="BN50" s="254"/>
      <c r="BO50" s="254"/>
      <c r="BP50" s="254"/>
      <c r="BQ50" s="254"/>
      <c r="BR50" s="254"/>
      <c r="BS50" s="254"/>
      <c r="BT50" s="254"/>
      <c r="BU50" s="254"/>
      <c r="BV50" s="254"/>
      <c r="BW50" s="254"/>
      <c r="BX50" s="254"/>
      <c r="BY50" s="254"/>
      <c r="BZ50" s="254"/>
      <c r="CA50" s="254"/>
      <c r="CB50" s="254"/>
      <c r="CC50" s="254"/>
      <c r="CD50" s="254"/>
      <c r="CE50" s="254"/>
      <c r="CF50" s="254"/>
      <c r="CG50" s="254"/>
      <c r="CH50" s="254"/>
      <c r="CI50" s="254"/>
      <c r="CJ50" s="254"/>
      <c r="CK50" s="254"/>
      <c r="CL50" s="254"/>
      <c r="CM50" s="254"/>
      <c r="CN50" s="254"/>
      <c r="CO50" s="254"/>
      <c r="CP50" s="254"/>
      <c r="CQ50" s="254"/>
      <c r="CR50" s="254"/>
      <c r="CS50" s="254"/>
      <c r="CT50" s="254"/>
      <c r="CU50" s="254"/>
      <c r="CV50" s="254"/>
      <c r="CW50" s="254"/>
      <c r="CX50" s="254"/>
      <c r="CY50" s="254"/>
      <c r="CZ50" s="254"/>
      <c r="DA50" s="254"/>
      <c r="DB50" s="254"/>
      <c r="DC50" s="254"/>
      <c r="DD50" s="254"/>
      <c r="DE50" s="254"/>
      <c r="DF50" s="254"/>
      <c r="DG50" s="254"/>
      <c r="DH50" s="254"/>
      <c r="DI50" s="254"/>
      <c r="DJ50" s="254"/>
      <c r="DK50" s="254"/>
      <c r="DL50" s="254"/>
      <c r="DM50" s="254"/>
      <c r="DN50" s="254"/>
      <c r="DO50" s="254"/>
      <c r="DP50" s="254"/>
      <c r="DQ50" s="254"/>
      <c r="DR50" s="254"/>
    </row>
    <row r="51" spans="1:147" s="255" customFormat="1" x14ac:dyDescent="0.2">
      <c r="A51" s="253" t="s">
        <v>820</v>
      </c>
      <c r="B51" s="245"/>
      <c r="C51" s="245"/>
      <c r="D51" s="256"/>
      <c r="E51" s="256"/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  <c r="AR51" s="256"/>
      <c r="AS51" s="256"/>
      <c r="AT51" s="256"/>
      <c r="AU51" s="256"/>
      <c r="AV51" s="256"/>
      <c r="AW51" s="256"/>
      <c r="AX51" s="256"/>
      <c r="AY51" s="256"/>
      <c r="AZ51" s="256"/>
      <c r="BA51" s="256"/>
      <c r="BB51" s="256"/>
      <c r="BC51" s="256"/>
      <c r="BD51" s="256"/>
      <c r="BE51" s="256"/>
      <c r="BF51" s="256"/>
      <c r="BG51" s="256"/>
      <c r="BH51" s="256"/>
      <c r="BI51" s="256"/>
      <c r="BJ51" s="256"/>
      <c r="BK51" s="256"/>
      <c r="BL51" s="256"/>
      <c r="BM51" s="256"/>
      <c r="BN51" s="256"/>
      <c r="BO51" s="256"/>
      <c r="BP51" s="256"/>
      <c r="BQ51" s="256"/>
      <c r="BR51" s="256"/>
      <c r="BS51" s="256"/>
      <c r="BT51" s="256"/>
      <c r="BU51" s="256"/>
      <c r="BV51" s="256"/>
      <c r="BW51" s="256"/>
      <c r="BX51" s="256"/>
      <c r="BY51" s="256"/>
      <c r="BZ51" s="256"/>
      <c r="CA51" s="256"/>
      <c r="CB51" s="256"/>
      <c r="CC51" s="256"/>
      <c r="CD51" s="256"/>
      <c r="CE51" s="256"/>
      <c r="CF51" s="256"/>
      <c r="CG51" s="256"/>
      <c r="CH51" s="256"/>
      <c r="CI51" s="256"/>
      <c r="CJ51" s="256"/>
      <c r="CK51" s="256"/>
      <c r="CL51" s="256"/>
      <c r="CM51" s="256"/>
      <c r="CN51" s="256"/>
      <c r="CO51" s="256"/>
      <c r="CP51" s="256"/>
      <c r="CQ51" s="256"/>
      <c r="CR51" s="256"/>
      <c r="CS51" s="256"/>
      <c r="CT51" s="256"/>
      <c r="CU51" s="256"/>
      <c r="CV51" s="256"/>
      <c r="CW51" s="256"/>
      <c r="CX51" s="256"/>
      <c r="CY51" s="256"/>
      <c r="CZ51" s="256"/>
      <c r="DA51" s="256"/>
      <c r="DB51" s="256"/>
      <c r="DC51" s="256"/>
      <c r="DD51" s="256"/>
      <c r="DE51" s="256"/>
      <c r="DF51" s="256"/>
      <c r="DG51" s="256"/>
      <c r="DH51" s="256"/>
      <c r="DI51" s="256"/>
      <c r="DJ51" s="256"/>
      <c r="DK51" s="256"/>
      <c r="DL51" s="256"/>
      <c r="DM51" s="256"/>
      <c r="DN51" s="256"/>
      <c r="DO51" s="256"/>
      <c r="DP51" s="256"/>
      <c r="DQ51" s="256"/>
      <c r="DR51" s="256"/>
    </row>
    <row r="52" spans="1:147" s="220" customFormat="1" x14ac:dyDescent="0.2">
      <c r="A52" s="217" t="s">
        <v>770</v>
      </c>
      <c r="B52" s="257">
        <f>+B53+B54</f>
        <v>56.6</v>
      </c>
      <c r="C52" s="257">
        <f>+$B$52-C56</f>
        <v>56.595442702050661</v>
      </c>
      <c r="D52" s="257">
        <f t="shared" ref="D52:BO52" si="22">+$B$52-D56</f>
        <v>56.591563967927343</v>
      </c>
      <c r="E52" s="257">
        <f t="shared" si="22"/>
        <v>56.587763286738095</v>
      </c>
      <c r="F52" s="257">
        <f t="shared" si="22"/>
        <v>56.584587029021499</v>
      </c>
      <c r="G52" s="257">
        <f t="shared" si="22"/>
        <v>56.582425459447954</v>
      </c>
      <c r="H52" s="257">
        <f t="shared" si="22"/>
        <v>56.579405307599522</v>
      </c>
      <c r="I52" s="257">
        <f t="shared" si="22"/>
        <v>56.577399843894135</v>
      </c>
      <c r="J52" s="257">
        <f t="shared" si="22"/>
        <v>56.576487121265878</v>
      </c>
      <c r="K52" s="257">
        <f t="shared" si="22"/>
        <v>56.573857234087846</v>
      </c>
      <c r="L52" s="257">
        <f t="shared" si="22"/>
        <v>56.571305399843894</v>
      </c>
      <c r="M52" s="257">
        <f t="shared" si="22"/>
        <v>56.575449634570354</v>
      </c>
      <c r="N52" s="257">
        <f t="shared" si="22"/>
        <v>56.580374398637623</v>
      </c>
      <c r="O52" s="257">
        <f t="shared" si="22"/>
        <v>56.585221109770806</v>
      </c>
      <c r="P52" s="257">
        <f t="shared" si="22"/>
        <v>56.589365344497267</v>
      </c>
      <c r="Q52" s="257">
        <f t="shared" si="22"/>
        <v>56.594602320300858</v>
      </c>
      <c r="R52" s="257">
        <f t="shared" si="22"/>
        <v>56.599605137302206</v>
      </c>
      <c r="S52" s="257">
        <f t="shared" si="22"/>
        <v>56.604764060171718</v>
      </c>
      <c r="T52" s="257">
        <f t="shared" si="22"/>
        <v>56.608986347832257</v>
      </c>
      <c r="U52" s="257">
        <f t="shared" si="22"/>
        <v>56.61406721776769</v>
      </c>
      <c r="V52" s="257">
        <f t="shared" si="22"/>
        <v>56.619694458241682</v>
      </c>
      <c r="W52" s="257">
        <f t="shared" si="22"/>
        <v>56.624463116440786</v>
      </c>
      <c r="X52" s="257">
        <f t="shared" si="22"/>
        <v>56.62954398637622</v>
      </c>
      <c r="Y52" s="257">
        <f t="shared" si="22"/>
        <v>56.634859015113889</v>
      </c>
      <c r="Z52" s="257">
        <f t="shared" si="22"/>
        <v>56.640642361456045</v>
      </c>
      <c r="AA52" s="257">
        <f t="shared" si="22"/>
        <v>56.647674554743489</v>
      </c>
      <c r="AB52" s="257">
        <f t="shared" si="22"/>
        <v>56.655565330305826</v>
      </c>
      <c r="AC52" s="257">
        <f t="shared" si="22"/>
        <v>56.662753629461434</v>
      </c>
      <c r="AD52" s="257">
        <f t="shared" si="22"/>
        <v>56.669395558078477</v>
      </c>
      <c r="AE52" s="257">
        <f t="shared" si="22"/>
        <v>56.677052174838572</v>
      </c>
      <c r="AF52" s="257">
        <f t="shared" si="22"/>
        <v>56.684942950400909</v>
      </c>
      <c r="AG52" s="257">
        <f t="shared" si="22"/>
        <v>56.691584879017952</v>
      </c>
      <c r="AH52" s="257">
        <f t="shared" si="22"/>
        <v>56.698539019371317</v>
      </c>
      <c r="AI52" s="257">
        <f t="shared" si="22"/>
        <v>56.70767864187895</v>
      </c>
      <c r="AJ52" s="257">
        <f t="shared" si="22"/>
        <v>56.705578641878951</v>
      </c>
      <c r="AK52" s="257">
        <f t="shared" si="22"/>
        <v>56.703478641878945</v>
      </c>
      <c r="AL52" s="257">
        <f t="shared" si="22"/>
        <v>56.701378641878946</v>
      </c>
      <c r="AM52" s="257">
        <f t="shared" si="22"/>
        <v>56.699278641878948</v>
      </c>
      <c r="AN52" s="257">
        <f t="shared" si="22"/>
        <v>56.697178641878949</v>
      </c>
      <c r="AO52" s="257">
        <f t="shared" si="22"/>
        <v>56.695078641878951</v>
      </c>
      <c r="AP52" s="257">
        <f t="shared" si="22"/>
        <v>56.692978641878945</v>
      </c>
      <c r="AQ52" s="257">
        <f t="shared" si="22"/>
        <v>56.690878641878946</v>
      </c>
      <c r="AR52" s="257">
        <f t="shared" si="22"/>
        <v>56.688778641878947</v>
      </c>
      <c r="AS52" s="257">
        <f t="shared" si="22"/>
        <v>56.686678641878949</v>
      </c>
      <c r="AT52" s="257">
        <f t="shared" si="22"/>
        <v>56.68457864187895</v>
      </c>
      <c r="AU52" s="257">
        <f t="shared" si="22"/>
        <v>56.682478641878951</v>
      </c>
      <c r="AV52" s="257">
        <f t="shared" si="22"/>
        <v>56.680378641878946</v>
      </c>
      <c r="AW52" s="257">
        <f t="shared" si="22"/>
        <v>56.678278641878947</v>
      </c>
      <c r="AX52" s="257">
        <f t="shared" si="22"/>
        <v>56.676178641878948</v>
      </c>
      <c r="AY52" s="257">
        <f t="shared" si="22"/>
        <v>56.67407864187895</v>
      </c>
      <c r="AZ52" s="257">
        <f t="shared" si="22"/>
        <v>56.671978641878951</v>
      </c>
      <c r="BA52" s="257">
        <f t="shared" si="22"/>
        <v>56.669878641878945</v>
      </c>
      <c r="BB52" s="257">
        <f t="shared" si="22"/>
        <v>56.667778641878947</v>
      </c>
      <c r="BC52" s="257">
        <f t="shared" si="22"/>
        <v>56.665678641878948</v>
      </c>
      <c r="BD52" s="257">
        <f t="shared" si="22"/>
        <v>56.663578641878949</v>
      </c>
      <c r="BE52" s="257">
        <f t="shared" si="22"/>
        <v>56.661478641878951</v>
      </c>
      <c r="BF52" s="257">
        <f t="shared" si="22"/>
        <v>56.659378641878945</v>
      </c>
      <c r="BG52" s="257">
        <f t="shared" si="22"/>
        <v>56.657278641878946</v>
      </c>
      <c r="BH52" s="257">
        <f t="shared" si="22"/>
        <v>56.655178641878948</v>
      </c>
      <c r="BI52" s="257">
        <f t="shared" si="22"/>
        <v>56.653078641878949</v>
      </c>
      <c r="BJ52" s="257">
        <f t="shared" si="22"/>
        <v>56.65097864187895</v>
      </c>
      <c r="BK52" s="257">
        <f t="shared" si="22"/>
        <v>56.648878641878952</v>
      </c>
      <c r="BL52" s="257">
        <f t="shared" si="22"/>
        <v>56.646778641878946</v>
      </c>
      <c r="BM52" s="257">
        <f t="shared" si="22"/>
        <v>56.644678641878947</v>
      </c>
      <c r="BN52" s="257">
        <f t="shared" si="22"/>
        <v>56.642578641878949</v>
      </c>
      <c r="BO52" s="257">
        <f t="shared" si="22"/>
        <v>56.64047864187895</v>
      </c>
      <c r="BP52" s="257">
        <f t="shared" ref="BP52:DR52" si="23">+$B$52-BP56</f>
        <v>56.638378641878951</v>
      </c>
      <c r="BQ52" s="257">
        <f t="shared" si="23"/>
        <v>56.636278641878945</v>
      </c>
      <c r="BR52" s="257">
        <f t="shared" si="23"/>
        <v>56.634178641878947</v>
      </c>
      <c r="BS52" s="257">
        <f t="shared" si="23"/>
        <v>56.632078641878948</v>
      </c>
      <c r="BT52" s="257">
        <f t="shared" si="23"/>
        <v>56.629978641878949</v>
      </c>
      <c r="BU52" s="257">
        <f t="shared" si="23"/>
        <v>56.627878641878951</v>
      </c>
      <c r="BV52" s="257">
        <f t="shared" si="23"/>
        <v>56.625778641878945</v>
      </c>
      <c r="BW52" s="257">
        <f t="shared" si="23"/>
        <v>56.623678641878946</v>
      </c>
      <c r="BX52" s="257">
        <f t="shared" si="23"/>
        <v>56.621578641878948</v>
      </c>
      <c r="BY52" s="257">
        <f t="shared" si="23"/>
        <v>56.619478641878949</v>
      </c>
      <c r="BZ52" s="257">
        <f t="shared" si="23"/>
        <v>56.61737864187895</v>
      </c>
      <c r="CA52" s="257">
        <f t="shared" si="23"/>
        <v>56.615278641878952</v>
      </c>
      <c r="CB52" s="257">
        <f t="shared" si="23"/>
        <v>56.613178641878946</v>
      </c>
      <c r="CC52" s="257">
        <f t="shared" si="23"/>
        <v>56.611078641878947</v>
      </c>
      <c r="CD52" s="257">
        <f t="shared" si="23"/>
        <v>56.608978641878949</v>
      </c>
      <c r="CE52" s="257">
        <f t="shared" si="23"/>
        <v>56.60687864187895</v>
      </c>
      <c r="CF52" s="257">
        <f t="shared" si="23"/>
        <v>56.604778641878951</v>
      </c>
      <c r="CG52" s="257">
        <f t="shared" si="23"/>
        <v>56.602678641878946</v>
      </c>
      <c r="CH52" s="257">
        <f t="shared" si="23"/>
        <v>56.600578641878947</v>
      </c>
      <c r="CI52" s="257">
        <f t="shared" si="23"/>
        <v>56.598478641878948</v>
      </c>
      <c r="CJ52" s="257">
        <f t="shared" si="23"/>
        <v>56.59637864187895</v>
      </c>
      <c r="CK52" s="257">
        <f t="shared" si="23"/>
        <v>56.594278641878951</v>
      </c>
      <c r="CL52" s="257">
        <f t="shared" si="23"/>
        <v>56.592178641878945</v>
      </c>
      <c r="CM52" s="257">
        <f t="shared" si="23"/>
        <v>56.590078641878947</v>
      </c>
      <c r="CN52" s="257">
        <f t="shared" si="23"/>
        <v>56.587978641878948</v>
      </c>
      <c r="CO52" s="257">
        <f t="shared" si="23"/>
        <v>56.585878641878949</v>
      </c>
      <c r="CP52" s="257">
        <f t="shared" si="23"/>
        <v>56.583778641878951</v>
      </c>
      <c r="CQ52" s="257">
        <f t="shared" si="23"/>
        <v>56.581678641878945</v>
      </c>
      <c r="CR52" s="257">
        <f t="shared" si="23"/>
        <v>56.579578641878946</v>
      </c>
      <c r="CS52" s="257">
        <f t="shared" si="23"/>
        <v>56.577478641878947</v>
      </c>
      <c r="CT52" s="257">
        <f t="shared" si="23"/>
        <v>56.575378641878949</v>
      </c>
      <c r="CU52" s="257">
        <f t="shared" si="23"/>
        <v>56.57327864187895</v>
      </c>
      <c r="CV52" s="257">
        <f t="shared" si="23"/>
        <v>56.571178641878952</v>
      </c>
      <c r="CW52" s="257">
        <f t="shared" si="23"/>
        <v>56.569078641878946</v>
      </c>
      <c r="CX52" s="257">
        <f t="shared" si="23"/>
        <v>56.566978641878947</v>
      </c>
      <c r="CY52" s="257">
        <f t="shared" si="23"/>
        <v>56.564878641878948</v>
      </c>
      <c r="CZ52" s="257">
        <f t="shared" si="23"/>
        <v>56.56277864187895</v>
      </c>
      <c r="DA52" s="257">
        <f t="shared" si="23"/>
        <v>56.560678641878951</v>
      </c>
      <c r="DB52" s="257">
        <f t="shared" si="23"/>
        <v>56.558578641878945</v>
      </c>
      <c r="DC52" s="257">
        <f t="shared" si="23"/>
        <v>56.556478641878947</v>
      </c>
      <c r="DD52" s="257">
        <f t="shared" si="23"/>
        <v>56.554378641878948</v>
      </c>
      <c r="DE52" s="257">
        <f t="shared" si="23"/>
        <v>56.552278641878949</v>
      </c>
      <c r="DF52" s="257">
        <f t="shared" si="23"/>
        <v>56.550178641878951</v>
      </c>
      <c r="DG52" s="257">
        <f t="shared" si="23"/>
        <v>56.548078641878945</v>
      </c>
      <c r="DH52" s="257">
        <f t="shared" si="23"/>
        <v>56.545978641878946</v>
      </c>
      <c r="DI52" s="257">
        <f t="shared" si="23"/>
        <v>56.543878641878948</v>
      </c>
      <c r="DJ52" s="257">
        <f t="shared" si="23"/>
        <v>56.541778641878949</v>
      </c>
      <c r="DK52" s="257">
        <f t="shared" si="23"/>
        <v>56.53967864187895</v>
      </c>
      <c r="DL52" s="257">
        <f t="shared" si="23"/>
        <v>56.537578641878952</v>
      </c>
      <c r="DM52" s="257">
        <f t="shared" si="23"/>
        <v>56.535478641878946</v>
      </c>
      <c r="DN52" s="257">
        <f t="shared" si="23"/>
        <v>56.533378641878947</v>
      </c>
      <c r="DO52" s="257">
        <f t="shared" si="23"/>
        <v>56.531278641878949</v>
      </c>
      <c r="DP52" s="257">
        <f t="shared" si="23"/>
        <v>56.52917864187895</v>
      </c>
      <c r="DQ52" s="257">
        <f t="shared" si="23"/>
        <v>56.527078641878951</v>
      </c>
      <c r="DR52" s="257">
        <f t="shared" si="23"/>
        <v>56.524978641878945</v>
      </c>
      <c r="DS52" s="217"/>
      <c r="DT52" s="217"/>
      <c r="DU52" s="217"/>
    </row>
    <row r="53" spans="1:147" x14ac:dyDescent="0.2">
      <c r="A53" s="217" t="s">
        <v>774</v>
      </c>
      <c r="B53" s="257">
        <f>+B31</f>
        <v>5</v>
      </c>
      <c r="C53" s="257"/>
    </row>
    <row r="54" spans="1:147" s="217" customFormat="1" x14ac:dyDescent="0.2">
      <c r="A54" s="217" t="s">
        <v>775</v>
      </c>
      <c r="B54" s="257">
        <f>+B32</f>
        <v>51.6</v>
      </c>
      <c r="C54" s="257"/>
      <c r="D54" s="25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7"/>
      <c r="BG54" s="257"/>
      <c r="BH54" s="257"/>
      <c r="BI54" s="257"/>
      <c r="BJ54" s="257"/>
      <c r="BK54" s="257"/>
      <c r="BL54" s="257"/>
      <c r="BM54" s="257"/>
      <c r="BN54" s="257"/>
      <c r="BO54" s="257"/>
      <c r="BP54" s="257"/>
      <c r="BQ54" s="257"/>
      <c r="BR54" s="257"/>
      <c r="BS54" s="257"/>
      <c r="BT54" s="257"/>
      <c r="BU54" s="257"/>
      <c r="BV54" s="257"/>
      <c r="BW54" s="257"/>
      <c r="BX54" s="257"/>
      <c r="BY54" s="257"/>
      <c r="BZ54" s="257"/>
      <c r="CA54" s="257"/>
      <c r="CB54" s="257"/>
      <c r="CC54" s="257"/>
      <c r="CD54" s="257"/>
      <c r="CE54" s="257"/>
      <c r="CF54" s="257"/>
      <c r="CG54" s="257"/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  <c r="DI54" s="257"/>
      <c r="DJ54" s="257"/>
      <c r="DK54" s="257"/>
      <c r="DL54" s="257"/>
      <c r="DM54" s="257"/>
      <c r="DN54" s="257"/>
      <c r="DO54" s="257"/>
      <c r="DP54" s="257"/>
      <c r="DQ54" s="257"/>
      <c r="DR54" s="257"/>
    </row>
    <row r="55" spans="1:147" s="217" customFormat="1" x14ac:dyDescent="0.2">
      <c r="A55" s="217" t="s">
        <v>776</v>
      </c>
      <c r="B55" s="258">
        <f>+IF(B3&lt;3,$B$26*B3*$B$29,$B$28*$B$26+$B$27*(B3-3))+$B$25</f>
        <v>0.20835166394663995</v>
      </c>
      <c r="C55" s="258">
        <f t="shared" ref="C55:L55" si="24">+IF(C3&lt;3,$B$26*C3*$B$29,$B$28*$B$26+$B$27*(C3-3))+$B$25</f>
        <v>0.24737813098701444</v>
      </c>
      <c r="D55" s="258">
        <f t="shared" si="24"/>
        <v>0.38787341233236317</v>
      </c>
      <c r="E55" s="258">
        <f t="shared" si="24"/>
        <v>0.38006811892428821</v>
      </c>
      <c r="F55" s="258">
        <f t="shared" si="24"/>
        <v>0.31762577165968886</v>
      </c>
      <c r="G55" s="258">
        <f t="shared" si="24"/>
        <v>0.21615695735471485</v>
      </c>
      <c r="H55" s="258">
        <f t="shared" si="24"/>
        <v>0.30201518484353901</v>
      </c>
      <c r="I55" s="258">
        <f t="shared" si="24"/>
        <v>0.20054637053856494</v>
      </c>
      <c r="J55" s="258">
        <f t="shared" si="24"/>
        <v>9.1272262825515926E-2</v>
      </c>
      <c r="K55" s="258">
        <f t="shared" si="24"/>
        <v>0.26298871780316435</v>
      </c>
      <c r="L55" s="258">
        <f t="shared" si="24"/>
        <v>0.25518342439508934</v>
      </c>
      <c r="M55" s="258">
        <f t="shared" ref="M55:BX55" si="25">+IF(M3&lt;3,$B$26*M3*$B$29,$B$28*$B$26+$B$27*(M3-3))+$B$24</f>
        <v>-0.414423472645994</v>
      </c>
      <c r="N55" s="258">
        <f t="shared" si="25"/>
        <v>-0.4924764067267432</v>
      </c>
      <c r="O55" s="258">
        <f t="shared" si="25"/>
        <v>-0.48467111331866819</v>
      </c>
      <c r="P55" s="258">
        <f t="shared" si="25"/>
        <v>-0.414423472645994</v>
      </c>
      <c r="Q55" s="258">
        <f t="shared" si="25"/>
        <v>-0.5236975803590429</v>
      </c>
      <c r="R55" s="258">
        <f t="shared" si="25"/>
        <v>-0.5002817001348181</v>
      </c>
      <c r="S55" s="258">
        <f t="shared" si="25"/>
        <v>-0.515892286950968</v>
      </c>
      <c r="T55" s="258">
        <f t="shared" si="25"/>
        <v>-0.42222876605406889</v>
      </c>
      <c r="U55" s="258">
        <f t="shared" si="25"/>
        <v>-0.50808699354289311</v>
      </c>
      <c r="V55" s="258">
        <f t="shared" si="25"/>
        <v>-0.5627240473994175</v>
      </c>
      <c r="W55" s="258">
        <f t="shared" si="25"/>
        <v>-0.47686581991059329</v>
      </c>
      <c r="X55" s="258">
        <f t="shared" si="25"/>
        <v>-0.50808699354289311</v>
      </c>
      <c r="Y55" s="258">
        <f t="shared" si="25"/>
        <v>-0.5315028737671178</v>
      </c>
      <c r="Z55" s="258">
        <f t="shared" si="25"/>
        <v>-0.5783346342155673</v>
      </c>
      <c r="AA55" s="258">
        <f t="shared" si="25"/>
        <v>-0.703219328744766</v>
      </c>
      <c r="AB55" s="258">
        <f t="shared" si="25"/>
        <v>-0.78907755623359022</v>
      </c>
      <c r="AC55" s="258">
        <f t="shared" si="25"/>
        <v>-0.71882991556091591</v>
      </c>
      <c r="AD55" s="258">
        <f t="shared" si="25"/>
        <v>-0.66419286170439162</v>
      </c>
      <c r="AE55" s="258">
        <f t="shared" si="25"/>
        <v>-0.76566167600936552</v>
      </c>
      <c r="AF55" s="258">
        <f t="shared" si="25"/>
        <v>-0.78907755623359022</v>
      </c>
      <c r="AG55" s="258">
        <f t="shared" si="25"/>
        <v>-0.66419286170439162</v>
      </c>
      <c r="AH55" s="258">
        <f t="shared" si="25"/>
        <v>-0.69541403533669111</v>
      </c>
      <c r="AI55" s="258">
        <f t="shared" si="25"/>
        <v>-0.91396225076278892</v>
      </c>
      <c r="AJ55" s="258">
        <f t="shared" si="25"/>
        <v>0.21</v>
      </c>
      <c r="AK55" s="258">
        <f t="shared" si="25"/>
        <v>0.21</v>
      </c>
      <c r="AL55" s="258">
        <f t="shared" si="25"/>
        <v>0.21</v>
      </c>
      <c r="AM55" s="258">
        <f t="shared" si="25"/>
        <v>0.21</v>
      </c>
      <c r="AN55" s="258">
        <f t="shared" si="25"/>
        <v>0.21</v>
      </c>
      <c r="AO55" s="258">
        <f t="shared" si="25"/>
        <v>0.21</v>
      </c>
      <c r="AP55" s="258">
        <f t="shared" si="25"/>
        <v>0.21</v>
      </c>
      <c r="AQ55" s="258">
        <f t="shared" si="25"/>
        <v>0.21</v>
      </c>
      <c r="AR55" s="258">
        <f t="shared" si="25"/>
        <v>0.21</v>
      </c>
      <c r="AS55" s="258">
        <f t="shared" si="25"/>
        <v>0.21</v>
      </c>
      <c r="AT55" s="258">
        <f t="shared" si="25"/>
        <v>0.21</v>
      </c>
      <c r="AU55" s="258">
        <f t="shared" si="25"/>
        <v>0.21</v>
      </c>
      <c r="AV55" s="258">
        <f t="shared" si="25"/>
        <v>0.21</v>
      </c>
      <c r="AW55" s="258">
        <f t="shared" si="25"/>
        <v>0.21</v>
      </c>
      <c r="AX55" s="258">
        <f t="shared" si="25"/>
        <v>0.21</v>
      </c>
      <c r="AY55" s="258">
        <f t="shared" si="25"/>
        <v>0.21</v>
      </c>
      <c r="AZ55" s="258">
        <f t="shared" si="25"/>
        <v>0.21</v>
      </c>
      <c r="BA55" s="258">
        <f t="shared" si="25"/>
        <v>0.21</v>
      </c>
      <c r="BB55" s="258">
        <f t="shared" si="25"/>
        <v>0.21</v>
      </c>
      <c r="BC55" s="258">
        <f t="shared" si="25"/>
        <v>0.21</v>
      </c>
      <c r="BD55" s="258">
        <f t="shared" si="25"/>
        <v>0.21</v>
      </c>
      <c r="BE55" s="258">
        <f t="shared" si="25"/>
        <v>0.21</v>
      </c>
      <c r="BF55" s="258">
        <f t="shared" si="25"/>
        <v>0.21</v>
      </c>
      <c r="BG55" s="258">
        <f t="shared" si="25"/>
        <v>0.21</v>
      </c>
      <c r="BH55" s="258">
        <f t="shared" si="25"/>
        <v>0.21</v>
      </c>
      <c r="BI55" s="258">
        <f t="shared" si="25"/>
        <v>0.21</v>
      </c>
      <c r="BJ55" s="258">
        <f t="shared" si="25"/>
        <v>0.21</v>
      </c>
      <c r="BK55" s="258">
        <f t="shared" si="25"/>
        <v>0.21</v>
      </c>
      <c r="BL55" s="258">
        <f t="shared" si="25"/>
        <v>0.21</v>
      </c>
      <c r="BM55" s="258">
        <f t="shared" si="25"/>
        <v>0.21</v>
      </c>
      <c r="BN55" s="258">
        <f t="shared" si="25"/>
        <v>0.21</v>
      </c>
      <c r="BO55" s="258">
        <f t="shared" si="25"/>
        <v>0.21</v>
      </c>
      <c r="BP55" s="258">
        <f t="shared" si="25"/>
        <v>0.21</v>
      </c>
      <c r="BQ55" s="258">
        <f t="shared" si="25"/>
        <v>0.21</v>
      </c>
      <c r="BR55" s="258">
        <f t="shared" si="25"/>
        <v>0.21</v>
      </c>
      <c r="BS55" s="258">
        <f t="shared" si="25"/>
        <v>0.21</v>
      </c>
      <c r="BT55" s="258">
        <f t="shared" si="25"/>
        <v>0.21</v>
      </c>
      <c r="BU55" s="258">
        <f t="shared" si="25"/>
        <v>0.21</v>
      </c>
      <c r="BV55" s="258">
        <f t="shared" si="25"/>
        <v>0.21</v>
      </c>
      <c r="BW55" s="258">
        <f t="shared" si="25"/>
        <v>0.21</v>
      </c>
      <c r="BX55" s="258">
        <f t="shared" si="25"/>
        <v>0.21</v>
      </c>
      <c r="BY55" s="258">
        <f t="shared" ref="BY55:DR55" si="26">+IF(BY3&lt;3,$B$26*BY3*$B$29,$B$28*$B$26+$B$27*(BY3-3))+$B$24</f>
        <v>0.21</v>
      </c>
      <c r="BZ55" s="258">
        <f t="shared" si="26"/>
        <v>0.21</v>
      </c>
      <c r="CA55" s="258">
        <f t="shared" si="26"/>
        <v>0.21</v>
      </c>
      <c r="CB55" s="258">
        <f t="shared" si="26"/>
        <v>0.21</v>
      </c>
      <c r="CC55" s="258">
        <f t="shared" si="26"/>
        <v>0.21</v>
      </c>
      <c r="CD55" s="258">
        <f t="shared" si="26"/>
        <v>0.21</v>
      </c>
      <c r="CE55" s="258">
        <f t="shared" si="26"/>
        <v>0.21</v>
      </c>
      <c r="CF55" s="258">
        <f t="shared" si="26"/>
        <v>0.21</v>
      </c>
      <c r="CG55" s="258">
        <f t="shared" si="26"/>
        <v>0.21</v>
      </c>
      <c r="CH55" s="258">
        <f t="shared" si="26"/>
        <v>0.21</v>
      </c>
      <c r="CI55" s="258">
        <f t="shared" si="26"/>
        <v>0.21</v>
      </c>
      <c r="CJ55" s="258">
        <f t="shared" si="26"/>
        <v>0.21</v>
      </c>
      <c r="CK55" s="258">
        <f t="shared" si="26"/>
        <v>0.21</v>
      </c>
      <c r="CL55" s="258">
        <f t="shared" si="26"/>
        <v>0.21</v>
      </c>
      <c r="CM55" s="258">
        <f t="shared" si="26"/>
        <v>0.21</v>
      </c>
      <c r="CN55" s="258">
        <f t="shared" si="26"/>
        <v>0.21</v>
      </c>
      <c r="CO55" s="258">
        <f t="shared" si="26"/>
        <v>0.21</v>
      </c>
      <c r="CP55" s="258">
        <f t="shared" si="26"/>
        <v>0.21</v>
      </c>
      <c r="CQ55" s="258">
        <f t="shared" si="26"/>
        <v>0.21</v>
      </c>
      <c r="CR55" s="258">
        <f t="shared" si="26"/>
        <v>0.21</v>
      </c>
      <c r="CS55" s="258">
        <f t="shared" si="26"/>
        <v>0.21</v>
      </c>
      <c r="CT55" s="258">
        <f t="shared" si="26"/>
        <v>0.21</v>
      </c>
      <c r="CU55" s="258">
        <f t="shared" si="26"/>
        <v>0.21</v>
      </c>
      <c r="CV55" s="258">
        <f t="shared" si="26"/>
        <v>0.21</v>
      </c>
      <c r="CW55" s="258">
        <f t="shared" si="26"/>
        <v>0.21</v>
      </c>
      <c r="CX55" s="258">
        <f t="shared" si="26"/>
        <v>0.21</v>
      </c>
      <c r="CY55" s="258">
        <f t="shared" si="26"/>
        <v>0.21</v>
      </c>
      <c r="CZ55" s="258">
        <f t="shared" si="26"/>
        <v>0.21</v>
      </c>
      <c r="DA55" s="258">
        <f t="shared" si="26"/>
        <v>0.21</v>
      </c>
      <c r="DB55" s="258">
        <f t="shared" si="26"/>
        <v>0.21</v>
      </c>
      <c r="DC55" s="258">
        <f t="shared" si="26"/>
        <v>0.21</v>
      </c>
      <c r="DD55" s="258">
        <f t="shared" si="26"/>
        <v>0.21</v>
      </c>
      <c r="DE55" s="258">
        <f t="shared" si="26"/>
        <v>0.21</v>
      </c>
      <c r="DF55" s="258">
        <f t="shared" si="26"/>
        <v>0.21</v>
      </c>
      <c r="DG55" s="258">
        <f t="shared" si="26"/>
        <v>0.21</v>
      </c>
      <c r="DH55" s="258">
        <f t="shared" si="26"/>
        <v>0.21</v>
      </c>
      <c r="DI55" s="258">
        <f t="shared" si="26"/>
        <v>0.21</v>
      </c>
      <c r="DJ55" s="258">
        <f t="shared" si="26"/>
        <v>0.21</v>
      </c>
      <c r="DK55" s="258">
        <f t="shared" si="26"/>
        <v>0.21</v>
      </c>
      <c r="DL55" s="258">
        <f t="shared" si="26"/>
        <v>0.21</v>
      </c>
      <c r="DM55" s="258">
        <f t="shared" si="26"/>
        <v>0.21</v>
      </c>
      <c r="DN55" s="258">
        <f t="shared" si="26"/>
        <v>0.21</v>
      </c>
      <c r="DO55" s="258">
        <f t="shared" si="26"/>
        <v>0.21</v>
      </c>
      <c r="DP55" s="258">
        <f t="shared" si="26"/>
        <v>0.21</v>
      </c>
      <c r="DQ55" s="258">
        <f t="shared" si="26"/>
        <v>0.21</v>
      </c>
      <c r="DR55" s="258">
        <f t="shared" si="26"/>
        <v>0.21</v>
      </c>
      <c r="DS55" s="259"/>
      <c r="DT55" s="259"/>
      <c r="DU55" s="259"/>
      <c r="DV55" s="259"/>
      <c r="DW55" s="259"/>
    </row>
    <row r="56" spans="1:147" s="217" customFormat="1" x14ac:dyDescent="0.2">
      <c r="A56" s="217" t="s">
        <v>821</v>
      </c>
      <c r="B56" s="257">
        <f>+B55/100</f>
        <v>2.0835166394663996E-3</v>
      </c>
      <c r="C56" s="257">
        <f t="shared" ref="C56:BN56" si="27">+B56+C55/100</f>
        <v>4.5572979493365435E-3</v>
      </c>
      <c r="D56" s="257">
        <f t="shared" si="27"/>
        <v>8.436032072660176E-3</v>
      </c>
      <c r="E56" s="257">
        <f t="shared" si="27"/>
        <v>1.2236713261903058E-2</v>
      </c>
      <c r="F56" s="257">
        <f t="shared" si="27"/>
        <v>1.5412970978499946E-2</v>
      </c>
      <c r="G56" s="257">
        <f t="shared" si="27"/>
        <v>1.7574540552047095E-2</v>
      </c>
      <c r="H56" s="257">
        <f t="shared" si="27"/>
        <v>2.0594692400482485E-2</v>
      </c>
      <c r="I56" s="257">
        <f t="shared" si="27"/>
        <v>2.2600156105868133E-2</v>
      </c>
      <c r="J56" s="257">
        <f t="shared" si="27"/>
        <v>2.3512878734123294E-2</v>
      </c>
      <c r="K56" s="257">
        <f t="shared" si="27"/>
        <v>2.6142765912154937E-2</v>
      </c>
      <c r="L56" s="257">
        <f t="shared" si="27"/>
        <v>2.869460015610583E-2</v>
      </c>
      <c r="M56" s="257">
        <f t="shared" si="27"/>
        <v>2.4550365429645889E-2</v>
      </c>
      <c r="N56" s="257">
        <f t="shared" si="27"/>
        <v>1.9625601362378457E-2</v>
      </c>
      <c r="O56" s="257">
        <f t="shared" si="27"/>
        <v>1.4778890229191774E-2</v>
      </c>
      <c r="P56" s="257">
        <f t="shared" si="27"/>
        <v>1.0634655502731835E-2</v>
      </c>
      <c r="Q56" s="257">
        <f t="shared" si="27"/>
        <v>5.3976796991414061E-3</v>
      </c>
      <c r="R56" s="257">
        <f t="shared" si="27"/>
        <v>3.9486269779322528E-4</v>
      </c>
      <c r="S56" s="257">
        <f t="shared" si="27"/>
        <v>-4.7640601717164549E-3</v>
      </c>
      <c r="T56" s="257">
        <f t="shared" si="27"/>
        <v>-8.9863478322571438E-3</v>
      </c>
      <c r="U56" s="257">
        <f t="shared" si="27"/>
        <v>-1.4067217767686074E-2</v>
      </c>
      <c r="V56" s="257">
        <f t="shared" si="27"/>
        <v>-1.969445824168025E-2</v>
      </c>
      <c r="W56" s="257">
        <f t="shared" si="27"/>
        <v>-2.4463116440786182E-2</v>
      </c>
      <c r="X56" s="257">
        <f t="shared" si="27"/>
        <v>-2.9543986376215112E-2</v>
      </c>
      <c r="Y56" s="257">
        <f t="shared" si="27"/>
        <v>-3.4859015113886289E-2</v>
      </c>
      <c r="Z56" s="257">
        <f t="shared" si="27"/>
        <v>-4.0642361456041963E-2</v>
      </c>
      <c r="AA56" s="257">
        <f t="shared" si="27"/>
        <v>-4.7674554743489625E-2</v>
      </c>
      <c r="AB56" s="257">
        <f t="shared" si="27"/>
        <v>-5.5565330305825528E-2</v>
      </c>
      <c r="AC56" s="257">
        <f t="shared" si="27"/>
        <v>-6.2753629461434687E-2</v>
      </c>
      <c r="AD56" s="257">
        <f t="shared" si="27"/>
        <v>-6.9395558078478609E-2</v>
      </c>
      <c r="AE56" s="257">
        <f t="shared" si="27"/>
        <v>-7.7052174838572268E-2</v>
      </c>
      <c r="AF56" s="257">
        <f t="shared" si="27"/>
        <v>-8.4942950400908171E-2</v>
      </c>
      <c r="AG56" s="257">
        <f t="shared" si="27"/>
        <v>-9.1584879017952092E-2</v>
      </c>
      <c r="AH56" s="257">
        <f t="shared" si="27"/>
        <v>-9.8539019371319009E-2</v>
      </c>
      <c r="AI56" s="257">
        <f t="shared" si="27"/>
        <v>-0.10767864187894689</v>
      </c>
      <c r="AJ56" s="257">
        <f t="shared" si="27"/>
        <v>-0.10557864187894689</v>
      </c>
      <c r="AK56" s="257">
        <f t="shared" si="27"/>
        <v>-0.10347864187894688</v>
      </c>
      <c r="AL56" s="257">
        <f t="shared" si="27"/>
        <v>-0.10137864187894688</v>
      </c>
      <c r="AM56" s="257">
        <f t="shared" si="27"/>
        <v>-9.9278641878946874E-2</v>
      </c>
      <c r="AN56" s="257">
        <f t="shared" si="27"/>
        <v>-9.717864187894687E-2</v>
      </c>
      <c r="AO56" s="257">
        <f t="shared" si="27"/>
        <v>-9.5078641878946865E-2</v>
      </c>
      <c r="AP56" s="257">
        <f t="shared" si="27"/>
        <v>-9.297864187894686E-2</v>
      </c>
      <c r="AQ56" s="257">
        <f t="shared" si="27"/>
        <v>-9.0878641878946856E-2</v>
      </c>
      <c r="AR56" s="257">
        <f t="shared" si="27"/>
        <v>-8.8778641878946851E-2</v>
      </c>
      <c r="AS56" s="257">
        <f t="shared" si="27"/>
        <v>-8.6678641878946847E-2</v>
      </c>
      <c r="AT56" s="257">
        <f t="shared" si="27"/>
        <v>-8.4578641878946842E-2</v>
      </c>
      <c r="AU56" s="257">
        <f t="shared" si="27"/>
        <v>-8.2478641878946837E-2</v>
      </c>
      <c r="AV56" s="257">
        <f t="shared" si="27"/>
        <v>-8.0378641878946833E-2</v>
      </c>
      <c r="AW56" s="257">
        <f t="shared" si="27"/>
        <v>-7.8278641878946828E-2</v>
      </c>
      <c r="AX56" s="257">
        <f t="shared" si="27"/>
        <v>-7.6178641878946823E-2</v>
      </c>
      <c r="AY56" s="257">
        <f t="shared" si="27"/>
        <v>-7.4078641878946819E-2</v>
      </c>
      <c r="AZ56" s="257">
        <f t="shared" si="27"/>
        <v>-7.1978641878946814E-2</v>
      </c>
      <c r="BA56" s="257">
        <f t="shared" si="27"/>
        <v>-6.9878641878946809E-2</v>
      </c>
      <c r="BB56" s="257">
        <f t="shared" si="27"/>
        <v>-6.7778641878946805E-2</v>
      </c>
      <c r="BC56" s="257">
        <f t="shared" si="27"/>
        <v>-6.56786418789468E-2</v>
      </c>
      <c r="BD56" s="257">
        <f t="shared" si="27"/>
        <v>-6.3578641878946796E-2</v>
      </c>
      <c r="BE56" s="257">
        <f t="shared" si="27"/>
        <v>-6.1478641878946798E-2</v>
      </c>
      <c r="BF56" s="257">
        <f t="shared" si="27"/>
        <v>-5.93786418789468E-2</v>
      </c>
      <c r="BG56" s="257">
        <f t="shared" si="27"/>
        <v>-5.7278641878946802E-2</v>
      </c>
      <c r="BH56" s="257">
        <f t="shared" si="27"/>
        <v>-5.5178641878946805E-2</v>
      </c>
      <c r="BI56" s="257">
        <f t="shared" si="27"/>
        <v>-5.3078641878946807E-2</v>
      </c>
      <c r="BJ56" s="257">
        <f t="shared" si="27"/>
        <v>-5.0978641878946809E-2</v>
      </c>
      <c r="BK56" s="257">
        <f t="shared" si="27"/>
        <v>-4.8878641878946812E-2</v>
      </c>
      <c r="BL56" s="257">
        <f t="shared" si="27"/>
        <v>-4.6778641878946814E-2</v>
      </c>
      <c r="BM56" s="257">
        <f t="shared" si="27"/>
        <v>-4.4678641878946816E-2</v>
      </c>
      <c r="BN56" s="257">
        <f t="shared" si="27"/>
        <v>-4.2578641878946819E-2</v>
      </c>
      <c r="BO56" s="257">
        <f t="shared" ref="BO56:DR56" si="28">+BN56+BO55/100</f>
        <v>-4.0478641878946821E-2</v>
      </c>
      <c r="BP56" s="257">
        <f t="shared" si="28"/>
        <v>-3.8378641878946823E-2</v>
      </c>
      <c r="BQ56" s="257">
        <f t="shared" si="28"/>
        <v>-3.6278641878946825E-2</v>
      </c>
      <c r="BR56" s="257">
        <f t="shared" si="28"/>
        <v>-3.4178641878946828E-2</v>
      </c>
      <c r="BS56" s="257">
        <f t="shared" si="28"/>
        <v>-3.207864187894683E-2</v>
      </c>
      <c r="BT56" s="257">
        <f t="shared" si="28"/>
        <v>-2.9978641878946829E-2</v>
      </c>
      <c r="BU56" s="257">
        <f t="shared" si="28"/>
        <v>-2.7878641878946828E-2</v>
      </c>
      <c r="BV56" s="257">
        <f t="shared" si="28"/>
        <v>-2.5778641878946826E-2</v>
      </c>
      <c r="BW56" s="257">
        <f t="shared" si="28"/>
        <v>-2.3678641878946825E-2</v>
      </c>
      <c r="BX56" s="257">
        <f t="shared" si="28"/>
        <v>-2.1578641878946824E-2</v>
      </c>
      <c r="BY56" s="257">
        <f t="shared" si="28"/>
        <v>-1.9478641878946823E-2</v>
      </c>
      <c r="BZ56" s="257">
        <f t="shared" si="28"/>
        <v>-1.7378641878946822E-2</v>
      </c>
      <c r="CA56" s="257">
        <f t="shared" si="28"/>
        <v>-1.5278641878946822E-2</v>
      </c>
      <c r="CB56" s="257">
        <f t="shared" si="28"/>
        <v>-1.3178641878946823E-2</v>
      </c>
      <c r="CC56" s="257">
        <f t="shared" si="28"/>
        <v>-1.1078641878946823E-2</v>
      </c>
      <c r="CD56" s="257">
        <f t="shared" si="28"/>
        <v>-8.9786418789468241E-3</v>
      </c>
      <c r="CE56" s="257">
        <f t="shared" si="28"/>
        <v>-6.8786418789468246E-3</v>
      </c>
      <c r="CF56" s="257">
        <f t="shared" si="28"/>
        <v>-4.7786418789468252E-3</v>
      </c>
      <c r="CG56" s="257">
        <f t="shared" si="28"/>
        <v>-2.6786418789468253E-3</v>
      </c>
      <c r="CH56" s="257">
        <f t="shared" si="28"/>
        <v>-5.7864187894682544E-4</v>
      </c>
      <c r="CI56" s="257">
        <f t="shared" si="28"/>
        <v>1.5213581210531744E-3</v>
      </c>
      <c r="CJ56" s="257">
        <f t="shared" si="28"/>
        <v>3.6213581210531743E-3</v>
      </c>
      <c r="CK56" s="257">
        <f t="shared" si="28"/>
        <v>5.7213581210531737E-3</v>
      </c>
      <c r="CL56" s="257">
        <f t="shared" si="28"/>
        <v>7.8213581210531732E-3</v>
      </c>
      <c r="CM56" s="257">
        <f t="shared" si="28"/>
        <v>9.9213581210531726E-3</v>
      </c>
      <c r="CN56" s="257">
        <f t="shared" si="28"/>
        <v>1.2021358121053172E-2</v>
      </c>
      <c r="CO56" s="257">
        <f t="shared" si="28"/>
        <v>1.4121358121053171E-2</v>
      </c>
      <c r="CP56" s="257">
        <f t="shared" si="28"/>
        <v>1.6221358121053173E-2</v>
      </c>
      <c r="CQ56" s="257">
        <f t="shared" si="28"/>
        <v>1.8321358121053174E-2</v>
      </c>
      <c r="CR56" s="257">
        <f t="shared" si="28"/>
        <v>2.0421358121053175E-2</v>
      </c>
      <c r="CS56" s="257">
        <f t="shared" si="28"/>
        <v>2.2521358121053176E-2</v>
      </c>
      <c r="CT56" s="257">
        <f t="shared" si="28"/>
        <v>2.4621358121053177E-2</v>
      </c>
      <c r="CU56" s="257">
        <f t="shared" si="28"/>
        <v>2.6721358121053179E-2</v>
      </c>
      <c r="CV56" s="257">
        <f t="shared" si="28"/>
        <v>2.882135812105318E-2</v>
      </c>
      <c r="CW56" s="257">
        <f t="shared" si="28"/>
        <v>3.0921358121053181E-2</v>
      </c>
      <c r="CX56" s="257">
        <f t="shared" si="28"/>
        <v>3.3021358121053182E-2</v>
      </c>
      <c r="CY56" s="257">
        <f t="shared" si="28"/>
        <v>3.512135812105318E-2</v>
      </c>
      <c r="CZ56" s="257">
        <f t="shared" si="28"/>
        <v>3.7221358121053177E-2</v>
      </c>
      <c r="DA56" s="257">
        <f t="shared" si="28"/>
        <v>3.9321358121053175E-2</v>
      </c>
      <c r="DB56" s="257">
        <f t="shared" si="28"/>
        <v>4.1421358121053173E-2</v>
      </c>
      <c r="DC56" s="257">
        <f t="shared" si="28"/>
        <v>4.3521358121053171E-2</v>
      </c>
      <c r="DD56" s="257">
        <f t="shared" si="28"/>
        <v>4.5621358121053168E-2</v>
      </c>
      <c r="DE56" s="257">
        <f t="shared" si="28"/>
        <v>4.7721358121053166E-2</v>
      </c>
      <c r="DF56" s="257">
        <f t="shared" si="28"/>
        <v>4.9821358121053164E-2</v>
      </c>
      <c r="DG56" s="257">
        <f t="shared" si="28"/>
        <v>5.1921358121053161E-2</v>
      </c>
      <c r="DH56" s="257">
        <f t="shared" si="28"/>
        <v>5.4021358121053159E-2</v>
      </c>
      <c r="DI56" s="257">
        <f t="shared" si="28"/>
        <v>5.6121358121053157E-2</v>
      </c>
      <c r="DJ56" s="257">
        <f t="shared" si="28"/>
        <v>5.8221358121053154E-2</v>
      </c>
      <c r="DK56" s="257">
        <f t="shared" si="28"/>
        <v>6.0321358121053152E-2</v>
      </c>
      <c r="DL56" s="257">
        <f t="shared" si="28"/>
        <v>6.242135812105315E-2</v>
      </c>
      <c r="DM56" s="257">
        <f t="shared" si="28"/>
        <v>6.4521358121053154E-2</v>
      </c>
      <c r="DN56" s="257">
        <f t="shared" si="28"/>
        <v>6.6621358121053159E-2</v>
      </c>
      <c r="DO56" s="257">
        <f t="shared" si="28"/>
        <v>6.8721358121053164E-2</v>
      </c>
      <c r="DP56" s="257">
        <f t="shared" si="28"/>
        <v>7.0821358121053168E-2</v>
      </c>
      <c r="DQ56" s="257">
        <f t="shared" si="28"/>
        <v>7.2921358121053173E-2</v>
      </c>
      <c r="DR56" s="257">
        <f t="shared" si="28"/>
        <v>7.5021358121053178E-2</v>
      </c>
      <c r="DV56" s="239"/>
      <c r="DW56" s="239"/>
      <c r="DX56" s="239"/>
      <c r="DY56" s="239"/>
      <c r="DZ56" s="239"/>
      <c r="EA56" s="239"/>
      <c r="EB56" s="239"/>
      <c r="EC56" s="239"/>
      <c r="ED56" s="239"/>
      <c r="EE56" s="239"/>
      <c r="EF56" s="239"/>
      <c r="EG56" s="239"/>
      <c r="EH56" s="239"/>
      <c r="EI56" s="239"/>
      <c r="EJ56" s="239"/>
      <c r="EK56" s="239"/>
      <c r="EL56" s="239"/>
      <c r="EM56" s="239"/>
      <c r="EN56" s="239"/>
      <c r="EO56" s="239"/>
      <c r="EP56" s="239"/>
      <c r="EQ56" s="239"/>
    </row>
    <row r="57" spans="1:147" s="217" customFormat="1" x14ac:dyDescent="0.2">
      <c r="B57" s="257"/>
      <c r="C57" s="257"/>
      <c r="D57" s="25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7"/>
      <c r="BG57" s="257"/>
      <c r="BH57" s="257"/>
      <c r="BI57" s="257"/>
      <c r="BJ57" s="257"/>
      <c r="BK57" s="257"/>
      <c r="BL57" s="257"/>
      <c r="BM57" s="257"/>
      <c r="BN57" s="257"/>
      <c r="BO57" s="257"/>
      <c r="BP57" s="257"/>
      <c r="BQ57" s="257"/>
      <c r="BR57" s="257"/>
      <c r="BS57" s="257"/>
      <c r="BT57" s="257"/>
      <c r="BU57" s="257"/>
      <c r="BV57" s="257"/>
      <c r="BW57" s="257"/>
      <c r="BX57" s="257"/>
      <c r="BY57" s="257"/>
      <c r="BZ57" s="257"/>
      <c r="CA57" s="257"/>
      <c r="CB57" s="257"/>
      <c r="CC57" s="257"/>
      <c r="CD57" s="257"/>
      <c r="CE57" s="257"/>
      <c r="CF57" s="257"/>
      <c r="CG57" s="257"/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  <c r="DI57" s="257"/>
      <c r="DJ57" s="257"/>
      <c r="DK57" s="257"/>
      <c r="DL57" s="257"/>
      <c r="DM57" s="257"/>
      <c r="DN57" s="257"/>
      <c r="DO57" s="257"/>
      <c r="DP57" s="257"/>
      <c r="DQ57" s="257"/>
      <c r="DR57" s="257"/>
      <c r="DV57" s="239"/>
      <c r="DW57" s="239"/>
      <c r="DX57" s="239"/>
      <c r="DY57" s="239"/>
      <c r="DZ57" s="239"/>
      <c r="EA57" s="239"/>
      <c r="EB57" s="239"/>
      <c r="EC57" s="239"/>
      <c r="ED57" s="239"/>
      <c r="EE57" s="239"/>
      <c r="EF57" s="239"/>
      <c r="EG57" s="239"/>
      <c r="EH57" s="239"/>
      <c r="EI57" s="239"/>
      <c r="EJ57" s="239"/>
      <c r="EK57" s="239"/>
      <c r="EL57" s="239"/>
      <c r="EM57" s="239"/>
      <c r="EN57" s="239"/>
      <c r="EO57" s="239"/>
      <c r="EP57" s="239"/>
      <c r="EQ57" s="239"/>
    </row>
    <row r="58" spans="1:147" s="217" customFormat="1" x14ac:dyDescent="0.2">
      <c r="A58" s="253" t="s">
        <v>777</v>
      </c>
      <c r="B58" s="245"/>
      <c r="C58" s="245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7"/>
      <c r="BG58" s="257"/>
      <c r="BH58" s="257"/>
      <c r="BI58" s="257"/>
      <c r="BJ58" s="257"/>
      <c r="BK58" s="257"/>
      <c r="BL58" s="257"/>
      <c r="BM58" s="257"/>
      <c r="BN58" s="257"/>
      <c r="BO58" s="257"/>
      <c r="BP58" s="257"/>
      <c r="BQ58" s="257"/>
      <c r="BR58" s="257"/>
      <c r="BS58" s="257"/>
      <c r="BT58" s="257"/>
      <c r="BU58" s="257"/>
      <c r="BV58" s="257"/>
      <c r="BW58" s="257"/>
      <c r="BX58" s="257"/>
      <c r="BY58" s="257"/>
      <c r="BZ58" s="257"/>
      <c r="CA58" s="257"/>
      <c r="CB58" s="257"/>
      <c r="CC58" s="257"/>
      <c r="CD58" s="257"/>
      <c r="CE58" s="257"/>
      <c r="CF58" s="257"/>
      <c r="CG58" s="257"/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  <c r="DI58" s="257"/>
      <c r="DJ58" s="257"/>
      <c r="DK58" s="257"/>
      <c r="DL58" s="257"/>
      <c r="DM58" s="257"/>
      <c r="DN58" s="257"/>
      <c r="DO58" s="257"/>
      <c r="DP58" s="257"/>
      <c r="DQ58" s="257"/>
      <c r="DR58" s="257"/>
    </row>
    <row r="59" spans="1:147" x14ac:dyDescent="0.2">
      <c r="A59" s="170" t="s">
        <v>822</v>
      </c>
      <c r="B59" s="254">
        <f>+B38</f>
        <v>9.8517493766526229E-2</v>
      </c>
      <c r="C59" s="254">
        <f t="shared" ref="C59:BN59" si="29">+C38</f>
        <v>0.10421107996627985</v>
      </c>
      <c r="D59" s="254">
        <f t="shared" si="29"/>
        <v>0.10760073387746941</v>
      </c>
      <c r="E59" s="254">
        <f t="shared" si="29"/>
        <v>0.11102915870839468</v>
      </c>
      <c r="F59" s="254">
        <f t="shared" si="29"/>
        <v>0.11533808594519483</v>
      </c>
      <c r="G59" s="254">
        <f t="shared" si="29"/>
        <v>0.12110822001643053</v>
      </c>
      <c r="H59" s="254">
        <f t="shared" si="29"/>
        <v>0.12541524376201885</v>
      </c>
      <c r="I59" s="254">
        <f t="shared" si="29"/>
        <v>0.13118352017076582</v>
      </c>
      <c r="J59" s="254">
        <f t="shared" si="29"/>
        <v>0.13849824862304994</v>
      </c>
      <c r="K59" s="254">
        <f t="shared" si="29"/>
        <v>0.14298849111405826</v>
      </c>
      <c r="L59" s="254">
        <f t="shared" si="29"/>
        <v>0.14749100659880571</v>
      </c>
      <c r="M59" s="254">
        <f t="shared" si="29"/>
        <v>0.15357044876575959</v>
      </c>
      <c r="N59" s="254">
        <f t="shared" si="29"/>
        <v>0.16070732848252034</v>
      </c>
      <c r="O59" s="254">
        <f t="shared" si="29"/>
        <v>0.16755199897009102</v>
      </c>
      <c r="P59" s="254">
        <f t="shared" si="29"/>
        <v>0.17314844985309027</v>
      </c>
      <c r="Q59" s="254">
        <f t="shared" si="29"/>
        <v>0.1802954896752379</v>
      </c>
      <c r="R59" s="254">
        <f t="shared" si="29"/>
        <v>0.18690931424055685</v>
      </c>
      <c r="S59" s="254">
        <f t="shared" si="29"/>
        <v>0.19360466484360228</v>
      </c>
      <c r="T59" s="254">
        <f t="shared" si="29"/>
        <v>0.19869424877143191</v>
      </c>
      <c r="U59" s="254">
        <f t="shared" si="29"/>
        <v>0.20498548292150637</v>
      </c>
      <c r="V59" s="254">
        <f t="shared" si="29"/>
        <v>0.21196791337044665</v>
      </c>
      <c r="W59" s="254">
        <f t="shared" si="29"/>
        <v>0.21745804607503344</v>
      </c>
      <c r="X59" s="254">
        <f t="shared" si="29"/>
        <v>0.22329752039270284</v>
      </c>
      <c r="Y59" s="254">
        <f t="shared" si="29"/>
        <v>0.22935754481971485</v>
      </c>
      <c r="Z59" s="254">
        <f t="shared" si="29"/>
        <v>0.23599395147776694</v>
      </c>
      <c r="AA59" s="254">
        <f t="shared" si="29"/>
        <v>0.24439667036444396</v>
      </c>
      <c r="AB59" s="254">
        <f t="shared" si="29"/>
        <v>0.25392127196844522</v>
      </c>
      <c r="AC59" s="254">
        <f t="shared" si="29"/>
        <v>0.26213313156804163</v>
      </c>
      <c r="AD59" s="254">
        <f t="shared" si="29"/>
        <v>0.26930461633653302</v>
      </c>
      <c r="AE59" s="254">
        <f t="shared" si="29"/>
        <v>0.27786838860027485</v>
      </c>
      <c r="AF59" s="254">
        <f t="shared" si="29"/>
        <v>0.28658712039147305</v>
      </c>
      <c r="AG59" s="254">
        <f t="shared" si="29"/>
        <v>0.29316984747335328</v>
      </c>
      <c r="AH59" s="254">
        <f t="shared" si="29"/>
        <v>0.30007561071186795</v>
      </c>
      <c r="AI59" s="254">
        <f t="shared" si="29"/>
        <v>0.31018576958099975</v>
      </c>
      <c r="AJ59" s="254">
        <f t="shared" si="29"/>
        <v>0.30271769320962227</v>
      </c>
      <c r="AK59" s="254">
        <f t="shared" si="29"/>
        <v>0.29542941929908645</v>
      </c>
      <c r="AL59" s="254">
        <f t="shared" si="29"/>
        <v>0.28831661889996579</v>
      </c>
      <c r="AM59" s="254">
        <f t="shared" si="29"/>
        <v>0.28137506728723127</v>
      </c>
      <c r="AN59" s="254">
        <f t="shared" si="29"/>
        <v>0.27460064145092999</v>
      </c>
      <c r="AO59" s="254">
        <f t="shared" si="29"/>
        <v>0.26798931764727862</v>
      </c>
      <c r="AP59" s="254">
        <f t="shared" si="29"/>
        <v>0.2615371690087171</v>
      </c>
      <c r="AQ59" s="254">
        <f t="shared" si="29"/>
        <v>0.25524036321150301</v>
      </c>
      <c r="AR59" s="254">
        <f t="shared" si="29"/>
        <v>0.24909516019946132</v>
      </c>
      <c r="AS59" s="254">
        <f t="shared" si="29"/>
        <v>0.24309790996253738</v>
      </c>
      <c r="AT59" s="254">
        <f t="shared" si="29"/>
        <v>0.23724505036883384</v>
      </c>
      <c r="AU59" s="254">
        <f t="shared" si="29"/>
        <v>0.23153310504884364</v>
      </c>
      <c r="AV59" s="254">
        <f t="shared" si="29"/>
        <v>0.22595868133062275</v>
      </c>
      <c r="AW59" s="254">
        <f t="shared" si="29"/>
        <v>0.22051846822467566</v>
      </c>
      <c r="AX59" s="254">
        <f t="shared" si="29"/>
        <v>0.21520923445735737</v>
      </c>
      <c r="AY59" s="254">
        <f t="shared" si="29"/>
        <v>0.21002782655162322</v>
      </c>
      <c r="AZ59" s="254">
        <f t="shared" si="29"/>
        <v>0.20497116695398698</v>
      </c>
      <c r="BA59" s="254">
        <f t="shared" si="29"/>
        <v>0.20003625220657459</v>
      </c>
      <c r="BB59" s="254">
        <f t="shared" si="29"/>
        <v>0.19522015116318767</v>
      </c>
      <c r="BC59" s="254">
        <f t="shared" si="29"/>
        <v>0.19052000324831747</v>
      </c>
      <c r="BD59" s="254">
        <f t="shared" si="29"/>
        <v>0.18593301675807497</v>
      </c>
      <c r="BE59" s="254">
        <f t="shared" si="29"/>
        <v>0.18145646720202799</v>
      </c>
      <c r="BF59" s="254">
        <f t="shared" si="29"/>
        <v>0.17708769568496061</v>
      </c>
      <c r="BG59" s="254">
        <f t="shared" si="29"/>
        <v>0.1728241073275934</v>
      </c>
      <c r="BH59" s="254">
        <f t="shared" si="29"/>
        <v>0.16866316972532674</v>
      </c>
      <c r="BI59" s="254">
        <f t="shared" si="29"/>
        <v>0.1646024114440916</v>
      </c>
      <c r="BJ59" s="254">
        <f t="shared" si="29"/>
        <v>0.16063942055241442</v>
      </c>
      <c r="BK59" s="254">
        <f t="shared" si="29"/>
        <v>0.15677184318882431</v>
      </c>
      <c r="BL59" s="254">
        <f t="shared" si="29"/>
        <v>0.15299738216375133</v>
      </c>
      <c r="BM59" s="254">
        <f t="shared" si="29"/>
        <v>0.1493137955950859</v>
      </c>
      <c r="BN59" s="254">
        <f t="shared" si="29"/>
        <v>0.14571889557658857</v>
      </c>
      <c r="BO59" s="254">
        <f t="shared" ref="BO59:DR59" si="30">+BO38</f>
        <v>0.1422105468783593</v>
      </c>
      <c r="BP59" s="254">
        <f t="shared" si="30"/>
        <v>0.13878666567859455</v>
      </c>
      <c r="BQ59" s="254">
        <f t="shared" si="30"/>
        <v>0.13544521832587864</v>
      </c>
      <c r="BR59" s="254">
        <f t="shared" si="30"/>
        <v>0.13218422013127443</v>
      </c>
      <c r="BS59" s="254">
        <f t="shared" si="30"/>
        <v>0.12900173418949576</v>
      </c>
      <c r="BT59" s="254">
        <f t="shared" si="30"/>
        <v>0.12589587022846155</v>
      </c>
      <c r="BU59" s="254">
        <f t="shared" si="30"/>
        <v>0.12286478348654813</v>
      </c>
      <c r="BV59" s="254">
        <f t="shared" si="30"/>
        <v>0.1199066736168731</v>
      </c>
      <c r="BW59" s="254">
        <f t="shared" si="30"/>
        <v>0.11701978361795971</v>
      </c>
      <c r="BX59" s="254">
        <f t="shared" si="30"/>
        <v>0.11420239879014676</v>
      </c>
      <c r="BY59" s="254">
        <f t="shared" si="30"/>
        <v>0.11145284571712415</v>
      </c>
      <c r="BZ59" s="254">
        <f t="shared" si="30"/>
        <v>0.10876949127198902</v>
      </c>
      <c r="CA59" s="254">
        <f t="shared" si="30"/>
        <v>0.10615074164723239</v>
      </c>
      <c r="CB59" s="254">
        <f t="shared" si="30"/>
        <v>0.10359504140807979</v>
      </c>
      <c r="CC59" s="254">
        <f t="shared" si="30"/>
        <v>0.10110087256862398</v>
      </c>
      <c r="CD59" s="254">
        <f t="shared" si="30"/>
        <v>9.8666753690200629E-2</v>
      </c>
      <c r="CE59" s="254">
        <f t="shared" si="30"/>
        <v>9.6291239001471837E-2</v>
      </c>
      <c r="CF59" s="254">
        <f t="shared" si="30"/>
        <v>9.39729175396945E-2</v>
      </c>
      <c r="CG59" s="254">
        <f t="shared" si="30"/>
        <v>9.171041231266365E-2</v>
      </c>
      <c r="CH59" s="254">
        <f t="shared" si="30"/>
        <v>8.9502379480833047E-2</v>
      </c>
      <c r="CI59" s="254">
        <f t="shared" si="30"/>
        <v>8.7347507559127027E-2</v>
      </c>
      <c r="CJ59" s="254">
        <f t="shared" si="30"/>
        <v>8.5244516637969725E-2</v>
      </c>
      <c r="CK59" s="254">
        <f t="shared" si="30"/>
        <v>8.3192157623068891E-2</v>
      </c>
      <c r="CL59" s="254">
        <f t="shared" si="30"/>
        <v>8.1189211493502778E-2</v>
      </c>
      <c r="CM59" s="254">
        <f t="shared" si="30"/>
        <v>7.923448857766939E-2</v>
      </c>
      <c r="CN59" s="254">
        <f t="shared" si="30"/>
        <v>7.7326827846668153E-2</v>
      </c>
      <c r="CO59" s="254">
        <f t="shared" si="30"/>
        <v>7.5465096224694189E-2</v>
      </c>
      <c r="CP59" s="254">
        <f t="shared" si="30"/>
        <v>7.364818791603564E-2</v>
      </c>
      <c r="CQ59" s="254">
        <f t="shared" si="30"/>
        <v>7.1875023748274272E-2</v>
      </c>
      <c r="CR59" s="254">
        <f t="shared" si="30"/>
        <v>7.0144550531299324E-2</v>
      </c>
      <c r="CS59" s="254">
        <f t="shared" si="30"/>
        <v>6.8455740431753814E-2</v>
      </c>
      <c r="CT59" s="254">
        <f t="shared" si="30"/>
        <v>6.6807590362541719E-2</v>
      </c>
      <c r="CU59" s="254">
        <f t="shared" si="30"/>
        <v>6.5199121387033543E-2</v>
      </c>
      <c r="CV59" s="254">
        <f t="shared" si="30"/>
        <v>6.3629378137616266E-2</v>
      </c>
      <c r="CW59" s="254">
        <f t="shared" si="30"/>
        <v>6.2097428248242353E-2</v>
      </c>
      <c r="CX59" s="254">
        <f t="shared" si="30"/>
        <v>6.0602361800640839E-2</v>
      </c>
      <c r="CY59" s="254">
        <f t="shared" si="30"/>
        <v>5.9143290783861484E-2</v>
      </c>
      <c r="CZ59" s="254">
        <f t="shared" si="30"/>
        <v>5.7719348566831037E-2</v>
      </c>
      <c r="DA59" s="254">
        <f t="shared" si="30"/>
        <v>5.6329689383608286E-2</v>
      </c>
      <c r="DB59" s="254">
        <f t="shared" si="30"/>
        <v>5.497348783103221E-2</v>
      </c>
      <c r="DC59" s="254">
        <f t="shared" si="30"/>
        <v>5.3649938378464782E-2</v>
      </c>
      <c r="DD59" s="254">
        <f t="shared" si="30"/>
        <v>5.2358254889337326E-2</v>
      </c>
      <c r="DE59" s="254">
        <f t="shared" si="30"/>
        <v>5.1097670154216158E-2</v>
      </c>
      <c r="DF59" s="254">
        <f t="shared" si="30"/>
        <v>4.9867435435110213E-2</v>
      </c>
      <c r="DG59" s="254">
        <f t="shared" si="30"/>
        <v>4.8666820020749985E-2</v>
      </c>
      <c r="DH59" s="254">
        <f t="shared" si="30"/>
        <v>4.7495110792573625E-2</v>
      </c>
      <c r="DI59" s="254">
        <f t="shared" si="30"/>
        <v>4.6351611801162443E-2</v>
      </c>
      <c r="DJ59" s="254">
        <f t="shared" si="30"/>
        <v>4.5235643852874187E-2</v>
      </c>
      <c r="DK59" s="254">
        <f t="shared" si="30"/>
        <v>4.4146544106428598E-2</v>
      </c>
      <c r="DL59" s="254">
        <f t="shared" si="30"/>
        <v>4.308366567920565E-2</v>
      </c>
      <c r="DM59" s="254">
        <f t="shared" si="30"/>
        <v>4.2046377263022579E-2</v>
      </c>
      <c r="DN59" s="254">
        <f t="shared" si="30"/>
        <v>4.1034062749161541E-2</v>
      </c>
      <c r="DO59" s="254">
        <f t="shared" si="30"/>
        <v>4.0046120862425143E-2</v>
      </c>
      <c r="DP59" s="254">
        <f t="shared" si="30"/>
        <v>3.9081964804002521E-2</v>
      </c>
      <c r="DQ59" s="254">
        <f t="shared" si="30"/>
        <v>3.8141021902933808E-2</v>
      </c>
      <c r="DR59" s="254">
        <f t="shared" si="30"/>
        <v>3.7222733275965994E-2</v>
      </c>
      <c r="DS59" s="247"/>
      <c r="DT59" s="247"/>
      <c r="DU59" s="247"/>
      <c r="DV59" s="247"/>
    </row>
    <row r="60" spans="1:147" x14ac:dyDescent="0.2">
      <c r="A60" s="170" t="s">
        <v>823</v>
      </c>
      <c r="B60" s="254">
        <f>+B38+B43</f>
        <v>0.11227749376652622</v>
      </c>
      <c r="C60" s="254">
        <f t="shared" ref="C60:BN60" si="31">+C38+C43</f>
        <v>0.12304741227397215</v>
      </c>
      <c r="D60" s="254">
        <f t="shared" si="31"/>
        <v>0.13007307225190728</v>
      </c>
      <c r="E60" s="254">
        <f t="shared" si="31"/>
        <v>0.13715576880014888</v>
      </c>
      <c r="F60" s="254">
        <f t="shared" si="31"/>
        <v>0.14563843653377312</v>
      </c>
      <c r="G60" s="254">
        <f t="shared" si="31"/>
        <v>0.15642662448445832</v>
      </c>
      <c r="H60" s="254">
        <f t="shared" si="31"/>
        <v>0.16488161614755997</v>
      </c>
      <c r="I60" s="254">
        <f t="shared" si="31"/>
        <v>0.17560341711503172</v>
      </c>
      <c r="J60" s="254">
        <f t="shared" si="31"/>
        <v>0.18868905909526934</v>
      </c>
      <c r="K60" s="254">
        <f t="shared" si="31"/>
        <v>0.19737548537683328</v>
      </c>
      <c r="L60" s="254">
        <f t="shared" si="31"/>
        <v>0.20605352651655207</v>
      </c>
      <c r="M60" s="254">
        <f t="shared" si="31"/>
        <v>0.21709142973168449</v>
      </c>
      <c r="N60" s="254">
        <f t="shared" si="31"/>
        <v>0.22966926689861963</v>
      </c>
      <c r="O60" s="254">
        <f t="shared" si="31"/>
        <v>0.24174544122648789</v>
      </c>
      <c r="P60" s="254">
        <f t="shared" si="31"/>
        <v>0.25191559199240665</v>
      </c>
      <c r="Q60" s="254">
        <f t="shared" si="31"/>
        <v>0.26430444370344786</v>
      </c>
      <c r="R60" s="254">
        <f t="shared" si="31"/>
        <v>0.27584601755597693</v>
      </c>
      <c r="S60" s="254">
        <f t="shared" si="31"/>
        <v>0.28743641018722726</v>
      </c>
      <c r="T60" s="254">
        <f t="shared" si="31"/>
        <v>0.29666741830803117</v>
      </c>
      <c r="U60" s="254">
        <f t="shared" si="31"/>
        <v>0.30754525812045419</v>
      </c>
      <c r="V60" s="254">
        <f t="shared" si="31"/>
        <v>0.31932356003256501</v>
      </c>
      <c r="W60" s="254">
        <f t="shared" si="31"/>
        <v>0.32894683215060827</v>
      </c>
      <c r="X60" s="254">
        <f t="shared" si="31"/>
        <v>0.33899031621629216</v>
      </c>
      <c r="Y60" s="254">
        <f t="shared" si="31"/>
        <v>0.34926855122692235</v>
      </c>
      <c r="Z60" s="254">
        <f t="shared" si="31"/>
        <v>0.36025849276278121</v>
      </c>
      <c r="AA60" s="254">
        <f t="shared" si="31"/>
        <v>0.37354768816319772</v>
      </c>
      <c r="AB60" s="254">
        <f t="shared" si="31"/>
        <v>0.38822572660466342</v>
      </c>
      <c r="AC60" s="254">
        <f t="shared" si="31"/>
        <v>0.40103997694219523</v>
      </c>
      <c r="AD60" s="254">
        <f t="shared" si="31"/>
        <v>0.41238451811625426</v>
      </c>
      <c r="AE60" s="254">
        <f t="shared" si="31"/>
        <v>0.4254452172346222</v>
      </c>
      <c r="AF60" s="254">
        <f t="shared" si="31"/>
        <v>0.43859169239037532</v>
      </c>
      <c r="AG60" s="254">
        <f t="shared" si="31"/>
        <v>0.44889610806798569</v>
      </c>
      <c r="AH60" s="254">
        <f t="shared" si="31"/>
        <v>0.45952364169758425</v>
      </c>
      <c r="AI60" s="254">
        <f t="shared" si="31"/>
        <v>0.47408902627073357</v>
      </c>
      <c r="AJ60" s="254">
        <f t="shared" si="31"/>
        <v>0.4666209498993561</v>
      </c>
      <c r="AK60" s="254">
        <f t="shared" si="31"/>
        <v>0.45933267598882022</v>
      </c>
      <c r="AL60" s="254">
        <f t="shared" si="31"/>
        <v>0.45221987558969956</v>
      </c>
      <c r="AM60" s="254">
        <f t="shared" si="31"/>
        <v>0.4452783239769651</v>
      </c>
      <c r="AN60" s="254">
        <f t="shared" si="31"/>
        <v>0.43850389814066382</v>
      </c>
      <c r="AO60" s="254">
        <f t="shared" si="31"/>
        <v>0.43189257433701245</v>
      </c>
      <c r="AP60" s="254">
        <f t="shared" si="31"/>
        <v>0.42544042569845086</v>
      </c>
      <c r="AQ60" s="254">
        <f t="shared" si="31"/>
        <v>0.41914361990123683</v>
      </c>
      <c r="AR60" s="254">
        <f t="shared" si="31"/>
        <v>0.41299841688919514</v>
      </c>
      <c r="AS60" s="254">
        <f t="shared" si="31"/>
        <v>0.40700116665227115</v>
      </c>
      <c r="AT60" s="254">
        <f t="shared" si="31"/>
        <v>0.40114830705856763</v>
      </c>
      <c r="AU60" s="254">
        <f t="shared" si="31"/>
        <v>0.39543636173857744</v>
      </c>
      <c r="AV60" s="254">
        <f t="shared" si="31"/>
        <v>0.38986193802035651</v>
      </c>
      <c r="AW60" s="254">
        <f t="shared" si="31"/>
        <v>0.38442172491440946</v>
      </c>
      <c r="AX60" s="254">
        <f t="shared" si="31"/>
        <v>0.37911249114709117</v>
      </c>
      <c r="AY60" s="254">
        <f t="shared" si="31"/>
        <v>0.37393108324135704</v>
      </c>
      <c r="AZ60" s="254">
        <f t="shared" si="31"/>
        <v>0.36887442364372081</v>
      </c>
      <c r="BA60" s="254">
        <f t="shared" si="31"/>
        <v>0.36393950889630838</v>
      </c>
      <c r="BB60" s="254">
        <f t="shared" si="31"/>
        <v>0.35912340785292146</v>
      </c>
      <c r="BC60" s="254">
        <f t="shared" si="31"/>
        <v>0.35442325993805124</v>
      </c>
      <c r="BD60" s="254">
        <f t="shared" si="31"/>
        <v>0.34983627344780877</v>
      </c>
      <c r="BE60" s="254">
        <f t="shared" si="31"/>
        <v>0.34535972389176178</v>
      </c>
      <c r="BF60" s="254">
        <f t="shared" si="31"/>
        <v>0.3409909523746944</v>
      </c>
      <c r="BG60" s="254">
        <f t="shared" si="31"/>
        <v>0.33672736401732717</v>
      </c>
      <c r="BH60" s="254">
        <f t="shared" si="31"/>
        <v>0.33256642641506051</v>
      </c>
      <c r="BI60" s="254">
        <f t="shared" si="31"/>
        <v>0.32850566813382542</v>
      </c>
      <c r="BJ60" s="254">
        <f t="shared" si="31"/>
        <v>0.32454267724214825</v>
      </c>
      <c r="BK60" s="254">
        <f t="shared" si="31"/>
        <v>0.32067509987855813</v>
      </c>
      <c r="BL60" s="254">
        <f t="shared" si="31"/>
        <v>0.31690063885348513</v>
      </c>
      <c r="BM60" s="254">
        <f t="shared" si="31"/>
        <v>0.31321705228481966</v>
      </c>
      <c r="BN60" s="254">
        <f t="shared" si="31"/>
        <v>0.30962215226632239</v>
      </c>
      <c r="BO60" s="254">
        <f t="shared" ref="BO60:DR60" si="32">+BO38+BO43</f>
        <v>0.30611380356809309</v>
      </c>
      <c r="BP60" s="254">
        <f t="shared" si="32"/>
        <v>0.30268992236832837</v>
      </c>
      <c r="BQ60" s="254">
        <f t="shared" si="32"/>
        <v>0.29934847501561246</v>
      </c>
      <c r="BR60" s="254">
        <f t="shared" si="32"/>
        <v>0.29608747682100822</v>
      </c>
      <c r="BS60" s="254">
        <f t="shared" si="32"/>
        <v>0.29290499087922955</v>
      </c>
      <c r="BT60" s="254">
        <f t="shared" si="32"/>
        <v>0.28979912691819532</v>
      </c>
      <c r="BU60" s="254">
        <f t="shared" si="32"/>
        <v>0.28676804017628194</v>
      </c>
      <c r="BV60" s="254">
        <f t="shared" si="32"/>
        <v>0.28380993030660689</v>
      </c>
      <c r="BW60" s="254">
        <f t="shared" si="32"/>
        <v>0.28092304030769349</v>
      </c>
      <c r="BX60" s="254">
        <f t="shared" si="32"/>
        <v>0.27810565547988053</v>
      </c>
      <c r="BY60" s="254">
        <f t="shared" si="32"/>
        <v>0.27535610240685793</v>
      </c>
      <c r="BZ60" s="254">
        <f t="shared" si="32"/>
        <v>0.27267274796172281</v>
      </c>
      <c r="CA60" s="254">
        <f t="shared" si="32"/>
        <v>0.27005399833696619</v>
      </c>
      <c r="CB60" s="254">
        <f t="shared" si="32"/>
        <v>0.26749829809781356</v>
      </c>
      <c r="CC60" s="254">
        <f t="shared" si="32"/>
        <v>0.26500412925835776</v>
      </c>
      <c r="CD60" s="254">
        <f t="shared" si="32"/>
        <v>0.26257001037993444</v>
      </c>
      <c r="CE60" s="254">
        <f t="shared" si="32"/>
        <v>0.26019449569120562</v>
      </c>
      <c r="CF60" s="254">
        <f t="shared" si="32"/>
        <v>0.25787617422942832</v>
      </c>
      <c r="CG60" s="254">
        <f t="shared" si="32"/>
        <v>0.25561366900239746</v>
      </c>
      <c r="CH60" s="254">
        <f t="shared" si="32"/>
        <v>0.25340563617056683</v>
      </c>
      <c r="CI60" s="254">
        <f t="shared" si="32"/>
        <v>0.25125076424886084</v>
      </c>
      <c r="CJ60" s="254">
        <f t="shared" si="32"/>
        <v>0.24914777332770352</v>
      </c>
      <c r="CK60" s="254">
        <f t="shared" si="32"/>
        <v>0.24709541431280269</v>
      </c>
      <c r="CL60" s="254">
        <f t="shared" si="32"/>
        <v>0.24509246818323657</v>
      </c>
      <c r="CM60" s="254">
        <f t="shared" si="32"/>
        <v>0.24313774526740317</v>
      </c>
      <c r="CN60" s="254">
        <f t="shared" si="32"/>
        <v>0.24123008453640193</v>
      </c>
      <c r="CO60" s="254">
        <f t="shared" si="32"/>
        <v>0.23936835291442798</v>
      </c>
      <c r="CP60" s="254">
        <f t="shared" si="32"/>
        <v>0.23755144460576944</v>
      </c>
      <c r="CQ60" s="254">
        <f t="shared" si="32"/>
        <v>0.23577828043800808</v>
      </c>
      <c r="CR60" s="254">
        <f t="shared" si="32"/>
        <v>0.23404780722103313</v>
      </c>
      <c r="CS60" s="254">
        <f t="shared" si="32"/>
        <v>0.23235899712148761</v>
      </c>
      <c r="CT60" s="254">
        <f t="shared" si="32"/>
        <v>0.23071084705227551</v>
      </c>
      <c r="CU60" s="254">
        <f t="shared" si="32"/>
        <v>0.22910237807676734</v>
      </c>
      <c r="CV60" s="254">
        <f t="shared" si="32"/>
        <v>0.22753263482735006</v>
      </c>
      <c r="CW60" s="254">
        <f t="shared" si="32"/>
        <v>0.22600068493797615</v>
      </c>
      <c r="CX60" s="254">
        <f t="shared" si="32"/>
        <v>0.22450561849037465</v>
      </c>
      <c r="CY60" s="254">
        <f t="shared" si="32"/>
        <v>0.22304654747359529</v>
      </c>
      <c r="CZ60" s="254">
        <f t="shared" si="32"/>
        <v>0.22162260525656483</v>
      </c>
      <c r="DA60" s="254">
        <f t="shared" si="32"/>
        <v>0.2202329460733421</v>
      </c>
      <c r="DB60" s="254">
        <f t="shared" si="32"/>
        <v>0.218876744520766</v>
      </c>
      <c r="DC60" s="254">
        <f t="shared" si="32"/>
        <v>0.21755319506819859</v>
      </c>
      <c r="DD60" s="254">
        <f t="shared" si="32"/>
        <v>0.21626151157907111</v>
      </c>
      <c r="DE60" s="254">
        <f t="shared" si="32"/>
        <v>0.21500092684394995</v>
      </c>
      <c r="DF60" s="254">
        <f t="shared" si="32"/>
        <v>0.21377069212484401</v>
      </c>
      <c r="DG60" s="254">
        <f t="shared" si="32"/>
        <v>0.21257007671048378</v>
      </c>
      <c r="DH60" s="254">
        <f t="shared" si="32"/>
        <v>0.21139836748230742</v>
      </c>
      <c r="DI60" s="254">
        <f t="shared" si="32"/>
        <v>0.21025486849089625</v>
      </c>
      <c r="DJ60" s="254">
        <f t="shared" si="32"/>
        <v>0.20913890054260798</v>
      </c>
      <c r="DK60" s="254">
        <f t="shared" si="32"/>
        <v>0.20804980079616239</v>
      </c>
      <c r="DL60" s="254">
        <f t="shared" si="32"/>
        <v>0.20698692236893945</v>
      </c>
      <c r="DM60" s="254">
        <f t="shared" si="32"/>
        <v>0.20594963395275637</v>
      </c>
      <c r="DN60" s="254">
        <f t="shared" si="32"/>
        <v>0.20493731943889534</v>
      </c>
      <c r="DO60" s="254">
        <f t="shared" si="32"/>
        <v>0.20394937755215894</v>
      </c>
      <c r="DP60" s="254">
        <f t="shared" si="32"/>
        <v>0.20298522149373632</v>
      </c>
      <c r="DQ60" s="254">
        <f t="shared" si="32"/>
        <v>0.2020442785926676</v>
      </c>
      <c r="DR60" s="254">
        <f t="shared" si="32"/>
        <v>0.2011259899656998</v>
      </c>
      <c r="DS60" s="247"/>
      <c r="DT60" s="247"/>
      <c r="DU60" s="247"/>
      <c r="DV60" s="247"/>
    </row>
    <row r="61" spans="1:147" x14ac:dyDescent="0.2">
      <c r="A61" s="170" t="s">
        <v>824</v>
      </c>
      <c r="B61" s="254">
        <f t="shared" ref="B61:BM61" si="33">+B59+B43+B49</f>
        <v>0.11827749376652623</v>
      </c>
      <c r="C61" s="254">
        <f t="shared" si="33"/>
        <v>0.13504741227397216</v>
      </c>
      <c r="D61" s="254">
        <f t="shared" si="33"/>
        <v>0.15355421624925447</v>
      </c>
      <c r="E61" s="254">
        <f t="shared" si="33"/>
        <v>0.17219262687667669</v>
      </c>
      <c r="F61" s="254">
        <f t="shared" si="33"/>
        <v>0.1931032428699348</v>
      </c>
      <c r="G61" s="254">
        <f t="shared" si="33"/>
        <v>0.21774284490683876</v>
      </c>
      <c r="H61" s="254">
        <f t="shared" si="33"/>
        <v>0.23880267056497367</v>
      </c>
      <c r="I61" s="254">
        <f t="shared" si="33"/>
        <v>0.26354681230487392</v>
      </c>
      <c r="J61" s="254">
        <f t="shared" si="33"/>
        <v>0.29217475942525339</v>
      </c>
      <c r="K61" s="254">
        <f t="shared" si="33"/>
        <v>0.31394396101911209</v>
      </c>
      <c r="L61" s="254">
        <f t="shared" si="33"/>
        <v>0.33579106774017553</v>
      </c>
      <c r="M61" s="254">
        <f t="shared" si="33"/>
        <v>0.36151210331680173</v>
      </c>
      <c r="N61" s="254">
        <f t="shared" si="33"/>
        <v>0.38983947579962397</v>
      </c>
      <c r="O61" s="254">
        <f t="shared" si="33"/>
        <v>0.41752111473896053</v>
      </c>
      <c r="P61" s="254">
        <f t="shared" si="33"/>
        <v>0.44228012182083648</v>
      </c>
      <c r="Q61" s="254">
        <f t="shared" si="33"/>
        <v>0.47075315802058959</v>
      </c>
      <c r="R61" s="254">
        <f t="shared" si="33"/>
        <v>0.49801643916550253</v>
      </c>
      <c r="S61" s="254">
        <f t="shared" si="33"/>
        <v>0.52551060586741549</v>
      </c>
      <c r="T61" s="254">
        <f t="shared" si="33"/>
        <v>0.54931110852908271</v>
      </c>
      <c r="U61" s="254">
        <f t="shared" si="33"/>
        <v>0.57591626070004664</v>
      </c>
      <c r="V61" s="254">
        <f t="shared" si="33"/>
        <v>0.60414101120385211</v>
      </c>
      <c r="W61" s="254">
        <f t="shared" si="33"/>
        <v>0.62898981178855085</v>
      </c>
      <c r="X61" s="254">
        <f t="shared" si="33"/>
        <v>0.65465482905283756</v>
      </c>
      <c r="Y61" s="254">
        <f t="shared" si="33"/>
        <v>0.68084080447069151</v>
      </c>
      <c r="Z61" s="254">
        <f t="shared" si="33"/>
        <v>0.7083429302530404</v>
      </c>
      <c r="AA61" s="254">
        <f t="shared" si="33"/>
        <v>0.73980960358265202</v>
      </c>
      <c r="AB61" s="254">
        <f t="shared" si="33"/>
        <v>0.7737863156548016</v>
      </c>
      <c r="AC61" s="254">
        <f t="shared" si="33"/>
        <v>0.80489195743049047</v>
      </c>
      <c r="AD61" s="254">
        <f t="shared" si="33"/>
        <v>0.83373980001298231</v>
      </c>
      <c r="AE61" s="254">
        <f t="shared" si="33"/>
        <v>0.86562962080576122</v>
      </c>
      <c r="AF61" s="254">
        <f t="shared" si="33"/>
        <v>0.8978690211264494</v>
      </c>
      <c r="AG61" s="254">
        <f t="shared" si="33"/>
        <v>0.92553606162415614</v>
      </c>
      <c r="AH61" s="254">
        <f t="shared" si="33"/>
        <v>0.95390037706267217</v>
      </c>
      <c r="AI61" s="254">
        <f t="shared" si="33"/>
        <v>0.98907640686630993</v>
      </c>
      <c r="AJ61" s="254">
        <f t="shared" si="33"/>
        <v>0.98718505319581284</v>
      </c>
      <c r="AK61" s="254">
        <f t="shared" si="33"/>
        <v>0.98546891837845796</v>
      </c>
      <c r="AL61" s="254">
        <f t="shared" si="33"/>
        <v>0.98392367723216778</v>
      </c>
      <c r="AM61" s="254">
        <f t="shared" si="33"/>
        <v>0.98254510879616552</v>
      </c>
      <c r="AN61" s="254">
        <f t="shared" si="33"/>
        <v>0.98132909382165667</v>
      </c>
      <c r="AO61" s="254">
        <f t="shared" si="33"/>
        <v>0.98027161232292503</v>
      </c>
      <c r="AP61" s="254">
        <f t="shared" si="33"/>
        <v>0.9793687411873887</v>
      </c>
      <c r="AQ61" s="254">
        <f t="shared" si="33"/>
        <v>0.97861665184319746</v>
      </c>
      <c r="AR61" s="254">
        <f t="shared" si="33"/>
        <v>0.97801160798298425</v>
      </c>
      <c r="AS61" s="254">
        <f t="shared" si="33"/>
        <v>0.9775499633424215</v>
      </c>
      <c r="AT61" s="254">
        <f t="shared" si="33"/>
        <v>0.97722815953226028</v>
      </c>
      <c r="AU61" s="254">
        <f t="shared" si="33"/>
        <v>0.97704272392256564</v>
      </c>
      <c r="AV61" s="254">
        <f t="shared" si="33"/>
        <v>0.97699026757789209</v>
      </c>
      <c r="AW61" s="254">
        <f t="shared" si="33"/>
        <v>0.97706748324217174</v>
      </c>
      <c r="AX61" s="254">
        <f t="shared" si="33"/>
        <v>0.97727114337211818</v>
      </c>
      <c r="AY61" s="254">
        <f t="shared" si="33"/>
        <v>0.97759809821797994</v>
      </c>
      <c r="AZ61" s="254">
        <f t="shared" si="33"/>
        <v>0.97804527395049989</v>
      </c>
      <c r="BA61" s="254">
        <f t="shared" si="33"/>
        <v>0.97860967083297234</v>
      </c>
      <c r="BB61" s="254">
        <f t="shared" si="33"/>
        <v>0.97928836143730869</v>
      </c>
      <c r="BC61" s="254">
        <f t="shared" si="33"/>
        <v>0.98007848890305393</v>
      </c>
      <c r="BD61" s="254">
        <f t="shared" si="33"/>
        <v>0.98097726523831963</v>
      </c>
      <c r="BE61" s="254">
        <f t="shared" si="33"/>
        <v>0.98198196966162299</v>
      </c>
      <c r="BF61" s="254">
        <f t="shared" si="33"/>
        <v>0.98308994698364871</v>
      </c>
      <c r="BG61" s="254">
        <f t="shared" si="33"/>
        <v>0.98429860602797281</v>
      </c>
      <c r="BH61" s="254">
        <f t="shared" si="33"/>
        <v>0.98560541808980695</v>
      </c>
      <c r="BI61" s="254">
        <f t="shared" si="33"/>
        <v>0.98700791543185284</v>
      </c>
      <c r="BJ61" s="254">
        <f t="shared" si="33"/>
        <v>0.98850368981636905</v>
      </c>
      <c r="BK61" s="254">
        <f t="shared" si="33"/>
        <v>0.9900903910725809</v>
      </c>
      <c r="BL61" s="254">
        <f t="shared" si="33"/>
        <v>0.99176572569858124</v>
      </c>
      <c r="BM61" s="254">
        <f t="shared" si="33"/>
        <v>0.99352745549689248</v>
      </c>
      <c r="BN61" s="254">
        <f t="shared" ref="BN61:DR61" si="34">+BN59+BN43+BN49</f>
        <v>0.99537339624287846</v>
      </c>
      <c r="BO61" s="254">
        <f t="shared" si="34"/>
        <v>0.9973014163852163</v>
      </c>
      <c r="BP61" s="254">
        <f t="shared" si="34"/>
        <v>0.99930943577765674</v>
      </c>
      <c r="BQ61" s="254">
        <f t="shared" si="34"/>
        <v>1.0013954244413168</v>
      </c>
      <c r="BR61" s="254">
        <f t="shared" si="34"/>
        <v>1.0035574013567734</v>
      </c>
      <c r="BS61" s="254">
        <f t="shared" si="34"/>
        <v>1.0057934332852394</v>
      </c>
      <c r="BT61" s="254">
        <f t="shared" si="34"/>
        <v>1.0081016336181181</v>
      </c>
      <c r="BU61" s="254">
        <f t="shared" si="34"/>
        <v>1.0104801612542595</v>
      </c>
      <c r="BV61" s="254">
        <f t="shared" si="34"/>
        <v>1.0129272195042465</v>
      </c>
      <c r="BW61" s="254">
        <f t="shared" si="34"/>
        <v>1.0154410550210611</v>
      </c>
      <c r="BX61" s="254">
        <f t="shared" si="34"/>
        <v>1.0180199567564974</v>
      </c>
      <c r="BY61" s="254">
        <f t="shared" si="34"/>
        <v>1.0206622549426996</v>
      </c>
      <c r="BZ61" s="254">
        <f t="shared" si="34"/>
        <v>1.0233663200982199</v>
      </c>
      <c r="CA61" s="254">
        <f t="shared" si="34"/>
        <v>1.0261305620580088</v>
      </c>
      <c r="CB61" s="254">
        <f t="shared" si="34"/>
        <v>1.0289534290267566</v>
      </c>
      <c r="CC61" s="254">
        <f t="shared" si="34"/>
        <v>1.0318334066550303</v>
      </c>
      <c r="CD61" s="254">
        <f t="shared" si="34"/>
        <v>1.0347690171376509</v>
      </c>
      <c r="CE61" s="254">
        <f t="shared" si="34"/>
        <v>1.0377588183337787</v>
      </c>
      <c r="CF61" s="254">
        <f t="shared" si="34"/>
        <v>1.0408014029081856</v>
      </c>
      <c r="CG61" s="254">
        <f t="shared" si="34"/>
        <v>1.0438953974931997</v>
      </c>
      <c r="CH61" s="254">
        <f t="shared" si="34"/>
        <v>1.0470394618708287</v>
      </c>
      <c r="CI61" s="254">
        <f t="shared" si="34"/>
        <v>1.0502322881745747</v>
      </c>
      <c r="CJ61" s="254">
        <f t="shared" si="34"/>
        <v>1.0534726001104646</v>
      </c>
      <c r="CK61" s="254">
        <f t="shared" si="34"/>
        <v>1.0567591521968382</v>
      </c>
      <c r="CL61" s="254">
        <f t="shared" si="34"/>
        <v>1.060090729022436</v>
      </c>
      <c r="CM61" s="254">
        <f t="shared" si="34"/>
        <v>1.063466144522351</v>
      </c>
      <c r="CN61" s="254">
        <f t="shared" si="34"/>
        <v>1.0668842412714143</v>
      </c>
      <c r="CO61" s="254">
        <f t="shared" si="34"/>
        <v>1.0703438897945896</v>
      </c>
      <c r="CP61" s="254">
        <f t="shared" si="34"/>
        <v>1.0738439878939747</v>
      </c>
      <c r="CQ61" s="254">
        <f t="shared" si="34"/>
        <v>1.0773834599920038</v>
      </c>
      <c r="CR61" s="254">
        <f t="shared" si="34"/>
        <v>1.080961256490464</v>
      </c>
      <c r="CS61" s="254">
        <f t="shared" si="34"/>
        <v>1.0845763531449437</v>
      </c>
      <c r="CT61" s="254">
        <f t="shared" si="34"/>
        <v>1.0882277504543425</v>
      </c>
      <c r="CU61" s="254">
        <f t="shared" si="34"/>
        <v>1.0919144730650792</v>
      </c>
      <c r="CV61" s="254">
        <f t="shared" si="34"/>
        <v>1.095635569189644</v>
      </c>
      <c r="CW61" s="254">
        <f t="shared" si="34"/>
        <v>1.0993901100391505</v>
      </c>
      <c r="CX61" s="254">
        <f t="shared" si="34"/>
        <v>1.1031771892695481</v>
      </c>
      <c r="CY61" s="254">
        <f t="shared" si="34"/>
        <v>1.1069959224411692</v>
      </c>
      <c r="CZ61" s="254">
        <f t="shared" si="34"/>
        <v>1.1108454464912887</v>
      </c>
      <c r="DA61" s="254">
        <f t="shared" si="34"/>
        <v>1.11472491921938</v>
      </c>
      <c r="DB61" s="254">
        <f t="shared" si="34"/>
        <v>1.118633518784766</v>
      </c>
      <c r="DC61" s="254">
        <f t="shared" si="34"/>
        <v>1.1225704432163652</v>
      </c>
      <c r="DD61" s="254">
        <f t="shared" si="34"/>
        <v>1.1265349099342392</v>
      </c>
      <c r="DE61" s="254">
        <f t="shared" si="34"/>
        <v>1.1305261552826618</v>
      </c>
      <c r="DF61" s="254">
        <f t="shared" si="34"/>
        <v>1.1345434340744283</v>
      </c>
      <c r="DG61" s="254">
        <f t="shared" si="34"/>
        <v>1.1385860191461368</v>
      </c>
      <c r="DH61" s="254">
        <f t="shared" si="34"/>
        <v>1.1426532009241777</v>
      </c>
      <c r="DI61" s="254">
        <f t="shared" si="34"/>
        <v>1.1467442870011704</v>
      </c>
      <c r="DJ61" s="254">
        <f t="shared" si="34"/>
        <v>1.1508586017225997</v>
      </c>
      <c r="DK61" s="254">
        <f t="shared" si="34"/>
        <v>1.1549954857834035</v>
      </c>
      <c r="DL61" s="254">
        <f t="shared" si="34"/>
        <v>1.1591542958342731</v>
      </c>
      <c r="DM61" s="254">
        <f t="shared" si="34"/>
        <v>1.1633344040974336</v>
      </c>
      <c r="DN61" s="254">
        <f t="shared" si="34"/>
        <v>1.1675351979916728</v>
      </c>
      <c r="DO61" s="254">
        <f t="shared" si="34"/>
        <v>1.1717560797663999</v>
      </c>
      <c r="DP61" s="254">
        <f t="shared" si="34"/>
        <v>1.1759964661445137</v>
      </c>
      <c r="DQ61" s="254">
        <f t="shared" si="34"/>
        <v>1.1802557879738689</v>
      </c>
      <c r="DR61" s="254">
        <f t="shared" si="34"/>
        <v>1.1845334898871358</v>
      </c>
      <c r="DS61" s="260"/>
      <c r="DT61" s="260"/>
      <c r="DU61" s="260"/>
      <c r="DV61" s="260"/>
    </row>
    <row r="62" spans="1:147" x14ac:dyDescent="0.2">
      <c r="A62" s="170" t="s">
        <v>825</v>
      </c>
      <c r="B62" s="254">
        <f>+B61+B56</f>
        <v>0.12036101040599263</v>
      </c>
      <c r="C62" s="254">
        <f t="shared" ref="C62:BN62" si="35">+C61+C56</f>
        <v>0.1396047102233087</v>
      </c>
      <c r="D62" s="254">
        <f t="shared" si="35"/>
        <v>0.16199024832191464</v>
      </c>
      <c r="E62" s="254">
        <f t="shared" si="35"/>
        <v>0.18442934013857976</v>
      </c>
      <c r="F62" s="254">
        <f t="shared" si="35"/>
        <v>0.20851621384843474</v>
      </c>
      <c r="G62" s="254">
        <f t="shared" si="35"/>
        <v>0.23531738545888586</v>
      </c>
      <c r="H62" s="254">
        <f t="shared" si="35"/>
        <v>0.25939736296545618</v>
      </c>
      <c r="I62" s="254">
        <f t="shared" si="35"/>
        <v>0.28614696841074205</v>
      </c>
      <c r="J62" s="254">
        <f t="shared" si="35"/>
        <v>0.31568763815937667</v>
      </c>
      <c r="K62" s="254">
        <f t="shared" si="35"/>
        <v>0.34008672693126701</v>
      </c>
      <c r="L62" s="254">
        <f t="shared" si="35"/>
        <v>0.36448566789628134</v>
      </c>
      <c r="M62" s="254">
        <f t="shared" si="35"/>
        <v>0.38606246874644762</v>
      </c>
      <c r="N62" s="254">
        <f t="shared" si="35"/>
        <v>0.40946507716200242</v>
      </c>
      <c r="O62" s="254">
        <f t="shared" si="35"/>
        <v>0.4323000049681523</v>
      </c>
      <c r="P62" s="254">
        <f t="shared" si="35"/>
        <v>0.45291477732356833</v>
      </c>
      <c r="Q62" s="254">
        <f t="shared" si="35"/>
        <v>0.47615083771973099</v>
      </c>
      <c r="R62" s="254">
        <f t="shared" si="35"/>
        <v>0.49841130186329574</v>
      </c>
      <c r="S62" s="254">
        <f t="shared" si="35"/>
        <v>0.520746545695699</v>
      </c>
      <c r="T62" s="254">
        <f t="shared" si="35"/>
        <v>0.54032476069682556</v>
      </c>
      <c r="U62" s="254">
        <f t="shared" si="35"/>
        <v>0.5618490429323606</v>
      </c>
      <c r="V62" s="254">
        <f t="shared" si="35"/>
        <v>0.58444655296217185</v>
      </c>
      <c r="W62" s="254">
        <f t="shared" si="35"/>
        <v>0.60452669534776471</v>
      </c>
      <c r="X62" s="254">
        <f t="shared" si="35"/>
        <v>0.62511084267662242</v>
      </c>
      <c r="Y62" s="254">
        <f t="shared" si="35"/>
        <v>0.64598178935680517</v>
      </c>
      <c r="Z62" s="254">
        <f t="shared" si="35"/>
        <v>0.66770056879699846</v>
      </c>
      <c r="AA62" s="254">
        <f t="shared" si="35"/>
        <v>0.69213504883916244</v>
      </c>
      <c r="AB62" s="254">
        <f t="shared" si="35"/>
        <v>0.71822098534897605</v>
      </c>
      <c r="AC62" s="254">
        <f t="shared" si="35"/>
        <v>0.74213832796905577</v>
      </c>
      <c r="AD62" s="254">
        <f t="shared" si="35"/>
        <v>0.76434424193450368</v>
      </c>
      <c r="AE62" s="254">
        <f t="shared" si="35"/>
        <v>0.78857744596718893</v>
      </c>
      <c r="AF62" s="254">
        <f t="shared" si="35"/>
        <v>0.81292607072554124</v>
      </c>
      <c r="AG62" s="254">
        <f t="shared" si="35"/>
        <v>0.83395118260620404</v>
      </c>
      <c r="AH62" s="254">
        <f t="shared" si="35"/>
        <v>0.85536135769135313</v>
      </c>
      <c r="AI62" s="254">
        <f t="shared" si="35"/>
        <v>0.881397764987363</v>
      </c>
      <c r="AJ62" s="254">
        <f t="shared" si="35"/>
        <v>0.88160641131686601</v>
      </c>
      <c r="AK62" s="254">
        <f t="shared" si="35"/>
        <v>0.88199027649951112</v>
      </c>
      <c r="AL62" s="254">
        <f t="shared" si="35"/>
        <v>0.88254503535322093</v>
      </c>
      <c r="AM62" s="254">
        <f t="shared" si="35"/>
        <v>0.88326646691721866</v>
      </c>
      <c r="AN62" s="254">
        <f t="shared" si="35"/>
        <v>0.8841504519427098</v>
      </c>
      <c r="AO62" s="254">
        <f t="shared" si="35"/>
        <v>0.88519297044397816</v>
      </c>
      <c r="AP62" s="254">
        <f t="shared" si="35"/>
        <v>0.88639009930844181</v>
      </c>
      <c r="AQ62" s="254">
        <f t="shared" si="35"/>
        <v>0.88773800996425056</v>
      </c>
      <c r="AR62" s="254">
        <f t="shared" si="35"/>
        <v>0.88923296610403746</v>
      </c>
      <c r="AS62" s="254">
        <f t="shared" si="35"/>
        <v>0.8908713214634747</v>
      </c>
      <c r="AT62" s="254">
        <f t="shared" si="35"/>
        <v>0.89264951765331346</v>
      </c>
      <c r="AU62" s="254">
        <f t="shared" si="35"/>
        <v>0.89456408204361881</v>
      </c>
      <c r="AV62" s="254">
        <f t="shared" si="35"/>
        <v>0.89661162569894526</v>
      </c>
      <c r="AW62" s="254">
        <f t="shared" si="35"/>
        <v>0.8987888413632249</v>
      </c>
      <c r="AX62" s="254">
        <f t="shared" si="35"/>
        <v>0.90109250149317133</v>
      </c>
      <c r="AY62" s="254">
        <f t="shared" si="35"/>
        <v>0.90351945633903308</v>
      </c>
      <c r="AZ62" s="254">
        <f t="shared" si="35"/>
        <v>0.90606663207155314</v>
      </c>
      <c r="BA62" s="254">
        <f t="shared" si="35"/>
        <v>0.90873102895402558</v>
      </c>
      <c r="BB62" s="254">
        <f t="shared" si="35"/>
        <v>0.91150971955836191</v>
      </c>
      <c r="BC62" s="254">
        <f t="shared" si="35"/>
        <v>0.91439984702410715</v>
      </c>
      <c r="BD62" s="254">
        <f t="shared" si="35"/>
        <v>0.91739862335937283</v>
      </c>
      <c r="BE62" s="254">
        <f t="shared" si="35"/>
        <v>0.92050332778267618</v>
      </c>
      <c r="BF62" s="254">
        <f t="shared" si="35"/>
        <v>0.9237113051047019</v>
      </c>
      <c r="BG62" s="254">
        <f t="shared" si="35"/>
        <v>0.92701996414902599</v>
      </c>
      <c r="BH62" s="254">
        <f t="shared" si="35"/>
        <v>0.93042677621086012</v>
      </c>
      <c r="BI62" s="254">
        <f t="shared" si="35"/>
        <v>0.933929273552906</v>
      </c>
      <c r="BJ62" s="254">
        <f t="shared" si="35"/>
        <v>0.9375250479374222</v>
      </c>
      <c r="BK62" s="254">
        <f t="shared" si="35"/>
        <v>0.94121174919363404</v>
      </c>
      <c r="BL62" s="254">
        <f t="shared" si="35"/>
        <v>0.94498708381963437</v>
      </c>
      <c r="BM62" s="254">
        <f t="shared" si="35"/>
        <v>0.94884881361794571</v>
      </c>
      <c r="BN62" s="254">
        <f t="shared" si="35"/>
        <v>0.95279475436393168</v>
      </c>
      <c r="BO62" s="254">
        <f t="shared" ref="BO62:DR62" si="36">+BO61+BO56</f>
        <v>0.95682277450626951</v>
      </c>
      <c r="BP62" s="254">
        <f t="shared" si="36"/>
        <v>0.96093079389870995</v>
      </c>
      <c r="BQ62" s="254">
        <f t="shared" si="36"/>
        <v>0.96511678256236999</v>
      </c>
      <c r="BR62" s="254">
        <f t="shared" si="36"/>
        <v>0.96937875947782659</v>
      </c>
      <c r="BS62" s="254">
        <f t="shared" si="36"/>
        <v>0.97371479140629258</v>
      </c>
      <c r="BT62" s="254">
        <f t="shared" si="36"/>
        <v>0.97812299173917128</v>
      </c>
      <c r="BU62" s="254">
        <f t="shared" si="36"/>
        <v>0.9826015193753127</v>
      </c>
      <c r="BV62" s="254">
        <f t="shared" si="36"/>
        <v>0.98714857762529962</v>
      </c>
      <c r="BW62" s="254">
        <f t="shared" si="36"/>
        <v>0.99176241314211422</v>
      </c>
      <c r="BX62" s="254">
        <f t="shared" si="36"/>
        <v>0.9964413148775505</v>
      </c>
      <c r="BY62" s="254">
        <f t="shared" si="36"/>
        <v>1.0011836130637528</v>
      </c>
      <c r="BZ62" s="254">
        <f t="shared" si="36"/>
        <v>1.0059876782192732</v>
      </c>
      <c r="CA62" s="254">
        <f t="shared" si="36"/>
        <v>1.010851920179062</v>
      </c>
      <c r="CB62" s="254">
        <f t="shared" si="36"/>
        <v>1.0157747871478098</v>
      </c>
      <c r="CC62" s="254">
        <f t="shared" si="36"/>
        <v>1.0207547647760835</v>
      </c>
      <c r="CD62" s="254">
        <f t="shared" si="36"/>
        <v>1.0257903752587041</v>
      </c>
      <c r="CE62" s="254">
        <f t="shared" si="36"/>
        <v>1.0308801764548319</v>
      </c>
      <c r="CF62" s="254">
        <f t="shared" si="36"/>
        <v>1.0360227610292387</v>
      </c>
      <c r="CG62" s="254">
        <f t="shared" si="36"/>
        <v>1.0412167556142529</v>
      </c>
      <c r="CH62" s="254">
        <f t="shared" si="36"/>
        <v>1.0464608199918819</v>
      </c>
      <c r="CI62" s="254">
        <f t="shared" si="36"/>
        <v>1.0517536462956278</v>
      </c>
      <c r="CJ62" s="254">
        <f t="shared" si="36"/>
        <v>1.0570939582315177</v>
      </c>
      <c r="CK62" s="254">
        <f t="shared" si="36"/>
        <v>1.0624805103178914</v>
      </c>
      <c r="CL62" s="254">
        <f t="shared" si="36"/>
        <v>1.0679120871434891</v>
      </c>
      <c r="CM62" s="254">
        <f t="shared" si="36"/>
        <v>1.0733875026434041</v>
      </c>
      <c r="CN62" s="254">
        <f t="shared" si="36"/>
        <v>1.0789055993924674</v>
      </c>
      <c r="CO62" s="254">
        <f t="shared" si="36"/>
        <v>1.0844652479156427</v>
      </c>
      <c r="CP62" s="254">
        <f t="shared" si="36"/>
        <v>1.0900653460150278</v>
      </c>
      <c r="CQ62" s="254">
        <f t="shared" si="36"/>
        <v>1.0957048181130569</v>
      </c>
      <c r="CR62" s="254">
        <f t="shared" si="36"/>
        <v>1.1013826146115173</v>
      </c>
      <c r="CS62" s="254">
        <f t="shared" si="36"/>
        <v>1.107097711265997</v>
      </c>
      <c r="CT62" s="254">
        <f t="shared" si="36"/>
        <v>1.1128491085753958</v>
      </c>
      <c r="CU62" s="254">
        <f t="shared" si="36"/>
        <v>1.1186358311861324</v>
      </c>
      <c r="CV62" s="254">
        <f t="shared" si="36"/>
        <v>1.1244569273106972</v>
      </c>
      <c r="CW62" s="254">
        <f t="shared" si="36"/>
        <v>1.1303114681602038</v>
      </c>
      <c r="CX62" s="254">
        <f t="shared" si="36"/>
        <v>1.1361985473906013</v>
      </c>
      <c r="CY62" s="254">
        <f t="shared" si="36"/>
        <v>1.1421172805622224</v>
      </c>
      <c r="CZ62" s="254">
        <f t="shared" si="36"/>
        <v>1.1480668046123419</v>
      </c>
      <c r="DA62" s="254">
        <f t="shared" si="36"/>
        <v>1.1540462773404332</v>
      </c>
      <c r="DB62" s="254">
        <f t="shared" si="36"/>
        <v>1.1600548769058192</v>
      </c>
      <c r="DC62" s="254">
        <f t="shared" si="36"/>
        <v>1.1660918013374184</v>
      </c>
      <c r="DD62" s="254">
        <f t="shared" si="36"/>
        <v>1.1721562680552924</v>
      </c>
      <c r="DE62" s="254">
        <f t="shared" si="36"/>
        <v>1.1782475134037149</v>
      </c>
      <c r="DF62" s="254">
        <f t="shared" si="36"/>
        <v>1.1843647921954814</v>
      </c>
      <c r="DG62" s="254">
        <f t="shared" si="36"/>
        <v>1.1905073772671899</v>
      </c>
      <c r="DH62" s="254">
        <f t="shared" si="36"/>
        <v>1.1966745590452308</v>
      </c>
      <c r="DI62" s="254">
        <f t="shared" si="36"/>
        <v>1.2028656451222235</v>
      </c>
      <c r="DJ62" s="254">
        <f t="shared" si="36"/>
        <v>1.2090799598436528</v>
      </c>
      <c r="DK62" s="254">
        <f t="shared" si="36"/>
        <v>1.2153168439044566</v>
      </c>
      <c r="DL62" s="254">
        <f t="shared" si="36"/>
        <v>1.2215756539553262</v>
      </c>
      <c r="DM62" s="254">
        <f t="shared" si="36"/>
        <v>1.2278557622184867</v>
      </c>
      <c r="DN62" s="254">
        <f t="shared" si="36"/>
        <v>1.2341565561127259</v>
      </c>
      <c r="DO62" s="254">
        <f t="shared" si="36"/>
        <v>1.240477437887453</v>
      </c>
      <c r="DP62" s="254">
        <f t="shared" si="36"/>
        <v>1.246817824265567</v>
      </c>
      <c r="DQ62" s="254">
        <f t="shared" si="36"/>
        <v>1.2531771460949221</v>
      </c>
      <c r="DR62" s="254">
        <f t="shared" si="36"/>
        <v>1.2595548480081891</v>
      </c>
      <c r="DS62" s="260"/>
      <c r="DT62" s="260"/>
      <c r="DU62" s="260"/>
      <c r="DV62" s="260"/>
    </row>
    <row r="80" ht="17.25" customHeight="1" x14ac:dyDescent="0.2"/>
    <row r="81" ht="18" customHeight="1" x14ac:dyDescent="0.2"/>
    <row r="82" ht="28.5" customHeight="1" x14ac:dyDescent="0.2"/>
    <row r="83" ht="20.25" customHeight="1" x14ac:dyDescent="0.2"/>
    <row r="84" ht="17.25" customHeight="1" x14ac:dyDescent="0.2"/>
    <row r="85" ht="17.25" customHeight="1" x14ac:dyDescent="0.2"/>
    <row r="86" ht="17.25" customHeight="1" x14ac:dyDescent="0.2"/>
    <row r="87" ht="17.25" customHeight="1" x14ac:dyDescent="0.2"/>
  </sheetData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workbookViewId="0">
      <selection activeCell="C12" sqref="C12"/>
    </sheetView>
  </sheetViews>
  <sheetFormatPr baseColWidth="10" defaultColWidth="9.1640625" defaultRowHeight="15.75" customHeight="1" x14ac:dyDescent="0.15"/>
  <cols>
    <col min="1" max="1" width="25.5" style="1" customWidth="1"/>
    <col min="2" max="2" width="13.6640625" style="1" customWidth="1"/>
    <col min="3" max="3" width="12.1640625" style="1" customWidth="1"/>
    <col min="4" max="4" width="23.33203125" style="1" customWidth="1"/>
    <col min="5" max="5" width="11.83203125" style="1" customWidth="1"/>
    <col min="6" max="16384" width="9.1640625" style="1"/>
  </cols>
  <sheetData>
    <row r="1" spans="1:5" s="2" customFormat="1" ht="15.75" customHeight="1" x14ac:dyDescent="0.2">
      <c r="A1" s="215" t="s">
        <v>329</v>
      </c>
    </row>
    <row r="3" spans="1:5" ht="15.75" customHeight="1" x14ac:dyDescent="0.2">
      <c r="A3" s="218" t="s">
        <v>330</v>
      </c>
      <c r="B3" s="218" t="s">
        <v>331</v>
      </c>
      <c r="C3" s="218" t="s">
        <v>332</v>
      </c>
      <c r="D3" s="218" t="s">
        <v>333</v>
      </c>
      <c r="E3" s="218" t="s">
        <v>334</v>
      </c>
    </row>
    <row r="4" spans="1:5" ht="15.75" customHeight="1" x14ac:dyDescent="0.2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 x14ac:dyDescent="0.2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 x14ac:dyDescent="0.2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 x14ac:dyDescent="0.2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 x14ac:dyDescent="0.2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 x14ac:dyDescent="0.2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 x14ac:dyDescent="0.2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 x14ac:dyDescent="0.2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 x14ac:dyDescent="0.2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 x14ac:dyDescent="0.2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 x14ac:dyDescent="0.2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 x14ac:dyDescent="0.2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 x14ac:dyDescent="0.2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 x14ac:dyDescent="0.2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 x14ac:dyDescent="0.2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 x14ac:dyDescent="0.2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 x14ac:dyDescent="0.2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 x14ac:dyDescent="0.2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 x14ac:dyDescent="0.2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 x14ac:dyDescent="0.2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 x14ac:dyDescent="0.2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 x14ac:dyDescent="0.2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 x14ac:dyDescent="0.2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 x14ac:dyDescent="0.2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 x14ac:dyDescent="0.2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 x14ac:dyDescent="0.2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 x14ac:dyDescent="0.2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 x14ac:dyDescent="0.2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 x14ac:dyDescent="0.2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 x14ac:dyDescent="0.2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 x14ac:dyDescent="0.2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 x14ac:dyDescent="0.2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 x14ac:dyDescent="0.2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 x14ac:dyDescent="0.2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 x14ac:dyDescent="0.2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 x14ac:dyDescent="0.2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 x14ac:dyDescent="0.2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 x14ac:dyDescent="0.2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 x14ac:dyDescent="0.2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 x14ac:dyDescent="0.2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 x14ac:dyDescent="0.2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 x14ac:dyDescent="0.2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 x14ac:dyDescent="0.2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 x14ac:dyDescent="0.2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 x14ac:dyDescent="0.2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 x14ac:dyDescent="0.2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 x14ac:dyDescent="0.2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 x14ac:dyDescent="0.2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 x14ac:dyDescent="0.2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 x14ac:dyDescent="0.2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 x14ac:dyDescent="0.2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 x14ac:dyDescent="0.2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 x14ac:dyDescent="0.2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 x14ac:dyDescent="0.2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 x14ac:dyDescent="0.2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 x14ac:dyDescent="0.2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 x14ac:dyDescent="0.2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 x14ac:dyDescent="0.2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 x14ac:dyDescent="0.2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 x14ac:dyDescent="0.2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 x14ac:dyDescent="0.2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 x14ac:dyDescent="0.2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 x14ac:dyDescent="0.2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 x14ac:dyDescent="0.2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 x14ac:dyDescent="0.2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 x14ac:dyDescent="0.2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 x14ac:dyDescent="0.2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 x14ac:dyDescent="0.2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 x14ac:dyDescent="0.2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 x14ac:dyDescent="0.2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 x14ac:dyDescent="0.2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 x14ac:dyDescent="0.2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 x14ac:dyDescent="0.2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 x14ac:dyDescent="0.2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 x14ac:dyDescent="0.2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 x14ac:dyDescent="0.2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 x14ac:dyDescent="0.2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 x14ac:dyDescent="0.2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 x14ac:dyDescent="0.2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 x14ac:dyDescent="0.2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 x14ac:dyDescent="0.2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 x14ac:dyDescent="0.2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 x14ac:dyDescent="0.2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 x14ac:dyDescent="0.2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 x14ac:dyDescent="0.2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 x14ac:dyDescent="0.2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 x14ac:dyDescent="0.2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 x14ac:dyDescent="0.2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 x14ac:dyDescent="0.2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 x14ac:dyDescent="0.2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 x14ac:dyDescent="0.2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 x14ac:dyDescent="0.2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 x14ac:dyDescent="0.2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 x14ac:dyDescent="0.2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 x14ac:dyDescent="0.2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 x14ac:dyDescent="0.2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 x14ac:dyDescent="0.2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 x14ac:dyDescent="0.2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 x14ac:dyDescent="0.2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 x14ac:dyDescent="0.2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 x14ac:dyDescent="0.2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 x14ac:dyDescent="0.2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 x14ac:dyDescent="0.2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 x14ac:dyDescent="0.2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 x14ac:dyDescent="0.2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 x14ac:dyDescent="0.2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 x14ac:dyDescent="0.2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 x14ac:dyDescent="0.2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 x14ac:dyDescent="0.2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 x14ac:dyDescent="0.2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 x14ac:dyDescent="0.2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 x14ac:dyDescent="0.2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 x14ac:dyDescent="0.2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 x14ac:dyDescent="0.2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 x14ac:dyDescent="0.2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 x14ac:dyDescent="0.2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 x14ac:dyDescent="0.2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 x14ac:dyDescent="0.2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 x14ac:dyDescent="0.2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 x14ac:dyDescent="0.2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 x14ac:dyDescent="0.2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 x14ac:dyDescent="0.2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 x14ac:dyDescent="0.2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 x14ac:dyDescent="0.2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 x14ac:dyDescent="0.2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 x14ac:dyDescent="0.2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 x14ac:dyDescent="0.2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 x14ac:dyDescent="0.2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 x14ac:dyDescent="0.2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 x14ac:dyDescent="0.2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 x14ac:dyDescent="0.2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 x14ac:dyDescent="0.2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 x14ac:dyDescent="0.2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 x14ac:dyDescent="0.2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 x14ac:dyDescent="0.2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 x14ac:dyDescent="0.2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 x14ac:dyDescent="0.2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 x14ac:dyDescent="0.2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 x14ac:dyDescent="0.2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 x14ac:dyDescent="0.2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 x14ac:dyDescent="0.2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 x14ac:dyDescent="0.2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 x14ac:dyDescent="0.2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 x14ac:dyDescent="0.2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 x14ac:dyDescent="0.2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 x14ac:dyDescent="0.2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 x14ac:dyDescent="0.2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 x14ac:dyDescent="0.2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 x14ac:dyDescent="0.2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 x14ac:dyDescent="0.2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 x14ac:dyDescent="0.2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 x14ac:dyDescent="0.2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 x14ac:dyDescent="0.2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 x14ac:dyDescent="0.2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 x14ac:dyDescent="0.2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 x14ac:dyDescent="0.2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 x14ac:dyDescent="0.2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 x14ac:dyDescent="0.2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 x14ac:dyDescent="0.2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 x14ac:dyDescent="0.2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 x14ac:dyDescent="0.2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 x14ac:dyDescent="0.2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 x14ac:dyDescent="0.2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 x14ac:dyDescent="0.2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 x14ac:dyDescent="0.2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 x14ac:dyDescent="0.2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 x14ac:dyDescent="0.2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 x14ac:dyDescent="0.2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 x14ac:dyDescent="0.2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 x14ac:dyDescent="0.2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 x14ac:dyDescent="0.2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 x14ac:dyDescent="0.2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 x14ac:dyDescent="0.2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 x14ac:dyDescent="0.2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 x14ac:dyDescent="0.2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 x14ac:dyDescent="0.2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 x14ac:dyDescent="0.2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 x14ac:dyDescent="0.2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 x14ac:dyDescent="0.2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 x14ac:dyDescent="0.2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 x14ac:dyDescent="0.2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 x14ac:dyDescent="0.2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 x14ac:dyDescent="0.2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 x14ac:dyDescent="0.2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 x14ac:dyDescent="0.2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 x14ac:dyDescent="0.2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 x14ac:dyDescent="0.2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 x14ac:dyDescent="0.2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 x14ac:dyDescent="0.2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 x14ac:dyDescent="0.2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 x14ac:dyDescent="0.2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 x14ac:dyDescent="0.2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 x14ac:dyDescent="0.2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 x14ac:dyDescent="0.2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 x14ac:dyDescent="0.2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 x14ac:dyDescent="0.2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 x14ac:dyDescent="0.2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 x14ac:dyDescent="0.2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baseColWidth="10" defaultColWidth="9.1640625" defaultRowHeight="14" x14ac:dyDescent="0.2"/>
  <cols>
    <col min="1" max="1" width="10.33203125" style="2" bestFit="1" customWidth="1"/>
    <col min="2" max="16384" width="9.1640625" style="2"/>
  </cols>
  <sheetData>
    <row r="1" spans="1:1" x14ac:dyDescent="0.2">
      <c r="A1" s="2" t="s">
        <v>826</v>
      </c>
    </row>
    <row r="2" spans="1:1" x14ac:dyDescent="0.2">
      <c r="A2" s="2" t="s">
        <v>1198</v>
      </c>
    </row>
    <row r="4" spans="1:1" x14ac:dyDescent="0.2">
      <c r="A4" s="2" t="s">
        <v>1199</v>
      </c>
    </row>
    <row r="6" spans="1:1" x14ac:dyDescent="0.2">
      <c r="A6" s="2" t="s">
        <v>290</v>
      </c>
    </row>
    <row r="7" spans="1:1" x14ac:dyDescent="0.2">
      <c r="A7" s="206" t="str">
        <f ca="1">MID(CELL("filename",A1),SEARCH("[",CELL("filename",A1))+1,SEARCH("]",CELL("filename",A1))-SEARCH("[",CELL("filename",A1))-1)</f>
        <v>RICE_2010_base_000-HistoricDamages.xlsm</v>
      </c>
    </row>
    <row r="8" spans="1:1" x14ac:dyDescent="0.2">
      <c r="A8" s="205"/>
    </row>
    <row r="9" spans="1:1" x14ac:dyDescent="0.2">
      <c r="A9" s="205"/>
    </row>
    <row r="10" spans="1:1" x14ac:dyDescent="0.2">
      <c r="A10" s="2" t="s">
        <v>287</v>
      </c>
    </row>
    <row r="11" spans="1:1" x14ac:dyDescent="0.2">
      <c r="A11" s="2" t="s">
        <v>298</v>
      </c>
    </row>
    <row r="12" spans="1:1" x14ac:dyDescent="0.2">
      <c r="A12" s="2" t="s">
        <v>288</v>
      </c>
    </row>
    <row r="14" spans="1:1" x14ac:dyDescent="0.2">
      <c r="A14" s="2" t="s">
        <v>325</v>
      </c>
    </row>
    <row r="16" spans="1:1" x14ac:dyDescent="0.2">
      <c r="A16" s="2" t="s">
        <v>326</v>
      </c>
    </row>
    <row r="17" spans="1:1" x14ac:dyDescent="0.2">
      <c r="A17" s="2" t="s">
        <v>327</v>
      </c>
    </row>
    <row r="18" spans="1:1" x14ac:dyDescent="0.2">
      <c r="A18" s="2" t="s">
        <v>328</v>
      </c>
    </row>
    <row r="20" spans="1:1" x14ac:dyDescent="0.2">
      <c r="A20" s="2" t="s">
        <v>1176</v>
      </c>
    </row>
    <row r="22" spans="1:1" x14ac:dyDescent="0.2">
      <c r="A22" s="2" t="s">
        <v>1177</v>
      </c>
    </row>
    <row r="23" spans="1:1" x14ac:dyDescent="0.2">
      <c r="A23" s="2" t="s">
        <v>1039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How to Solve</vt:lpstr>
      <vt:lpstr>Results</vt:lpstr>
      <vt:lpstr>Controls</vt:lpstr>
      <vt:lpstr>TemperatureRiseData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Kiran Chawla</cp:lastModifiedBy>
  <cp:lastPrinted>2010-01-19T14:40:17Z</cp:lastPrinted>
  <dcterms:created xsi:type="dcterms:W3CDTF">1999-01-07T15:40:04Z</dcterms:created>
  <dcterms:modified xsi:type="dcterms:W3CDTF">2024-08-07T14:48:01Z</dcterms:modified>
</cp:coreProperties>
</file>